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https://d.docs.live.net/345d1610474a9baa/Quotey McQuoteface/Rating and Covermatch/Health ^0 Beauty/Live/"/>
    </mc:Choice>
  </mc:AlternateContent>
  <xr:revisionPtr revIDLastSave="1850" documentId="8_{547B671B-F761-4FFA-9045-A3DF700F44B5}" xr6:coauthVersionLast="47" xr6:coauthVersionMax="47" xr10:uidLastSave="{438B9772-E90A-4AC8-A053-943FCC852A25}"/>
  <bookViews>
    <workbookView xWindow="-120" yWindow="-120" windowWidth="38640" windowHeight="21390" tabRatio="340" firstSheet="1" activeTab="2" xr2:uid="{00000000-000D-0000-FFFF-FFFF00000000}"/>
  </bookViews>
  <sheets>
    <sheet name="Sheet1" sheetId="1" state="hidden" r:id="rId1"/>
    <sheet name="Log" sheetId="4" r:id="rId2"/>
    <sheet name="Map" sheetId="2" r:id="rId3"/>
    <sheet name="2022 Liability Rates" sheetId="5" r:id="rId4"/>
    <sheet name="2022 Property Rates" sheetId="6" r:id="rId5"/>
    <sheet name="2022 Package Rates" sheetId="7" r:id="rId6"/>
    <sheet name="Increased Abuse Rates" sheetId="8" r:id="rId7"/>
    <sheet name="Dropdowns" sheetId="3" r:id="rId8"/>
  </sheets>
  <definedNames>
    <definedName name="_xlnm.Print_Area" localSheetId="3">'2022 Liability Rates'!$A$1:$G$226</definedName>
    <definedName name="_xlnm.Print_Area" localSheetId="5">'2022 Package Rates'!$A$1:$E$67</definedName>
    <definedName name="_xlnm.Print_Area" localSheetId="4">'2022 Property Rates'!$A$1:$H$103</definedName>
    <definedName name="Z_14AE370C_1AF9_43BD_A2E8_6D6FC7518F0C_.wvu.PrintArea" localSheetId="3" hidden="1">'2022 Liability Rates'!$A$1:$G$226</definedName>
    <definedName name="Z_14AE370C_1AF9_43BD_A2E8_6D6FC7518F0C_.wvu.PrintArea" localSheetId="4" hidden="1">'2022 Property Rates'!$A$1:$H$115</definedName>
    <definedName name="Z_64DCC883_FB81_49DA_A83A_9FCCD4920E86_.wvu.PrintArea" localSheetId="3" hidden="1">'2022 Liability Rates'!$A$1:$G$226</definedName>
    <definedName name="Z_64DCC883_FB81_49DA_A83A_9FCCD4920E86_.wvu.PrintArea" localSheetId="5" hidden="1">'2022 Package Rates'!$A$1:$E$67</definedName>
    <definedName name="Z_64DCC883_FB81_49DA_A83A_9FCCD4920E86_.wvu.PrintArea" localSheetId="4" hidden="1">'2022 Property Rates'!$A$1:$H$103</definedName>
    <definedName name="Z_74476B15_CD5D_49E8_B7E2_D07141BB2283_.wvu.PrintArea" localSheetId="3" hidden="1">'2022 Liability Rates'!$A$1:$G$226</definedName>
    <definedName name="Z_74476B15_CD5D_49E8_B7E2_D07141BB2283_.wvu.PrintArea" localSheetId="5" hidden="1">'2022 Package Rates'!$A$1:$E$67</definedName>
    <definedName name="Z_74476B15_CD5D_49E8_B7E2_D07141BB2283_.wvu.PrintArea" localSheetId="4" hidden="1">'2022 Property Rates'!$A$1:$H$103</definedName>
    <definedName name="Z_F6A12991_7D6E_418B_9C24_63DA5A6152FF_.wvu.PrintArea" localSheetId="3" hidden="1">'2022 Liability Rates'!$A$1:$G$226</definedName>
    <definedName name="Z_F6A12991_7D6E_418B_9C24_63DA5A6152FF_.wvu.PrintArea" localSheetId="4" hidden="1">'2022 Property Rates'!$A$1:$H$115</definedName>
    <definedName name="Z_FC8A7BD0_1A01_48CB_9390_B8904AA1758C_.wvu.PrintArea" localSheetId="3" hidden="1">'2022 Liability Rates'!$A$1:$G$226</definedName>
    <definedName name="Z_FC8A7BD0_1A01_48CB_9390_B8904AA1758C_.wvu.PrintArea" localSheetId="4" hidden="1">'2022 Property Rates'!$A$1:$H$115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O121" i="2" l="1"/>
  <c r="AV102" i="2"/>
  <c r="Q30" i="2" l="1"/>
  <c r="P59" i="2"/>
  <c r="Q54" i="2"/>
  <c r="R54" i="2" s="1"/>
  <c r="Q53" i="2"/>
  <c r="R53" i="2" s="1"/>
  <c r="Q52" i="2"/>
  <c r="R52" i="2" s="1"/>
  <c r="Q51" i="2"/>
  <c r="R51" i="2" s="1"/>
  <c r="Q50" i="2"/>
  <c r="R50" i="2" s="1"/>
  <c r="Q49" i="2"/>
  <c r="R49" i="2" s="1"/>
  <c r="Q48" i="2"/>
  <c r="R48" i="2" s="1"/>
  <c r="Q47" i="2"/>
  <c r="Q46" i="2"/>
  <c r="R46" i="2" s="1"/>
  <c r="Q45" i="2"/>
  <c r="Q44" i="2"/>
  <c r="R44" i="2" s="1"/>
  <c r="Q43" i="2"/>
  <c r="R43" i="2" s="1"/>
  <c r="Q42" i="2"/>
  <c r="R42" i="2" s="1"/>
  <c r="Q41" i="2"/>
  <c r="R41" i="2" s="1"/>
  <c r="Q40" i="2"/>
  <c r="Q39" i="2"/>
  <c r="Q38" i="2"/>
  <c r="R38" i="2" s="1"/>
  <c r="Q37" i="2"/>
  <c r="R37" i="2" s="1"/>
  <c r="Q36" i="2"/>
  <c r="R36" i="2" s="1"/>
  <c r="Q35" i="2"/>
  <c r="R35" i="2" s="1"/>
  <c r="Q34" i="2"/>
  <c r="R34" i="2" s="1"/>
  <c r="Q33" i="2"/>
  <c r="R33" i="2" s="1"/>
  <c r="Q32" i="2"/>
  <c r="R32" i="2" s="1"/>
  <c r="Q31" i="2"/>
  <c r="Q29" i="2"/>
  <c r="R29" i="2" s="1"/>
  <c r="Q28" i="2"/>
  <c r="R28" i="2" s="1"/>
  <c r="Q27" i="2"/>
  <c r="R27" i="2" s="1"/>
  <c r="Q26" i="2"/>
  <c r="R26" i="2" s="1"/>
  <c r="Q25" i="2"/>
  <c r="R25" i="2" s="1"/>
  <c r="Q24" i="2"/>
  <c r="R24" i="2" s="1"/>
  <c r="Q23" i="2"/>
  <c r="R23" i="2" s="1"/>
  <c r="Q22" i="2"/>
  <c r="R22" i="2" s="1"/>
  <c r="Q21" i="2"/>
  <c r="R21" i="2" s="1"/>
  <c r="Q20" i="2"/>
  <c r="R20" i="2" s="1"/>
  <c r="Q18" i="2"/>
  <c r="R18" i="2" s="1"/>
  <c r="P58" i="2" s="1"/>
  <c r="Q19" i="2"/>
  <c r="R19" i="2" s="1"/>
  <c r="Q17" i="2"/>
  <c r="R17" i="2" s="1"/>
  <c r="Q16" i="2"/>
  <c r="R16" i="2" s="1"/>
  <c r="Q15" i="2"/>
  <c r="R15" i="2" s="1"/>
  <c r="Q14" i="2"/>
  <c r="Q12" i="2"/>
  <c r="R12" i="2" s="1"/>
  <c r="Q11" i="2"/>
  <c r="R11" i="2" s="1"/>
  <c r="Q10" i="2"/>
  <c r="R10" i="2" s="1"/>
  <c r="Q9" i="2"/>
  <c r="R9" i="2" s="1"/>
  <c r="Q8" i="2"/>
  <c r="R8" i="2" s="1"/>
  <c r="Q7" i="2"/>
  <c r="R7" i="2" s="1"/>
  <c r="Q6" i="2"/>
  <c r="R6" i="2" s="1"/>
  <c r="Q5" i="2"/>
  <c r="R5" i="2" s="1"/>
  <c r="R47" i="2"/>
  <c r="R45" i="2"/>
  <c r="R40" i="2"/>
  <c r="R39" i="2"/>
  <c r="R31" i="2"/>
  <c r="R30" i="2"/>
  <c r="R14" i="2"/>
  <c r="R13" i="2"/>
  <c r="P61" i="2" l="1"/>
  <c r="U12" i="2"/>
  <c r="P62" i="2"/>
  <c r="U37" i="2"/>
  <c r="P63" i="2"/>
  <c r="U26" i="2"/>
  <c r="P57" i="2"/>
  <c r="P60" i="2"/>
  <c r="E33" i="2"/>
  <c r="F33" i="2" s="1"/>
  <c r="P64" i="2" l="1"/>
  <c r="E32" i="2"/>
  <c r="U141" i="2" l="1"/>
  <c r="U142" i="2" s="1"/>
  <c r="AQ9" i="2"/>
  <c r="AP9" i="2"/>
  <c r="AO9" i="2"/>
  <c r="AN9" i="2"/>
  <c r="E34" i="2"/>
  <c r="F34" i="2" s="1"/>
  <c r="I34" i="2" l="1"/>
  <c r="H34" i="2"/>
  <c r="K34" i="2"/>
  <c r="G34" i="2"/>
  <c r="AX244" i="2"/>
  <c r="AX245" i="2"/>
  <c r="AX246" i="2"/>
  <c r="AX247" i="2"/>
  <c r="AX248" i="2"/>
  <c r="AX249" i="2"/>
  <c r="AX250" i="2"/>
  <c r="AX251" i="2"/>
  <c r="AX252" i="2"/>
  <c r="AX253" i="2"/>
  <c r="AX254" i="2"/>
  <c r="AX255" i="2"/>
  <c r="AX256" i="2"/>
  <c r="AX257" i="2"/>
  <c r="AX258" i="2"/>
  <c r="AX259" i="2"/>
  <c r="AX260" i="2"/>
  <c r="E25" i="2"/>
  <c r="F25" i="2" s="1"/>
  <c r="E24" i="2"/>
  <c r="F24" i="2" s="1"/>
  <c r="E23" i="2"/>
  <c r="F23" i="2" s="1"/>
  <c r="E22" i="2"/>
  <c r="F22" i="2" s="1"/>
  <c r="E21" i="2"/>
  <c r="F21" i="2" s="1"/>
  <c r="E20" i="2"/>
  <c r="F20" i="2" s="1"/>
  <c r="E19" i="2"/>
  <c r="F19" i="2" s="1"/>
  <c r="E18" i="2"/>
  <c r="F18" i="2" s="1"/>
  <c r="E17" i="2"/>
  <c r="F17" i="2" s="1"/>
  <c r="E16" i="2"/>
  <c r="F16" i="2" s="1"/>
  <c r="G17" i="2" l="1"/>
  <c r="K18" i="2"/>
  <c r="G25" i="2"/>
  <c r="K19" i="2"/>
  <c r="K21" i="2"/>
  <c r="H20" i="2"/>
  <c r="G20" i="2"/>
  <c r="I23" i="2"/>
  <c r="H23" i="2"/>
  <c r="G23" i="2"/>
  <c r="G24" i="2"/>
  <c r="H24" i="2"/>
  <c r="I24" i="2"/>
  <c r="K24" i="2"/>
  <c r="H22" i="2"/>
  <c r="I22" i="2"/>
  <c r="G22" i="2"/>
  <c r="K22" i="2"/>
  <c r="I21" i="2"/>
  <c r="G21" i="2"/>
  <c r="H21" i="2"/>
  <c r="I19" i="2"/>
  <c r="H19" i="2"/>
  <c r="I25" i="2"/>
  <c r="K20" i="2"/>
  <c r="G19" i="2"/>
  <c r="I18" i="2"/>
  <c r="H18" i="2"/>
  <c r="G18" i="2"/>
  <c r="K25" i="2"/>
  <c r="H25" i="2"/>
  <c r="K23" i="2"/>
  <c r="I20" i="2"/>
  <c r="K16" i="2"/>
  <c r="I17" i="2" l="1"/>
  <c r="H17" i="2"/>
  <c r="K17" i="2"/>
  <c r="AX243" i="2" l="1"/>
  <c r="AX242" i="2"/>
  <c r="AX241" i="2"/>
  <c r="AX240" i="2"/>
  <c r="AX239" i="2"/>
  <c r="AX238" i="2"/>
  <c r="AX237" i="2"/>
  <c r="AX236" i="2"/>
  <c r="AX235" i="2"/>
  <c r="AX234" i="2"/>
  <c r="AX233" i="2"/>
  <c r="AX232" i="2"/>
  <c r="AX231" i="2"/>
  <c r="AX230" i="2"/>
  <c r="AX229" i="2"/>
  <c r="AX228" i="2"/>
  <c r="AX227" i="2"/>
  <c r="AX226" i="2"/>
  <c r="AX225" i="2"/>
  <c r="AX224" i="2"/>
  <c r="AX223" i="2"/>
  <c r="AX222" i="2"/>
  <c r="AX221" i="2"/>
  <c r="AX220" i="2"/>
  <c r="AX219" i="2"/>
  <c r="AX218" i="2"/>
  <c r="AX217" i="2"/>
  <c r="AX216" i="2"/>
  <c r="AX215" i="2"/>
  <c r="AX214" i="2"/>
  <c r="AX213" i="2"/>
  <c r="AX212" i="2"/>
  <c r="AX211" i="2"/>
  <c r="AX210" i="2"/>
  <c r="AX209" i="2"/>
  <c r="AX208" i="2"/>
  <c r="AX207" i="2"/>
  <c r="AX206" i="2"/>
  <c r="AX205" i="2"/>
  <c r="AX204" i="2"/>
  <c r="AX203" i="2"/>
  <c r="AX202" i="2"/>
  <c r="AX201" i="2"/>
  <c r="AX200" i="2"/>
  <c r="AX199" i="2"/>
  <c r="AX198" i="2"/>
  <c r="AX197" i="2"/>
  <c r="AX196" i="2"/>
  <c r="AX195" i="2"/>
  <c r="AX194" i="2"/>
  <c r="AX193" i="2"/>
  <c r="AX192" i="2"/>
  <c r="AX191" i="2"/>
  <c r="AX190" i="2"/>
  <c r="AX189" i="2"/>
  <c r="AX188" i="2"/>
  <c r="AX187" i="2"/>
  <c r="AX186" i="2"/>
  <c r="AX185" i="2"/>
  <c r="AX184" i="2"/>
  <c r="AX183" i="2"/>
  <c r="AX182" i="2"/>
  <c r="AX181" i="2"/>
  <c r="AX180" i="2"/>
  <c r="AX179" i="2"/>
  <c r="AX178" i="2"/>
  <c r="AX177" i="2"/>
  <c r="AX176" i="2"/>
  <c r="AX175" i="2"/>
  <c r="AX174" i="2"/>
  <c r="AX173" i="2"/>
  <c r="AX172" i="2"/>
  <c r="AX171" i="2"/>
  <c r="AX170" i="2"/>
  <c r="AX169" i="2"/>
  <c r="AX168" i="2"/>
  <c r="AX167" i="2"/>
  <c r="AX166" i="2"/>
  <c r="AX165" i="2"/>
  <c r="AX164" i="2"/>
  <c r="AX163" i="2"/>
  <c r="AX162" i="2"/>
  <c r="AX161" i="2"/>
  <c r="AX160" i="2"/>
  <c r="AX159" i="2"/>
  <c r="AX158" i="2"/>
  <c r="AX157" i="2"/>
  <c r="AX156" i="2"/>
  <c r="AX155" i="2"/>
  <c r="AX154" i="2"/>
  <c r="AX153" i="2"/>
  <c r="AX152" i="2"/>
  <c r="AX151" i="2"/>
  <c r="AX150" i="2"/>
  <c r="AX149" i="2"/>
  <c r="AX148" i="2"/>
  <c r="AX147" i="2"/>
  <c r="AX146" i="2"/>
  <c r="AX145" i="2"/>
  <c r="AX144" i="2"/>
  <c r="AX143" i="2"/>
  <c r="AX142" i="2"/>
  <c r="AX141" i="2"/>
  <c r="AX140" i="2"/>
  <c r="AX139" i="2"/>
  <c r="AX138" i="2"/>
  <c r="AX137" i="2"/>
  <c r="AX136" i="2"/>
  <c r="AX135" i="2"/>
  <c r="AX134" i="2"/>
  <c r="AX133" i="2"/>
  <c r="AX132" i="2"/>
  <c r="AX131" i="2"/>
  <c r="AX130" i="2"/>
  <c r="AX129" i="2"/>
  <c r="AX128" i="2"/>
  <c r="AX127" i="2"/>
  <c r="AX126" i="2"/>
  <c r="AX125" i="2"/>
  <c r="AX124" i="2"/>
  <c r="AX123" i="2"/>
  <c r="AX122" i="2"/>
  <c r="AX121" i="2"/>
  <c r="AX120" i="2"/>
  <c r="AX119" i="2"/>
  <c r="AX118" i="2"/>
  <c r="AX117" i="2"/>
  <c r="AX116" i="2"/>
  <c r="AX115" i="2"/>
  <c r="AX114" i="2"/>
  <c r="AX113" i="2"/>
  <c r="AX112" i="2"/>
  <c r="AX111" i="2"/>
  <c r="AX110" i="2"/>
  <c r="AX109" i="2"/>
  <c r="AX108" i="2"/>
  <c r="AX107" i="2"/>
  <c r="AX106" i="2"/>
  <c r="AX105" i="2"/>
  <c r="AX104" i="2"/>
  <c r="AX103" i="2"/>
  <c r="AX102" i="2"/>
  <c r="AX101" i="2"/>
  <c r="AX100" i="2"/>
  <c r="AX99" i="2"/>
  <c r="AX98" i="2"/>
  <c r="AX97" i="2"/>
  <c r="AX96" i="2"/>
  <c r="AX95" i="2"/>
  <c r="AX94" i="2"/>
  <c r="AX93" i="2"/>
  <c r="AX92" i="2"/>
  <c r="AX91" i="2"/>
  <c r="AX90" i="2"/>
  <c r="AX89" i="2"/>
  <c r="AX88" i="2"/>
  <c r="AX87" i="2"/>
  <c r="AX86" i="2"/>
  <c r="AX85" i="2"/>
  <c r="AX84" i="2"/>
  <c r="AX83" i="2"/>
  <c r="AX82" i="2"/>
  <c r="AX81" i="2"/>
  <c r="AX80" i="2"/>
  <c r="AX79" i="2"/>
  <c r="AX78" i="2"/>
  <c r="AX77" i="2"/>
  <c r="AX76" i="2"/>
  <c r="AX75" i="2"/>
  <c r="AX74" i="2"/>
  <c r="AX73" i="2"/>
  <c r="AX72" i="2"/>
  <c r="AX71" i="2"/>
  <c r="AX70" i="2"/>
  <c r="AX69" i="2"/>
  <c r="AX68" i="2"/>
  <c r="AX67" i="2"/>
  <c r="AX66" i="2"/>
  <c r="AX65" i="2"/>
  <c r="AX64" i="2"/>
  <c r="AX63" i="2"/>
  <c r="AX62" i="2"/>
  <c r="AX61" i="2"/>
  <c r="AX60" i="2"/>
  <c r="AX59" i="2"/>
  <c r="AX58" i="2"/>
  <c r="AX57" i="2"/>
  <c r="AX56" i="2"/>
  <c r="AX55" i="2"/>
  <c r="AX54" i="2"/>
  <c r="AX53" i="2"/>
  <c r="AX52" i="2"/>
  <c r="AX51" i="2"/>
  <c r="AX50" i="2"/>
  <c r="AX49" i="2"/>
  <c r="AX48" i="2"/>
  <c r="AX47" i="2"/>
  <c r="AX46" i="2"/>
  <c r="AX45" i="2"/>
  <c r="AX44" i="2"/>
  <c r="AX43" i="2"/>
  <c r="AX42" i="2"/>
  <c r="AX41" i="2"/>
  <c r="AX40" i="2"/>
  <c r="AX39" i="2"/>
  <c r="AX38" i="2"/>
  <c r="AX37" i="2"/>
  <c r="AX36" i="2"/>
  <c r="AX35" i="2"/>
  <c r="AX34" i="2"/>
  <c r="AX33" i="2"/>
  <c r="AX32" i="2"/>
  <c r="AX31" i="2"/>
  <c r="AX30" i="2"/>
  <c r="AX29" i="2"/>
  <c r="AX28" i="2"/>
  <c r="AX27" i="2"/>
  <c r="AX26" i="2"/>
  <c r="AX25" i="2"/>
  <c r="AX24" i="2"/>
  <c r="AX23" i="2"/>
  <c r="AX22" i="2"/>
  <c r="AX21" i="2"/>
  <c r="AX20" i="2"/>
  <c r="AX19" i="2"/>
  <c r="AX18" i="2"/>
  <c r="AX17" i="2"/>
  <c r="AX16" i="2"/>
  <c r="AX15" i="2"/>
  <c r="AX14" i="2"/>
  <c r="AX13" i="2"/>
  <c r="AX12" i="2"/>
  <c r="AX11" i="2"/>
  <c r="AX10" i="2"/>
  <c r="AX9" i="2"/>
  <c r="AX8" i="2"/>
  <c r="AX7" i="2"/>
  <c r="AV11" i="2"/>
  <c r="AV12" i="2"/>
  <c r="AV15" i="2"/>
  <c r="AV16" i="2"/>
  <c r="AV17" i="2"/>
  <c r="AV22" i="2"/>
  <c r="AV23" i="2"/>
  <c r="AV25" i="2"/>
  <c r="AV26" i="2"/>
  <c r="AV27" i="2"/>
  <c r="AV28" i="2"/>
  <c r="AV29" i="2"/>
  <c r="AV32" i="2"/>
  <c r="AV33" i="2"/>
  <c r="AV34" i="2"/>
  <c r="AV35" i="2"/>
  <c r="AV36" i="2"/>
  <c r="AV37" i="2"/>
  <c r="AV38" i="2"/>
  <c r="AV39" i="2"/>
  <c r="AV40" i="2"/>
  <c r="AV41" i="2"/>
  <c r="AV42" i="2"/>
  <c r="AV43" i="2"/>
  <c r="AV46" i="2"/>
  <c r="AV48" i="2"/>
  <c r="AV51" i="2"/>
  <c r="AV54" i="2"/>
  <c r="AV61" i="2"/>
  <c r="AV64" i="2"/>
  <c r="AV67" i="2"/>
  <c r="AV68" i="2"/>
  <c r="AV69" i="2"/>
  <c r="AV70" i="2"/>
  <c r="AV71" i="2"/>
  <c r="AV73" i="2"/>
  <c r="AV74" i="2"/>
  <c r="AV77" i="2"/>
  <c r="AV80" i="2"/>
  <c r="AV82" i="2"/>
  <c r="AV83" i="2"/>
  <c r="AV84" i="2"/>
  <c r="AV89" i="2"/>
  <c r="AV91" i="2"/>
  <c r="AV92" i="2"/>
  <c r="AV95" i="2"/>
  <c r="AV96" i="2"/>
  <c r="AV98" i="2"/>
  <c r="AV100" i="2"/>
  <c r="AV101" i="2"/>
  <c r="AV103" i="2"/>
  <c r="AV104" i="2"/>
  <c r="AV105" i="2"/>
  <c r="AV106" i="2"/>
  <c r="AV109" i="2"/>
  <c r="AV110" i="2"/>
  <c r="AV111" i="2"/>
  <c r="AV112" i="2"/>
  <c r="AV114" i="2"/>
  <c r="AV115" i="2"/>
  <c r="AV116" i="2"/>
  <c r="AV117" i="2"/>
  <c r="AV121" i="2"/>
  <c r="AV127" i="2"/>
  <c r="AV128" i="2"/>
  <c r="AV131" i="2"/>
  <c r="AV132" i="2"/>
  <c r="AV133" i="2"/>
  <c r="AV134" i="2"/>
  <c r="AV135" i="2"/>
  <c r="AV136" i="2"/>
  <c r="AV137" i="2"/>
  <c r="AV143" i="2"/>
  <c r="AV145" i="2"/>
  <c r="AV146" i="2"/>
  <c r="AV147" i="2"/>
  <c r="AV150" i="2"/>
  <c r="AV151" i="2"/>
  <c r="AV153" i="2"/>
  <c r="AV154" i="2"/>
  <c r="AV155" i="2"/>
  <c r="AV156" i="2"/>
  <c r="AV157" i="2"/>
  <c r="AV158" i="2"/>
  <c r="AV159" i="2"/>
  <c r="AV160" i="2"/>
  <c r="AV161" i="2"/>
  <c r="AV162" i="2"/>
  <c r="AV163" i="2"/>
  <c r="AV164" i="2"/>
  <c r="AV165" i="2"/>
  <c r="AV166" i="2"/>
  <c r="AV167" i="2"/>
  <c r="AV168" i="2"/>
  <c r="AV169" i="2"/>
  <c r="AV170" i="2"/>
  <c r="AV171" i="2"/>
  <c r="AV172" i="2"/>
  <c r="AV173" i="2"/>
  <c r="AV174" i="2"/>
  <c r="AV175" i="2"/>
  <c r="AV176" i="2"/>
  <c r="AV177" i="2"/>
  <c r="AV178" i="2"/>
  <c r="AV179" i="2"/>
  <c r="AV180" i="2"/>
  <c r="AV181" i="2"/>
  <c r="AV182" i="2"/>
  <c r="AV183" i="2"/>
  <c r="AV184" i="2"/>
  <c r="AV185" i="2"/>
  <c r="AV186" i="2"/>
  <c r="AV187" i="2"/>
  <c r="AV188" i="2"/>
  <c r="AV189" i="2"/>
  <c r="AV190" i="2"/>
  <c r="AV191" i="2"/>
  <c r="AV192" i="2"/>
  <c r="AV193" i="2"/>
  <c r="AV194" i="2"/>
  <c r="AV195" i="2"/>
  <c r="AV196" i="2"/>
  <c r="AV198" i="2"/>
  <c r="AV199" i="2"/>
  <c r="AV200" i="2"/>
  <c r="AV202" i="2"/>
  <c r="AV203" i="2"/>
  <c r="AV204" i="2"/>
  <c r="AV205" i="2"/>
  <c r="AV206" i="2"/>
  <c r="AV207" i="2"/>
  <c r="AV208" i="2"/>
  <c r="AV213" i="2"/>
  <c r="AV217" i="2"/>
  <c r="AV218" i="2"/>
  <c r="AV219" i="2"/>
  <c r="AV220" i="2"/>
  <c r="AV221" i="2"/>
  <c r="AV222" i="2"/>
  <c r="AV223" i="2"/>
  <c r="AV224" i="2"/>
  <c r="AV227" i="2"/>
  <c r="AV228" i="2"/>
  <c r="AV229" i="2"/>
  <c r="AV230" i="2"/>
  <c r="AV231" i="2"/>
  <c r="AV232" i="2"/>
  <c r="AV233" i="2"/>
  <c r="AV234" i="2"/>
  <c r="AV235" i="2"/>
  <c r="AV236" i="2"/>
  <c r="AV237" i="2"/>
  <c r="AV238" i="2"/>
  <c r="AV239" i="2"/>
  <c r="AV240" i="2"/>
  <c r="AV241" i="2"/>
  <c r="AV242" i="2"/>
  <c r="AV243" i="2"/>
  <c r="U76" i="2" l="1"/>
  <c r="U70" i="2"/>
  <c r="V51" i="2"/>
  <c r="V50" i="2"/>
  <c r="V49" i="2"/>
  <c r="D74" i="6"/>
  <c r="D73" i="6"/>
  <c r="D72" i="6"/>
  <c r="E71" i="6"/>
  <c r="D71" i="6"/>
  <c r="C71" i="6"/>
  <c r="E70" i="6"/>
  <c r="D70" i="6"/>
  <c r="C70" i="6"/>
  <c r="E69" i="6"/>
  <c r="D69" i="6"/>
  <c r="C69" i="6"/>
  <c r="H68" i="6"/>
  <c r="G68" i="6"/>
  <c r="F68" i="6"/>
  <c r="E66" i="6"/>
  <c r="D66" i="6"/>
  <c r="C66" i="6"/>
  <c r="E65" i="6"/>
  <c r="D65" i="6"/>
  <c r="C65" i="6"/>
  <c r="E64" i="6"/>
  <c r="D64" i="6"/>
  <c r="C64" i="6"/>
  <c r="G63" i="6"/>
  <c r="F63" i="6"/>
  <c r="G62" i="6"/>
  <c r="F62" i="6"/>
  <c r="H61" i="6"/>
  <c r="E59" i="6"/>
  <c r="D59" i="6"/>
  <c r="C59" i="6"/>
  <c r="E58" i="6"/>
  <c r="D58" i="6"/>
  <c r="C58" i="6"/>
  <c r="E57" i="6"/>
  <c r="D57" i="6"/>
  <c r="C57" i="6"/>
  <c r="G56" i="6"/>
  <c r="F56" i="6"/>
  <c r="G55" i="6"/>
  <c r="F55" i="6"/>
  <c r="H54" i="6"/>
  <c r="E39" i="6"/>
  <c r="D39" i="6"/>
  <c r="C39" i="6"/>
  <c r="E38" i="6"/>
  <c r="D38" i="6"/>
  <c r="C38" i="6"/>
  <c r="E37" i="6"/>
  <c r="D37" i="6"/>
  <c r="C37" i="6"/>
  <c r="H36" i="6"/>
  <c r="G36" i="6"/>
  <c r="F36" i="6"/>
  <c r="E34" i="6"/>
  <c r="D34" i="6"/>
  <c r="C34" i="6"/>
  <c r="E33" i="6"/>
  <c r="D33" i="6"/>
  <c r="C33" i="6"/>
  <c r="E32" i="6"/>
  <c r="D32" i="6"/>
  <c r="C32" i="6"/>
  <c r="G31" i="6"/>
  <c r="F31" i="6"/>
  <c r="G30" i="6"/>
  <c r="F30" i="6"/>
  <c r="H29" i="6"/>
  <c r="E27" i="6"/>
  <c r="D27" i="6"/>
  <c r="C27" i="6"/>
  <c r="E26" i="6"/>
  <c r="D26" i="6"/>
  <c r="C26" i="6"/>
  <c r="E25" i="6"/>
  <c r="D25" i="6"/>
  <c r="C25" i="6"/>
  <c r="H24" i="6"/>
  <c r="G24" i="6"/>
  <c r="F24" i="6"/>
  <c r="E22" i="6"/>
  <c r="D22" i="6"/>
  <c r="C22" i="6"/>
  <c r="E21" i="6"/>
  <c r="D21" i="6"/>
  <c r="C21" i="6"/>
  <c r="E20" i="6"/>
  <c r="D20" i="6"/>
  <c r="C20" i="6"/>
  <c r="G19" i="6"/>
  <c r="F19" i="6"/>
  <c r="E17" i="6"/>
  <c r="D17" i="6"/>
  <c r="C17" i="6"/>
  <c r="E16" i="6"/>
  <c r="D16" i="6"/>
  <c r="C16" i="6"/>
  <c r="E15" i="6"/>
  <c r="D15" i="6"/>
  <c r="C15" i="6"/>
  <c r="G14" i="6"/>
  <c r="F14" i="6"/>
  <c r="B185" i="5"/>
  <c r="B184" i="5"/>
  <c r="F180" i="5"/>
  <c r="F179" i="5"/>
  <c r="F178" i="5"/>
  <c r="F177" i="5"/>
  <c r="F176" i="5"/>
  <c r="E176" i="5"/>
  <c r="F169" i="5"/>
  <c r="E169" i="5"/>
  <c r="F163" i="5"/>
  <c r="E163" i="5"/>
  <c r="F151" i="5"/>
  <c r="E151" i="5"/>
  <c r="B76" i="5"/>
  <c r="B75" i="5"/>
  <c r="B73" i="5"/>
  <c r="B72" i="5"/>
  <c r="B71" i="5"/>
  <c r="E66" i="5"/>
  <c r="F65" i="5"/>
  <c r="F64" i="5"/>
  <c r="F52" i="5"/>
  <c r="F51" i="5"/>
  <c r="E51" i="5"/>
  <c r="F50" i="5"/>
  <c r="E50" i="5"/>
  <c r="F49" i="5"/>
  <c r="E49" i="5"/>
  <c r="F38" i="5"/>
  <c r="F37" i="5"/>
  <c r="E37" i="5"/>
  <c r="F26" i="5"/>
  <c r="E26" i="5"/>
  <c r="F25" i="5"/>
  <c r="E25" i="5"/>
  <c r="F24" i="5"/>
  <c r="E24" i="5"/>
  <c r="B20" i="5"/>
  <c r="B19" i="5"/>
  <c r="B17" i="5"/>
  <c r="B16" i="5"/>
  <c r="B15" i="5"/>
  <c r="E11" i="5"/>
  <c r="E10" i="5"/>
  <c r="F9" i="5"/>
  <c r="E9" i="5"/>
  <c r="F8" i="5"/>
  <c r="E8" i="5"/>
  <c r="AB10" i="2" l="1"/>
  <c r="AN118" i="2" s="1"/>
  <c r="AG73" i="2"/>
  <c r="AB11" i="2" l="1"/>
  <c r="AN110" i="2"/>
  <c r="AN112" i="2"/>
  <c r="AN105" i="2"/>
  <c r="AN111" i="2"/>
  <c r="AN106" i="2"/>
  <c r="AN114" i="2"/>
  <c r="AN107" i="2"/>
  <c r="AN115" i="2"/>
  <c r="AN108" i="2"/>
  <c r="AN116" i="2"/>
  <c r="AN109" i="2"/>
  <c r="AN117" i="2"/>
  <c r="AN113" i="2"/>
  <c r="N198" i="2" l="1"/>
  <c r="N120" i="2" l="1"/>
  <c r="R120" i="2" s="1"/>
  <c r="E35" i="2" l="1"/>
  <c r="E42" i="2"/>
  <c r="F42" i="2" s="1"/>
  <c r="P68" i="2"/>
  <c r="E47" i="2"/>
  <c r="E37" i="2"/>
  <c r="E36" i="2"/>
  <c r="F36" i="2" s="1"/>
  <c r="E46" i="2"/>
  <c r="F46" i="2" s="1"/>
  <c r="E45" i="2"/>
  <c r="F45" i="2" s="1"/>
  <c r="E44" i="2"/>
  <c r="F44" i="2" s="1"/>
  <c r="E43" i="2"/>
  <c r="F43" i="2" s="1"/>
  <c r="G43" i="2" s="1"/>
  <c r="E48" i="2"/>
  <c r="F48" i="2" s="1"/>
  <c r="U152" i="2"/>
  <c r="I48" i="2" l="1"/>
  <c r="K48" i="2"/>
  <c r="U172" i="2"/>
  <c r="U156" i="2"/>
  <c r="U202" i="2"/>
  <c r="G48" i="2"/>
  <c r="H48" i="2"/>
  <c r="I16" i="2"/>
  <c r="N139" i="2"/>
  <c r="U14" i="2"/>
  <c r="W14" i="2" s="1"/>
  <c r="F47" i="2"/>
  <c r="U15" i="2"/>
  <c r="N277" i="2"/>
  <c r="R277" i="2" s="1"/>
  <c r="U86" i="2" s="1"/>
  <c r="N278" i="2"/>
  <c r="R278" i="2" s="1"/>
  <c r="U87" i="2" s="1"/>
  <c r="R218" i="2"/>
  <c r="E38" i="2"/>
  <c r="F38" i="2" s="1"/>
  <c r="V15" i="2"/>
  <c r="U39" i="2"/>
  <c r="W39" i="2" s="1"/>
  <c r="U28" i="2"/>
  <c r="W28" i="2" s="1"/>
  <c r="N284" i="2"/>
  <c r="N283" i="2"/>
  <c r="I47" i="2" l="1"/>
  <c r="K47" i="2"/>
  <c r="I38" i="2"/>
  <c r="K38" i="2"/>
  <c r="N285" i="2"/>
  <c r="W15" i="2"/>
  <c r="H47" i="2"/>
  <c r="G47" i="2"/>
  <c r="G38" i="2"/>
  <c r="H38" i="2"/>
  <c r="E11" i="2"/>
  <c r="R283" i="2" l="1"/>
  <c r="R284" i="2" s="1"/>
  <c r="AN93" i="2" s="1"/>
  <c r="R285" i="2"/>
  <c r="U138" i="2" s="1"/>
  <c r="U139" i="2" s="1"/>
  <c r="F11" i="2"/>
  <c r="G11" i="2" s="1"/>
  <c r="AQ93" i="2" l="1"/>
  <c r="K11" i="2"/>
  <c r="H11" i="2"/>
  <c r="I11" i="2"/>
  <c r="E29" i="2"/>
  <c r="F29" i="2" s="1"/>
  <c r="E28" i="2"/>
  <c r="F28" i="2" s="1"/>
  <c r="I29" i="2" l="1"/>
  <c r="K29" i="2"/>
  <c r="I28" i="2"/>
  <c r="K28" i="2"/>
  <c r="G29" i="2"/>
  <c r="G28" i="2"/>
  <c r="G16" i="2"/>
  <c r="H29" i="2"/>
  <c r="H28" i="2"/>
  <c r="H16" i="2"/>
  <c r="U35" i="2"/>
  <c r="U24" i="2"/>
  <c r="U113" i="2"/>
  <c r="U121" i="2"/>
  <c r="U101" i="2"/>
  <c r="N272" i="2"/>
  <c r="R272" i="2" s="1"/>
  <c r="U85" i="2" s="1"/>
  <c r="U93" i="2" s="1"/>
  <c r="N248" i="2"/>
  <c r="R248" i="2" s="1"/>
  <c r="U132" i="2" s="1"/>
  <c r="U50" i="2" l="1"/>
  <c r="U96" i="2"/>
  <c r="U51" i="2"/>
  <c r="E27" i="2"/>
  <c r="F27" i="2" s="1"/>
  <c r="N232" i="2"/>
  <c r="N234" i="2" s="1"/>
  <c r="N235" i="2" s="1"/>
  <c r="N227" i="2"/>
  <c r="N226" i="2"/>
  <c r="N225" i="2"/>
  <c r="N224" i="2"/>
  <c r="N223" i="2"/>
  <c r="N222" i="2"/>
  <c r="N221" i="2"/>
  <c r="N220" i="2"/>
  <c r="N219" i="2"/>
  <c r="N218" i="2"/>
  <c r="N217" i="2"/>
  <c r="N216" i="2"/>
  <c r="N215" i="2"/>
  <c r="R139" i="2"/>
  <c r="U58" i="2" s="1"/>
  <c r="N200" i="2"/>
  <c r="AG72" i="2" l="1"/>
  <c r="U49" i="2"/>
  <c r="F32" i="2"/>
  <c r="R216" i="2"/>
  <c r="U75" i="2" s="1"/>
  <c r="E26" i="2"/>
  <c r="F26" i="2" s="1"/>
  <c r="I27" i="2"/>
  <c r="K27" i="2"/>
  <c r="AG76" i="2"/>
  <c r="AQ13" i="2" s="1"/>
  <c r="U60" i="2"/>
  <c r="AG75" i="2"/>
  <c r="U59" i="2" s="1"/>
  <c r="E31" i="2"/>
  <c r="F31" i="2" s="1"/>
  <c r="R217" i="2"/>
  <c r="U80" i="2" s="1"/>
  <c r="U82" i="2" s="1"/>
  <c r="R215" i="2"/>
  <c r="N236" i="2"/>
  <c r="N237" i="2" s="1" a="1"/>
  <c r="N237" i="2" s="1"/>
  <c r="N238" i="2" s="1"/>
  <c r="R232" i="2" s="1"/>
  <c r="U129" i="2" s="1"/>
  <c r="U131" i="2" s="1"/>
  <c r="U133" i="2" s="1"/>
  <c r="H27" i="2"/>
  <c r="G27" i="2"/>
  <c r="U48" i="2"/>
  <c r="Y48" i="2" s="1"/>
  <c r="N202" i="2"/>
  <c r="N203" i="2" s="1" a="1"/>
  <c r="N203" i="2" s="1"/>
  <c r="N201" i="2"/>
  <c r="V48" i="2" l="1"/>
  <c r="W48" i="2" s="1"/>
  <c r="K31" i="2"/>
  <c r="I31" i="2"/>
  <c r="H31" i="2"/>
  <c r="G31" i="2"/>
  <c r="E15" i="2"/>
  <c r="F15" i="2" s="1"/>
  <c r="K32" i="2"/>
  <c r="I32" i="2"/>
  <c r="H32" i="2"/>
  <c r="G32" i="2"/>
  <c r="P67" i="2"/>
  <c r="I26" i="2"/>
  <c r="K26" i="2"/>
  <c r="G26" i="2"/>
  <c r="H26" i="2"/>
  <c r="U61" i="2"/>
  <c r="AP14" i="2"/>
  <c r="AP121" i="2" s="1"/>
  <c r="AN14" i="2"/>
  <c r="AN121" i="2" s="1"/>
  <c r="AQ14" i="2"/>
  <c r="AQ121" i="2" s="1"/>
  <c r="AV197" i="2" s="1"/>
  <c r="AQ20" i="2"/>
  <c r="U69" i="2"/>
  <c r="U16" i="2"/>
  <c r="W16" i="2" s="1"/>
  <c r="U29" i="2"/>
  <c r="W29" i="2" s="1"/>
  <c r="U40" i="2"/>
  <c r="W40" i="2" s="1"/>
  <c r="U34" i="2"/>
  <c r="U38" i="2" s="1"/>
  <c r="W38" i="2" s="1"/>
  <c r="U23" i="2"/>
  <c r="U9" i="2"/>
  <c r="U13" i="2" s="1"/>
  <c r="W13" i="2" s="1"/>
  <c r="N204" i="2"/>
  <c r="R198" i="2" s="1"/>
  <c r="P69" i="2" l="1"/>
  <c r="N163" i="2" s="1"/>
  <c r="R163" i="2" s="1"/>
  <c r="U27" i="2"/>
  <c r="W27" i="2" s="1"/>
  <c r="G33" i="2"/>
  <c r="K33" i="2"/>
  <c r="H33" i="2"/>
  <c r="I33" i="2"/>
  <c r="U170" i="2"/>
  <c r="U176" i="2" s="1"/>
  <c r="AQ67" i="2" s="1"/>
  <c r="W9" i="2"/>
  <c r="I15" i="2"/>
  <c r="K15" i="2"/>
  <c r="X48" i="2"/>
  <c r="H15" i="2"/>
  <c r="G15" i="2"/>
  <c r="U56" i="2"/>
  <c r="V56" i="2" l="1"/>
  <c r="AQ12" i="2"/>
  <c r="U175" i="2"/>
  <c r="AQ66" i="2" s="1"/>
  <c r="AB33" i="2"/>
  <c r="AP12" i="2" s="1"/>
  <c r="AB22" i="2"/>
  <c r="AO12" i="2" s="1"/>
  <c r="AB8" i="2"/>
  <c r="AN12" i="2" s="1"/>
  <c r="AQ35" i="2"/>
  <c r="AQ21" i="2"/>
  <c r="AQ19" i="2"/>
  <c r="AQ11" i="2"/>
  <c r="AQ17" i="2"/>
  <c r="AQ15" i="2"/>
  <c r="N187" i="2"/>
  <c r="R187" i="2" s="1"/>
  <c r="U198" i="2" s="1"/>
  <c r="U199" i="2" s="1"/>
  <c r="N127" i="2"/>
  <c r="N87" i="2"/>
  <c r="N88" i="2" s="1"/>
  <c r="R87" i="2" s="1"/>
  <c r="N162" i="2"/>
  <c r="R162" i="2" s="1"/>
  <c r="U171" i="2" s="1"/>
  <c r="U173" i="2" s="1"/>
  <c r="N161" i="2"/>
  <c r="R161" i="2" s="1"/>
  <c r="U165" i="2" s="1"/>
  <c r="N160" i="2"/>
  <c r="R160" i="2" s="1"/>
  <c r="U163" i="2" s="1"/>
  <c r="N159" i="2"/>
  <c r="R159" i="2" s="1"/>
  <c r="U183" i="2" s="1"/>
  <c r="R158" i="2"/>
  <c r="U179" i="2" s="1"/>
  <c r="N157" i="2"/>
  <c r="R157" i="2" s="1"/>
  <c r="U164" i="2" s="1"/>
  <c r="N156" i="2"/>
  <c r="R156" i="2" s="1"/>
  <c r="U162" i="2" s="1"/>
  <c r="N155" i="2"/>
  <c r="N154" i="2"/>
  <c r="R154" i="2" s="1"/>
  <c r="U151" i="2"/>
  <c r="E30" i="2"/>
  <c r="F30" i="2" s="1"/>
  <c r="U10" i="2"/>
  <c r="E14" i="2"/>
  <c r="F14" i="2" s="1"/>
  <c r="K43" i="2"/>
  <c r="N111" i="2"/>
  <c r="E41" i="2"/>
  <c r="F41" i="2" s="1"/>
  <c r="N73" i="2"/>
  <c r="R73" i="2" s="1"/>
  <c r="R155" i="2" l="1"/>
  <c r="U161" i="2" s="1"/>
  <c r="AN46" i="2" s="1"/>
  <c r="N165" i="2"/>
  <c r="N168" i="2" s="1"/>
  <c r="I30" i="2"/>
  <c r="K30" i="2"/>
  <c r="I42" i="2"/>
  <c r="K42" i="2"/>
  <c r="I41" i="2"/>
  <c r="K41" i="2"/>
  <c r="I14" i="2"/>
  <c r="K14" i="2"/>
  <c r="U149" i="2"/>
  <c r="U158" i="2" s="1"/>
  <c r="N170" i="2"/>
  <c r="AB9" i="2"/>
  <c r="AB12" i="2" s="1"/>
  <c r="AN4" i="2" s="1"/>
  <c r="AN6" i="2" s="1"/>
  <c r="AN19" i="2"/>
  <c r="AN17" i="2"/>
  <c r="AN15" i="2"/>
  <c r="AN11" i="2"/>
  <c r="AN21" i="2"/>
  <c r="AB23" i="2"/>
  <c r="AB24" i="2" s="1"/>
  <c r="AO4" i="2" s="1"/>
  <c r="AO6" i="2" s="1"/>
  <c r="AO15" i="2"/>
  <c r="AO19" i="2"/>
  <c r="AO11" i="2"/>
  <c r="AB34" i="2"/>
  <c r="AB35" i="2" s="1"/>
  <c r="AP4" i="2" s="1"/>
  <c r="AP6" i="2" s="1"/>
  <c r="AP19" i="2"/>
  <c r="AP15" i="2"/>
  <c r="AP11" i="2"/>
  <c r="I43" i="2"/>
  <c r="U184" i="2"/>
  <c r="U166" i="2"/>
  <c r="AQ47" i="2"/>
  <c r="AN47" i="2"/>
  <c r="AQ49" i="2"/>
  <c r="AN49" i="2"/>
  <c r="AQ50" i="2"/>
  <c r="AN50" i="2"/>
  <c r="AQ51" i="2"/>
  <c r="AN51" i="2"/>
  <c r="AQ46" i="2"/>
  <c r="AQ48" i="2"/>
  <c r="AN48" i="2"/>
  <c r="G41" i="2"/>
  <c r="H41" i="2"/>
  <c r="G42" i="2"/>
  <c r="H42" i="2"/>
  <c r="G14" i="2"/>
  <c r="H14" i="2"/>
  <c r="H30" i="2"/>
  <c r="G30" i="2"/>
  <c r="H43" i="2"/>
  <c r="U155" i="2"/>
  <c r="U157" i="2" s="1"/>
  <c r="R127" i="2"/>
  <c r="K46" i="2"/>
  <c r="K45" i="2"/>
  <c r="K44" i="2"/>
  <c r="N112" i="2"/>
  <c r="N113" i="2" s="1"/>
  <c r="R111" i="2" s="1"/>
  <c r="R165" i="2" l="1"/>
  <c r="U36" i="2" s="1"/>
  <c r="U167" i="2"/>
  <c r="U168" i="2" s="1"/>
  <c r="U159" i="2"/>
  <c r="U174" i="2"/>
  <c r="U177" i="2" s="1"/>
  <c r="U187" i="2"/>
  <c r="G45" i="2"/>
  <c r="I45" i="2"/>
  <c r="G46" i="2"/>
  <c r="I46" i="2"/>
  <c r="G44" i="2"/>
  <c r="I44" i="2"/>
  <c r="AQ45" i="2"/>
  <c r="U185" i="2"/>
  <c r="U186" i="2" s="1"/>
  <c r="AN59" i="2" s="1"/>
  <c r="U194" i="2"/>
  <c r="AQ53" i="2" s="1"/>
  <c r="U150" i="2"/>
  <c r="U191" i="2" s="1"/>
  <c r="N169" i="2"/>
  <c r="H45" i="2"/>
  <c r="H46" i="2"/>
  <c r="H44" i="2"/>
  <c r="E39" i="2"/>
  <c r="F39" i="2" s="1"/>
  <c r="I39" i="2" l="1"/>
  <c r="K39" i="2"/>
  <c r="U188" i="2"/>
  <c r="N171" i="2"/>
  <c r="Q168" i="2" s="1"/>
  <c r="R168" i="2" s="1"/>
  <c r="AN83" i="2"/>
  <c r="U195" i="2"/>
  <c r="U25" i="2"/>
  <c r="W25" i="2" s="1"/>
  <c r="U11" i="2"/>
  <c r="W11" i="2" s="1"/>
  <c r="G39" i="2"/>
  <c r="H39" i="2"/>
  <c r="F37" i="2"/>
  <c r="F35" i="2"/>
  <c r="E12" i="2"/>
  <c r="F12" i="2" s="1"/>
  <c r="E13" i="2"/>
  <c r="F13" i="2" s="1"/>
  <c r="K35" i="2" l="1"/>
  <c r="I13" i="2"/>
  <c r="K13" i="2"/>
  <c r="I12" i="2"/>
  <c r="K12" i="2"/>
  <c r="I37" i="2"/>
  <c r="K37" i="2"/>
  <c r="I36" i="2"/>
  <c r="K36" i="2"/>
  <c r="I35" i="2"/>
  <c r="E40" i="2"/>
  <c r="F40" i="2" s="1"/>
  <c r="K40" i="2" s="1"/>
  <c r="G12" i="2"/>
  <c r="H12" i="2"/>
  <c r="G37" i="2"/>
  <c r="H37" i="2"/>
  <c r="G13" i="2"/>
  <c r="H13" i="2"/>
  <c r="G36" i="2"/>
  <c r="H36" i="2"/>
  <c r="H35" i="2"/>
  <c r="G35" i="2"/>
  <c r="U122" i="2"/>
  <c r="U126" i="2" s="1"/>
  <c r="U114" i="2"/>
  <c r="U118" i="2" s="1"/>
  <c r="U102" i="2"/>
  <c r="U106" i="2" s="1"/>
  <c r="U229" i="2"/>
  <c r="U230" i="2" s="1"/>
  <c r="U206" i="2"/>
  <c r="U180" i="2"/>
  <c r="U181" i="2" s="1"/>
  <c r="U190" i="2" s="1"/>
  <c r="X56" i="2"/>
  <c r="U98" i="2"/>
  <c r="U77" i="2"/>
  <c r="U71" i="2"/>
  <c r="W51" i="2"/>
  <c r="X51" i="2" s="1"/>
  <c r="W50" i="2"/>
  <c r="X50" i="2" s="1"/>
  <c r="W49" i="2"/>
  <c r="W35" i="2"/>
  <c r="W36" i="2"/>
  <c r="W34" i="2"/>
  <c r="W24" i="2"/>
  <c r="W23" i="2"/>
  <c r="W10" i="2"/>
  <c r="W53" i="2" l="1"/>
  <c r="E3" i="2"/>
  <c r="G3" i="2" a="1"/>
  <c r="G3" i="2" s="1"/>
  <c r="G40" i="2"/>
  <c r="E5" i="2" s="1"/>
  <c r="H40" i="2"/>
  <c r="E4" i="2" s="1"/>
  <c r="I40" i="2"/>
  <c r="E6" i="2" s="1"/>
  <c r="I7" i="2" s="1"/>
  <c r="X49" i="2"/>
  <c r="X53" i="2" s="1"/>
  <c r="U207" i="2"/>
  <c r="U224" i="2" s="1"/>
  <c r="AQ103" i="2" s="1"/>
  <c r="U242" i="2"/>
  <c r="AQ116" i="2" s="1"/>
  <c r="U234" i="2"/>
  <c r="AQ108" i="2" s="1"/>
  <c r="U241" i="2"/>
  <c r="AQ115" i="2" s="1"/>
  <c r="U233" i="2"/>
  <c r="AQ107" i="2" s="1"/>
  <c r="U240" i="2"/>
  <c r="AQ114" i="2" s="1"/>
  <c r="U232" i="2"/>
  <c r="AQ106" i="2" s="1"/>
  <c r="U243" i="2"/>
  <c r="AQ117" i="2" s="1"/>
  <c r="U239" i="2"/>
  <c r="AQ113" i="2" s="1"/>
  <c r="U231" i="2"/>
  <c r="AQ105" i="2" s="1"/>
  <c r="U235" i="2"/>
  <c r="AQ109" i="2" s="1"/>
  <c r="U238" i="2"/>
  <c r="AQ112" i="2" s="1"/>
  <c r="U237" i="2"/>
  <c r="AQ111" i="2" s="1"/>
  <c r="U244" i="2"/>
  <c r="AQ118" i="2" s="1"/>
  <c r="U236" i="2"/>
  <c r="AQ110" i="2" s="1"/>
  <c r="Y50" i="2"/>
  <c r="Y51" i="2"/>
  <c r="Y53" i="2" l="1"/>
  <c r="E7" i="2"/>
  <c r="W56" i="2"/>
  <c r="Y56" i="2" s="1"/>
  <c r="U215" i="2"/>
  <c r="U153" i="2"/>
  <c r="U219" i="2"/>
  <c r="AQ98" i="2" s="1"/>
  <c r="U223" i="2"/>
  <c r="AQ102" i="2" s="1"/>
  <c r="U218" i="2"/>
  <c r="AQ97" i="2" s="1"/>
  <c r="U210" i="2"/>
  <c r="U212" i="2"/>
  <c r="U216" i="2"/>
  <c r="U214" i="2"/>
  <c r="U225" i="2"/>
  <c r="AQ104" i="2" s="1"/>
  <c r="U220" i="2"/>
  <c r="AQ99" i="2" s="1"/>
  <c r="U221" i="2"/>
  <c r="AQ100" i="2" s="1"/>
  <c r="U211" i="2"/>
  <c r="U222" i="2"/>
  <c r="AQ101" i="2" s="1"/>
  <c r="U209" i="2"/>
  <c r="U213" i="2"/>
  <c r="Y49" i="2"/>
  <c r="U192" i="2"/>
  <c r="U196" i="2" s="1"/>
  <c r="AQ52" i="2"/>
  <c r="AN52" i="2"/>
  <c r="AN80" i="2"/>
  <c r="AN78" i="2"/>
  <c r="AN55" i="2"/>
  <c r="AN58" i="2"/>
  <c r="AN69" i="2"/>
  <c r="AN81" i="2"/>
  <c r="AN68" i="2"/>
  <c r="AN54" i="2"/>
  <c r="AN84" i="2"/>
  <c r="AN86" i="2"/>
  <c r="U41" i="2" l="1"/>
  <c r="W41" i="2" s="1"/>
  <c r="W31" i="2" s="1"/>
  <c r="AP3" i="2" s="1"/>
  <c r="U30" i="2"/>
  <c r="U17" i="2"/>
  <c r="W17" i="2" s="1"/>
  <c r="U62" i="2"/>
  <c r="Y64" i="2" s="1"/>
  <c r="U135" i="2" s="1"/>
  <c r="U140" i="2" s="1"/>
  <c r="U143" i="2" s="1"/>
  <c r="U145" i="2" s="1"/>
  <c r="U200" i="2"/>
  <c r="U203" i="2" s="1"/>
  <c r="U252" i="2" s="1"/>
  <c r="AQ3" i="2"/>
  <c r="U255" i="2" l="1"/>
  <c r="AQ4" i="2" s="1"/>
  <c r="W30" i="2"/>
  <c r="W20" i="2" s="1"/>
  <c r="AO3" i="2" s="1"/>
  <c r="W6" i="2"/>
  <c r="AN3" i="2" s="1"/>
  <c r="AR1" i="2" l="1"/>
  <c r="X3" i="2"/>
  <c r="AQ5" i="2"/>
  <c r="AQ6" i="2" s="1"/>
  <c r="AR3" i="2" l="1"/>
  <c r="AR4" i="2" l="1"/>
  <c r="AR126" i="2"/>
  <c r="AR125" i="2"/>
  <c r="AR124" i="2"/>
  <c r="AR119" i="2"/>
  <c r="AR123" i="2"/>
  <c r="AR122" i="2"/>
  <c r="AR121" i="2"/>
  <c r="AR120" i="2"/>
  <c r="AR6" i="2"/>
  <c r="AR14" i="2"/>
  <c r="AR22" i="2"/>
  <c r="AR30" i="2"/>
  <c r="AR38" i="2"/>
  <c r="AR46" i="2"/>
  <c r="AR54" i="2"/>
  <c r="AR62" i="2"/>
  <c r="AR70" i="2"/>
  <c r="AR78" i="2"/>
  <c r="AR86" i="2"/>
  <c r="AR94" i="2"/>
  <c r="AR102" i="2"/>
  <c r="AR110" i="2"/>
  <c r="AR118" i="2"/>
  <c r="AR52" i="2"/>
  <c r="AR108" i="2"/>
  <c r="AR37" i="2"/>
  <c r="AR101" i="2"/>
  <c r="AR7" i="2"/>
  <c r="AR15" i="2"/>
  <c r="AR23" i="2"/>
  <c r="AR31" i="2"/>
  <c r="AR39" i="2"/>
  <c r="AR47" i="2"/>
  <c r="AR55" i="2"/>
  <c r="AR63" i="2"/>
  <c r="AR71" i="2"/>
  <c r="AR79" i="2"/>
  <c r="AR87" i="2"/>
  <c r="AR95" i="2"/>
  <c r="AR103" i="2"/>
  <c r="AR111" i="2"/>
  <c r="AR44" i="2"/>
  <c r="AR100" i="2"/>
  <c r="AR29" i="2"/>
  <c r="AR53" i="2"/>
  <c r="AR109" i="2"/>
  <c r="AR8" i="2"/>
  <c r="AR16" i="2"/>
  <c r="AR24" i="2"/>
  <c r="AR32" i="2"/>
  <c r="AR40" i="2"/>
  <c r="AR48" i="2"/>
  <c r="AR56" i="2"/>
  <c r="AR64" i="2"/>
  <c r="AR72" i="2"/>
  <c r="AR80" i="2"/>
  <c r="AR88" i="2"/>
  <c r="AR96" i="2"/>
  <c r="AR104" i="2"/>
  <c r="AR112" i="2"/>
  <c r="AR36" i="2"/>
  <c r="AR68" i="2"/>
  <c r="AR116" i="2"/>
  <c r="AR13" i="2"/>
  <c r="AR77" i="2"/>
  <c r="AR9" i="2"/>
  <c r="AR17" i="2"/>
  <c r="AR25" i="2"/>
  <c r="AR33" i="2"/>
  <c r="AR41" i="2"/>
  <c r="AR49" i="2"/>
  <c r="AR57" i="2"/>
  <c r="AR65" i="2"/>
  <c r="AR73" i="2"/>
  <c r="AR81" i="2"/>
  <c r="AR89" i="2"/>
  <c r="AR97" i="2"/>
  <c r="AR105" i="2"/>
  <c r="AR113" i="2"/>
  <c r="AR28" i="2"/>
  <c r="AR92" i="2"/>
  <c r="AR45" i="2"/>
  <c r="AR61" i="2"/>
  <c r="AR93" i="2"/>
  <c r="AR117" i="2"/>
  <c r="AR10" i="2"/>
  <c r="AR18" i="2"/>
  <c r="AR26" i="2"/>
  <c r="AR34" i="2"/>
  <c r="AR42" i="2"/>
  <c r="AR50" i="2"/>
  <c r="AR58" i="2"/>
  <c r="AR66" i="2"/>
  <c r="AR74" i="2"/>
  <c r="AR82" i="2"/>
  <c r="AR90" i="2"/>
  <c r="AR98" i="2"/>
  <c r="AR106" i="2"/>
  <c r="AR114" i="2"/>
  <c r="AR20" i="2"/>
  <c r="AR76" i="2"/>
  <c r="AR21" i="2"/>
  <c r="AR69" i="2"/>
  <c r="AR11" i="2"/>
  <c r="AR19" i="2"/>
  <c r="AR27" i="2"/>
  <c r="AR35" i="2"/>
  <c r="AR43" i="2"/>
  <c r="AR51" i="2"/>
  <c r="AR59" i="2"/>
  <c r="AR67" i="2"/>
  <c r="AR75" i="2"/>
  <c r="AR83" i="2"/>
  <c r="AR91" i="2"/>
  <c r="AR99" i="2"/>
  <c r="AR107" i="2"/>
  <c r="AR115" i="2"/>
  <c r="AR12" i="2"/>
  <c r="AR60" i="2"/>
  <c r="AR84" i="2"/>
  <c r="AR5" i="2"/>
  <c r="AR85" i="2"/>
  <c r="AV126" i="2"/>
  <c r="AV215" i="2"/>
  <c r="AV125" i="2"/>
  <c r="AV216" i="2"/>
  <c r="AV214" i="2"/>
  <c r="AV212" i="2"/>
  <c r="AV7" i="2"/>
  <c r="AV258" i="2"/>
  <c r="AV10" i="2"/>
  <c r="AV8" i="2"/>
  <c r="AV9" i="2"/>
  <c r="AV99" i="2"/>
  <c r="AV118" i="2" l="1"/>
  <c r="AV129" i="2" l="1"/>
  <c r="AV113" i="2" l="1"/>
  <c r="AV97" i="2" l="1"/>
  <c r="AV249" i="2" l="1"/>
  <c r="AV108" i="2" l="1"/>
  <c r="AV130" i="2" l="1"/>
  <c r="AV107" i="2" l="1"/>
  <c r="AV244" i="2" l="1"/>
  <c r="AV245" i="2" l="1"/>
  <c r="AV246" i="2" l="1"/>
  <c r="AV247" i="2" l="1"/>
  <c r="AV248" i="2" l="1"/>
  <c r="AV251" i="2" l="1"/>
  <c r="AV250" i="2" l="1"/>
  <c r="AV120" i="2" l="1"/>
  <c r="AV119" i="2" l="1"/>
  <c r="AV122" i="2" l="1"/>
  <c r="AV123" i="2" l="1"/>
  <c r="AV255" i="2" l="1"/>
  <c r="AV257" i="2" l="1"/>
  <c r="AV256" i="2" l="1"/>
  <c r="AV124" i="2" l="1"/>
  <c r="AV252" i="2" l="1"/>
  <c r="AV18" i="2" l="1"/>
  <c r="AV21" i="2" l="1"/>
  <c r="AV87" i="2" l="1"/>
  <c r="AV211" i="2" l="1"/>
  <c r="AV253" i="2" l="1"/>
  <c r="AV47" i="2" l="1"/>
  <c r="AV254" i="2" l="1"/>
  <c r="AV201" i="2" l="1"/>
  <c r="AV44" i="2" l="1"/>
  <c r="AV13" i="2" l="1"/>
  <c r="AV260" i="2" l="1"/>
  <c r="AV14" i="2" l="1"/>
  <c r="AV20" i="2" l="1"/>
  <c r="AV79" i="2" l="1"/>
  <c r="AV30" i="2" l="1"/>
  <c r="AV19" i="2" l="1"/>
  <c r="AV31" i="2" l="1"/>
  <c r="AV81" i="2" l="1"/>
  <c r="AV24" i="2" l="1"/>
  <c r="AV50" i="2" l="1"/>
  <c r="AV138" i="2" l="1"/>
  <c r="AV209" i="2" l="1"/>
  <c r="AV63" i="2" l="1"/>
  <c r="AV55" i="2" l="1"/>
  <c r="AV56" i="2" l="1"/>
  <c r="AV57" i="2" l="1"/>
  <c r="AV259" i="2" l="1"/>
  <c r="AV60" i="2" l="1"/>
  <c r="AV62" i="2" l="1"/>
  <c r="AV65" i="2" l="1"/>
  <c r="AV66" i="2" l="1"/>
  <c r="AV72" i="2" l="1"/>
  <c r="AV85" i="2" l="1"/>
  <c r="AV75" i="2" l="1"/>
  <c r="AV76" i="2" l="1"/>
  <c r="AV78" i="2" l="1"/>
  <c r="AV53" i="2" l="1"/>
  <c r="AV88" i="2" l="1"/>
  <c r="AV90" i="2" l="1"/>
  <c r="AV93" i="2" l="1"/>
  <c r="AV52" i="2" l="1"/>
  <c r="AV45" i="2" l="1"/>
  <c r="AV58" i="2" l="1"/>
  <c r="AV86" i="2" l="1"/>
  <c r="AV210" i="2" l="1"/>
  <c r="AV59" i="2" l="1"/>
  <c r="AV94" i="2" l="1"/>
  <c r="AV225" i="2"/>
  <c r="AV226" i="2" l="1"/>
  <c r="AV142" i="2" l="1"/>
  <c r="AV148" i="2" l="1"/>
  <c r="AV149" i="2" l="1"/>
  <c r="AV152" i="2" l="1"/>
  <c r="AV141" i="2" l="1"/>
  <c r="AV140" i="2" l="1"/>
  <c r="AV139" i="2" l="1"/>
  <c r="AV144" i="2" l="1"/>
  <c r="AV49"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Nick Kidd</author>
  </authors>
  <commentList>
    <comment ref="AR1" authorId="0" shapeId="0" xr:uid="{7DB6BC06-A506-47CB-9F9C-BE1EAD3DBAC3}">
      <text>
        <r>
          <rPr>
            <b/>
            <sz val="9"/>
            <color indexed="81"/>
            <rFont val="Tahoma"/>
            <family val="2"/>
          </rPr>
          <t>Nick Kidd:</t>
        </r>
        <r>
          <rPr>
            <sz val="9"/>
            <color indexed="81"/>
            <rFont val="Tahoma"/>
            <family val="2"/>
          </rPr>
          <t xml:space="preserve">
Here's how we determine the order of what's selected (in priority order):
1. if hairstylist package is accepted then propose that.
2. if esthetician package is accepted then propose that.
3. if salon is accepted AND general package is acceptable except buildings AND TIV is greater than zero, then propose the salon package
4. if salon is accepted AND general package is accepted then propose the cheapest of the two.
5. if general package is accepted or accepted without buildings, then propose that (without any buildings coverages where appropriate)
6. In all other cases, refer or decline as appropriate.
</t>
        </r>
      </text>
    </comment>
    <comment ref="AB10" authorId="0" shapeId="0" xr:uid="{36792A68-3B47-4CE7-A9F8-11A68C173F79}">
      <text>
        <r>
          <rPr>
            <b/>
            <sz val="9"/>
            <color indexed="81"/>
            <rFont val="Tahoma"/>
            <family val="2"/>
          </rPr>
          <t>Nick Kidd:</t>
        </r>
        <r>
          <rPr>
            <sz val="9"/>
            <color indexed="81"/>
            <rFont val="Tahoma"/>
            <family val="2"/>
          </rPr>
          <t xml:space="preserve">
Can you have EBI if home based in this package?</t>
        </r>
      </text>
    </comment>
    <comment ref="W11" authorId="0" shapeId="0" xr:uid="{E38A4C09-E44F-401F-BA8A-A46F474ECDA2}">
      <text>
        <r>
          <rPr>
            <b/>
            <sz val="9"/>
            <color indexed="81"/>
            <rFont val="Tahoma"/>
            <family val="2"/>
          </rPr>
          <t>Nick Kidd:</t>
        </r>
        <r>
          <rPr>
            <sz val="9"/>
            <color indexed="81"/>
            <rFont val="Tahoma"/>
            <family val="2"/>
          </rPr>
          <t xml:space="preserve">
This was previous set to decline if zero POED.  Have changed now.  Which is correct?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<sst xmlns="http://schemas.openxmlformats.org/spreadsheetml/2006/main" count="3344" uniqueCount="1385">
  <si>
    <t>Tanning salons</t>
  </si>
  <si>
    <t>Food</t>
  </si>
  <si>
    <t>Swimming pool</t>
  </si>
  <si>
    <t>Courts</t>
  </si>
  <si>
    <t>Liquor liab</t>
  </si>
  <si>
    <t>Sauna, wirlpools</t>
  </si>
  <si>
    <t>Wet areas</t>
  </si>
  <si>
    <t>Child minding</t>
  </si>
  <si>
    <t>Kids programs</t>
  </si>
  <si>
    <t>Off premise ops</t>
  </si>
  <si>
    <t>Supplements</t>
  </si>
  <si>
    <t>Hot Yoga</t>
  </si>
  <si>
    <t>Unstaffed hours</t>
  </si>
  <si>
    <t>Tailgate / Passkey</t>
  </si>
  <si>
    <t>x</t>
  </si>
  <si>
    <t>Massage</t>
  </si>
  <si>
    <t>Esthetics / Lashes</t>
  </si>
  <si>
    <t>Operational Classification</t>
  </si>
  <si>
    <t>Dance studios</t>
  </si>
  <si>
    <t>Independent dance instructors</t>
  </si>
  <si>
    <t>Recitals</t>
  </si>
  <si>
    <t>Camps</t>
  </si>
  <si>
    <t>Swing</t>
  </si>
  <si>
    <t>Tae-Kwon Do Operations</t>
  </si>
  <si>
    <t>Tournaments</t>
  </si>
  <si>
    <t xml:space="preserve">Tanning beds </t>
  </si>
  <si>
    <t>Misc Machines / Beds</t>
  </si>
  <si>
    <t>Individual personal trainers</t>
  </si>
  <si>
    <t>Stott personal trainers</t>
  </si>
  <si>
    <t>In-Home classes</t>
  </si>
  <si>
    <t>Certification training</t>
  </si>
  <si>
    <t>Massage / Foam roller</t>
  </si>
  <si>
    <t>Badminton leagues / clubs (amateur)</t>
  </si>
  <si>
    <t>Baton Twirling leagues / clubs (amateur)</t>
  </si>
  <si>
    <t>Bird Watching leagues / clubs (amateur)</t>
  </si>
  <si>
    <t>Bowling-Lawn(Bocce) leagues / clubs (amateur)</t>
  </si>
  <si>
    <t>Curling leagues / clubs (amateur)</t>
  </si>
  <si>
    <t>Dry Land Training leagues / clubs (amateur)</t>
  </si>
  <si>
    <t>Frisbee leagues / clubs (amateur)</t>
  </si>
  <si>
    <t>Horse Shoes leagues / clubs (amateur)</t>
  </si>
  <si>
    <t>Shuffle Board leagues / clubs (amateur)</t>
  </si>
  <si>
    <t>Table Tennis leagues / clubs (amateur)</t>
  </si>
  <si>
    <t>Tennis leagues / clubs (amateur)</t>
  </si>
  <si>
    <t>Pickleball leagues / clubs (amateur)</t>
  </si>
  <si>
    <t>Track &amp; Field leagues / clubs (amateur)</t>
  </si>
  <si>
    <t>Baseball – Hard/Fast Ball leagues / clubs (amateur)</t>
  </si>
  <si>
    <t>Baseball – Softball leagues / clubs (amateur)</t>
  </si>
  <si>
    <t>Baseball – Slo-Pitch leagues / clubs (amateur)</t>
  </si>
  <si>
    <t>Baseball – T-Ball leagues / clubs (amateur)</t>
  </si>
  <si>
    <t>Basketball leagues / clubs (amateur)</t>
  </si>
  <si>
    <t>Biathlon leagues / clubs (amateur)</t>
  </si>
  <si>
    <t>Cricket leagues / clubs (amateur)</t>
  </si>
  <si>
    <t>Soccer leagues / clubs (amateur)</t>
  </si>
  <si>
    <t>Cycling leagues / clubs (amateur)</t>
  </si>
  <si>
    <t>Frisbee – Ultimate leagues / clubs (amateur)</t>
  </si>
  <si>
    <t>Swimming – Synchro leagues / clubs (amateur)</t>
  </si>
  <si>
    <t>Racquetball leagues / clubs (amateur)</t>
  </si>
  <si>
    <t>Running Club leagues / clubs (amateur)</t>
  </si>
  <si>
    <t>Squash leagues / clubs (amateur)</t>
  </si>
  <si>
    <t>Volleyball leagues / clubs (amateur)</t>
  </si>
  <si>
    <t>Broomball leagues / clubs (amateur)</t>
  </si>
  <si>
    <t>Dodgeball leagues / clubs (amateur)</t>
  </si>
  <si>
    <t>Football – Flag leagues / clubs (amateur)</t>
  </si>
  <si>
    <t>Football – Touch leagues / clubs (amateur)</t>
  </si>
  <si>
    <t>Hockey – Ball leagues / clubs (amateur)</t>
  </si>
  <si>
    <t>Hockey – Field leagues / clubs (amateur)</t>
  </si>
  <si>
    <t>Hockey – Ice    (Non-Contact) leagues / clubs (amateur)</t>
  </si>
  <si>
    <t>Swimming  leagues / clubs (amateur)</t>
  </si>
  <si>
    <t>Water Polo leagues / clubs (amateur)</t>
  </si>
  <si>
    <t>Football – Contact leagues / clubs (amateur)</t>
  </si>
  <si>
    <t>Lacrosse leagues / clubs (amateur)</t>
  </si>
  <si>
    <t>Rugby leagues / clubs (amateur)</t>
  </si>
  <si>
    <t>Beauty salons (various operations)</t>
  </si>
  <si>
    <t>Esthetics (levels 1-3)</t>
  </si>
  <si>
    <t>Lash perming / lift</t>
  </si>
  <si>
    <t>Teeth whitening</t>
  </si>
  <si>
    <t>Tatoo removal by laser / IPL</t>
  </si>
  <si>
    <t>Tatoo removal by Micropig</t>
  </si>
  <si>
    <t>Tuition / instructional courses</t>
  </si>
  <si>
    <t>Skin needling</t>
  </si>
  <si>
    <t>Scalp Micropigmentation</t>
  </si>
  <si>
    <t>Hardressing</t>
  </si>
  <si>
    <t>Ear piercing</t>
  </si>
  <si>
    <t>Eyebrow / lash tinting</t>
  </si>
  <si>
    <t>Waxing / sugaring</t>
  </si>
  <si>
    <t>Make-up</t>
  </si>
  <si>
    <t>Body wraps</t>
  </si>
  <si>
    <t>Facials</t>
  </si>
  <si>
    <t>Manicure / Pedicure</t>
  </si>
  <si>
    <t>Hand held spray tan</t>
  </si>
  <si>
    <t>Gel / Acrylic Nail extension</t>
  </si>
  <si>
    <t>Henna tattooing (esthetics)</t>
  </si>
  <si>
    <t>Spray tatooing (esthetics)</t>
  </si>
  <si>
    <t>Dry heating sauna beds (esthetics)</t>
  </si>
  <si>
    <t>Ear candling (esthetics)</t>
  </si>
  <si>
    <t>Massage (esthetics)</t>
  </si>
  <si>
    <t>Hot stones (esthetics)</t>
  </si>
  <si>
    <t>Electrolysis (esthetics)</t>
  </si>
  <si>
    <t>Microdermabrasion (esthetics)</t>
  </si>
  <si>
    <t>Oxygen bar (esthetics)</t>
  </si>
  <si>
    <t>Reflexology (esthetics)</t>
  </si>
  <si>
    <t>Non-invasive cellulite reduction (esthetics)</t>
  </si>
  <si>
    <t>Cosmetic tattooing / micropignemtation (esthetics)</t>
  </si>
  <si>
    <t>Sclerotherapy (esthetics)</t>
  </si>
  <si>
    <t>Laser-Cold or IPL (esthetics)</t>
  </si>
  <si>
    <t>Laser (esthetics)</t>
  </si>
  <si>
    <t>Product sales</t>
  </si>
  <si>
    <r>
      <t xml:space="preserve">Eligibile for </t>
    </r>
    <r>
      <rPr>
        <b/>
        <sz val="11"/>
        <color theme="1"/>
        <rFont val="Calibri"/>
        <family val="2"/>
        <scheme val="minor"/>
      </rPr>
      <t>Individual Esthetician package:</t>
    </r>
    <r>
      <rPr>
        <sz val="11"/>
        <color theme="1"/>
        <rFont val="Calibri"/>
        <family val="2"/>
        <scheme val="minor"/>
      </rPr>
      <t xml:space="preserve">
</t>
    </r>
    <r>
      <rPr>
        <b/>
        <sz val="11"/>
        <color theme="1"/>
        <rFont val="Calibri"/>
        <family val="2"/>
        <scheme val="minor"/>
      </rPr>
      <t>Criteria:</t>
    </r>
    <r>
      <rPr>
        <sz val="11"/>
        <color theme="1"/>
        <rFont val="Calibri"/>
        <family val="2"/>
        <scheme val="minor"/>
      </rPr>
      <t xml:space="preserve"> individual operator, max $100k revenue, acceptable ops.
</t>
    </r>
    <r>
      <rPr>
        <b/>
        <sz val="11"/>
        <color theme="1"/>
        <rFont val="Calibri"/>
        <family val="2"/>
        <scheme val="minor"/>
      </rPr>
      <t>Package</t>
    </r>
    <r>
      <rPr>
        <sz val="11"/>
        <color theme="1"/>
        <rFont val="Calibri"/>
        <family val="2"/>
        <scheme val="minor"/>
      </rPr>
      <t xml:space="preserve">: $2M liab
</t>
    </r>
  </si>
  <si>
    <r>
      <t>Eligible for</t>
    </r>
    <r>
      <rPr>
        <b/>
        <sz val="11"/>
        <color theme="1"/>
        <rFont val="Calibri"/>
        <family val="2"/>
        <scheme val="minor"/>
      </rPr>
      <t xml:space="preserve"> individual hairstylist package: </t>
    </r>
    <r>
      <rPr>
        <sz val="11"/>
        <color theme="1"/>
        <rFont val="Calibri"/>
        <family val="2"/>
        <scheme val="minor"/>
      </rPr>
      <t xml:space="preserve">
</t>
    </r>
    <r>
      <rPr>
        <b/>
        <sz val="11"/>
        <color theme="1"/>
        <rFont val="Calibri"/>
        <family val="2"/>
        <scheme val="minor"/>
      </rPr>
      <t>Criteria</t>
    </r>
    <r>
      <rPr>
        <sz val="11"/>
        <color theme="1"/>
        <rFont val="Calibri"/>
        <family val="2"/>
        <scheme val="minor"/>
      </rPr>
      <t xml:space="preserve"> = individual operator,max $75K revenue, acceptable ops.  
</t>
    </r>
    <r>
      <rPr>
        <b/>
        <sz val="11"/>
        <color theme="1"/>
        <rFont val="Calibri"/>
        <family val="2"/>
        <scheme val="minor"/>
      </rPr>
      <t>Package</t>
    </r>
    <r>
      <rPr>
        <sz val="11"/>
        <color theme="1"/>
        <rFont val="Calibri"/>
        <family val="2"/>
        <scheme val="minor"/>
      </rPr>
      <t xml:space="preserve"> = $2M liab.</t>
    </r>
  </si>
  <si>
    <r>
      <t xml:space="preserve">Eligible for </t>
    </r>
    <r>
      <rPr>
        <b/>
        <sz val="11"/>
        <color theme="1"/>
        <rFont val="Calibri"/>
        <family val="2"/>
        <scheme val="minor"/>
      </rPr>
      <t>small salon package</t>
    </r>
    <r>
      <rPr>
        <sz val="11"/>
        <color theme="1"/>
        <rFont val="Calibri"/>
        <family val="2"/>
        <scheme val="minor"/>
      </rPr>
      <t xml:space="preserve">
</t>
    </r>
    <r>
      <rPr>
        <b/>
        <sz val="11"/>
        <color theme="1"/>
        <rFont val="Calibri"/>
        <family val="2"/>
        <scheme val="minor"/>
      </rPr>
      <t>Criteria</t>
    </r>
    <r>
      <rPr>
        <sz val="11"/>
        <color theme="1"/>
        <rFont val="Calibri"/>
        <family val="2"/>
        <scheme val="minor"/>
      </rPr>
      <t xml:space="preserve"> = max revenue $300K, acceptable ops.
</t>
    </r>
    <r>
      <rPr>
        <b/>
        <sz val="11"/>
        <color theme="1"/>
        <rFont val="Calibri"/>
        <family val="2"/>
        <scheme val="minor"/>
      </rPr>
      <t>Package</t>
    </r>
    <r>
      <rPr>
        <sz val="11"/>
        <color theme="1"/>
        <rFont val="Calibri"/>
        <family val="2"/>
        <scheme val="minor"/>
      </rPr>
      <t xml:space="preserve"> = $2M liab, $150k max POED, ALS, Crime</t>
    </r>
  </si>
  <si>
    <r>
      <t xml:space="preserve">Elegible for </t>
    </r>
    <r>
      <rPr>
        <b/>
        <sz val="11"/>
        <color theme="1"/>
        <rFont val="Calibri"/>
        <family val="2"/>
        <scheme val="minor"/>
      </rPr>
      <t>PT Plus Package:</t>
    </r>
    <r>
      <rPr>
        <sz val="11"/>
        <color theme="1"/>
        <rFont val="Calibri"/>
        <family val="2"/>
        <scheme val="minor"/>
      </rPr>
      <t xml:space="preserve">
</t>
    </r>
    <r>
      <rPr>
        <b/>
        <sz val="11"/>
        <color theme="1"/>
        <rFont val="Calibri"/>
        <family val="2"/>
        <scheme val="minor"/>
      </rPr>
      <t>Criteria</t>
    </r>
    <r>
      <rPr>
        <sz val="11"/>
        <color theme="1"/>
        <rFont val="Calibri"/>
        <family val="2"/>
        <scheme val="minor"/>
      </rPr>
      <t xml:space="preserve">: Max $100K revenue, 1-2 trainers, acceptable ops.
</t>
    </r>
    <r>
      <rPr>
        <b/>
        <sz val="11"/>
        <color theme="1"/>
        <rFont val="Calibri"/>
        <family val="2"/>
        <scheme val="minor"/>
      </rPr>
      <t>Package</t>
    </r>
    <r>
      <rPr>
        <sz val="11"/>
        <color theme="1"/>
        <rFont val="Calibri"/>
        <family val="2"/>
        <scheme val="minor"/>
      </rPr>
      <t>: $2M liab, $35K max POED, ALS, Crime</t>
    </r>
  </si>
  <si>
    <t>PACKAGE RATING ELIGIBILITY</t>
  </si>
  <si>
    <t>Exposures that Can be accepted alongside leading operations (with rating)</t>
  </si>
  <si>
    <t>Martial arts</t>
  </si>
  <si>
    <t>Health &amp; Fitness club / gym</t>
  </si>
  <si>
    <t>Personal Training studios</t>
  </si>
  <si>
    <t>Yoga studios</t>
  </si>
  <si>
    <t>Inputs</t>
  </si>
  <si>
    <t>Acceptance / Underwriting Rules</t>
  </si>
  <si>
    <t>Operation1</t>
  </si>
  <si>
    <t>Operation2</t>
  </si>
  <si>
    <t>Operation3</t>
  </si>
  <si>
    <t>Operation4</t>
  </si>
  <si>
    <t>Operation5</t>
  </si>
  <si>
    <t>Operation6</t>
  </si>
  <si>
    <t>Operation8</t>
  </si>
  <si>
    <t>Operation10</t>
  </si>
  <si>
    <t>Operation9</t>
  </si>
  <si>
    <t>Construction type</t>
  </si>
  <si>
    <t>Building limit requested</t>
  </si>
  <si>
    <t>Contents limit</t>
  </si>
  <si>
    <t>Stock limit</t>
  </si>
  <si>
    <t>Equipment limit</t>
  </si>
  <si>
    <t>Tenant Improvement Limit</t>
  </si>
  <si>
    <t>Location type</t>
  </si>
  <si>
    <t>EDP limit</t>
  </si>
  <si>
    <t>Property deductible</t>
  </si>
  <si>
    <t>Burglar alarm type</t>
  </si>
  <si>
    <t>Operation 7</t>
  </si>
  <si>
    <t>Rating</t>
  </si>
  <si>
    <t>CGL Limit</t>
  </si>
  <si>
    <t>Abuse limit</t>
  </si>
  <si>
    <t>Total revenues</t>
  </si>
  <si>
    <t># Employees</t>
  </si>
  <si>
    <t>Total POED Limit</t>
  </si>
  <si>
    <t>Actual</t>
  </si>
  <si>
    <t>Target</t>
  </si>
  <si>
    <t>Hairdressing</t>
  </si>
  <si>
    <t>Acceptable</t>
  </si>
  <si>
    <t>Lashes (tinting/extensions)</t>
  </si>
  <si>
    <t>Make up</t>
  </si>
  <si>
    <t>Gel/Acrylic Nail Extension</t>
  </si>
  <si>
    <t>Teeth Whitening</t>
  </si>
  <si>
    <t>Product Sales</t>
  </si>
  <si>
    <t>Hand Held Spray Tan</t>
  </si>
  <si>
    <t>Does risk qualify for small salon package?</t>
  </si>
  <si>
    <t>Does risk qualify for Individual Hairstylist package?</t>
  </si>
  <si>
    <t>Acceptable Ops</t>
  </si>
  <si>
    <t>STEP 1: DOES THE RISK QUALIFY FOR PACKAGE RATING?</t>
  </si>
  <si>
    <t>Does risk qualify for Individual Esthetician package?</t>
  </si>
  <si>
    <t>STEP 2: IF THE RISK DOES NOT QUALIFY FOR PACKAGE, THEN GO INTO RATING</t>
  </si>
  <si>
    <t>Liability Rating</t>
  </si>
  <si>
    <t>Beauty revenues</t>
  </si>
  <si>
    <t>Level 2 revenues</t>
  </si>
  <si>
    <t>Level 3 revenues</t>
  </si>
  <si>
    <t>Rate</t>
  </si>
  <si>
    <t>Min Prem</t>
  </si>
  <si>
    <t>Calc</t>
  </si>
  <si>
    <t>Adj premium</t>
  </si>
  <si>
    <t>Other Liability Charges</t>
  </si>
  <si>
    <t>Saunas / Whirlpools</t>
  </si>
  <si>
    <t># sauna / whirlpool</t>
  </si>
  <si>
    <t>Rate per unit</t>
  </si>
  <si>
    <t>Additional premium</t>
  </si>
  <si>
    <t>Tanning beds</t>
  </si>
  <si>
    <t># tanning beds</t>
  </si>
  <si>
    <t>Yes</t>
  </si>
  <si>
    <t>Flat premium charge</t>
  </si>
  <si>
    <t>Alcohol</t>
  </si>
  <si>
    <t>Are there alcohol sales?</t>
  </si>
  <si>
    <t>Lashing / Perming</t>
  </si>
  <si>
    <t>Lashing perming revenues</t>
  </si>
  <si>
    <t>Teeth whitening revenues</t>
  </si>
  <si>
    <t>Misc Machines / Beds / Float Pods</t>
  </si>
  <si>
    <t>Skin Needling</t>
  </si>
  <si>
    <t>Skin needling revenues</t>
  </si>
  <si>
    <t>Base GL Premium</t>
  </si>
  <si>
    <t>GL Limit required</t>
  </si>
  <si>
    <t>Charge</t>
  </si>
  <si>
    <t>Min</t>
  </si>
  <si>
    <t>GL Premium before Surcharges</t>
  </si>
  <si>
    <t>Buildings Limit Requested</t>
  </si>
  <si>
    <t>Claims in last 5 years?</t>
  </si>
  <si>
    <t>Cancellations / refusals</t>
  </si>
  <si>
    <t>No cancellations or refusals</t>
  </si>
  <si>
    <t>No claims in 5 years</t>
  </si>
  <si>
    <t>Laser / IPL equipment</t>
  </si>
  <si>
    <t>Equipment breakdown limit</t>
  </si>
  <si>
    <t>Building occupied at least &gt;50% for building owners</t>
  </si>
  <si>
    <t>Building protected by hydrant</t>
  </si>
  <si>
    <t>Roof update year</t>
  </si>
  <si>
    <t>Plumbing update year</t>
  </si>
  <si>
    <t>Heating update year</t>
  </si>
  <si>
    <t>Rental income limit</t>
  </si>
  <si>
    <t>Number of employees</t>
  </si>
  <si>
    <t>All professional staff certified in services they perform</t>
  </si>
  <si>
    <t>Are all staff certified to perform services (Y/N)</t>
  </si>
  <si>
    <t>Are there product sales ? (Y/N)</t>
  </si>
  <si>
    <t>Max 50% receipts from product sales</t>
  </si>
  <si>
    <t>Skin needling: max depth 2.0 mm</t>
  </si>
  <si>
    <t>Micropigmentation: all pigments approved by Health Canada</t>
  </si>
  <si>
    <t>Micropigmentation: pigments approved by Health Canada</t>
  </si>
  <si>
    <t>No teaching activities</t>
  </si>
  <si>
    <t>Refer</t>
  </si>
  <si>
    <t>Decline</t>
  </si>
  <si>
    <t>Mapping</t>
  </si>
  <si>
    <t>Non combustible</t>
  </si>
  <si>
    <t>Fire resistive</t>
  </si>
  <si>
    <t>Masonry</t>
  </si>
  <si>
    <t>Frame</t>
  </si>
  <si>
    <t>Building</t>
  </si>
  <si>
    <t>Contents</t>
  </si>
  <si>
    <t>ALS</t>
  </si>
  <si>
    <t>Crime</t>
  </si>
  <si>
    <t>Breakdown</t>
  </si>
  <si>
    <t>FUS</t>
  </si>
  <si>
    <t>Fus 1-8 only for property</t>
  </si>
  <si>
    <t>Maximum capacity rules for property</t>
  </si>
  <si>
    <t>Relativity</t>
  </si>
  <si>
    <t>Laser Equip</t>
  </si>
  <si>
    <t>Min Premium</t>
  </si>
  <si>
    <t>Residential</t>
  </si>
  <si>
    <t>Other</t>
  </si>
  <si>
    <t>Building rate</t>
  </si>
  <si>
    <t>Building premium</t>
  </si>
  <si>
    <t>Contents limit requested</t>
  </si>
  <si>
    <t>Contents rate</t>
  </si>
  <si>
    <t>Contents premium</t>
  </si>
  <si>
    <t>Stock limit requested</t>
  </si>
  <si>
    <t>EDP limit requested</t>
  </si>
  <si>
    <t>Equipment limit requested</t>
  </si>
  <si>
    <t>Property Rating</t>
  </si>
  <si>
    <t>Business Interruption limt requested</t>
  </si>
  <si>
    <t>Rent limit requested</t>
  </si>
  <si>
    <t>Total BI limit requested</t>
  </si>
  <si>
    <t>ALS Rate</t>
  </si>
  <si>
    <t>Business Interruption Premium</t>
  </si>
  <si>
    <t>Laser / IPL equipment limit requested</t>
  </si>
  <si>
    <t>Laser / IPL rate</t>
  </si>
  <si>
    <t>Laser / IPL Equip Premium</t>
  </si>
  <si>
    <t>Tenants Improvements limit requested</t>
  </si>
  <si>
    <t>Min Tenants Improvement limit calculation</t>
  </si>
  <si>
    <t>Tenant occupied SQft</t>
  </si>
  <si>
    <t>Tenants improvements limit required</t>
  </si>
  <si>
    <t>TI rate (use COED)</t>
  </si>
  <si>
    <t>Tenants Improvements Premium</t>
  </si>
  <si>
    <t>Crime limit requested</t>
  </si>
  <si>
    <t>Type of property</t>
  </si>
  <si>
    <t>Crime Premium</t>
  </si>
  <si>
    <t>Automatically included @ $55 if not home based</t>
  </si>
  <si>
    <t>Minimum calc @ $35 / sqft</t>
  </si>
  <si>
    <t>Actual requested limit</t>
  </si>
  <si>
    <t>Max of requested limit and calculated minimum</t>
  </si>
  <si>
    <t>Total provisional premiums</t>
  </si>
  <si>
    <t>FUS Relativity</t>
  </si>
  <si>
    <t>Premium adjusted for FUS</t>
  </si>
  <si>
    <t>Minimum Premium</t>
  </si>
  <si>
    <t>Property premium adjusted for minimum</t>
  </si>
  <si>
    <t>Building Rates</t>
  </si>
  <si>
    <t>Deductibles</t>
  </si>
  <si>
    <t>Deductible requested</t>
  </si>
  <si>
    <t>Premium adjusted for Deductible</t>
  </si>
  <si>
    <t>Is monitored alarm installed</t>
  </si>
  <si>
    <t>Alarm discount</t>
  </si>
  <si>
    <t>Deductible discount</t>
  </si>
  <si>
    <t>Premium adjusted for alarm</t>
  </si>
  <si>
    <t>No</t>
  </si>
  <si>
    <t>Monitored alarm</t>
  </si>
  <si>
    <t>Final Property Premium</t>
  </si>
  <si>
    <t>Abuse Rating</t>
  </si>
  <si>
    <t>Abuse limit required</t>
  </si>
  <si>
    <t>Amount automatically included</t>
  </si>
  <si>
    <t>Final abuse limit required</t>
  </si>
  <si>
    <t>Abuse Premium</t>
  </si>
  <si>
    <t>Abuse Premiums</t>
  </si>
  <si>
    <t>&lt;5</t>
  </si>
  <si>
    <t>5-10</t>
  </si>
  <si>
    <t>10-20</t>
  </si>
  <si>
    <t>&gt;20</t>
  </si>
  <si>
    <t>% of total revenues</t>
  </si>
  <si>
    <t>Min range</t>
  </si>
  <si>
    <t>Max range</t>
  </si>
  <si>
    <t>% of revenues where max range applies</t>
  </si>
  <si>
    <t>Scalp micropigmentation revenues</t>
  </si>
  <si>
    <t>Total Premium Calculated</t>
  </si>
  <si>
    <t>Eyebrow / Lash Tinting</t>
  </si>
  <si>
    <t>Beauty</t>
  </si>
  <si>
    <t>Henna Tattooing</t>
  </si>
  <si>
    <t>Spray Tattooing</t>
  </si>
  <si>
    <t>Dry Heating Sauna Beds</t>
  </si>
  <si>
    <t>Ear Candling</t>
  </si>
  <si>
    <t>Electrolysis</t>
  </si>
  <si>
    <t>Microdermabrasion</t>
  </si>
  <si>
    <t>Oxygen Bar</t>
  </si>
  <si>
    <t>Reflexology</t>
  </si>
  <si>
    <t>Non-invasive cellulite reduction</t>
  </si>
  <si>
    <t>Sclerotherapy</t>
  </si>
  <si>
    <t>Laser-Cold or IPL</t>
  </si>
  <si>
    <t>Laser</t>
  </si>
  <si>
    <t>Gross receipts from product sales</t>
  </si>
  <si>
    <t>Quotey answer</t>
  </si>
  <si>
    <t>Logic</t>
  </si>
  <si>
    <t>Building type</t>
  </si>
  <si>
    <t>Own</t>
  </si>
  <si>
    <t>Home</t>
  </si>
  <si>
    <t>Construction</t>
  </si>
  <si>
    <t>Building age max 100 years (if owned)</t>
  </si>
  <si>
    <t>Occupancy</t>
  </si>
  <si>
    <t>Your business only</t>
  </si>
  <si>
    <t>Other tenants only</t>
  </si>
  <si>
    <t>Your business and other tenants</t>
  </si>
  <si>
    <t>% occupied by your business?</t>
  </si>
  <si>
    <t>Approx sq footage of leased space</t>
  </si>
  <si>
    <t>Rent / Lease</t>
  </si>
  <si>
    <t>Fire hydrant in 250M?</t>
  </si>
  <si>
    <t>YesNo</t>
  </si>
  <si>
    <t>Distance from fire hall (KM)</t>
  </si>
  <si>
    <t>Fire alarm</t>
  </si>
  <si>
    <t>Central station</t>
  </si>
  <si>
    <t>Monitoring station</t>
  </si>
  <si>
    <t>Local alarm</t>
  </si>
  <si>
    <t>Unknown</t>
  </si>
  <si>
    <t>Burglar alarm</t>
  </si>
  <si>
    <t>Vistually disabling</t>
  </si>
  <si>
    <t xml:space="preserve">Construction </t>
  </si>
  <si>
    <t>Quotey</t>
  </si>
  <si>
    <t>S&amp;F</t>
  </si>
  <si>
    <t>Quotey Input</t>
  </si>
  <si>
    <t>Send to Algorithm</t>
  </si>
  <si>
    <t>Input</t>
  </si>
  <si>
    <t>CONSTRUCTION TYPE</t>
  </si>
  <si>
    <t>Building - known construction</t>
  </si>
  <si>
    <t>Building - no vacant / construction occupancy</t>
  </si>
  <si>
    <t>Input from Quotey</t>
  </si>
  <si>
    <t>Quotey Selection</t>
  </si>
  <si>
    <t>Options</t>
  </si>
  <si>
    <t>Mapped Output</t>
  </si>
  <si>
    <t>Sent to Next Step</t>
  </si>
  <si>
    <t>Distance from FireHall</t>
  </si>
  <si>
    <t>1-8</t>
  </si>
  <si>
    <t>Closest Match</t>
  </si>
  <si>
    <t>8+</t>
  </si>
  <si>
    <t>Within 300M of Fire hydrant</t>
  </si>
  <si>
    <t>Yes 1-8</t>
  </si>
  <si>
    <t>Distance from Firehall</t>
  </si>
  <si>
    <t>No 1-8</t>
  </si>
  <si>
    <t>Yes 8+</t>
  </si>
  <si>
    <t>No 8+</t>
  </si>
  <si>
    <t>FUS APPROXIMATOR</t>
  </si>
  <si>
    <t>In 250M of fire hydrant?</t>
  </si>
  <si>
    <t>1-4</t>
  </si>
  <si>
    <t>9+</t>
  </si>
  <si>
    <t>Roof update for property &gt; 20 yrs old</t>
  </si>
  <si>
    <t>Heating update for property &gt; 35 yrs old</t>
  </si>
  <si>
    <t>Plumbing update for property &gt; 35 yrs old</t>
  </si>
  <si>
    <t>Electrical update for property &gt; 35 yrs old</t>
  </si>
  <si>
    <t>Year property built</t>
  </si>
  <si>
    <t>Electrical update year</t>
  </si>
  <si>
    <t>Refer?</t>
  </si>
  <si>
    <t>CGL Deductible</t>
  </si>
  <si>
    <t>Total number of employees</t>
  </si>
  <si>
    <t>Does the business ever serve alcohol (Y/N)</t>
  </si>
  <si>
    <t>Does the business provide teaching / instructional courses?</t>
  </si>
  <si>
    <t>Property Deductible</t>
  </si>
  <si>
    <t>Building limit</t>
  </si>
  <si>
    <t>Max</t>
  </si>
  <si>
    <t>Misc Property floater</t>
  </si>
  <si>
    <t>Misc property floater limit requested</t>
  </si>
  <si>
    <t>Misc Property Floater limit</t>
  </si>
  <si>
    <t>Total COED limit requested</t>
  </si>
  <si>
    <t>Limit Requests</t>
  </si>
  <si>
    <t>Rent</t>
  </si>
  <si>
    <t>Prop Deductible</t>
  </si>
  <si>
    <t>Alarm status</t>
  </si>
  <si>
    <t>Manicure / pedicure</t>
  </si>
  <si>
    <t>Aromatherapy, Reflexology, Reiki, Hot Stones</t>
  </si>
  <si>
    <t>Type 1</t>
  </si>
  <si>
    <t>Type 2</t>
  </si>
  <si>
    <t>Eyebrow / Lash Lifting / perming</t>
  </si>
  <si>
    <t>Electrocoagulation</t>
  </si>
  <si>
    <t>Tanning</t>
  </si>
  <si>
    <t>Type 3</t>
  </si>
  <si>
    <t>Radio Frequency</t>
  </si>
  <si>
    <t>Acid / Glycolic Peels</t>
  </si>
  <si>
    <t>Cupping</t>
  </si>
  <si>
    <t>Botox / Collagen</t>
  </si>
  <si>
    <t>Other injected fillers</t>
  </si>
  <si>
    <t>Cosmetic tattooing/Micropigmentation / Microblading</t>
  </si>
  <si>
    <t>Plasma Rich Platelets</t>
  </si>
  <si>
    <t>BB Glow</t>
  </si>
  <si>
    <t>Mesotherapy</t>
  </si>
  <si>
    <t>Acupuncture</t>
  </si>
  <si>
    <t>Hypnotherapy</t>
  </si>
  <si>
    <t>Vaginal Tightening / Rejuvenation</t>
  </si>
  <si>
    <t>Plasma Pen</t>
  </si>
  <si>
    <t>Osteopathy</t>
  </si>
  <si>
    <t>Hyaluron Pen</t>
  </si>
  <si>
    <t>Cryotheraphy Chambers</t>
  </si>
  <si>
    <t>CGL Limit Requested</t>
  </si>
  <si>
    <t>CGL Limit Required</t>
  </si>
  <si>
    <t>Not required</t>
  </si>
  <si>
    <t>CGL Other Limit</t>
  </si>
  <si>
    <t>CGL Final Limit</t>
  </si>
  <si>
    <t>Exact match</t>
  </si>
  <si>
    <t>If no exact match - then soft index</t>
  </si>
  <si>
    <t>if no exact match - then next higher limit</t>
  </si>
  <si>
    <t>Target match limit</t>
  </si>
  <si>
    <t>Other limit</t>
  </si>
  <si>
    <t>Declined</t>
  </si>
  <si>
    <t>Number of showers</t>
  </si>
  <si>
    <t>Number of pools</t>
  </si>
  <si>
    <t>Number of whirlpools</t>
  </si>
  <si>
    <t>Number of steam rooms</t>
  </si>
  <si>
    <t>Number of hydrotheraphy tubs</t>
  </si>
  <si>
    <t>Number of vichy showers</t>
  </si>
  <si>
    <t>Number of wet saunas</t>
  </si>
  <si>
    <t>Number of dry saunas</t>
  </si>
  <si>
    <t>Number of infra-red saunas</t>
  </si>
  <si>
    <t>Number of tanning beds</t>
  </si>
  <si>
    <t>Number of booths</t>
  </si>
  <si>
    <t>Number of spray booths</t>
  </si>
  <si>
    <t>Number of air brush units</t>
  </si>
  <si>
    <t>Wet Areas &amp; Chargable Items</t>
  </si>
  <si>
    <t># Saunas, whirlpools</t>
  </si>
  <si>
    <t># Misc Tanning bed</t>
  </si>
  <si>
    <t>Wet areas (Exc sauna / whirlpool)</t>
  </si>
  <si>
    <t># wet areas</t>
  </si>
  <si>
    <t>Abuse Limit Requested</t>
  </si>
  <si>
    <t xml:space="preserve">Abuse Limit </t>
  </si>
  <si>
    <t>Abuse Other Limit</t>
  </si>
  <si>
    <t>Abuse Final Limit</t>
  </si>
  <si>
    <t>Number of Employees (For Abuse calculation)</t>
  </si>
  <si>
    <t># of employees</t>
  </si>
  <si>
    <t>Does the business serve alcohol (Yes / No)</t>
  </si>
  <si>
    <t>Alcohol exposure</t>
  </si>
  <si>
    <t>Does business serve alcohol?</t>
  </si>
  <si>
    <t>Quotey Operation</t>
  </si>
  <si>
    <t>S&amp;F Operation</t>
  </si>
  <si>
    <t>Make up / Facials</t>
  </si>
  <si>
    <t>Revenue</t>
  </si>
  <si>
    <t>OPERATIONS CLASSIFICATION (TOTAL REVENUE BY CLASSIFICATION OF OPERATION)</t>
  </si>
  <si>
    <t>Rating Group / Classification</t>
  </si>
  <si>
    <t>Revenue from referral operations</t>
  </si>
  <si>
    <t>Revenue from decline operations</t>
  </si>
  <si>
    <t>Level 1 revenues (incl product sales)</t>
  </si>
  <si>
    <t>Total revenue from Qualifying Ops</t>
  </si>
  <si>
    <t>BUSINESS INTERRUPTION SUM INSURED (80% OF INCOME)</t>
  </si>
  <si>
    <t>Outcome</t>
  </si>
  <si>
    <t>Decline?</t>
  </si>
  <si>
    <t>Number of decline criteria</t>
  </si>
  <si>
    <t>Final outcome</t>
  </si>
  <si>
    <t>Failure criteria</t>
  </si>
  <si>
    <t>Number of refer criteria</t>
  </si>
  <si>
    <t>Quote</t>
  </si>
  <si>
    <t>Criteria</t>
  </si>
  <si>
    <t>Premium quoted</t>
  </si>
  <si>
    <t>Bodily injury &amp; property damage</t>
  </si>
  <si>
    <t>Personal &amp; advertising injury</t>
  </si>
  <si>
    <t>Medical payments</t>
  </si>
  <si>
    <t>Tenants Legal Liability</t>
  </si>
  <si>
    <t>General Liability - aggregate</t>
  </si>
  <si>
    <t>Products &amp; Completed operations liability</t>
  </si>
  <si>
    <t>Liability from abuse</t>
  </si>
  <si>
    <t>Employer's liability</t>
  </si>
  <si>
    <t>Voluntary compensation</t>
  </si>
  <si>
    <t>Employee benefits liability</t>
  </si>
  <si>
    <t>Employee practices liability - wrongful termination</t>
  </si>
  <si>
    <t>Employee practices liability - workplace Torts</t>
  </si>
  <si>
    <t>Employee practices liability - discrimination - employment</t>
  </si>
  <si>
    <t>Employee practices liability - discrimination - denial of access ot members</t>
  </si>
  <si>
    <t>Knowledge of an occurrence</t>
  </si>
  <si>
    <t>Notice of occurrence</t>
  </si>
  <si>
    <t>Unintentional errors</t>
  </si>
  <si>
    <t>Employee practices liability - deductible</t>
  </si>
  <si>
    <t>Employees participating in athletic activities &amp; sports</t>
  </si>
  <si>
    <t>Additional insured - certificate holders endorsement</t>
  </si>
  <si>
    <t>Non-owned auto</t>
  </si>
  <si>
    <t>Legal liability for damage to hired autos</t>
  </si>
  <si>
    <t>Non-owned auto contractual liability</t>
  </si>
  <si>
    <t>Non-owned auto excluding long-term leased vehicles</t>
  </si>
  <si>
    <t>Martial arts studio endorsement</t>
  </si>
  <si>
    <t>Retroactive date endorsement</t>
  </si>
  <si>
    <t>Hypnotherapy extension endorsement</t>
  </si>
  <si>
    <t>Contagion exclusion endorsement</t>
  </si>
  <si>
    <t>Cyber incident exclusion</t>
  </si>
  <si>
    <t xml:space="preserve">Building </t>
  </si>
  <si>
    <t>Tenants improvements</t>
  </si>
  <si>
    <t>Accounts receivable</t>
  </si>
  <si>
    <t>Antennae and Satellite dishes</t>
  </si>
  <si>
    <t>Arson, Theft or Vandalism Reward</t>
  </si>
  <si>
    <t>Building damage by theft</t>
  </si>
  <si>
    <t>Business contents in transit</t>
  </si>
  <si>
    <t>Business contents at unscheduled locations</t>
  </si>
  <si>
    <t>Broad form coverage</t>
  </si>
  <si>
    <t>Replacement cost</t>
  </si>
  <si>
    <t>Co-insurance</t>
  </si>
  <si>
    <t>Exhibition floater</t>
  </si>
  <si>
    <t>Temporary locations</t>
  </si>
  <si>
    <t>BI - Closure by civil authority</t>
  </si>
  <si>
    <t>Construction and installation property</t>
  </si>
  <si>
    <t>Fine arts</t>
  </si>
  <si>
    <t>Fire extinguishing equipment recharge</t>
  </si>
  <si>
    <t>Free standing fences, walls and courts</t>
  </si>
  <si>
    <t>Growing trees and plants in the open</t>
  </si>
  <si>
    <t>Inflation protection</t>
  </si>
  <si>
    <t>Leasehold interest</t>
  </si>
  <si>
    <t>Master key replacement</t>
  </si>
  <si>
    <t>Off-premises power or water supply failure</t>
  </si>
  <si>
    <t>Peak season increase in business contents</t>
  </si>
  <si>
    <t>Personal property of officers, employees and members</t>
  </si>
  <si>
    <t>Pollutant clean-up and removal</t>
  </si>
  <si>
    <t>Professional fees</t>
  </si>
  <si>
    <t>Signs</t>
  </si>
  <si>
    <t>Spoilage</t>
  </si>
  <si>
    <t>Tools &amp; equipment, including communication devices</t>
  </si>
  <si>
    <t>Tenant lease protection</t>
  </si>
  <si>
    <t>Valuable papers and records</t>
  </si>
  <si>
    <t>Glass</t>
  </si>
  <si>
    <t>Computer equipment breakdown &amp; media</t>
  </si>
  <si>
    <t>Earthquake</t>
  </si>
  <si>
    <t>Flood</t>
  </si>
  <si>
    <t>Sewer Back-up</t>
  </si>
  <si>
    <t>Boiler</t>
  </si>
  <si>
    <t>Earthquake deductible</t>
  </si>
  <si>
    <t>Flood deductible</t>
  </si>
  <si>
    <t>Employee dishonesty - Form A</t>
  </si>
  <si>
    <t>Loss inside the premises</t>
  </si>
  <si>
    <t>Loss outside the premises</t>
  </si>
  <si>
    <t>Money Orders &amp; Counterfeit Paper currency</t>
  </si>
  <si>
    <t>Depositors Forgery</t>
  </si>
  <si>
    <t>Credit Card Forgery</t>
  </si>
  <si>
    <t>Computer Fraud</t>
  </si>
  <si>
    <t>Funds transfer fraud</t>
  </si>
  <si>
    <t>General liability</t>
  </si>
  <si>
    <t>Employment Practices Liability</t>
  </si>
  <si>
    <t>Personal Accident</t>
  </si>
  <si>
    <t>Non-owned auto liability</t>
  </si>
  <si>
    <t>Location</t>
  </si>
  <si>
    <t>Property</t>
  </si>
  <si>
    <t>Direct damage</t>
  </si>
  <si>
    <t>Equipment breakdown</t>
  </si>
  <si>
    <t>Business interruption</t>
  </si>
  <si>
    <t>Extra expense</t>
  </si>
  <si>
    <t>Service interruption</t>
  </si>
  <si>
    <t>Hazardous substances</t>
  </si>
  <si>
    <t>Errors &amp; Omissions</t>
  </si>
  <si>
    <t>Data restoration</t>
  </si>
  <si>
    <t>Anchor location</t>
  </si>
  <si>
    <t>Green coverage</t>
  </si>
  <si>
    <t>Off premises transportable insured equipment</t>
  </si>
  <si>
    <t>Public relations</t>
  </si>
  <si>
    <t>Brands &amp; labels</t>
  </si>
  <si>
    <t>Contingent business interruption</t>
  </si>
  <si>
    <t>Beauty - Esthetics &amp; Spas - exlclusions, conditions, restrictions &amp; warranties</t>
  </si>
  <si>
    <t>Small Salon Package</t>
  </si>
  <si>
    <t>Individual Hairstylist</t>
  </si>
  <si>
    <t>Individaul Esthetician</t>
  </si>
  <si>
    <t>General package</t>
  </si>
  <si>
    <t>Included</t>
  </si>
  <si>
    <t>$10,000 / $250,000 aggregate</t>
  </si>
  <si>
    <t>Business Interruption</t>
  </si>
  <si>
    <t>$1,000 item / $25,000 total</t>
  </si>
  <si>
    <t>$500 person / $25,000 total</t>
  </si>
  <si>
    <t>Unlimited</t>
  </si>
  <si>
    <t>S&amp;F Quote Indication</t>
  </si>
  <si>
    <t>Property damage deductible</t>
  </si>
  <si>
    <t>Bodily injury deductible</t>
  </si>
  <si>
    <t>What is the depth of needle used (mm)</t>
  </si>
  <si>
    <t>Capacity Check</t>
  </si>
  <si>
    <t>FUS Score</t>
  </si>
  <si>
    <t>Capacity Limit</t>
  </si>
  <si>
    <t>Capacity for this risk</t>
  </si>
  <si>
    <t>Check</t>
  </si>
  <si>
    <t>Correspondence address: Province</t>
  </si>
  <si>
    <t>Risk address: Province</t>
  </si>
  <si>
    <t>Ontario</t>
  </si>
  <si>
    <t>Correspondence address: Country</t>
  </si>
  <si>
    <t>Canada</t>
  </si>
  <si>
    <t>Risk address: Country</t>
  </si>
  <si>
    <t>Earthquake Deductible</t>
  </si>
  <si>
    <t>Correspondence province</t>
  </si>
  <si>
    <t>Risk address province</t>
  </si>
  <si>
    <t>Nova Scotia</t>
  </si>
  <si>
    <t>New Brunswick</t>
  </si>
  <si>
    <t>Quebec</t>
  </si>
  <si>
    <t>British Columbia</t>
  </si>
  <si>
    <t>Alberta</t>
  </si>
  <si>
    <t>Saskatchewan</t>
  </si>
  <si>
    <t>Prince Edward Island</t>
  </si>
  <si>
    <t>Newfoundland</t>
  </si>
  <si>
    <t>Yukon</t>
  </si>
  <si>
    <t>NWT</t>
  </si>
  <si>
    <t>Nunavut</t>
  </si>
  <si>
    <t>Manitoba</t>
  </si>
  <si>
    <t>Lookup province</t>
  </si>
  <si>
    <t>ON</t>
  </si>
  <si>
    <t>NS</t>
  </si>
  <si>
    <t>NB</t>
  </si>
  <si>
    <t>QC</t>
  </si>
  <si>
    <t>BC</t>
  </si>
  <si>
    <t>MN</t>
  </si>
  <si>
    <t>AB</t>
  </si>
  <si>
    <t>SK</t>
  </si>
  <si>
    <t>PEI</t>
  </si>
  <si>
    <t>NFLD</t>
  </si>
  <si>
    <t>YT</t>
  </si>
  <si>
    <t>North West Territories</t>
  </si>
  <si>
    <t>type 1</t>
  </si>
  <si>
    <t>type 2</t>
  </si>
  <si>
    <t>type 3</t>
  </si>
  <si>
    <t>Min CGL Deductibles</t>
  </si>
  <si>
    <t>EB Premium</t>
  </si>
  <si>
    <t>Tanning beds / booths / infrared saunas</t>
  </si>
  <si>
    <t>Total building limit</t>
  </si>
  <si>
    <t>Building value must be &lt;$1,000,000</t>
  </si>
  <si>
    <t>BI</t>
  </si>
  <si>
    <t xml:space="preserve">TIV </t>
  </si>
  <si>
    <t>TIV</t>
  </si>
  <si>
    <t>What is revenue from alcohol sales</t>
  </si>
  <si>
    <t>Sold</t>
  </si>
  <si>
    <t>Is alcohol sold / complimentary (Sold / Complimentary)</t>
  </si>
  <si>
    <t>Alchol Sales</t>
  </si>
  <si>
    <t>Comlimentary</t>
  </si>
  <si>
    <t>Is alcholol sold or complementary</t>
  </si>
  <si>
    <t>Revenues from alcohol</t>
  </si>
  <si>
    <t>Complementary</t>
  </si>
  <si>
    <t>Revenues</t>
  </si>
  <si>
    <t>Rate on sold alcohol</t>
  </si>
  <si>
    <t>Minimum prem on sold alcohol</t>
  </si>
  <si>
    <t>Complementary or Sold</t>
  </si>
  <si>
    <t>Premium if complementary</t>
  </si>
  <si>
    <t>Premium if sold</t>
  </si>
  <si>
    <t># Wet areas (excluding tanning)</t>
  </si>
  <si>
    <t>Occupancy type (owned property)</t>
  </si>
  <si>
    <t>Sqfootage is included if Rented / Leased</t>
  </si>
  <si>
    <t>BI Sum Insured calc</t>
  </si>
  <si>
    <t>BI Sum Insured / Coverage</t>
  </si>
  <si>
    <t>BI Coverage</t>
  </si>
  <si>
    <t>Civil Authority Coverage</t>
  </si>
  <si>
    <t>Salon Package Crime Covers</t>
  </si>
  <si>
    <t>Non-Package Crime Covers</t>
  </si>
  <si>
    <t>Eyebrow</t>
  </si>
  <si>
    <t>Lash tinting / extensions</t>
  </si>
  <si>
    <t>Lash Lifting / perming</t>
  </si>
  <si>
    <t>Can a GL deductible discount take calculate premium below minimum, or does minimum premium override this?</t>
  </si>
  <si>
    <t>Type 3 revenues</t>
  </si>
  <si>
    <t>If type 3 revenues &gt; 0, and deductible request is 1,000, then they don't get the 5% discount.</t>
  </si>
  <si>
    <t>However, if there are type 3 revenues, and deductible is $2,500 or $5,000 then they do get the whole discount for those higher deductibles</t>
  </si>
  <si>
    <t>Flat charge</t>
  </si>
  <si>
    <t>This is a flat $125 for any alcohol sales</t>
  </si>
  <si>
    <t>Is there a maximum of alcohol sales?</t>
  </si>
  <si>
    <t>Regardless of whether sold or complementary, there is a $125 charge.</t>
  </si>
  <si>
    <t>This is here as a placeholder in case we classify machinery against these</t>
  </si>
  <si>
    <t>types in future.</t>
  </si>
  <si>
    <t>Accident, heart attack &amp; stroke insurance</t>
  </si>
  <si>
    <t>Fire department service charges</t>
  </si>
  <si>
    <t>Type of location</t>
  </si>
  <si>
    <t>TI only applies to rented / leased locations</t>
  </si>
  <si>
    <t>Buildings Limit Provided</t>
  </si>
  <si>
    <t>(for BI?)</t>
  </si>
  <si>
    <t>Min BI deductible</t>
  </si>
  <si>
    <t>Min PD deductible</t>
  </si>
  <si>
    <t>Actual BI deductible</t>
  </si>
  <si>
    <t>Actual PD deductible</t>
  </si>
  <si>
    <t>Deductible offered</t>
  </si>
  <si>
    <t>Number of building decline criteria</t>
  </si>
  <si>
    <t>Bld Decline?</t>
  </si>
  <si>
    <t>Quote Buildings?</t>
  </si>
  <si>
    <t>Building conditions met?</t>
  </si>
  <si>
    <t>Decline building coverages if building rules fail, but still quote GL - partly done.</t>
  </si>
  <si>
    <t>ID</t>
  </si>
  <si>
    <t>operation_1</t>
  </si>
  <si>
    <t>operation_2</t>
  </si>
  <si>
    <t>operation_3</t>
  </si>
  <si>
    <t>operation_4</t>
  </si>
  <si>
    <t>operation_5</t>
  </si>
  <si>
    <t>operation_6</t>
  </si>
  <si>
    <t>operation_7</t>
  </si>
  <si>
    <t>operation_8</t>
  </si>
  <si>
    <t>operation_9</t>
  </si>
  <si>
    <t>operation_10</t>
  </si>
  <si>
    <t>31001_a</t>
  </si>
  <si>
    <t>31001_b</t>
  </si>
  <si>
    <t>44510_1</t>
  </si>
  <si>
    <t>CGL Limit Other</t>
  </si>
  <si>
    <t>Location Type</t>
  </si>
  <si>
    <t>Building You Own</t>
  </si>
  <si>
    <t>Rented or Leased Property</t>
  </si>
  <si>
    <t>Home Based / Virtual Business</t>
  </si>
  <si>
    <t>Location type not clear / doesn't map</t>
  </si>
  <si>
    <t>location_1_500010</t>
  </si>
  <si>
    <t>location_1_500020</t>
  </si>
  <si>
    <t>location_1_500730</t>
  </si>
  <si>
    <t>location_1_500770</t>
  </si>
  <si>
    <t>1. Fire Resistive</t>
  </si>
  <si>
    <t>2. Modified Fire Resistive</t>
  </si>
  <si>
    <t>3. Masonry Non Combustivle</t>
  </si>
  <si>
    <t>4. Non Combustible</t>
  </si>
  <si>
    <t>5. Masonry</t>
  </si>
  <si>
    <t>7. Frame and Other</t>
  </si>
  <si>
    <t>3. Masonry Non Combustible</t>
  </si>
  <si>
    <t>location_1_500700</t>
  </si>
  <si>
    <t>location_1_501102</t>
  </si>
  <si>
    <t>location_1_501106</t>
  </si>
  <si>
    <t>location_1_501114</t>
  </si>
  <si>
    <t>location_1_501110</t>
  </si>
  <si>
    <t>location_1_503500</t>
  </si>
  <si>
    <t>location_1_503510</t>
  </si>
  <si>
    <t>location_1_504100</t>
  </si>
  <si>
    <t>location_1_504170</t>
  </si>
  <si>
    <t>location_1_504190</t>
  </si>
  <si>
    <t>location_1_504200</t>
  </si>
  <si>
    <t>location_1_504180</t>
  </si>
  <si>
    <t>location_1_504210</t>
  </si>
  <si>
    <t>location_1_504220</t>
  </si>
  <si>
    <t>location_1_504320</t>
  </si>
  <si>
    <t>location_1_503600</t>
  </si>
  <si>
    <t>location_1_504215</t>
  </si>
  <si>
    <t>location_1_500110_province</t>
  </si>
  <si>
    <t>location_1_500110_country</t>
  </si>
  <si>
    <t>10505_province</t>
  </si>
  <si>
    <t>10505_country</t>
  </si>
  <si>
    <t>PD</t>
  </si>
  <si>
    <t>beauty</t>
  </si>
  <si>
    <t>Sewer back-up deductible</t>
  </si>
  <si>
    <t>Water damage deductible</t>
  </si>
  <si>
    <t>Base premium</t>
  </si>
  <si>
    <t>GL required</t>
  </si>
  <si>
    <t>GL surcharge</t>
  </si>
  <si>
    <t>EBI required</t>
  </si>
  <si>
    <t>EBI surcharge</t>
  </si>
  <si>
    <t>Total premium</t>
  </si>
  <si>
    <t>Equipment Breakdown coverage?</t>
  </si>
  <si>
    <t>Include</t>
  </si>
  <si>
    <t>location_1_504240</t>
  </si>
  <si>
    <t>Package Premium</t>
  </si>
  <si>
    <t>Small Salon</t>
  </si>
  <si>
    <t>Hairstylist</t>
  </si>
  <si>
    <t>Esthetician</t>
  </si>
  <si>
    <t>Actual Loss Sustained - 24 months</t>
  </si>
  <si>
    <t>Actual Loss Sustained - 4 weeks</t>
  </si>
  <si>
    <t>5-6</t>
  </si>
  <si>
    <t>7-8</t>
  </si>
  <si>
    <t>EBI</t>
  </si>
  <si>
    <t>Appendix 2 - New Business &amp; Minimum Renewal Rates</t>
  </si>
  <si>
    <t>LIABILITY RATING SPORTS &amp; FITNESS</t>
  </si>
  <si>
    <t>$ 2 MILLION LIMITS</t>
  </si>
  <si>
    <t>Class of Business</t>
  </si>
  <si>
    <t>Restrictions</t>
  </si>
  <si>
    <t>Rating Method</t>
  </si>
  <si>
    <t>No. of Units</t>
  </si>
  <si>
    <t>Discounts</t>
  </si>
  <si>
    <t>Health &amp; Fitness Clubs</t>
  </si>
  <si>
    <t>per 1,000</t>
  </si>
  <si>
    <t>Curves</t>
  </si>
  <si>
    <t>Jenny Craig $200 extra</t>
  </si>
  <si>
    <t>Liquor Liability</t>
  </si>
  <si>
    <t>Non-Mandatory Discretional Additional Premium/Surcharges</t>
  </si>
  <si>
    <t>Surcharge</t>
  </si>
  <si>
    <t>Per unit</t>
  </si>
  <si>
    <t>Per Unit</t>
  </si>
  <si>
    <t>Kids Programs</t>
  </si>
  <si>
    <t>$66 - $193</t>
  </si>
  <si>
    <t>Off Premise Ops</t>
  </si>
  <si>
    <t>$66 - $253</t>
  </si>
  <si>
    <t>Sauna, whirlpools</t>
  </si>
  <si>
    <t>$6.33/K Rev</t>
  </si>
  <si>
    <t>Tanning beds/Misc. Machines/Beds</t>
  </si>
  <si>
    <t>$127 - $319</t>
  </si>
  <si>
    <t>$127  - $319</t>
  </si>
  <si>
    <t>Wet Areas</t>
  </si>
  <si>
    <t>Unstaffed Hours</t>
  </si>
  <si>
    <t>28% - 220%</t>
  </si>
  <si>
    <t>Child Minding</t>
  </si>
  <si>
    <t>Tailgate/Passkey</t>
  </si>
  <si>
    <t>$0 - $633</t>
  </si>
  <si>
    <t>Tanning Salons</t>
  </si>
  <si>
    <t>Bed</t>
  </si>
  <si>
    <t>1 to 7 (flat premium)</t>
  </si>
  <si>
    <t>SmartTan 35%</t>
  </si>
  <si>
    <t>8 to 15 (per addt'l bed)</t>
  </si>
  <si>
    <t>16 and over (per addt'l bed)</t>
  </si>
  <si>
    <t>Smart Tan Risk Management Certificate receives a 35% Discount</t>
  </si>
  <si>
    <t>$253 - $605</t>
  </si>
  <si>
    <t>Misc. Machines/Beds</t>
  </si>
  <si>
    <t>Esthetics/Lashes</t>
  </si>
  <si>
    <t>$253 - $633</t>
  </si>
  <si>
    <t>Dance Studios</t>
  </si>
  <si>
    <t>Participants</t>
  </si>
  <si>
    <t>Ind. Dance Instructors</t>
  </si>
  <si>
    <t>Flat</t>
  </si>
  <si>
    <t>$0 - $143</t>
  </si>
  <si>
    <t>$490 Flat</t>
  </si>
  <si>
    <t>Martial Arts Type 1 (Low)</t>
  </si>
  <si>
    <t>1 to 25</t>
  </si>
  <si>
    <t>26 to 100</t>
  </si>
  <si>
    <t>100 to 250</t>
  </si>
  <si>
    <t>each</t>
  </si>
  <si>
    <t>Per unit/Flat</t>
  </si>
  <si>
    <t>Per Unit/Flat</t>
  </si>
  <si>
    <t>Tai Kwon Do Operations</t>
  </si>
  <si>
    <t>$600 Flat</t>
  </si>
  <si>
    <t xml:space="preserve">Personal Training &amp; Yoga Studios </t>
  </si>
  <si>
    <t>Base / Primary Trainers</t>
  </si>
  <si>
    <t>1 - 2</t>
  </si>
  <si>
    <t>$363 - $440</t>
  </si>
  <si>
    <t>Additional F/T Trainer</t>
  </si>
  <si>
    <t>1</t>
  </si>
  <si>
    <t>Less than 10 hours per week</t>
  </si>
  <si>
    <t>Additional P/T Trainer</t>
  </si>
  <si>
    <t>Trainer has individual personal training insurance with S&amp;F</t>
  </si>
  <si>
    <t>Trainer</t>
  </si>
  <si>
    <t>Each</t>
  </si>
  <si>
    <t>6+ trainers will be rated as a Health &amp; Fitness club.</t>
  </si>
  <si>
    <t>Misc. tanning bed</t>
  </si>
  <si>
    <t>Individual Personal Trainers</t>
  </si>
  <si>
    <t>$1,000,000 million limits</t>
  </si>
  <si>
    <t>Stott Personal Trainers</t>
  </si>
  <si>
    <t>Stott $1,000,000 Limits</t>
  </si>
  <si>
    <t>In-Home Classes</t>
  </si>
  <si>
    <t>Certification Training</t>
  </si>
  <si>
    <t>Massage/Foam Roller</t>
  </si>
  <si>
    <t>Amatuer Leagues and clubs</t>
  </si>
  <si>
    <t>SPORT</t>
  </si>
  <si>
    <t>TIER</t>
  </si>
  <si>
    <t>CGL RATE</t>
  </si>
  <si>
    <t>PA RATE</t>
  </si>
  <si>
    <t>PA Excess</t>
  </si>
  <si>
    <t>MINIMUM</t>
  </si>
  <si>
    <t>&lt; 18yrs</t>
  </si>
  <si>
    <t xml:space="preserve">&gt; 18yrs </t>
  </si>
  <si>
    <t>&lt;18yrs</t>
  </si>
  <si>
    <t>! % per Add'l Limit per section</t>
  </si>
  <si>
    <t>PREMIUM</t>
  </si>
  <si>
    <t>Badminton</t>
  </si>
  <si>
    <t>15% of GL</t>
  </si>
  <si>
    <t>1% per</t>
  </si>
  <si>
    <t>Baton Twirling</t>
  </si>
  <si>
    <t>Bird Watching</t>
  </si>
  <si>
    <t>Bowling-Lawn(Bocce)</t>
  </si>
  <si>
    <t>Curling</t>
  </si>
  <si>
    <t>Dry Land Training</t>
  </si>
  <si>
    <t>Frisbee</t>
  </si>
  <si>
    <t>Horse Shoes</t>
  </si>
  <si>
    <t>Shuffle Board</t>
  </si>
  <si>
    <t>Table Tennis</t>
  </si>
  <si>
    <t>Tennis</t>
  </si>
  <si>
    <t>Pickleball</t>
  </si>
  <si>
    <t>Track &amp; Field</t>
  </si>
  <si>
    <t>Baseball – Hard/Fast Ball</t>
  </si>
  <si>
    <t>Baseball – Softball</t>
  </si>
  <si>
    <t>Baseball – Slo-Pitch</t>
  </si>
  <si>
    <t>Baseball – T-Ball</t>
  </si>
  <si>
    <t>Basketball</t>
  </si>
  <si>
    <t>Biathlon</t>
  </si>
  <si>
    <t>Cricket</t>
  </si>
  <si>
    <t>Soccer</t>
  </si>
  <si>
    <t>Cycling</t>
  </si>
  <si>
    <t>Frisbee – Ultimate</t>
  </si>
  <si>
    <t>Swimming – Synchro</t>
  </si>
  <si>
    <t>Racquetball</t>
  </si>
  <si>
    <t>Running Club</t>
  </si>
  <si>
    <t>Squash</t>
  </si>
  <si>
    <t>Volleyball</t>
  </si>
  <si>
    <t>Broomball</t>
  </si>
  <si>
    <t>Dodgeball</t>
  </si>
  <si>
    <t>Football – Flag</t>
  </si>
  <si>
    <t>Football – Touch</t>
  </si>
  <si>
    <t>Hockey – Ball</t>
  </si>
  <si>
    <t>Hockey – Field</t>
  </si>
  <si>
    <t>Hockey – Ice    (Non-Contact)</t>
  </si>
  <si>
    <t xml:space="preserve">Swimming </t>
  </si>
  <si>
    <t>Water Polo</t>
  </si>
  <si>
    <t>Football – Contact</t>
  </si>
  <si>
    <t>5*</t>
  </si>
  <si>
    <t xml:space="preserve">Not Written </t>
  </si>
  <si>
    <t>Lacrosse</t>
  </si>
  <si>
    <t>Rugby</t>
  </si>
  <si>
    <t>Beauty Salon</t>
  </si>
  <si>
    <t>Includes the following:</t>
  </si>
  <si>
    <t xml:space="preserve">10% discretion for </t>
  </si>
  <si>
    <t>very low receipts</t>
  </si>
  <si>
    <t>&gt; $25,000</t>
  </si>
  <si>
    <t>Esthetics</t>
  </si>
  <si>
    <t>Level 1</t>
  </si>
  <si>
    <t>May include the Beauty Salon operations plus:</t>
  </si>
  <si>
    <t>Level 2</t>
  </si>
  <si>
    <t>May include the Beauty Salon and Level 1 operations plus:</t>
  </si>
  <si>
    <t>Level 3</t>
  </si>
  <si>
    <t>May include the Beauty Salon, Level 1 and Level 2 operations plus:</t>
  </si>
  <si>
    <t>Cosmetic tattooing/Micropigmentation</t>
  </si>
  <si>
    <t>Misc. Machines/Beds/Float Pods</t>
  </si>
  <si>
    <t xml:space="preserve">Tattoo Removal by Laser/IPL  </t>
  </si>
  <si>
    <t>$0 - 1265 Flat</t>
  </si>
  <si>
    <t>$138 flat</t>
  </si>
  <si>
    <t xml:space="preserve">Tattoo Removal by Micropig </t>
  </si>
  <si>
    <t>Tuition/Instructional Courses</t>
  </si>
  <si>
    <t>$0 - 633 Flat</t>
  </si>
  <si>
    <t>Lash Perming/Lift</t>
  </si>
  <si>
    <t>$0 - $319 Flat</t>
  </si>
  <si>
    <t>$0 - $600 Flat</t>
  </si>
  <si>
    <t>$0 - $633 Flat</t>
  </si>
  <si>
    <t>Botox/Injectible Fillers (Defense Cost)</t>
  </si>
  <si>
    <t>$380-635 Flat</t>
  </si>
  <si>
    <t>Increased Limits Factor</t>
  </si>
  <si>
    <t>Multiplyers</t>
  </si>
  <si>
    <t>Incr. Deductibles</t>
  </si>
  <si>
    <t>$1 million limits</t>
  </si>
  <si>
    <t>BI/PD</t>
  </si>
  <si>
    <t>$3 million limits</t>
  </si>
  <si>
    <t>$4 million limits</t>
  </si>
  <si>
    <t>$5 million limits</t>
  </si>
  <si>
    <t>Territory Modifiers on Rates Only</t>
  </si>
  <si>
    <t>Debits</t>
  </si>
  <si>
    <t>Abuse Limit / Aggregate</t>
  </si>
  <si>
    <t>Ristrictions</t>
  </si>
  <si>
    <t>Premium</t>
  </si>
  <si>
    <t>Ontario &amp; Quebec</t>
  </si>
  <si>
    <t>Base</t>
  </si>
  <si>
    <t>Atlantic</t>
  </si>
  <si>
    <t>50,000 / 50,000</t>
  </si>
  <si>
    <t xml:space="preserve">Abuse procedure must </t>
  </si>
  <si>
    <t xml:space="preserve">Prairie </t>
  </si>
  <si>
    <t>Higher limits available for addt'l prem</t>
  </si>
  <si>
    <t>be in place</t>
  </si>
  <si>
    <t>Pacific</t>
  </si>
  <si>
    <t>Debits*</t>
  </si>
  <si>
    <t>3 years claims free</t>
  </si>
  <si>
    <t>more than 2 locations / franchise</t>
  </si>
  <si>
    <t>Survellaince / Monitored Alarm</t>
  </si>
  <si>
    <t>Underwriter Discretion</t>
  </si>
  <si>
    <t>Up to -10%</t>
  </si>
  <si>
    <t>PA Discretion</t>
  </si>
  <si>
    <t>* Maximum debit of 25% and not subject to minimum premiums</t>
  </si>
  <si>
    <t xml:space="preserve">            New Business Rate Modification</t>
  </si>
  <si>
    <t>Maximum Debit</t>
  </si>
  <si>
    <t>3 years claims free and current pricing is lower than</t>
  </si>
  <si>
    <t>book rates for comparable terms &amp; conditions.</t>
  </si>
  <si>
    <t>Not subject to minimum premiums</t>
  </si>
  <si>
    <t>Maximum  Surcharge</t>
  </si>
  <si>
    <t xml:space="preserve">Meets eligibility criteria, but current premium is higher </t>
  </si>
  <si>
    <t>than book rate.</t>
  </si>
  <si>
    <t>Version Mar 13/22</t>
  </si>
  <si>
    <t>PROPERTY RATING SPORTS &amp; FITNESS</t>
  </si>
  <si>
    <t>LINE LIMITS</t>
  </si>
  <si>
    <t>*FUS 1 - 4</t>
  </si>
  <si>
    <t>*FUS 5 - 6</t>
  </si>
  <si>
    <t xml:space="preserve">FUS 7 - 10 </t>
  </si>
  <si>
    <t xml:space="preserve">FUS 1 - 4 : F/T Fire dept &amp; underground mains                                                                                      </t>
  </si>
  <si>
    <t>Base Rates</t>
  </si>
  <si>
    <t>NC / FR</t>
  </si>
  <si>
    <t xml:space="preserve">FUS 5 - 6 : P/T or volunteer fire dept &amp; underground mains                                        </t>
  </si>
  <si>
    <t xml:space="preserve">Masonry </t>
  </si>
  <si>
    <t xml:space="preserve">FUS 7 - 10 : All other                                                                  </t>
  </si>
  <si>
    <t xml:space="preserve">Frame </t>
  </si>
  <si>
    <t>Blding Rates</t>
  </si>
  <si>
    <t>Contents Rate</t>
  </si>
  <si>
    <t>Prop Min Prem</t>
  </si>
  <si>
    <t>Boiler Rate</t>
  </si>
  <si>
    <t>&lt; 10,000 sqft = $             220</t>
  </si>
  <si>
    <t xml:space="preserve">  SF            &lt;2,000  &gt; 2,000</t>
  </si>
  <si>
    <t>NC/FR</t>
  </si>
  <si>
    <t>10 - 25,000 sqft = $         275</t>
  </si>
  <si>
    <t>TI (w/o pool) $20 or $30sf</t>
  </si>
  <si>
    <t>&gt; 25,000 sqft = $             440</t>
  </si>
  <si>
    <t>TI (with pool) $25 or $35/sf</t>
  </si>
  <si>
    <t xml:space="preserve">Hydraulic = $                    55                </t>
  </si>
  <si>
    <t>Tanning Studios</t>
  </si>
  <si>
    <t>TI  $40/sf</t>
  </si>
  <si>
    <t>Martial Arts</t>
  </si>
  <si>
    <t xml:space="preserve">TI  (under 2,000sf)    $15     </t>
  </si>
  <si>
    <t>TI   (over 2,000sf)     $20</t>
  </si>
  <si>
    <t>Personal Training Studios</t>
  </si>
  <si>
    <t>Private Home Locations</t>
  </si>
  <si>
    <t>Commerial Locations</t>
  </si>
  <si>
    <t>TI (under 2,000sf)  $15/sf</t>
  </si>
  <si>
    <t>TI (over 2,000sf)    $20sf</t>
  </si>
  <si>
    <t>Dance &amp; Yoga Studios</t>
  </si>
  <si>
    <t>TI (over 2,000sf)     $20</t>
  </si>
  <si>
    <t>Private Home Location</t>
  </si>
  <si>
    <t>Commercial Loacation</t>
  </si>
  <si>
    <t>TI  $35/sf</t>
  </si>
  <si>
    <t xml:space="preserve">Esthetics </t>
  </si>
  <si>
    <t>Commercial Location</t>
  </si>
  <si>
    <t>Spa</t>
  </si>
  <si>
    <t>Laser/IPL Equipment</t>
  </si>
  <si>
    <t>Rental income</t>
  </si>
  <si>
    <t>75% of bldg rate</t>
  </si>
  <si>
    <t>2% xs of $25,000</t>
  </si>
  <si>
    <t>New Business Rate Modification</t>
  </si>
  <si>
    <t>* Debits</t>
  </si>
  <si>
    <t>Percentage</t>
  </si>
  <si>
    <t>2+/franchise locations</t>
  </si>
  <si>
    <t>Surveillance/Mon. Alarm</t>
  </si>
  <si>
    <t xml:space="preserve"> - not subject to minimum premiums</t>
  </si>
  <si>
    <t>3 year loss free</t>
  </si>
  <si>
    <t>Max. Surcharge</t>
  </si>
  <si>
    <t>Meets eligibility criteria, but current premium is higher than</t>
  </si>
  <si>
    <t>book rate.</t>
  </si>
  <si>
    <t>* Maximum debit of 25% and not subject to</t>
  </si>
  <si>
    <t xml:space="preserve">  minimum premiums</t>
  </si>
  <si>
    <t>Version Mar 13, 2022</t>
  </si>
  <si>
    <t>Small Salon Package Rating</t>
  </si>
  <si>
    <t>Operations allowed</t>
  </si>
  <si>
    <t>Maximum Exposure</t>
  </si>
  <si>
    <t>U/W Discretion</t>
  </si>
  <si>
    <t>LIABILITY</t>
  </si>
  <si>
    <t>Revenue (Max $300,000)</t>
  </si>
  <si>
    <t>TOTAL =$1007</t>
  </si>
  <si>
    <t xml:space="preserve"> including but not limited to:</t>
  </si>
  <si>
    <t>Massage (Non-Reg &amp; RMT)</t>
  </si>
  <si>
    <t>Microdermabrasion/Peels</t>
  </si>
  <si>
    <t>Reiki</t>
  </si>
  <si>
    <t>Aromatherapy</t>
  </si>
  <si>
    <t>Electrolysis/Electrocoagulation</t>
  </si>
  <si>
    <t>PROPERTY</t>
  </si>
  <si>
    <t>POED Limit &lt;150,000</t>
  </si>
  <si>
    <t>5000/point</t>
  </si>
  <si>
    <t>No Cover</t>
  </si>
  <si>
    <t>can be added for $55 premium</t>
  </si>
  <si>
    <t xml:space="preserve"> Individual Hairstylist  Package Rating</t>
  </si>
  <si>
    <t>Revenue (Max $75,000)</t>
  </si>
  <si>
    <t xml:space="preserve"> Individual Esthetician Package Rating</t>
  </si>
  <si>
    <t>very small amounts of</t>
  </si>
  <si>
    <t xml:space="preserve"> PT Plus Package Rating</t>
  </si>
  <si>
    <t>TOTAL $847</t>
  </si>
  <si>
    <t>Revenue (Max $100,000)</t>
  </si>
  <si>
    <t>1 - 2 trainers</t>
  </si>
  <si>
    <t>In-home operations</t>
  </si>
  <si>
    <t>additional P/T trainer</t>
  </si>
  <si>
    <t>small commercial spaces</t>
  </si>
  <si>
    <t>POED Limit &lt;35,000</t>
  </si>
  <si>
    <t>Abuse Sub-Limits &amp; Additional Premium</t>
  </si>
  <si>
    <t>$50,000 Limit</t>
  </si>
  <si>
    <t>$100,000 Limit</t>
  </si>
  <si>
    <t>$250,000 Limit</t>
  </si>
  <si>
    <t>$500,000 Limit</t>
  </si>
  <si>
    <t>$1,000,000 Limit</t>
  </si>
  <si>
    <t>&lt; 5 Employees</t>
  </si>
  <si>
    <t>5-10 Employees</t>
  </si>
  <si>
    <t>10-20 Employees</t>
  </si>
  <si>
    <t>&gt; 20 Employees</t>
  </si>
  <si>
    <t>Automatically included @ $72 if not home based</t>
  </si>
  <si>
    <t>Still need to underestand if the 10% discount for $1M takes below min?</t>
  </si>
  <si>
    <t>Lookup</t>
  </si>
  <si>
    <t>Fire resistive 1-4</t>
  </si>
  <si>
    <t>Fire resistive 5-7</t>
  </si>
  <si>
    <t>Fire resistive 8</t>
  </si>
  <si>
    <t>Fire resistive 9+</t>
  </si>
  <si>
    <t>Non combustible 1-4</t>
  </si>
  <si>
    <t>Non combustible 5-7</t>
  </si>
  <si>
    <t>Non combustible 8</t>
  </si>
  <si>
    <t>Non combustible 9+</t>
  </si>
  <si>
    <t>Masonry 1-4</t>
  </si>
  <si>
    <t>Masonry 5-7</t>
  </si>
  <si>
    <t>Masonry 8</t>
  </si>
  <si>
    <t>Masonry 9+</t>
  </si>
  <si>
    <t>Frame 1-4</t>
  </si>
  <si>
    <t>Frame 5-7</t>
  </si>
  <si>
    <t>Frame 8</t>
  </si>
  <si>
    <t>Frame 9+</t>
  </si>
  <si>
    <t>6. Brick Veneer</t>
  </si>
  <si>
    <t>OUTPUT BACK TO QUOTEY</t>
  </si>
  <si>
    <t xml:space="preserve">This is what Quotey should pick up </t>
  </si>
  <si>
    <t>Not showing up</t>
  </si>
  <si>
    <t>coverID</t>
  </si>
  <si>
    <t>coverName</t>
  </si>
  <si>
    <t>Response</t>
  </si>
  <si>
    <t>Flag Notes</t>
  </si>
  <si>
    <t>Insurer Response</t>
  </si>
  <si>
    <t>Comment</t>
  </si>
  <si>
    <t>Price quoted (premium + fees)</t>
  </si>
  <si>
    <t>Insurer fees</t>
  </si>
  <si>
    <t>Covermatch</t>
  </si>
  <si>
    <t>Quotey Value Score</t>
  </si>
  <si>
    <t>Arson reward</t>
  </si>
  <si>
    <t>Bailees customer form</t>
  </si>
  <si>
    <t>Building bylaws</t>
  </si>
  <si>
    <t>Brands and labels</t>
  </si>
  <si>
    <t>Broadform Building coverage</t>
  </si>
  <si>
    <t>Business Contents</t>
  </si>
  <si>
    <t>By-Laws - additional time to rebuild</t>
  </si>
  <si>
    <t>Catch-all Clause</t>
  </si>
  <si>
    <t>Coinsurance condition</t>
  </si>
  <si>
    <t>Coinsurance waiver</t>
  </si>
  <si>
    <t>Condominium contingent</t>
  </si>
  <si>
    <t>Condominium loss assessment</t>
  </si>
  <si>
    <t>Consequential loss</t>
  </si>
  <si>
    <t>Contents at newly acquired locations</t>
  </si>
  <si>
    <t>Contents at unnamed locations</t>
  </si>
  <si>
    <t>Contents broadform coverage</t>
  </si>
  <si>
    <t>Contents of others</t>
  </si>
  <si>
    <t>Contract penalty coverage</t>
  </si>
  <si>
    <t>Contractor's equipment</t>
  </si>
  <si>
    <t>Contractor's equipment - co-insurance</t>
  </si>
  <si>
    <t>Contractors equipment - fire department charges</t>
  </si>
  <si>
    <t>Contractors equipment - loss of use</t>
  </si>
  <si>
    <t>Contractor's equipment - single item maximum</t>
  </si>
  <si>
    <t>Contractors equipment - sinking into muskeg or ice</t>
  </si>
  <si>
    <t>Contractor's equipment replacement cost</t>
  </si>
  <si>
    <t>Conviction reward</t>
  </si>
  <si>
    <t>Data coverage</t>
  </si>
  <si>
    <t>Debris Removal</t>
  </si>
  <si>
    <t>General property deductible</t>
  </si>
  <si>
    <t>Eco-friendly coverage enhancement</t>
  </si>
  <si>
    <t>Computers and other Electronic Data Processing Equipment</t>
  </si>
  <si>
    <t>Computers and other Electronic Data Processing Equipment - away from your regular premises</t>
  </si>
  <si>
    <t>Exhibition insurance</t>
  </si>
  <si>
    <t>Expediting expenses</t>
  </si>
  <si>
    <t>Exterior glass</t>
  </si>
  <si>
    <t>Exterior signs</t>
  </si>
  <si>
    <t>Extinguishing System warranty</t>
  </si>
  <si>
    <t>Fire department charges</t>
  </si>
  <si>
    <t>Fire suppression recharge</t>
  </si>
  <si>
    <t>Growing plants, trees, shrubs (per item)</t>
  </si>
  <si>
    <t>Home office extension</t>
  </si>
  <si>
    <t>Installation form / floater</t>
  </si>
  <si>
    <t>Leased, rented or borrowed equipment</t>
  </si>
  <si>
    <t>Leasehold interest - rents</t>
  </si>
  <si>
    <t>Master key coverage</t>
  </si>
  <si>
    <t>Mortgage rate guarantee</t>
  </si>
  <si>
    <t>Newly acquired buildings</t>
  </si>
  <si>
    <t>Newly acquired business contents</t>
  </si>
  <si>
    <t>Newly acquired equipment</t>
  </si>
  <si>
    <t>Newly acquired locations</t>
  </si>
  <si>
    <t>Off-premises service interruption</t>
  </si>
  <si>
    <t>Parcel post</t>
  </si>
  <si>
    <t>Pavement, Sidewalk and Driveways</t>
  </si>
  <si>
    <t>Personal effects and property of employees and others</t>
  </si>
  <si>
    <t>Pollution clean-up and removal (insured premises)</t>
  </si>
  <si>
    <t>Preservation of property</t>
  </si>
  <si>
    <t>Professional fees for proving a loss</t>
  </si>
  <si>
    <t>Property off premises and in transit</t>
  </si>
  <si>
    <t>Rental reimbursement</t>
  </si>
  <si>
    <t>Replacement cost - property of every description</t>
  </si>
  <si>
    <t>Replacement cost - tools</t>
  </si>
  <si>
    <t>Retailers product impairment</t>
  </si>
  <si>
    <t>Sales representative samples</t>
  </si>
  <si>
    <t>Seasonal increase to business contents limit</t>
  </si>
  <si>
    <t>Sewer Backup</t>
  </si>
  <si>
    <t>Stock</t>
  </si>
  <si>
    <t>Stock spoilage</t>
  </si>
  <si>
    <t>Tenants damage by vandalism exclusion</t>
  </si>
  <si>
    <t>Tools aggregate limit</t>
  </si>
  <si>
    <t>Tools single item limit</t>
  </si>
  <si>
    <t>Tools co-insurance</t>
  </si>
  <si>
    <t>Work damage to stock</t>
  </si>
  <si>
    <t>Absolute pollution exclusion endorsement</t>
  </si>
  <si>
    <t>Products &amp; Completed Operations</t>
  </si>
  <si>
    <t>Care, custody and control</t>
  </si>
  <si>
    <t>Bodily injury &amp; property damage (CGL)</t>
  </si>
  <si>
    <t>Condominium special assessment</t>
  </si>
  <si>
    <t>Contingent wrap-up liability including diff in conditions</t>
  </si>
  <si>
    <t>Contingent wrap-up liability including diff in deductibles</t>
  </si>
  <si>
    <t>Contractors Errors &amp; Omissions</t>
  </si>
  <si>
    <t>Excess liability</t>
  </si>
  <si>
    <t>Damage from Blasting, Pile Driving, Removal or Weakening of Support</t>
  </si>
  <si>
    <t>Elevator and Hoist collision</t>
  </si>
  <si>
    <t>Failure to perform</t>
  </si>
  <si>
    <t>Faulty workmanship</t>
  </si>
  <si>
    <t>Forest and Prairie Fire Fighting Expense</t>
  </si>
  <si>
    <t>Fungi and fungal derivatives</t>
  </si>
  <si>
    <t>General aggregate of liability</t>
  </si>
  <si>
    <t>Umbrella liability</t>
  </si>
  <si>
    <t>Wrap-up liability</t>
  </si>
  <si>
    <t>Limitation of coverages to designated premises</t>
  </si>
  <si>
    <t>Limited Pollution Liability</t>
  </si>
  <si>
    <t>Medical expense per person</t>
  </si>
  <si>
    <t>Non-Owned Auto - SEF 94 - Damage to hired autos</t>
  </si>
  <si>
    <t>Non-Owned Auto - SPF 6</t>
  </si>
  <si>
    <t>Non-Owned Auto - OEF 98B</t>
  </si>
  <si>
    <t>Non-Owned Auto - SEF 96 - Contractual liability</t>
  </si>
  <si>
    <t>Non-Owned Auto - SEF 99 - Excluding long term leased vehicles</t>
  </si>
  <si>
    <t>Pandemic exclusion</t>
  </si>
  <si>
    <t>Personal &amp; Advertising injury</t>
  </si>
  <si>
    <t>General Liability Deductible</t>
  </si>
  <si>
    <t>Riggers Liability / Hook Coverage</t>
  </si>
  <si>
    <t>Rip and Tear</t>
  </si>
  <si>
    <t>Tenant's legal liability</t>
  </si>
  <si>
    <t>Voluntary property damage</t>
  </si>
  <si>
    <t>Additional property damage exclusion</t>
  </si>
  <si>
    <t>Contingent loss of income</t>
  </si>
  <si>
    <t>Basic Rental income</t>
  </si>
  <si>
    <t>Gross rents</t>
  </si>
  <si>
    <t>Loss of earnings</t>
  </si>
  <si>
    <t>Profits</t>
  </si>
  <si>
    <t>Actual Loss Sustained</t>
  </si>
  <si>
    <t>Computer fraud</t>
  </si>
  <si>
    <t>Depositors forgery</t>
  </si>
  <si>
    <t>Employee dishonesty</t>
  </si>
  <si>
    <t>Forgery or Alteration</t>
  </si>
  <si>
    <t>Funds Transfer Fraud</t>
  </si>
  <si>
    <t>Identity Theft</t>
  </si>
  <si>
    <t>Incoming cheque forgery</t>
  </si>
  <si>
    <t>Kidnap and ransom</t>
  </si>
  <si>
    <t>Medical expense from robbery</t>
  </si>
  <si>
    <t>Money &amp; Securities</t>
  </si>
  <si>
    <t>Money orders &amp; counterfeit currency</t>
  </si>
  <si>
    <t>Theft from custodian's home</t>
  </si>
  <si>
    <t>Third Party Bond</t>
  </si>
  <si>
    <t>Incident response costs</t>
  </si>
  <si>
    <t>Legal and regulatory costs</t>
  </si>
  <si>
    <t>IT Security and Forensic Costs</t>
  </si>
  <si>
    <t>Crisis communication costs</t>
  </si>
  <si>
    <t>Privacy breach management costs</t>
  </si>
  <si>
    <t>Third party privacy breach management costs</t>
  </si>
  <si>
    <t>Post breach remediation costs</t>
  </si>
  <si>
    <t>Funds transfer fraud &amp; Social Engineering</t>
  </si>
  <si>
    <t>Theft of funds held in escrow</t>
  </si>
  <si>
    <t>Theft of personal funds</t>
  </si>
  <si>
    <t>Cyber extortion</t>
  </si>
  <si>
    <t>Corporate Identity theft</t>
  </si>
  <si>
    <t>Telephone hacking</t>
  </si>
  <si>
    <t>Push payment fraud</t>
  </si>
  <si>
    <t>Unauthorized use of computer resources</t>
  </si>
  <si>
    <t>System or data damage and rectification costs</t>
  </si>
  <si>
    <t>Income loss and extra expense</t>
  </si>
  <si>
    <t>Additional extra expense</t>
  </si>
  <si>
    <t>Dependent business interruption</t>
  </si>
  <si>
    <t>Consequential reputation harm</t>
  </si>
  <si>
    <t>Claim preparation costs</t>
  </si>
  <si>
    <t>Hardware replacement costs</t>
  </si>
  <si>
    <t>Network security liability</t>
  </si>
  <si>
    <t>Privacy Liability</t>
  </si>
  <si>
    <t>Management liability</t>
  </si>
  <si>
    <t>Regulatory fines &amp; penalties</t>
  </si>
  <si>
    <t>PCI Fines, penalties and assessments</t>
  </si>
  <si>
    <t>Defamation</t>
  </si>
  <si>
    <t>Intellectual property rights infringement</t>
  </si>
  <si>
    <t>Court attendance costs</t>
  </si>
  <si>
    <t>Bodily injury</t>
  </si>
  <si>
    <t>Contract disputes and debt recovery</t>
  </si>
  <si>
    <t>Employment disputes</t>
  </si>
  <si>
    <t>Legal defence</t>
  </si>
  <si>
    <t>Property protection</t>
  </si>
  <si>
    <t>Statutory license protection</t>
  </si>
  <si>
    <t>Tax protection</t>
  </si>
  <si>
    <t>Unlimited legal assistance (helpline)</t>
  </si>
  <si>
    <t>Free antivirus software</t>
  </si>
  <si>
    <t>Errors &amp; Omissions (E&amp;O)</t>
  </si>
  <si>
    <t>Errors &amp; Omissions - Aggregate Limit</t>
  </si>
  <si>
    <t>E&amp;O - Basis of coverage</t>
  </si>
  <si>
    <t>E&amp;O deductible</t>
  </si>
  <si>
    <t>Defence costs in addition to limit</t>
  </si>
  <si>
    <t>First dollar defence coverage</t>
  </si>
  <si>
    <t>E&amp;O Retroactive date</t>
  </si>
  <si>
    <t>Tenant's Improvements</t>
  </si>
  <si>
    <t>Territory of coverage</t>
  </si>
  <si>
    <t>Territory of suit</t>
  </si>
  <si>
    <t>Loss of documents</t>
  </si>
  <si>
    <t>Libel &amp; slander</t>
  </si>
  <si>
    <t>Breach of copyright</t>
  </si>
  <si>
    <t>Breach of confidence</t>
  </si>
  <si>
    <t>Medical expenses - each occurrence</t>
  </si>
  <si>
    <t>Interruption by Civil Authority</t>
  </si>
  <si>
    <t xml:space="preserve">Equipment  </t>
  </si>
  <si>
    <t>Broker fees</t>
  </si>
  <si>
    <t>Commission rate</t>
  </si>
  <si>
    <t>Minimum retained premium</t>
  </si>
  <si>
    <t>Quote expiry date</t>
  </si>
  <si>
    <t>Quote reference</t>
  </si>
  <si>
    <t>Contents Replacement Cost</t>
  </si>
  <si>
    <t>Contractor's Equipment Schedule Required</t>
  </si>
  <si>
    <t>Locked Vehicle Warranty</t>
  </si>
  <si>
    <t>Welding Warranty</t>
  </si>
  <si>
    <t>Subcontractors Warranty</t>
  </si>
  <si>
    <t>USA Sales and Operations Exclusion</t>
  </si>
  <si>
    <t>Exclusion of Snow Removal activities</t>
  </si>
  <si>
    <t>Sewer Backup Deductible</t>
  </si>
  <si>
    <t>Vandalism by Tenants</t>
  </si>
  <si>
    <t>Vandalism by Tenants Deductible</t>
  </si>
  <si>
    <t>Cooking in rooms exclusion</t>
  </si>
  <si>
    <t>Smoke Detector Warranty</t>
  </si>
  <si>
    <t>Cyber deductible</t>
  </si>
  <si>
    <t>Waiting period</t>
  </si>
  <si>
    <t>RenoRun</t>
  </si>
  <si>
    <t>Exclusion of activities or work performed prior to the risk effective date of the policy</t>
  </si>
  <si>
    <t>Specified Operation Exclusion:Plumbing, electricity, roofing work done by the insured themselves</t>
  </si>
  <si>
    <t>Specified Operation Exclusion:Plumbing, roofing work done by the insured themselves</t>
  </si>
  <si>
    <t>Blasting, Pile Driving, Weakness of Support exclusion</t>
  </si>
  <si>
    <t>Underground Working conditions</t>
  </si>
  <si>
    <t>Removal and repair of products exclusion</t>
  </si>
  <si>
    <t>License required for application of pesticides</t>
  </si>
  <si>
    <t>Anti-theft precautions</t>
  </si>
  <si>
    <t>Pesticide / Weed Spraying exclusion</t>
  </si>
  <si>
    <t>Liability for water damage deductible</t>
  </si>
  <si>
    <t>Quotey Output Map</t>
  </si>
  <si>
    <t>Contents Broadform coverage</t>
  </si>
  <si>
    <t>Water damage Deductible</t>
  </si>
  <si>
    <t>Premium &amp; Fees</t>
  </si>
  <si>
    <t>Min retained premium</t>
  </si>
  <si>
    <t>Decline reason</t>
  </si>
  <si>
    <t>Type</t>
  </si>
  <si>
    <t>Refer / Decline Reason</t>
  </si>
  <si>
    <t>Rating Update Log</t>
  </si>
  <si>
    <t>Date</t>
  </si>
  <si>
    <t>Action</t>
  </si>
  <si>
    <t>Insure Config updated?</t>
  </si>
  <si>
    <t>Sent to Darshan to upload?</t>
  </si>
  <si>
    <t>Risk must be in Canada</t>
  </si>
  <si>
    <t>Quotey Code</t>
  </si>
  <si>
    <t>Barber Shops, Mens Hairstyling</t>
  </si>
  <si>
    <t>Hairdresser</t>
  </si>
  <si>
    <t>Beauty parlour</t>
  </si>
  <si>
    <t>Beaty parlour</t>
  </si>
  <si>
    <t>Hot Stones</t>
  </si>
  <si>
    <t>Acceptable Operation</t>
  </si>
  <si>
    <t>Eyebrow Tinting</t>
  </si>
  <si>
    <t>Other operations</t>
  </si>
  <si>
    <t>30020b</t>
  </si>
  <si>
    <t>30020a</t>
  </si>
  <si>
    <t>30020c</t>
  </si>
  <si>
    <t>30038a</t>
  </si>
  <si>
    <t>30038b</t>
  </si>
  <si>
    <t>Total revenue - prior year</t>
  </si>
  <si>
    <t>Total revenue - projected</t>
  </si>
  <si>
    <t>Total projected revenues max $2,000,000</t>
  </si>
  <si>
    <t>Zero revenues reported</t>
  </si>
  <si>
    <t>To do: Finalize mapping cover outputs back to Quotey</t>
  </si>
  <si>
    <t>What about showing GL as also being E&amp;O when returning to Quotey: confirmed: YES</t>
  </si>
  <si>
    <t>Question: do building acceptance criteria also fail if Rented / Leased?</t>
  </si>
  <si>
    <t>location_1_503820</t>
  </si>
  <si>
    <t>Is any part of the property vacant? (Yes/No)</t>
  </si>
  <si>
    <t>* Decline criteria added and updated (so that it all works correctly)
* adding operations to connect with Quotey and rejigging these various criteria so it all works
* transformed operations in question set to be more specific about picking each operation
* Reviewed / fixed decline criteria</t>
  </si>
  <si>
    <t>no</t>
  </si>
  <si>
    <t>Wrongful termination</t>
  </si>
  <si>
    <t>Workplace Torts</t>
  </si>
  <si>
    <t>Discrimination (Employment)</t>
  </si>
  <si>
    <t>Discrimination (Denial of Access to Members)</t>
  </si>
  <si>
    <t>Employment Practices Liability deductible</t>
  </si>
  <si>
    <t>Abuse Liability</t>
  </si>
  <si>
    <t>Accident, Heart Attack &amp; Stroke</t>
  </si>
  <si>
    <t>Additional Insured endorsement</t>
  </si>
  <si>
    <t>Miscellaneous property floater</t>
  </si>
  <si>
    <t>Medical Malpractice liability</t>
  </si>
  <si>
    <t>Professional</t>
  </si>
  <si>
    <t>Medical Malpractice liability (E&amp;O)</t>
  </si>
  <si>
    <t>Freestanding fences, walls and courts</t>
  </si>
  <si>
    <t>Retroactive Date Endorsement</t>
  </si>
  <si>
    <t>2nd location type</t>
  </si>
  <si>
    <t>Cannot quote multi-location businesses</t>
  </si>
  <si>
    <t>Added refer for multi location businesses</t>
  </si>
  <si>
    <t>Is there some reason why some of the GL discounts are not being applied?  E.g. Provincial, alarm, claim free.</t>
  </si>
  <si>
    <t xml:space="preserve">To do: Find out Min retained premium, commission rates, quote validity period. </t>
  </si>
  <si>
    <t>WORKING INPUT STRING</t>
  </si>
  <si>
    <t>Region Output</t>
  </si>
  <si>
    <t>Provisional Liability Premium</t>
  </si>
  <si>
    <t>Region of Risk</t>
  </si>
  <si>
    <t>Regional Discounts</t>
  </si>
  <si>
    <t>Prairie</t>
  </si>
  <si>
    <t>GL Premium after Regional Discount</t>
  </si>
  <si>
    <t>Has business had any claims in last 5 years?</t>
  </si>
  <si>
    <t>Claims Discounts</t>
  </si>
  <si>
    <t>Discount applicable for claims free</t>
  </si>
  <si>
    <t>Discount applicable for region</t>
  </si>
  <si>
    <t>GL Premium after Claims Discount</t>
  </si>
  <si>
    <t>Final GL Premium</t>
  </si>
  <si>
    <t>Min retained updated = $100 as per Jay
Quote validity updated as 60 days as per Jay
Commission is 17.5% on new biz updated as per Jay.
Small tweaks to building update criteria so they don't fail if age equals max, i.e. must be &gt; rather than &gt;=
Confirmed all building criteria as to whether it applies if building is leased or owned
Updated so that min $2M GL is always quoted, i.e. no option for zero or $1M GL
Added discounts for region, and claims free as per Jay.</t>
  </si>
  <si>
    <t>Added fees as per Anita @ $50 / programs, or 11.11% (min $100) on other.</t>
  </si>
  <si>
    <t>Other Fail Area</t>
  </si>
  <si>
    <t>Accept</t>
  </si>
  <si>
    <t>Eyebrow / Tinting / extensions</t>
  </si>
  <si>
    <t>Operations do not equal 100%</t>
  </si>
  <si>
    <t>location_1_58300</t>
  </si>
  <si>
    <t>location_2_58300</t>
  </si>
  <si>
    <t>Bld Decline</t>
  </si>
  <si>
    <t>Exclude from Bld Decline Quotes</t>
  </si>
  <si>
    <t>Individual Esthetician</t>
  </si>
  <si>
    <t>Question: do you care about any COPE on Work from Home?  Assume not?: Answer: No</t>
  </si>
  <si>
    <t>Shared with CGL aggregate</t>
  </si>
  <si>
    <t>Occurrence</t>
  </si>
  <si>
    <t>-</t>
  </si>
  <si>
    <t>By endorsement</t>
  </si>
  <si>
    <t>Canada only</t>
  </si>
  <si>
    <t>* Updated for building decline only, which still quotes GL (and packages).  
* Fixed a few other issues, especially around calculating revenue per operation as a perecentage breakdown rather than a $$$ input from user.
* New logic also added around which package to choose in different circumstances.
* Added professional coverages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</si>
</sst>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6" formatCode="&quot;$&quot;#,##0;[Red]\-&quot;$&quot;#,##0"/>
    <numFmt numFmtId="43" formatCode="_-* #,##0.00_-;\-* #,##0.00_-;_-* &quot;-&quot;??_-;_-@_-"/>
    <numFmt numFmtId="164" formatCode="&quot;$&quot;#,##0_);[Red]\(&quot;$&quot;#,##0\)"/>
    <numFmt numFmtId="165" formatCode="0;[Red]0"/>
    <numFmt numFmtId="166" formatCode="_(&quot;$&quot;* #,##0.00_);_(&quot;$&quot;* \(#,##0.00\);_(&quot;$&quot;* &quot;-&quot;??_);_(@_)"/>
    <numFmt numFmtId="167" formatCode="_(&quot;$&quot;* #,##0_);_(&quot;$&quot;* \(#,##0\);_(&quot;$&quot;* &quot;-&quot;_);_(@_)"/>
    <numFmt numFmtId="168" formatCode="_(&quot;$&quot;* #,##0_);_(&quot;$&quot;* \(#,##0\);_(&quot;$&quot;* &quot;-&quot;??_);_(@_)"/>
    <numFmt numFmtId="169" formatCode="_(* #,##0.000_);_(* \(#,##0.000\);_(* &quot;-&quot;???_);_(@_)"/>
    <numFmt numFmtId="170" formatCode="_(&quot;$&quot;* #,##0.000_);_(&quot;$&quot;* \(#,##0.000\);_(&quot;$&quot;* &quot;-&quot;???_);_(@_)"/>
    <numFmt numFmtId="171" formatCode="_(&quot;$&quot;* #,##0.0000_);_(&quot;$&quot;* \(#,##0.0000\);_(&quot;$&quot;* &quot;-&quot;????_);_(@_)"/>
    <numFmt numFmtId="172" formatCode="0.000"/>
    <numFmt numFmtId="173" formatCode="&quot;$&quot;#,##0"/>
    <numFmt numFmtId="174" formatCode="&quot;$&quot;#,##0_);\(&quot;$&quot;#,##0\)"/>
    <numFmt numFmtId="175" formatCode="0.0%"/>
    <numFmt numFmtId="176" formatCode="#,##0_ ;[Red]\-#,##0\ "/>
    <numFmt numFmtId="177" formatCode="d\ mmm\ yyyy"/>
  </numFmts>
  <fonts count="28" x14ac:knownFonts="1">
    <font>
      <sz val="11"/>
      <color theme="1"/>
      <name val="Calibri"/>
      <family val="2"/>
      <scheme val="minor"/>
    </font>
    <font>
      <b/>
      <sz val="11"/>
      <color theme="1"/>
      <name val="Calibri"/>
      <family val="2"/>
      <scheme val="minor"/>
    </font>
    <font>
      <b/>
      <sz val="18"/>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8"/>
      <name val="Arial"/>
      <family val="2"/>
    </font>
    <font>
      <b/>
      <u/>
      <sz val="11"/>
      <color theme="1"/>
      <name val="Calibri"/>
      <family val="2"/>
      <scheme val="minor"/>
    </font>
    <font>
      <b/>
      <sz val="14"/>
      <color theme="1"/>
      <name val="Calibri"/>
      <family val="2"/>
      <scheme val="minor"/>
    </font>
    <font>
      <b/>
      <sz val="13"/>
      <color theme="1"/>
      <name val="Calibri"/>
      <family val="2"/>
      <scheme val="minor"/>
    </font>
    <font>
      <sz val="11"/>
      <color rgb="FFFF0000"/>
      <name val="Calibri"/>
      <family val="2"/>
      <scheme val="minor"/>
    </font>
    <font>
      <u/>
      <sz val="11"/>
      <color theme="1"/>
      <name val="Calibri"/>
      <family val="2"/>
      <scheme val="minor"/>
    </font>
    <font>
      <b/>
      <sz val="13"/>
      <color theme="5"/>
      <name val="Calibri"/>
      <family val="2"/>
      <scheme val="minor"/>
    </font>
    <font>
      <sz val="11"/>
      <name val="Calibri"/>
      <family val="2"/>
      <scheme val="minor"/>
    </font>
    <font>
      <b/>
      <sz val="11"/>
      <name val="Calibri"/>
      <family val="2"/>
      <scheme val="minor"/>
    </font>
    <font>
      <sz val="5"/>
      <color theme="1"/>
      <name val="Calibri"/>
      <family val="2"/>
      <scheme val="minor"/>
    </font>
    <font>
      <sz val="10"/>
      <name val="Arial"/>
      <family val="2"/>
    </font>
    <font>
      <b/>
      <sz val="8"/>
      <name val="Arial"/>
      <family val="2"/>
    </font>
    <font>
      <b/>
      <sz val="10"/>
      <name val="Arial"/>
      <family val="2"/>
    </font>
    <font>
      <sz val="10"/>
      <name val="Arial"/>
      <family val="2"/>
    </font>
    <font>
      <b/>
      <sz val="9"/>
      <name val="Arial"/>
      <family val="2"/>
    </font>
    <font>
      <i/>
      <sz val="8"/>
      <name val="Arial"/>
      <family val="2"/>
    </font>
    <font>
      <sz val="10"/>
      <name val="Times New Roman"/>
      <family val="1"/>
    </font>
    <font>
      <b/>
      <sz val="11"/>
      <color rgb="FF000000"/>
      <name val="Calibri"/>
      <family val="2"/>
    </font>
    <font>
      <sz val="11"/>
      <color rgb="FF000000"/>
      <name val="Calibri"/>
      <family val="2"/>
    </font>
    <font>
      <b/>
      <sz val="16"/>
      <color theme="1"/>
      <name val="Calibri"/>
      <family val="2"/>
      <scheme val="minor"/>
    </font>
    <font>
      <sz val="9"/>
      <color indexed="81"/>
      <name val="Tahoma"/>
      <family val="2"/>
    </font>
    <font>
      <b/>
      <sz val="9"/>
      <color indexed="81"/>
      <name val="Tahoma"/>
      <family val="2"/>
    </font>
  </fonts>
  <fills count="1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1"/>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9" tint="0.39997558519241921"/>
        <bgColor indexed="64"/>
      </patternFill>
    </fill>
    <fill>
      <patternFill patternType="solid">
        <fgColor indexed="26"/>
        <bgColor indexed="64"/>
      </patternFill>
    </fill>
    <fill>
      <patternFill patternType="solid">
        <fgColor indexed="9"/>
        <bgColor indexed="64"/>
      </patternFill>
    </fill>
    <fill>
      <patternFill patternType="solid">
        <fgColor theme="0"/>
        <bgColor indexed="64"/>
      </patternFill>
    </fill>
    <fill>
      <patternFill patternType="solid">
        <fgColor indexed="43"/>
        <bgColor indexed="64"/>
      </patternFill>
    </fill>
    <fill>
      <patternFill patternType="solid">
        <fgColor rgb="FF9BC2E6"/>
        <bgColor indexed="64"/>
      </patternFill>
    </fill>
    <fill>
      <patternFill patternType="solid">
        <fgColor rgb="FFDDEBF7"/>
        <bgColor indexed="64"/>
      </patternFill>
    </fill>
    <fill>
      <patternFill patternType="solid">
        <fgColor rgb="FFFFC000"/>
        <bgColor indexed="64"/>
      </patternFill>
    </fill>
    <fill>
      <patternFill patternType="solid">
        <fgColor theme="0" tint="-0.249977111117893"/>
        <bgColor indexed="64"/>
      </patternFill>
    </fill>
  </fills>
  <borders count="109">
    <border>
      <left/>
      <right/>
      <top/>
      <bottom/>
      <diagonal/>
    </border>
    <border>
      <left/>
      <right style="medium">
        <color auto="1"/>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auto="1"/>
      </left>
      <right/>
      <top/>
      <bottom/>
      <diagonal/>
    </border>
    <border>
      <left style="thin">
        <color theme="0" tint="-0.249977111117893"/>
      </left>
      <right style="thin">
        <color theme="0" tint="-0.249977111117893"/>
      </right>
      <top style="thin">
        <color theme="0" tint="-0.249977111117893"/>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22"/>
      </left>
      <right style="thin">
        <color indexed="22"/>
      </right>
      <top/>
      <bottom/>
      <diagonal/>
    </border>
    <border>
      <left style="medium">
        <color indexed="64"/>
      </left>
      <right style="thin">
        <color indexed="22"/>
      </right>
      <top style="medium">
        <color indexed="64"/>
      </top>
      <bottom style="thin">
        <color indexed="22"/>
      </bottom>
      <diagonal/>
    </border>
    <border>
      <left style="thin">
        <color indexed="22"/>
      </left>
      <right style="thin">
        <color indexed="22"/>
      </right>
      <top style="medium">
        <color indexed="64"/>
      </top>
      <bottom style="thin">
        <color indexed="22"/>
      </bottom>
      <diagonal/>
    </border>
    <border>
      <left style="thin">
        <color indexed="22"/>
      </left>
      <right style="medium">
        <color indexed="64"/>
      </right>
      <top style="medium">
        <color indexed="64"/>
      </top>
      <bottom style="thin">
        <color indexed="22"/>
      </bottom>
      <diagonal/>
    </border>
    <border>
      <left style="medium">
        <color indexed="64"/>
      </left>
      <right style="thin">
        <color indexed="22"/>
      </right>
      <top/>
      <bottom/>
      <diagonal/>
    </border>
    <border>
      <left style="thin">
        <color indexed="22"/>
      </left>
      <right style="medium">
        <color indexed="64"/>
      </right>
      <top/>
      <bottom/>
      <diagonal/>
    </border>
    <border>
      <left style="medium">
        <color indexed="64"/>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medium">
        <color indexed="64"/>
      </right>
      <top style="thin">
        <color indexed="22"/>
      </top>
      <bottom style="thin">
        <color indexed="22"/>
      </bottom>
      <diagonal/>
    </border>
    <border>
      <left style="medium">
        <color indexed="64"/>
      </left>
      <right style="thin">
        <color indexed="22"/>
      </right>
      <top style="thin">
        <color indexed="22"/>
      </top>
      <bottom style="medium">
        <color indexed="64"/>
      </bottom>
      <diagonal/>
    </border>
    <border>
      <left style="thin">
        <color indexed="22"/>
      </left>
      <right style="thin">
        <color indexed="22"/>
      </right>
      <top style="thin">
        <color indexed="22"/>
      </top>
      <bottom style="medium">
        <color indexed="64"/>
      </bottom>
      <diagonal/>
    </border>
    <border>
      <left style="thin">
        <color indexed="22"/>
      </left>
      <right style="medium">
        <color indexed="64"/>
      </right>
      <top style="thin">
        <color indexed="22"/>
      </top>
      <bottom style="medium">
        <color indexed="64"/>
      </bottom>
      <diagonal/>
    </border>
    <border>
      <left style="thin">
        <color indexed="64"/>
      </left>
      <right/>
      <top style="medium">
        <color indexed="64"/>
      </top>
      <bottom/>
      <diagonal/>
    </border>
    <border>
      <left style="medium">
        <color indexed="64"/>
      </left>
      <right style="thin">
        <color indexed="22"/>
      </right>
      <top style="medium">
        <color indexed="64"/>
      </top>
      <bottom style="medium">
        <color indexed="64"/>
      </bottom>
      <diagonal/>
    </border>
    <border>
      <left style="thin">
        <color indexed="22"/>
      </left>
      <right style="thin">
        <color indexed="22"/>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theme="0" tint="-0.249977111117893"/>
      </right>
      <top style="medium">
        <color indexed="64"/>
      </top>
      <bottom style="thin">
        <color theme="0" tint="-0.249977111117893"/>
      </bottom>
      <diagonal/>
    </border>
    <border>
      <left style="thin">
        <color theme="0" tint="-0.249977111117893"/>
      </left>
      <right style="thin">
        <color theme="0" tint="-0.249977111117893"/>
      </right>
      <top style="medium">
        <color indexed="64"/>
      </top>
      <bottom style="thin">
        <color theme="0" tint="-0.249977111117893"/>
      </bottom>
      <diagonal/>
    </border>
    <border>
      <left style="thin">
        <color theme="0" tint="-0.249977111117893"/>
      </left>
      <right style="medium">
        <color indexed="64"/>
      </right>
      <top style="medium">
        <color indexed="64"/>
      </top>
      <bottom style="thin">
        <color theme="0" tint="-0.249977111117893"/>
      </bottom>
      <diagonal/>
    </border>
    <border>
      <left style="medium">
        <color indexed="64"/>
      </left>
      <right style="thin">
        <color theme="0" tint="-0.249977111117893"/>
      </right>
      <top style="thin">
        <color theme="0" tint="-0.249977111117893"/>
      </top>
      <bottom style="thin">
        <color theme="0" tint="-0.249977111117893"/>
      </bottom>
      <diagonal/>
    </border>
    <border>
      <left style="thin">
        <color theme="0" tint="-0.249977111117893"/>
      </left>
      <right style="medium">
        <color indexed="64"/>
      </right>
      <top style="thin">
        <color theme="0" tint="-0.249977111117893"/>
      </top>
      <bottom style="thin">
        <color theme="0" tint="-0.249977111117893"/>
      </bottom>
      <diagonal/>
    </border>
    <border>
      <left style="medium">
        <color indexed="64"/>
      </left>
      <right style="thin">
        <color theme="0" tint="-0.249977111117893"/>
      </right>
      <top style="thin">
        <color theme="0" tint="-0.249977111117893"/>
      </top>
      <bottom style="medium">
        <color indexed="64"/>
      </bottom>
      <diagonal/>
    </border>
    <border>
      <left style="thin">
        <color theme="0" tint="-0.249977111117893"/>
      </left>
      <right style="thin">
        <color theme="0" tint="-0.249977111117893"/>
      </right>
      <top style="thin">
        <color theme="0" tint="-0.249977111117893"/>
      </top>
      <bottom style="medium">
        <color indexed="64"/>
      </bottom>
      <diagonal/>
    </border>
    <border>
      <left style="thin">
        <color theme="0" tint="-0.249977111117893"/>
      </left>
      <right style="medium">
        <color indexed="64"/>
      </right>
      <top style="thin">
        <color theme="0" tint="-0.249977111117893"/>
      </top>
      <bottom style="medium">
        <color indexed="64"/>
      </bottom>
      <diagonal/>
    </border>
    <border>
      <left style="medium">
        <color indexed="64"/>
      </left>
      <right style="thin">
        <color indexed="22"/>
      </right>
      <top style="medium">
        <color indexed="64"/>
      </top>
      <bottom/>
      <diagonal/>
    </border>
    <border>
      <left style="thin">
        <color indexed="22"/>
      </left>
      <right style="thin">
        <color indexed="22"/>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9"/>
      </left>
      <right style="medium">
        <color indexed="9"/>
      </right>
      <top style="medium">
        <color indexed="9"/>
      </top>
      <bottom style="medium">
        <color indexed="9"/>
      </bottom>
      <diagonal/>
    </border>
    <border>
      <left style="medium">
        <color indexed="9"/>
      </left>
      <right style="medium">
        <color indexed="9"/>
      </right>
      <top style="medium">
        <color indexed="9"/>
      </top>
      <bottom/>
      <diagonal/>
    </border>
    <border>
      <left style="thin">
        <color indexed="22"/>
      </left>
      <right style="thin">
        <color indexed="22"/>
      </right>
      <top style="medium">
        <color indexed="64"/>
      </top>
      <bottom style="thin">
        <color indexed="64"/>
      </bottom>
      <diagonal/>
    </border>
    <border>
      <left style="medium">
        <color indexed="64"/>
      </left>
      <right style="thin">
        <color indexed="22"/>
      </right>
      <top style="thin">
        <color indexed="22"/>
      </top>
      <bottom/>
      <diagonal/>
    </border>
    <border>
      <left style="thin">
        <color indexed="22"/>
      </left>
      <right style="thin">
        <color indexed="22"/>
      </right>
      <top style="thin">
        <color indexed="22"/>
      </top>
      <bottom/>
      <diagonal/>
    </border>
    <border>
      <left style="thin">
        <color indexed="22"/>
      </left>
      <right style="thin">
        <color indexed="22"/>
      </right>
      <top/>
      <bottom style="thin">
        <color indexed="22"/>
      </bottom>
      <diagonal/>
    </border>
    <border>
      <left style="thin">
        <color indexed="22"/>
      </left>
      <right style="medium">
        <color indexed="64"/>
      </right>
      <top style="thin">
        <color indexed="22"/>
      </top>
      <bottom/>
      <diagonal/>
    </border>
    <border>
      <left style="medium">
        <color indexed="64"/>
      </left>
      <right style="thin">
        <color indexed="22"/>
      </right>
      <top/>
      <bottom style="medium">
        <color indexed="64"/>
      </bottom>
      <diagonal/>
    </border>
    <border>
      <left style="thin">
        <color indexed="22"/>
      </left>
      <right style="thin">
        <color indexed="22"/>
      </right>
      <top/>
      <bottom style="medium">
        <color indexed="64"/>
      </bottom>
      <diagonal/>
    </border>
    <border>
      <left style="thin">
        <color indexed="22"/>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9"/>
      </left>
      <right style="medium">
        <color indexed="9"/>
      </right>
      <top/>
      <bottom style="medium">
        <color indexed="9"/>
      </bottom>
      <diagonal/>
    </border>
    <border>
      <left style="medium">
        <color indexed="64"/>
      </left>
      <right style="thin">
        <color indexed="22"/>
      </right>
      <top style="thin">
        <color indexed="22"/>
      </top>
      <bottom style="thin">
        <color theme="0" tint="-0.249977111117893"/>
      </bottom>
      <diagonal/>
    </border>
    <border>
      <left style="thin">
        <color indexed="22"/>
      </left>
      <right style="thin">
        <color indexed="22"/>
      </right>
      <top style="thin">
        <color indexed="22"/>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23"/>
      </right>
      <top style="medium">
        <color indexed="64"/>
      </top>
      <bottom style="medium">
        <color indexed="64"/>
      </bottom>
      <diagonal/>
    </border>
    <border>
      <left style="medium">
        <color indexed="23"/>
      </left>
      <right style="medium">
        <color indexed="64"/>
      </right>
      <top style="medium">
        <color indexed="64"/>
      </top>
      <bottom style="medium">
        <color indexed="64"/>
      </bottom>
      <diagonal/>
    </border>
    <border>
      <left style="medium">
        <color indexed="64"/>
      </left>
      <right/>
      <top style="medium">
        <color indexed="64"/>
      </top>
      <bottom style="thin">
        <color indexed="22"/>
      </bottom>
      <diagonal/>
    </border>
    <border>
      <left/>
      <right style="thin">
        <color indexed="22"/>
      </right>
      <top style="medium">
        <color indexed="64"/>
      </top>
      <bottom style="thin">
        <color indexed="22"/>
      </bottom>
      <diagonal/>
    </border>
    <border>
      <left style="medium">
        <color indexed="64"/>
      </left>
      <right/>
      <top/>
      <bottom style="thin">
        <color indexed="22"/>
      </bottom>
      <diagonal/>
    </border>
    <border>
      <left/>
      <right style="thin">
        <color indexed="22"/>
      </right>
      <top/>
      <bottom style="thin">
        <color indexed="22"/>
      </bottom>
      <diagonal/>
    </border>
    <border>
      <left style="thin">
        <color indexed="22"/>
      </left>
      <right/>
      <top/>
      <bottom style="thin">
        <color indexed="22"/>
      </bottom>
      <diagonal/>
    </border>
    <border>
      <left/>
      <right style="medium">
        <color indexed="64"/>
      </right>
      <top/>
      <bottom style="thin">
        <color indexed="22"/>
      </bottom>
      <diagonal/>
    </border>
    <border>
      <left style="medium">
        <color indexed="64"/>
      </left>
      <right style="thin">
        <color indexed="22"/>
      </right>
      <top/>
      <bottom style="thin">
        <color indexed="22"/>
      </bottom>
      <diagonal/>
    </border>
    <border>
      <left style="thin">
        <color indexed="22"/>
      </left>
      <right style="medium">
        <color indexed="64"/>
      </right>
      <top/>
      <bottom style="thin">
        <color indexed="22"/>
      </bottom>
      <diagonal/>
    </border>
    <border>
      <left style="thin">
        <color indexed="22"/>
      </left>
      <right style="thin">
        <color indexed="22"/>
      </right>
      <top style="thin">
        <color indexed="22"/>
      </top>
      <bottom style="thin">
        <color indexed="64"/>
      </bottom>
      <diagonal/>
    </border>
    <border>
      <left style="medium">
        <color indexed="64"/>
      </left>
      <right style="thin">
        <color indexed="22"/>
      </right>
      <top style="thin">
        <color indexed="64"/>
      </top>
      <bottom style="thin">
        <color indexed="22"/>
      </bottom>
      <diagonal/>
    </border>
    <border>
      <left style="thin">
        <color indexed="22"/>
      </left>
      <right style="thin">
        <color indexed="22"/>
      </right>
      <top style="thin">
        <color indexed="64"/>
      </top>
      <bottom style="thin">
        <color indexed="22"/>
      </bottom>
      <diagonal/>
    </border>
    <border>
      <left style="thin">
        <color indexed="22"/>
      </left>
      <right style="medium">
        <color indexed="64"/>
      </right>
      <top style="thin">
        <color indexed="64"/>
      </top>
      <bottom style="thin">
        <color indexed="22"/>
      </bottom>
      <diagonal/>
    </border>
    <border>
      <left style="thin">
        <color indexed="22"/>
      </left>
      <right/>
      <top style="medium">
        <color indexed="64"/>
      </top>
      <bottom style="thin">
        <color indexed="22"/>
      </bottom>
      <diagonal/>
    </border>
    <border>
      <left style="thin">
        <color theme="0" tint="-0.249977111117893"/>
      </left>
      <right style="thin">
        <color theme="0" tint="-0.249977111117893"/>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top/>
      <bottom style="medium">
        <color indexed="64"/>
      </bottom>
      <diagonal/>
    </border>
    <border>
      <left/>
      <right/>
      <top/>
      <bottom style="thick">
        <color auto="1"/>
      </bottom>
      <diagonal/>
    </border>
    <border>
      <left/>
      <right/>
      <top/>
      <bottom style="hair">
        <color auto="1"/>
      </bottom>
      <diagonal/>
    </border>
    <border>
      <left/>
      <right/>
      <top style="hair">
        <color auto="1"/>
      </top>
      <bottom style="hair">
        <color auto="1"/>
      </bottom>
      <diagonal/>
    </border>
    <border>
      <left/>
      <right style="medium">
        <color auto="1"/>
      </right>
      <top style="hair">
        <color auto="1"/>
      </top>
      <bottom style="hair">
        <color auto="1"/>
      </bottom>
      <diagonal/>
    </border>
    <border>
      <left style="medium">
        <color auto="1"/>
      </left>
      <right/>
      <top style="hair">
        <color auto="1"/>
      </top>
      <bottom style="hair">
        <color auto="1"/>
      </bottom>
      <diagonal/>
    </border>
    <border>
      <left/>
      <right/>
      <top style="hair">
        <color auto="1"/>
      </top>
      <bottom/>
      <diagonal/>
    </border>
    <border>
      <left/>
      <right style="medium">
        <color auto="1"/>
      </right>
      <top style="hair">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top style="thin">
        <color auto="1"/>
      </top>
      <bottom style="hair">
        <color auto="1"/>
      </bottom>
      <diagonal/>
    </border>
    <border>
      <left/>
      <right/>
      <top style="thin">
        <color auto="1"/>
      </top>
      <bottom style="hair">
        <color auto="1"/>
      </bottom>
      <diagonal/>
    </border>
    <border>
      <left/>
      <right style="medium">
        <color auto="1"/>
      </right>
      <top style="thin">
        <color auto="1"/>
      </top>
      <bottom style="hair">
        <color auto="1"/>
      </bottom>
      <diagonal/>
    </border>
  </borders>
  <cellStyleXfs count="8">
    <xf numFmtId="0" fontId="0" fillId="0" borderId="0"/>
    <xf numFmtId="43" fontId="3" fillId="0" borderId="0" applyFont="0" applyFill="0" applyBorder="0" applyAlignment="0" applyProtection="0"/>
    <xf numFmtId="9" fontId="3" fillId="0" borderId="0" applyFont="0" applyFill="0" applyBorder="0" applyAlignment="0" applyProtection="0"/>
    <xf numFmtId="0" fontId="16" fillId="0" borderId="0"/>
    <xf numFmtId="166" fontId="19" fillId="0" borderId="0" applyFont="0" applyFill="0" applyBorder="0" applyAlignment="0" applyProtection="0"/>
    <xf numFmtId="0" fontId="3" fillId="0" borderId="0"/>
    <xf numFmtId="9" fontId="3" fillId="0" borderId="0" applyFont="0" applyFill="0" applyBorder="0" applyAlignment="0" applyProtection="0"/>
    <xf numFmtId="0" fontId="19" fillId="0" borderId="0"/>
  </cellStyleXfs>
  <cellXfs count="598">
    <xf numFmtId="0" fontId="0" fillId="0" borderId="0" xfId="0"/>
    <xf numFmtId="0" fontId="0" fillId="0" borderId="0" xfId="0" applyAlignment="1">
      <alignment vertical="top" wrapText="1"/>
    </xf>
    <xf numFmtId="0" fontId="1" fillId="0" borderId="0" xfId="0" applyFont="1"/>
    <xf numFmtId="0" fontId="0" fillId="2" borderId="0" xfId="0" applyFill="1" applyBorder="1" applyAlignment="1">
      <alignment horizontal="center"/>
    </xf>
    <xf numFmtId="0" fontId="0" fillId="2" borderId="1" xfId="0" applyFill="1" applyBorder="1" applyAlignment="1">
      <alignment horizontal="center"/>
    </xf>
    <xf numFmtId="0" fontId="0" fillId="2" borderId="0" xfId="0" applyFill="1" applyBorder="1" applyAlignment="1">
      <alignment horizontal="center" vertical="top" wrapText="1"/>
    </xf>
    <xf numFmtId="0" fontId="0" fillId="2" borderId="1" xfId="0" applyFill="1" applyBorder="1" applyAlignment="1">
      <alignment horizontal="center" vertical="top" wrapText="1"/>
    </xf>
    <xf numFmtId="0" fontId="1" fillId="2" borderId="0" xfId="0" applyFont="1" applyFill="1" applyBorder="1" applyAlignment="1">
      <alignment horizontal="center"/>
    </xf>
    <xf numFmtId="0" fontId="1" fillId="2" borderId="1" xfId="0" applyFont="1" applyFill="1" applyBorder="1" applyAlignment="1">
      <alignment horizontal="center"/>
    </xf>
    <xf numFmtId="0" fontId="0" fillId="0" borderId="0" xfId="0" applyAlignment="1">
      <alignment horizontal="center"/>
    </xf>
    <xf numFmtId="0" fontId="0" fillId="0" borderId="0" xfId="0" applyAlignment="1">
      <alignment horizontal="center" vertical="top" wrapText="1"/>
    </xf>
    <xf numFmtId="0" fontId="1" fillId="0" borderId="0" xfId="0" applyFont="1" applyAlignment="1">
      <alignment horizontal="left"/>
    </xf>
    <xf numFmtId="0" fontId="0" fillId="3" borderId="0" xfId="0" applyFill="1"/>
    <xf numFmtId="0" fontId="6" fillId="0" borderId="2" xfId="0" applyFont="1" applyBorder="1"/>
    <xf numFmtId="0" fontId="7" fillId="0" borderId="0" xfId="0" applyFont="1"/>
    <xf numFmtId="4" fontId="0" fillId="0" borderId="0" xfId="0" applyNumberFormat="1"/>
    <xf numFmtId="0" fontId="5" fillId="4" borderId="0" xfId="0" applyFont="1" applyFill="1"/>
    <xf numFmtId="0" fontId="1" fillId="5" borderId="0" xfId="0" applyFont="1" applyFill="1" applyAlignment="1">
      <alignment horizontal="center"/>
    </xf>
    <xf numFmtId="9" fontId="0" fillId="0" borderId="0" xfId="0" applyNumberFormat="1"/>
    <xf numFmtId="0" fontId="5" fillId="0" borderId="0" xfId="0" applyFont="1" applyFill="1"/>
    <xf numFmtId="43" fontId="0" fillId="0" borderId="0" xfId="1" applyFont="1"/>
    <xf numFmtId="0" fontId="0" fillId="0" borderId="0" xfId="0" applyFill="1"/>
    <xf numFmtId="0" fontId="4" fillId="4" borderId="0" xfId="0" applyFont="1" applyFill="1"/>
    <xf numFmtId="0" fontId="0" fillId="6" borderId="0" xfId="0" applyFill="1"/>
    <xf numFmtId="0" fontId="8" fillId="0" borderId="0" xfId="0" applyFont="1"/>
    <xf numFmtId="4" fontId="4" fillId="4" borderId="0" xfId="0" applyNumberFormat="1" applyFont="1" applyFill="1"/>
    <xf numFmtId="0" fontId="9" fillId="0" borderId="0" xfId="0" applyFont="1"/>
    <xf numFmtId="3" fontId="0" fillId="0" borderId="0" xfId="0" applyNumberFormat="1"/>
    <xf numFmtId="3" fontId="4" fillId="4" borderId="0" xfId="0" applyNumberFormat="1" applyFont="1" applyFill="1"/>
    <xf numFmtId="0" fontId="4" fillId="7" borderId="0" xfId="0" applyFont="1" applyFill="1"/>
    <xf numFmtId="4" fontId="5" fillId="4" borderId="0" xfId="0" applyNumberFormat="1" applyFont="1" applyFill="1"/>
    <xf numFmtId="16" fontId="0" fillId="0" borderId="0" xfId="0" quotePrefix="1" applyNumberFormat="1"/>
    <xf numFmtId="0" fontId="0" fillId="0" borderId="0" xfId="0" quotePrefix="1"/>
    <xf numFmtId="9" fontId="0" fillId="0" borderId="0" xfId="2" applyFont="1" applyFill="1"/>
    <xf numFmtId="3" fontId="0" fillId="0" borderId="0" xfId="2" applyNumberFormat="1" applyFont="1" applyFill="1"/>
    <xf numFmtId="2" fontId="5" fillId="4" borderId="0" xfId="0" applyNumberFormat="1" applyFont="1" applyFill="1"/>
    <xf numFmtId="0" fontId="1" fillId="8" borderId="0" xfId="0" applyFont="1" applyFill="1"/>
    <xf numFmtId="4" fontId="1" fillId="8" borderId="0" xfId="0" applyNumberFormat="1" applyFont="1" applyFill="1"/>
    <xf numFmtId="0" fontId="0" fillId="5" borderId="0" xfId="0" applyFill="1"/>
    <xf numFmtId="9" fontId="0" fillId="0" borderId="0" xfId="2" applyFont="1" applyAlignment="1">
      <alignment horizontal="center"/>
    </xf>
    <xf numFmtId="0" fontId="11" fillId="0" borderId="0" xfId="0" applyFont="1"/>
    <xf numFmtId="0" fontId="11" fillId="0" borderId="0" xfId="0" applyFont="1" applyAlignment="1">
      <alignment horizontal="right"/>
    </xf>
    <xf numFmtId="0" fontId="11" fillId="0" borderId="0" xfId="0" applyFont="1" applyAlignment="1">
      <alignment horizontal="center"/>
    </xf>
    <xf numFmtId="165" fontId="0" fillId="3" borderId="0" xfId="0" applyNumberFormat="1" applyFill="1" applyAlignment="1">
      <alignment horizontal="center"/>
    </xf>
    <xf numFmtId="0" fontId="0" fillId="2" borderId="0" xfId="0" applyFill="1" applyAlignment="1">
      <alignment horizontal="center"/>
    </xf>
    <xf numFmtId="0" fontId="0" fillId="3" borderId="0" xfId="0" applyFill="1" applyAlignment="1">
      <alignment horizontal="center"/>
    </xf>
    <xf numFmtId="0" fontId="0" fillId="2" borderId="0" xfId="0" applyFill="1"/>
    <xf numFmtId="0" fontId="1" fillId="0" borderId="0" xfId="0" applyFont="1" applyAlignment="1">
      <alignment horizontal="right"/>
    </xf>
    <xf numFmtId="0" fontId="1" fillId="0" borderId="0" xfId="0" applyFont="1" applyAlignment="1">
      <alignment horizontal="center"/>
    </xf>
    <xf numFmtId="0" fontId="0" fillId="0" borderId="0" xfId="0" quotePrefix="1" applyAlignment="1">
      <alignment horizontal="left"/>
    </xf>
    <xf numFmtId="0" fontId="0" fillId="5" borderId="0" xfId="0" applyFont="1" applyFill="1"/>
    <xf numFmtId="3" fontId="0" fillId="5" borderId="0" xfId="0" applyNumberFormat="1" applyFont="1" applyFill="1"/>
    <xf numFmtId="164" fontId="0" fillId="3" borderId="0" xfId="0" applyNumberFormat="1" applyFill="1" applyAlignment="1">
      <alignment horizontal="center"/>
    </xf>
    <xf numFmtId="3" fontId="0" fillId="0" borderId="0" xfId="0" applyNumberFormat="1" applyAlignment="1">
      <alignment horizontal="center"/>
    </xf>
    <xf numFmtId="164" fontId="0" fillId="3" borderId="0" xfId="0" applyNumberFormat="1" applyFill="1"/>
    <xf numFmtId="164" fontId="0" fillId="0" borderId="0" xfId="0" applyNumberFormat="1" applyAlignment="1">
      <alignment horizontal="center"/>
    </xf>
    <xf numFmtId="0" fontId="10" fillId="0" borderId="0" xfId="0" applyFont="1"/>
    <xf numFmtId="3" fontId="0" fillId="5" borderId="0" xfId="0" applyNumberFormat="1" applyFill="1"/>
    <xf numFmtId="3" fontId="0" fillId="5" borderId="0" xfId="0" applyNumberFormat="1" applyFill="1" applyAlignment="1">
      <alignment horizontal="center"/>
    </xf>
    <xf numFmtId="164" fontId="0" fillId="5" borderId="0" xfId="0" applyNumberFormat="1" applyFill="1"/>
    <xf numFmtId="3" fontId="0" fillId="0" borderId="0" xfId="0" applyNumberFormat="1" applyFill="1"/>
    <xf numFmtId="0" fontId="13" fillId="0" borderId="0" xfId="0" applyFont="1" applyFill="1" applyBorder="1"/>
    <xf numFmtId="0" fontId="0" fillId="0" borderId="0" xfId="0" applyFont="1" applyBorder="1"/>
    <xf numFmtId="0" fontId="13" fillId="0" borderId="0" xfId="0" applyFont="1" applyBorder="1"/>
    <xf numFmtId="0" fontId="13" fillId="0" borderId="0" xfId="0" applyFont="1" applyBorder="1" applyAlignment="1">
      <alignment horizontal="left"/>
    </xf>
    <xf numFmtId="0" fontId="13" fillId="0" borderId="0" xfId="0" applyFont="1" applyFill="1" applyBorder="1" applyAlignment="1">
      <alignment horizontal="left"/>
    </xf>
    <xf numFmtId="0" fontId="13" fillId="0" borderId="0" xfId="0" applyFont="1" applyBorder="1" applyAlignment="1">
      <alignment horizontal="left" wrapText="1"/>
    </xf>
    <xf numFmtId="3" fontId="0" fillId="3" borderId="0" xfId="0" applyNumberFormat="1" applyFill="1" applyAlignment="1">
      <alignment horizontal="right"/>
    </xf>
    <xf numFmtId="0" fontId="13" fillId="3" borderId="0" xfId="0" applyFont="1" applyFill="1" applyAlignment="1">
      <alignment horizontal="center"/>
    </xf>
    <xf numFmtId="164" fontId="0" fillId="0" borderId="0" xfId="0" applyNumberFormat="1"/>
    <xf numFmtId="3" fontId="0" fillId="2" borderId="0" xfId="0" applyNumberFormat="1" applyFill="1" applyAlignment="1">
      <alignment horizontal="right"/>
    </xf>
    <xf numFmtId="3" fontId="0" fillId="0" borderId="0" xfId="0" applyNumberFormat="1" applyAlignment="1">
      <alignment horizontal="right"/>
    </xf>
    <xf numFmtId="3" fontId="13" fillId="3" borderId="0" xfId="0" applyNumberFormat="1" applyFont="1" applyFill="1" applyAlignment="1">
      <alignment horizontal="center"/>
    </xf>
    <xf numFmtId="3" fontId="0" fillId="0" borderId="0" xfId="0" applyNumberFormat="1" applyFill="1" applyAlignment="1">
      <alignment horizontal="right"/>
    </xf>
    <xf numFmtId="3" fontId="0" fillId="5" borderId="0" xfId="0" quotePrefix="1" applyNumberFormat="1" applyFill="1" applyAlignment="1">
      <alignment horizontal="center"/>
    </xf>
    <xf numFmtId="0" fontId="0" fillId="0" borderId="1" xfId="0" applyBorder="1"/>
    <xf numFmtId="0" fontId="8" fillId="0" borderId="3" xfId="0" applyFont="1" applyBorder="1"/>
    <xf numFmtId="0" fontId="12" fillId="0" borderId="3" xfId="0" applyFont="1" applyBorder="1"/>
    <xf numFmtId="0" fontId="7" fillId="0" borderId="3" xfId="0" applyFont="1" applyBorder="1"/>
    <xf numFmtId="0" fontId="0" fillId="0" borderId="3" xfId="0" applyBorder="1"/>
    <xf numFmtId="0" fontId="1" fillId="0" borderId="3" xfId="0" applyFont="1" applyBorder="1"/>
    <xf numFmtId="0" fontId="0" fillId="0" borderId="3" xfId="0" applyBorder="1" applyAlignment="1">
      <alignment horizontal="center"/>
    </xf>
    <xf numFmtId="4" fontId="0" fillId="5" borderId="0" xfId="0" applyNumberFormat="1" applyFill="1"/>
    <xf numFmtId="9" fontId="0" fillId="5" borderId="0" xfId="2" applyFont="1" applyFill="1"/>
    <xf numFmtId="0" fontId="6" fillId="0" borderId="4" xfId="0" applyFont="1" applyBorder="1"/>
    <xf numFmtId="0" fontId="6" fillId="0" borderId="0" xfId="0" applyFont="1" applyBorder="1"/>
    <xf numFmtId="0" fontId="0" fillId="0" borderId="3" xfId="0" applyFill="1" applyBorder="1"/>
    <xf numFmtId="0" fontId="0" fillId="2" borderId="6" xfId="0" applyFill="1" applyBorder="1"/>
    <xf numFmtId="0" fontId="0" fillId="2" borderId="7" xfId="0" applyFill="1" applyBorder="1" applyAlignment="1">
      <alignment horizontal="center"/>
    </xf>
    <xf numFmtId="0" fontId="0" fillId="2" borderId="7" xfId="0" applyFill="1" applyBorder="1"/>
    <xf numFmtId="0" fontId="0" fillId="2" borderId="8" xfId="0" applyFill="1" applyBorder="1"/>
    <xf numFmtId="0" fontId="0" fillId="2" borderId="3" xfId="0" applyFill="1" applyBorder="1"/>
    <xf numFmtId="0" fontId="0" fillId="2" borderId="0" xfId="0" applyFill="1" applyBorder="1"/>
    <xf numFmtId="0" fontId="0" fillId="2" borderId="9" xfId="0" applyFill="1" applyBorder="1"/>
    <xf numFmtId="0" fontId="0" fillId="2" borderId="10" xfId="0" applyFill="1" applyBorder="1" applyAlignment="1">
      <alignment horizontal="center"/>
    </xf>
    <xf numFmtId="0" fontId="0" fillId="2" borderId="10" xfId="0" applyFill="1" applyBorder="1"/>
    <xf numFmtId="0" fontId="4" fillId="7" borderId="5" xfId="0" applyFont="1" applyFill="1" applyBorder="1" applyAlignment="1">
      <alignment horizontal="center"/>
    </xf>
    <xf numFmtId="3" fontId="1" fillId="2" borderId="0" xfId="0" applyNumberFormat="1" applyFont="1" applyFill="1" applyAlignment="1">
      <alignment horizontal="center"/>
    </xf>
    <xf numFmtId="0" fontId="10" fillId="0" borderId="3" xfId="0" applyFont="1" applyBorder="1"/>
    <xf numFmtId="0" fontId="7" fillId="0" borderId="0" xfId="0" applyFont="1" applyAlignment="1">
      <alignment horizontal="center"/>
    </xf>
    <xf numFmtId="9" fontId="13" fillId="0" borderId="0" xfId="2" applyFont="1" applyFill="1" applyAlignment="1">
      <alignment horizontal="center"/>
    </xf>
    <xf numFmtId="3" fontId="0" fillId="0" borderId="0" xfId="0" applyNumberFormat="1" applyFill="1" applyAlignment="1">
      <alignment horizontal="center"/>
    </xf>
    <xf numFmtId="3" fontId="0" fillId="3" borderId="0" xfId="0" applyNumberFormat="1" applyFill="1"/>
    <xf numFmtId="3" fontId="0" fillId="3" borderId="0" xfId="0" applyNumberFormat="1" applyFill="1" applyAlignment="1">
      <alignment horizontal="center"/>
    </xf>
    <xf numFmtId="3" fontId="4" fillId="0" borderId="0" xfId="0" applyNumberFormat="1" applyFont="1" applyFill="1"/>
    <xf numFmtId="3" fontId="14" fillId="0" borderId="0" xfId="0" applyNumberFormat="1" applyFont="1" applyFill="1"/>
    <xf numFmtId="3" fontId="13" fillId="0" borderId="0" xfId="0" applyNumberFormat="1" applyFont="1" applyFill="1"/>
    <xf numFmtId="3" fontId="14" fillId="9" borderId="0" xfId="0" applyNumberFormat="1" applyFont="1" applyFill="1" applyAlignment="1">
      <alignment horizontal="center"/>
    </xf>
    <xf numFmtId="0" fontId="0" fillId="9" borderId="0" xfId="0" applyFill="1"/>
    <xf numFmtId="0" fontId="0" fillId="0" borderId="0" xfId="0" applyBorder="1"/>
    <xf numFmtId="0" fontId="7" fillId="0" borderId="3" xfId="0" applyFont="1" applyFill="1" applyBorder="1"/>
    <xf numFmtId="0" fontId="0" fillId="0" borderId="0" xfId="0" applyFont="1" applyFill="1" applyBorder="1"/>
    <xf numFmtId="0" fontId="0" fillId="3" borderId="0" xfId="0" applyFont="1" applyFill="1" applyBorder="1"/>
    <xf numFmtId="4" fontId="0" fillId="0" borderId="0" xfId="0" applyNumberFormat="1" applyFill="1" applyAlignment="1">
      <alignment horizontal="center"/>
    </xf>
    <xf numFmtId="3" fontId="1" fillId="3" borderId="0" xfId="0" applyNumberFormat="1" applyFont="1" applyFill="1" applyAlignment="1">
      <alignment horizontal="center"/>
    </xf>
    <xf numFmtId="1" fontId="0" fillId="5" borderId="0" xfId="0" applyNumberFormat="1" applyFill="1"/>
    <xf numFmtId="0" fontId="15" fillId="0" borderId="0" xfId="0" applyFont="1" applyAlignment="1">
      <alignment horizontal="center"/>
    </xf>
    <xf numFmtId="3" fontId="15" fillId="0" borderId="0" xfId="0" applyNumberFormat="1" applyFont="1" applyAlignment="1">
      <alignment horizontal="center"/>
    </xf>
    <xf numFmtId="4" fontId="0" fillId="0" borderId="0" xfId="0" applyNumberFormat="1" applyFill="1"/>
    <xf numFmtId="0" fontId="1" fillId="2" borderId="10" xfId="0" applyFont="1" applyFill="1" applyBorder="1"/>
    <xf numFmtId="0" fontId="0" fillId="0" borderId="0" xfId="0" applyAlignment="1">
      <alignment horizontal="right"/>
    </xf>
    <xf numFmtId="164" fontId="0" fillId="5" borderId="0" xfId="0" applyNumberFormat="1" applyFont="1" applyFill="1"/>
    <xf numFmtId="0" fontId="0" fillId="0" borderId="0" xfId="0" applyFill="1" applyAlignment="1">
      <alignment horizontal="right"/>
    </xf>
    <xf numFmtId="0" fontId="5" fillId="4" borderId="0" xfId="0" applyFont="1" applyFill="1" applyAlignment="1">
      <alignment horizontal="right"/>
    </xf>
    <xf numFmtId="0" fontId="0" fillId="9" borderId="0" xfId="0" applyFill="1" applyAlignment="1">
      <alignment horizontal="center"/>
    </xf>
    <xf numFmtId="0" fontId="0" fillId="0" borderId="0" xfId="0" applyAlignment="1">
      <alignment horizontal="left"/>
    </xf>
    <xf numFmtId="0" fontId="6" fillId="0" borderId="0" xfId="3" applyFont="1"/>
    <xf numFmtId="0" fontId="17" fillId="0" borderId="0" xfId="3" applyFont="1" applyAlignment="1">
      <alignment horizontal="center"/>
    </xf>
    <xf numFmtId="0" fontId="6" fillId="0" borderId="0" xfId="3" applyFont="1" applyAlignment="1">
      <alignment horizontal="center"/>
    </xf>
    <xf numFmtId="166" fontId="6" fillId="0" borderId="0" xfId="3" applyNumberFormat="1" applyFont="1"/>
    <xf numFmtId="167" fontId="6" fillId="0" borderId="0" xfId="3" applyNumberFormat="1" applyFont="1" applyAlignment="1">
      <alignment horizontal="center"/>
    </xf>
    <xf numFmtId="0" fontId="16" fillId="0" borderId="0" xfId="3"/>
    <xf numFmtId="0" fontId="18" fillId="11" borderId="0" xfId="3" applyFont="1" applyFill="1"/>
    <xf numFmtId="0" fontId="17" fillId="11" borderId="0" xfId="3" applyFont="1" applyFill="1"/>
    <xf numFmtId="0" fontId="17" fillId="11" borderId="0" xfId="3" applyFont="1" applyFill="1" applyAlignment="1">
      <alignment horizontal="center"/>
    </xf>
    <xf numFmtId="166" fontId="17" fillId="11" borderId="0" xfId="3" applyNumberFormat="1" applyFont="1" applyFill="1"/>
    <xf numFmtId="167" fontId="17" fillId="11" borderId="6" xfId="3" applyNumberFormat="1" applyFont="1" applyFill="1" applyBorder="1" applyAlignment="1">
      <alignment horizontal="center"/>
    </xf>
    <xf numFmtId="17" fontId="17" fillId="11" borderId="8" xfId="3" applyNumberFormat="1" applyFont="1" applyFill="1" applyBorder="1" applyAlignment="1">
      <alignment horizontal="center"/>
    </xf>
    <xf numFmtId="0" fontId="17" fillId="0" borderId="0" xfId="3" applyFont="1"/>
    <xf numFmtId="0" fontId="18" fillId="0" borderId="0" xfId="3" applyFont="1"/>
    <xf numFmtId="167" fontId="17" fillId="11" borderId="9" xfId="3" applyNumberFormat="1" applyFont="1" applyFill="1" applyBorder="1" applyAlignment="1">
      <alignment horizontal="center"/>
    </xf>
    <xf numFmtId="0" fontId="17" fillId="11" borderId="11" xfId="3" applyFont="1" applyFill="1" applyBorder="1" applyAlignment="1">
      <alignment horizontal="center"/>
    </xf>
    <xf numFmtId="166" fontId="17" fillId="0" borderId="0" xfId="3" applyNumberFormat="1" applyFont="1"/>
    <xf numFmtId="167" fontId="17" fillId="0" borderId="0" xfId="3" applyNumberFormat="1" applyFont="1" applyAlignment="1">
      <alignment horizontal="center"/>
    </xf>
    <xf numFmtId="0" fontId="17" fillId="6" borderId="13" xfId="3" applyFont="1" applyFill="1" applyBorder="1" applyAlignment="1">
      <alignment horizontal="center"/>
    </xf>
    <xf numFmtId="0" fontId="17" fillId="6" borderId="5" xfId="3" applyFont="1" applyFill="1" applyBorder="1" applyAlignment="1">
      <alignment horizontal="center"/>
    </xf>
    <xf numFmtId="166" fontId="17" fillId="6" borderId="14" xfId="3" applyNumberFormat="1" applyFont="1" applyFill="1" applyBorder="1" applyAlignment="1">
      <alignment horizontal="center"/>
    </xf>
    <xf numFmtId="167" fontId="17" fillId="6" borderId="14" xfId="3" applyNumberFormat="1" applyFont="1" applyFill="1" applyBorder="1" applyAlignment="1">
      <alignment horizontal="center"/>
    </xf>
    <xf numFmtId="0" fontId="17" fillId="6" borderId="14" xfId="3" applyFont="1" applyFill="1" applyBorder="1" applyAlignment="1">
      <alignment horizontal="center"/>
    </xf>
    <xf numFmtId="0" fontId="18" fillId="0" borderId="0" xfId="3" applyFont="1" applyAlignment="1">
      <alignment horizontal="center"/>
    </xf>
    <xf numFmtId="0" fontId="6" fillId="0" borderId="15" xfId="3" applyFont="1" applyBorder="1"/>
    <xf numFmtId="0" fontId="6" fillId="0" borderId="15" xfId="3" applyFont="1" applyBorder="1" applyAlignment="1">
      <alignment horizontal="center"/>
    </xf>
    <xf numFmtId="166" fontId="6" fillId="0" borderId="15" xfId="3" applyNumberFormat="1" applyFont="1" applyBorder="1"/>
    <xf numFmtId="167" fontId="6" fillId="0" borderId="15" xfId="3" applyNumberFormat="1" applyFont="1" applyBorder="1" applyAlignment="1">
      <alignment horizontal="center"/>
    </xf>
    <xf numFmtId="0" fontId="6" fillId="0" borderId="16" xfId="3" applyFont="1" applyBorder="1"/>
    <xf numFmtId="0" fontId="6" fillId="0" borderId="17" xfId="3" applyFont="1" applyBorder="1"/>
    <xf numFmtId="0" fontId="6" fillId="0" borderId="17" xfId="3" applyFont="1" applyBorder="1" applyAlignment="1">
      <alignment horizontal="center"/>
    </xf>
    <xf numFmtId="166" fontId="6" fillId="3" borderId="17" xfId="4" applyFont="1" applyFill="1" applyBorder="1"/>
    <xf numFmtId="167" fontId="6" fillId="3" borderId="17" xfId="3" applyNumberFormat="1" applyFont="1" applyFill="1" applyBorder="1" applyAlignment="1">
      <alignment horizontal="center"/>
    </xf>
    <xf numFmtId="0" fontId="6" fillId="0" borderId="18" xfId="3" applyFont="1" applyBorder="1" applyAlignment="1">
      <alignment horizontal="center"/>
    </xf>
    <xf numFmtId="0" fontId="6" fillId="0" borderId="19" xfId="3" applyFont="1" applyBorder="1"/>
    <xf numFmtId="164" fontId="6" fillId="0" borderId="20" xfId="3" applyNumberFormat="1" applyFont="1" applyBorder="1" applyAlignment="1">
      <alignment horizontal="center"/>
    </xf>
    <xf numFmtId="0" fontId="6" fillId="0" borderId="21" xfId="3" applyFont="1" applyBorder="1"/>
    <xf numFmtId="0" fontId="6" fillId="0" borderId="22" xfId="3" applyFont="1" applyBorder="1"/>
    <xf numFmtId="0" fontId="6" fillId="0" borderId="22" xfId="3" applyFont="1" applyBorder="1" applyAlignment="1">
      <alignment horizontal="center"/>
    </xf>
    <xf numFmtId="166" fontId="6" fillId="3" borderId="22" xfId="3" applyNumberFormat="1" applyFont="1" applyFill="1" applyBorder="1"/>
    <xf numFmtId="167" fontId="6" fillId="0" borderId="22" xfId="3" applyNumberFormat="1" applyFont="1" applyBorder="1" applyAlignment="1">
      <alignment horizontal="center"/>
    </xf>
    <xf numFmtId="0" fontId="6" fillId="0" borderId="23" xfId="3" applyFont="1" applyBorder="1" applyAlignment="1">
      <alignment horizontal="center"/>
    </xf>
    <xf numFmtId="0" fontId="6" fillId="0" borderId="24" xfId="3" applyFont="1" applyBorder="1"/>
    <xf numFmtId="0" fontId="6" fillId="0" borderId="25" xfId="3" applyFont="1" applyBorder="1"/>
    <xf numFmtId="0" fontId="6" fillId="0" borderId="25" xfId="3" applyFont="1" applyBorder="1" applyAlignment="1">
      <alignment horizontal="center"/>
    </xf>
    <xf numFmtId="166" fontId="6" fillId="3" borderId="25" xfId="3" applyNumberFormat="1" applyFont="1" applyFill="1" applyBorder="1"/>
    <xf numFmtId="167" fontId="6" fillId="0" borderId="25" xfId="3" applyNumberFormat="1" applyFont="1" applyBorder="1" applyAlignment="1">
      <alignment horizontal="center"/>
    </xf>
    <xf numFmtId="0" fontId="6" fillId="0" borderId="26" xfId="3" applyFont="1" applyBorder="1" applyAlignment="1">
      <alignment horizontal="center"/>
    </xf>
    <xf numFmtId="0" fontId="6" fillId="0" borderId="27" xfId="3" applyFont="1" applyBorder="1"/>
    <xf numFmtId="0" fontId="17" fillId="0" borderId="28" xfId="3" applyFont="1" applyBorder="1" applyAlignment="1">
      <alignment horizontal="left"/>
    </xf>
    <xf numFmtId="166" fontId="6" fillId="0" borderId="29" xfId="3" applyNumberFormat="1" applyFont="1" applyBorder="1"/>
    <xf numFmtId="0" fontId="6" fillId="0" borderId="30" xfId="3" applyFont="1" applyBorder="1" applyAlignment="1">
      <alignment horizontal="center"/>
    </xf>
    <xf numFmtId="0" fontId="6" fillId="0" borderId="14" xfId="3" applyFont="1" applyBorder="1" applyAlignment="1">
      <alignment horizontal="center"/>
    </xf>
    <xf numFmtId="0" fontId="17" fillId="0" borderId="31" xfId="3" applyFont="1" applyBorder="1" applyAlignment="1">
      <alignment horizontal="center"/>
    </xf>
    <xf numFmtId="0" fontId="17" fillId="0" borderId="32" xfId="3" applyFont="1" applyBorder="1" applyAlignment="1">
      <alignment horizontal="center"/>
    </xf>
    <xf numFmtId="0" fontId="17" fillId="0" borderId="33" xfId="3" applyFont="1" applyBorder="1" applyAlignment="1">
      <alignment horizontal="center"/>
    </xf>
    <xf numFmtId="0" fontId="6" fillId="0" borderId="34" xfId="3" applyFont="1" applyBorder="1" applyAlignment="1">
      <alignment horizontal="left"/>
    </xf>
    <xf numFmtId="164" fontId="6" fillId="3" borderId="2" xfId="3" applyNumberFormat="1" applyFont="1" applyFill="1" applyBorder="1" applyAlignment="1">
      <alignment horizontal="center"/>
    </xf>
    <xf numFmtId="0" fontId="6" fillId="0" borderId="2" xfId="3" applyFont="1" applyBorder="1" applyAlignment="1">
      <alignment horizontal="left"/>
    </xf>
    <xf numFmtId="167" fontId="6" fillId="3" borderId="35" xfId="3" applyNumberFormat="1" applyFont="1" applyFill="1" applyBorder="1" applyAlignment="1">
      <alignment horizontal="center"/>
    </xf>
    <xf numFmtId="167" fontId="6" fillId="3" borderId="2" xfId="3" applyNumberFormat="1" applyFont="1" applyFill="1" applyBorder="1" applyAlignment="1">
      <alignment horizontal="center"/>
    </xf>
    <xf numFmtId="0" fontId="6" fillId="3" borderId="35" xfId="3" applyFont="1" applyFill="1" applyBorder="1" applyAlignment="1">
      <alignment horizontal="center"/>
    </xf>
    <xf numFmtId="0" fontId="6" fillId="0" borderId="36" xfId="3" applyFont="1" applyBorder="1" applyAlignment="1">
      <alignment horizontal="left"/>
    </xf>
    <xf numFmtId="164" fontId="6" fillId="3" borderId="37" xfId="3" applyNumberFormat="1" applyFont="1" applyFill="1" applyBorder="1" applyAlignment="1">
      <alignment horizontal="center"/>
    </xf>
    <xf numFmtId="0" fontId="6" fillId="0" borderId="37" xfId="3" applyFont="1" applyBorder="1" applyAlignment="1">
      <alignment horizontal="left"/>
    </xf>
    <xf numFmtId="0" fontId="6" fillId="3" borderId="38" xfId="3" applyFont="1" applyFill="1" applyBorder="1" applyAlignment="1">
      <alignment horizontal="center"/>
    </xf>
    <xf numFmtId="16" fontId="6" fillId="0" borderId="17" xfId="3" applyNumberFormat="1" applyFont="1" applyBorder="1" applyAlignment="1">
      <alignment horizontal="center"/>
    </xf>
    <xf numFmtId="167" fontId="6" fillId="3" borderId="17" xfId="4" applyNumberFormat="1" applyFont="1" applyFill="1" applyBorder="1"/>
    <xf numFmtId="16" fontId="6" fillId="0" borderId="22" xfId="3" applyNumberFormat="1" applyFont="1" applyBorder="1" applyAlignment="1">
      <alignment horizontal="center"/>
    </xf>
    <xf numFmtId="167" fontId="6" fillId="3" borderId="22" xfId="4" applyNumberFormat="1" applyFont="1" applyFill="1" applyBorder="1"/>
    <xf numFmtId="167" fontId="6" fillId="3" borderId="22" xfId="3" applyNumberFormat="1" applyFont="1" applyFill="1" applyBorder="1" applyAlignment="1">
      <alignment horizontal="center"/>
    </xf>
    <xf numFmtId="167" fontId="6" fillId="0" borderId="25" xfId="4" applyNumberFormat="1" applyFont="1" applyBorder="1"/>
    <xf numFmtId="9" fontId="6" fillId="0" borderId="26" xfId="3" applyNumberFormat="1" applyFont="1" applyBorder="1" applyAlignment="1">
      <alignment horizontal="center"/>
    </xf>
    <xf numFmtId="0" fontId="6" fillId="0" borderId="37" xfId="3" applyFont="1" applyBorder="1" applyAlignment="1">
      <alignment horizontal="center"/>
    </xf>
    <xf numFmtId="0" fontId="6" fillId="0" borderId="38" xfId="3" applyFont="1" applyBorder="1" applyAlignment="1">
      <alignment horizontal="center"/>
    </xf>
    <xf numFmtId="0" fontId="6" fillId="0" borderId="31" xfId="3" applyFont="1" applyBorder="1"/>
    <xf numFmtId="0" fontId="6" fillId="0" borderId="32" xfId="3" applyFont="1" applyBorder="1"/>
    <xf numFmtId="0" fontId="6" fillId="0" borderId="32" xfId="3" applyFont="1" applyBorder="1" applyAlignment="1">
      <alignment horizontal="center"/>
    </xf>
    <xf numFmtId="166" fontId="6" fillId="3" borderId="32" xfId="3" applyNumberFormat="1" applyFont="1" applyFill="1" applyBorder="1"/>
    <xf numFmtId="167" fontId="6" fillId="3" borderId="32" xfId="3" applyNumberFormat="1" applyFont="1" applyFill="1" applyBorder="1" applyAlignment="1">
      <alignment horizontal="center"/>
    </xf>
    <xf numFmtId="0" fontId="6" fillId="0" borderId="33" xfId="3" applyFont="1" applyBorder="1" applyAlignment="1">
      <alignment horizontal="center"/>
    </xf>
    <xf numFmtId="0" fontId="6" fillId="0" borderId="36" xfId="3" applyFont="1" applyBorder="1"/>
    <xf numFmtId="0" fontId="6" fillId="0" borderId="37" xfId="3" applyFont="1" applyBorder="1"/>
    <xf numFmtId="166" fontId="6" fillId="0" borderId="37" xfId="3" applyNumberFormat="1" applyFont="1" applyBorder="1"/>
    <xf numFmtId="167" fontId="6" fillId="3" borderId="37" xfId="3" applyNumberFormat="1" applyFont="1" applyFill="1" applyBorder="1" applyAlignment="1">
      <alignment horizontal="center"/>
    </xf>
    <xf numFmtId="0" fontId="17" fillId="0" borderId="39" xfId="3" applyFont="1" applyBorder="1" applyAlignment="1">
      <alignment horizontal="left"/>
    </xf>
    <xf numFmtId="166" fontId="6" fillId="0" borderId="40" xfId="3" applyNumberFormat="1" applyFont="1" applyBorder="1"/>
    <xf numFmtId="0" fontId="6" fillId="0" borderId="7" xfId="3" applyFont="1" applyBorder="1" applyAlignment="1">
      <alignment horizontal="center"/>
    </xf>
    <xf numFmtId="0" fontId="6" fillId="0" borderId="8" xfId="3" applyFont="1" applyBorder="1" applyAlignment="1">
      <alignment horizontal="center"/>
    </xf>
    <xf numFmtId="0" fontId="17" fillId="0" borderId="41" xfId="3" applyFont="1" applyBorder="1" applyAlignment="1">
      <alignment horizontal="center"/>
    </xf>
    <xf numFmtId="0" fontId="17" fillId="0" borderId="42" xfId="3" applyFont="1" applyBorder="1" applyAlignment="1">
      <alignment horizontal="center"/>
    </xf>
    <xf numFmtId="0" fontId="17" fillId="0" borderId="43" xfId="3" applyFont="1" applyBorder="1" applyAlignment="1">
      <alignment horizontal="center"/>
    </xf>
    <xf numFmtId="0" fontId="6" fillId="0" borderId="44" xfId="3" applyFont="1" applyBorder="1" applyAlignment="1">
      <alignment horizontal="left"/>
    </xf>
    <xf numFmtId="167" fontId="6" fillId="3" borderId="45" xfId="3" applyNumberFormat="1" applyFont="1" applyFill="1" applyBorder="1" applyAlignment="1">
      <alignment horizontal="center"/>
    </xf>
    <xf numFmtId="0" fontId="6" fillId="0" borderId="45" xfId="3" applyFont="1" applyBorder="1" applyAlignment="1">
      <alignment horizontal="left"/>
    </xf>
    <xf numFmtId="164" fontId="6" fillId="3" borderId="46" xfId="3" applyNumberFormat="1" applyFont="1" applyFill="1" applyBorder="1" applyAlignment="1">
      <alignment horizontal="center"/>
    </xf>
    <xf numFmtId="0" fontId="6" fillId="0" borderId="47" xfId="3" applyFont="1" applyBorder="1"/>
    <xf numFmtId="0" fontId="6" fillId="0" borderId="47" xfId="3" applyFont="1" applyBorder="1" applyAlignment="1">
      <alignment horizontal="center"/>
    </xf>
    <xf numFmtId="166" fontId="6" fillId="0" borderId="47" xfId="3" applyNumberFormat="1" applyFont="1" applyBorder="1"/>
    <xf numFmtId="167" fontId="6" fillId="0" borderId="48" xfId="3" applyNumberFormat="1" applyFont="1" applyBorder="1" applyAlignment="1">
      <alignment horizontal="center"/>
    </xf>
    <xf numFmtId="0" fontId="6" fillId="0" borderId="48" xfId="3" applyFont="1" applyBorder="1" applyAlignment="1">
      <alignment horizontal="center"/>
    </xf>
    <xf numFmtId="167" fontId="17" fillId="6" borderId="5" xfId="3" applyNumberFormat="1" applyFont="1" applyFill="1" applyBorder="1" applyAlignment="1">
      <alignment horizontal="center"/>
    </xf>
    <xf numFmtId="0" fontId="17" fillId="0" borderId="16" xfId="3" applyFont="1" applyBorder="1"/>
    <xf numFmtId="166" fontId="6" fillId="3" borderId="17" xfId="3" applyNumberFormat="1" applyFont="1" applyFill="1" applyBorder="1"/>
    <xf numFmtId="166" fontId="6" fillId="3" borderId="49" xfId="3" applyNumberFormat="1" applyFont="1" applyFill="1" applyBorder="1"/>
    <xf numFmtId="0" fontId="6" fillId="0" borderId="50" xfId="3" applyFont="1" applyBorder="1"/>
    <xf numFmtId="0" fontId="6" fillId="0" borderId="51" xfId="3" applyFont="1" applyBorder="1" applyAlignment="1">
      <alignment horizontal="center"/>
    </xf>
    <xf numFmtId="166" fontId="6" fillId="3" borderId="52" xfId="3" applyNumberFormat="1" applyFont="1" applyFill="1" applyBorder="1"/>
    <xf numFmtId="167" fontId="6" fillId="3" borderId="51" xfId="3" applyNumberFormat="1" applyFont="1" applyFill="1" applyBorder="1" applyAlignment="1">
      <alignment horizontal="center"/>
    </xf>
    <xf numFmtId="0" fontId="6" fillId="0" borderId="53" xfId="3" applyFont="1" applyBorder="1" applyAlignment="1">
      <alignment horizontal="center"/>
    </xf>
    <xf numFmtId="168" fontId="6" fillId="3" borderId="15" xfId="3" applyNumberFormat="1" applyFont="1" applyFill="1" applyBorder="1"/>
    <xf numFmtId="167" fontId="6" fillId="3" borderId="15" xfId="3" applyNumberFormat="1" applyFont="1" applyFill="1" applyBorder="1" applyAlignment="1">
      <alignment horizontal="center"/>
    </xf>
    <xf numFmtId="0" fontId="6" fillId="0" borderId="20" xfId="3" applyFont="1" applyBorder="1" applyAlignment="1">
      <alignment horizontal="center"/>
    </xf>
    <xf numFmtId="0" fontId="6" fillId="0" borderId="54" xfId="3" applyFont="1" applyBorder="1"/>
    <xf numFmtId="0" fontId="6" fillId="0" borderId="55" xfId="3" applyFont="1" applyBorder="1"/>
    <xf numFmtId="0" fontId="6" fillId="0" borderId="55" xfId="3" applyFont="1" applyBorder="1" applyAlignment="1">
      <alignment horizontal="center"/>
    </xf>
    <xf numFmtId="166" fontId="6" fillId="0" borderId="55" xfId="3" applyNumberFormat="1" applyFont="1" applyBorder="1"/>
    <xf numFmtId="167" fontId="6" fillId="0" borderId="55" xfId="3" applyNumberFormat="1" applyFont="1" applyBorder="1" applyAlignment="1">
      <alignment horizontal="center"/>
    </xf>
    <xf numFmtId="0" fontId="6" fillId="0" borderId="56" xfId="3" applyFont="1" applyBorder="1" applyAlignment="1">
      <alignment horizontal="center"/>
    </xf>
    <xf numFmtId="0" fontId="6" fillId="3" borderId="0" xfId="3" applyFont="1" applyFill="1" applyAlignment="1">
      <alignment horizontal="center"/>
    </xf>
    <xf numFmtId="164" fontId="6" fillId="3" borderId="45" xfId="3" applyNumberFormat="1" applyFont="1" applyFill="1" applyBorder="1" applyAlignment="1">
      <alignment horizontal="center"/>
    </xf>
    <xf numFmtId="167" fontId="6" fillId="3" borderId="46" xfId="3" applyNumberFormat="1" applyFont="1" applyFill="1" applyBorder="1" applyAlignment="1">
      <alignment horizontal="center"/>
    </xf>
    <xf numFmtId="0" fontId="6" fillId="0" borderId="0" xfId="3" applyFont="1" applyAlignment="1">
      <alignment horizontal="left"/>
    </xf>
    <xf numFmtId="164" fontId="6" fillId="0" borderId="0" xfId="3" applyNumberFormat="1" applyFont="1" applyAlignment="1">
      <alignment horizontal="center"/>
    </xf>
    <xf numFmtId="49" fontId="6" fillId="0" borderId="17" xfId="3" applyNumberFormat="1" applyFont="1" applyBorder="1" applyAlignment="1">
      <alignment horizontal="center"/>
    </xf>
    <xf numFmtId="166" fontId="6" fillId="0" borderId="17" xfId="3" applyNumberFormat="1" applyFont="1" applyBorder="1"/>
    <xf numFmtId="49" fontId="6" fillId="0" borderId="22" xfId="3" applyNumberFormat="1" applyFont="1" applyBorder="1" applyAlignment="1">
      <alignment horizontal="center"/>
    </xf>
    <xf numFmtId="166" fontId="6" fillId="0" borderId="22" xfId="3" applyNumberFormat="1" applyFont="1" applyBorder="1"/>
    <xf numFmtId="0" fontId="6" fillId="0" borderId="22" xfId="3" applyFont="1" applyBorder="1" applyAlignment="1">
      <alignment wrapText="1"/>
    </xf>
    <xf numFmtId="167" fontId="6" fillId="3" borderId="22" xfId="3" applyNumberFormat="1" applyFont="1" applyFill="1" applyBorder="1"/>
    <xf numFmtId="167" fontId="6" fillId="0" borderId="25" xfId="3" applyNumberFormat="1" applyFont="1" applyBorder="1"/>
    <xf numFmtId="0" fontId="17" fillId="0" borderId="57" xfId="3" applyFont="1" applyBorder="1" applyAlignment="1">
      <alignment horizontal="center"/>
    </xf>
    <xf numFmtId="0" fontId="17" fillId="0" borderId="58" xfId="3" applyFont="1" applyBorder="1" applyAlignment="1">
      <alignment horizontal="center"/>
    </xf>
    <xf numFmtId="0" fontId="17" fillId="0" borderId="59" xfId="3" applyFont="1" applyBorder="1" applyAlignment="1">
      <alignment horizontal="center"/>
    </xf>
    <xf numFmtId="0" fontId="6" fillId="0" borderId="60" xfId="3" applyFont="1" applyBorder="1" applyAlignment="1">
      <alignment horizontal="left"/>
    </xf>
    <xf numFmtId="164" fontId="6" fillId="3" borderId="12" xfId="3" applyNumberFormat="1" applyFont="1" applyFill="1" applyBorder="1" applyAlignment="1">
      <alignment horizontal="center"/>
    </xf>
    <xf numFmtId="0" fontId="6" fillId="0" borderId="12" xfId="3" applyFont="1" applyBorder="1" applyAlignment="1">
      <alignment horizontal="left"/>
    </xf>
    <xf numFmtId="167" fontId="6" fillId="3" borderId="1" xfId="3" applyNumberFormat="1" applyFont="1" applyFill="1" applyBorder="1" applyAlignment="1">
      <alignment horizontal="center"/>
    </xf>
    <xf numFmtId="167" fontId="6" fillId="3" borderId="61" xfId="3" applyNumberFormat="1" applyFont="1" applyFill="1" applyBorder="1" applyAlignment="1">
      <alignment horizontal="center"/>
    </xf>
    <xf numFmtId="0" fontId="6" fillId="0" borderId="45" xfId="3" applyFont="1" applyBorder="1" applyAlignment="1">
      <alignment horizontal="center"/>
    </xf>
    <xf numFmtId="0" fontId="6" fillId="0" borderId="46" xfId="3" applyFont="1" applyBorder="1" applyAlignment="1">
      <alignment horizontal="center"/>
    </xf>
    <xf numFmtId="167" fontId="6" fillId="0" borderId="0" xfId="3" applyNumberFormat="1" applyFont="1"/>
    <xf numFmtId="167" fontId="6" fillId="0" borderId="17" xfId="3" applyNumberFormat="1" applyFont="1" applyBorder="1" applyAlignment="1">
      <alignment horizontal="center"/>
    </xf>
    <xf numFmtId="166" fontId="6" fillId="0" borderId="25" xfId="3" applyNumberFormat="1" applyFont="1" applyBorder="1"/>
    <xf numFmtId="164" fontId="6" fillId="0" borderId="12" xfId="3" applyNumberFormat="1" applyFont="1" applyBorder="1" applyAlignment="1">
      <alignment horizontal="center"/>
    </xf>
    <xf numFmtId="164" fontId="6" fillId="0" borderId="61" xfId="3" applyNumberFormat="1" applyFont="1" applyBorder="1" applyAlignment="1">
      <alignment horizontal="center"/>
    </xf>
    <xf numFmtId="164" fontId="6" fillId="0" borderId="45" xfId="3" applyNumberFormat="1" applyFont="1" applyBorder="1" applyAlignment="1">
      <alignment horizontal="center"/>
    </xf>
    <xf numFmtId="0" fontId="6" fillId="0" borderId="45" xfId="3" applyFont="1" applyBorder="1" applyAlignment="1">
      <alignment horizontal="left" wrapText="1"/>
    </xf>
    <xf numFmtId="164" fontId="6" fillId="0" borderId="46" xfId="3" applyNumberFormat="1" applyFont="1" applyBorder="1" applyAlignment="1">
      <alignment horizontal="center"/>
    </xf>
    <xf numFmtId="167" fontId="17" fillId="11" borderId="0" xfId="3" applyNumberFormat="1" applyFont="1" applyFill="1" applyAlignment="1">
      <alignment horizontal="center"/>
    </xf>
    <xf numFmtId="0" fontId="17" fillId="0" borderId="6" xfId="3" applyFont="1" applyBorder="1" applyAlignment="1">
      <alignment horizontal="center"/>
    </xf>
    <xf numFmtId="0" fontId="17" fillId="0" borderId="7" xfId="3" applyFont="1" applyBorder="1" applyAlignment="1">
      <alignment horizontal="center"/>
    </xf>
    <xf numFmtId="166" fontId="17" fillId="0" borderId="7" xfId="3" applyNumberFormat="1" applyFont="1" applyBorder="1" applyAlignment="1">
      <alignment horizontal="center"/>
    </xf>
    <xf numFmtId="167" fontId="17" fillId="0" borderId="7" xfId="3" applyNumberFormat="1" applyFont="1" applyBorder="1" applyAlignment="1">
      <alignment horizontal="center"/>
    </xf>
    <xf numFmtId="0" fontId="17" fillId="0" borderId="6" xfId="3" applyFont="1" applyBorder="1"/>
    <xf numFmtId="0" fontId="17" fillId="0" borderId="7" xfId="3" applyFont="1" applyBorder="1"/>
    <xf numFmtId="166" fontId="17" fillId="0" borderId="7" xfId="3" applyNumberFormat="1" applyFont="1" applyBorder="1"/>
    <xf numFmtId="0" fontId="17" fillId="0" borderId="8" xfId="3" applyFont="1" applyBorder="1" applyAlignment="1">
      <alignment horizontal="center"/>
    </xf>
    <xf numFmtId="0" fontId="6" fillId="0" borderId="9" xfId="3" applyFont="1" applyBorder="1"/>
    <xf numFmtId="0" fontId="6" fillId="0" borderId="10" xfId="3" applyFont="1" applyBorder="1"/>
    <xf numFmtId="0" fontId="6" fillId="0" borderId="10" xfId="3" applyFont="1" applyBorder="1" applyAlignment="1">
      <alignment horizontal="center"/>
    </xf>
    <xf numFmtId="166" fontId="6" fillId="0" borderId="10" xfId="3" applyNumberFormat="1" applyFont="1" applyBorder="1"/>
    <xf numFmtId="167" fontId="17" fillId="0" borderId="10" xfId="3" applyNumberFormat="1" applyFont="1" applyBorder="1" applyAlignment="1">
      <alignment horizontal="center"/>
    </xf>
    <xf numFmtId="0" fontId="6" fillId="0" borderId="11" xfId="3" applyFont="1" applyBorder="1" applyAlignment="1">
      <alignment horizontal="center"/>
    </xf>
    <xf numFmtId="0" fontId="6" fillId="0" borderId="3" xfId="3" applyFont="1" applyBorder="1"/>
    <xf numFmtId="0" fontId="17" fillId="12" borderId="41" xfId="3" applyFont="1" applyFill="1" applyBorder="1" applyAlignment="1">
      <alignment horizontal="center" vertical="top" wrapText="1"/>
    </xf>
    <xf numFmtId="0" fontId="20" fillId="0" borderId="42" xfId="3" applyFont="1" applyBorder="1" applyAlignment="1">
      <alignment horizontal="center" vertical="top"/>
    </xf>
    <xf numFmtId="0" fontId="17" fillId="12" borderId="42" xfId="3" applyFont="1" applyFill="1" applyBorder="1" applyAlignment="1">
      <alignment horizontal="center" vertical="top" wrapText="1"/>
    </xf>
    <xf numFmtId="0" fontId="17" fillId="12" borderId="60" xfId="3" applyFont="1" applyFill="1" applyBorder="1" applyAlignment="1">
      <alignment horizontal="center" vertical="top" wrapText="1"/>
    </xf>
    <xf numFmtId="0" fontId="17" fillId="12" borderId="12" xfId="3" applyFont="1" applyFill="1" applyBorder="1" applyAlignment="1">
      <alignment horizontal="center" vertical="top" wrapText="1"/>
    </xf>
    <xf numFmtId="0" fontId="17" fillId="12" borderId="12" xfId="3" applyFont="1" applyFill="1" applyBorder="1" applyAlignment="1">
      <alignment vertical="top" wrapText="1"/>
    </xf>
    <xf numFmtId="0" fontId="6" fillId="0" borderId="62" xfId="3" applyFont="1" applyBorder="1" applyAlignment="1">
      <alignment vertical="top" wrapText="1"/>
    </xf>
    <xf numFmtId="0" fontId="6" fillId="0" borderId="11" xfId="3" applyFont="1" applyBorder="1" applyAlignment="1">
      <alignment horizontal="center" vertical="top" wrapText="1"/>
    </xf>
    <xf numFmtId="0" fontId="6" fillId="0" borderId="63" xfId="3" applyFont="1" applyBorder="1" applyAlignment="1">
      <alignment vertical="top" wrapText="1"/>
    </xf>
    <xf numFmtId="0" fontId="6" fillId="0" borderId="1" xfId="3" applyFont="1" applyBorder="1" applyAlignment="1">
      <alignment horizontal="center" vertical="top" wrapText="1"/>
    </xf>
    <xf numFmtId="0" fontId="6" fillId="0" borderId="5" xfId="3" applyFont="1" applyBorder="1" applyAlignment="1">
      <alignment vertical="top" wrapText="1"/>
    </xf>
    <xf numFmtId="0" fontId="6" fillId="0" borderId="14" xfId="3" applyFont="1" applyBorder="1" applyAlignment="1">
      <alignment horizontal="center" vertical="top" wrapText="1"/>
    </xf>
    <xf numFmtId="167" fontId="6" fillId="0" borderId="64" xfId="3" applyNumberFormat="1" applyFont="1" applyBorder="1" applyAlignment="1">
      <alignment horizontal="center"/>
    </xf>
    <xf numFmtId="0" fontId="6" fillId="0" borderId="64" xfId="3" applyFont="1" applyBorder="1" applyAlignment="1">
      <alignment horizontal="center"/>
    </xf>
    <xf numFmtId="0" fontId="6" fillId="0" borderId="17" xfId="3" applyFont="1" applyBorder="1" applyAlignment="1">
      <alignment horizontal="left"/>
    </xf>
    <xf numFmtId="0" fontId="6" fillId="0" borderId="18" xfId="3" applyFont="1" applyBorder="1" applyAlignment="1">
      <alignment horizontal="left"/>
    </xf>
    <xf numFmtId="0" fontId="6" fillId="0" borderId="23" xfId="3" applyFont="1" applyBorder="1" applyAlignment="1">
      <alignment horizontal="left"/>
    </xf>
    <xf numFmtId="0" fontId="6" fillId="0" borderId="21" xfId="3" applyFont="1" applyBorder="1" applyAlignment="1">
      <alignment horizontal="center"/>
    </xf>
    <xf numFmtId="0" fontId="6" fillId="0" borderId="22" xfId="3" applyFont="1" applyBorder="1" applyAlignment="1">
      <alignment horizontal="left" wrapText="1"/>
    </xf>
    <xf numFmtId="0" fontId="6" fillId="0" borderId="22" xfId="3" applyFont="1" applyBorder="1" applyAlignment="1">
      <alignment horizontal="left"/>
    </xf>
    <xf numFmtId="0" fontId="6" fillId="0" borderId="24" xfId="3" applyFont="1" applyBorder="1" applyAlignment="1">
      <alignment horizontal="center"/>
    </xf>
    <xf numFmtId="0" fontId="6" fillId="0" borderId="25" xfId="3" applyFont="1" applyBorder="1" applyAlignment="1">
      <alignment horizontal="left"/>
    </xf>
    <xf numFmtId="0" fontId="6" fillId="0" borderId="16" xfId="3" applyFont="1" applyBorder="1" applyAlignment="1">
      <alignment horizontal="center"/>
    </xf>
    <xf numFmtId="0" fontId="6" fillId="0" borderId="17" xfId="3" applyFont="1" applyBorder="1" applyAlignment="1">
      <alignment horizontal="left" wrapText="1"/>
    </xf>
    <xf numFmtId="0" fontId="6" fillId="0" borderId="65" xfId="3" applyFont="1" applyBorder="1"/>
    <xf numFmtId="0" fontId="6" fillId="0" borderId="66" xfId="3" applyFont="1" applyBorder="1"/>
    <xf numFmtId="166" fontId="6" fillId="0" borderId="51" xfId="3" applyNumberFormat="1" applyFont="1" applyBorder="1"/>
    <xf numFmtId="0" fontId="6" fillId="0" borderId="35" xfId="3" applyFont="1" applyBorder="1" applyAlignment="1">
      <alignment horizontal="center"/>
    </xf>
    <xf numFmtId="0" fontId="6" fillId="0" borderId="34" xfId="3" applyFont="1" applyBorder="1"/>
    <xf numFmtId="0" fontId="6" fillId="0" borderId="2" xfId="3" applyFont="1" applyBorder="1"/>
    <xf numFmtId="0" fontId="6" fillId="0" borderId="2" xfId="3" applyFont="1" applyBorder="1" applyAlignment="1">
      <alignment horizontal="center"/>
    </xf>
    <xf numFmtId="166" fontId="6" fillId="0" borderId="2" xfId="3" applyNumberFormat="1" applyFont="1" applyBorder="1"/>
    <xf numFmtId="0" fontId="6" fillId="0" borderId="67" xfId="3" applyFont="1" applyBorder="1" applyAlignment="1">
      <alignment horizontal="center"/>
    </xf>
    <xf numFmtId="0" fontId="6" fillId="0" borderId="68" xfId="3" applyFont="1" applyBorder="1"/>
    <xf numFmtId="0" fontId="6" fillId="0" borderId="69" xfId="3" applyFont="1" applyBorder="1" applyAlignment="1">
      <alignment horizontal="left"/>
    </xf>
    <xf numFmtId="167" fontId="6" fillId="3" borderId="70" xfId="3" applyNumberFormat="1" applyFont="1" applyFill="1" applyBorder="1" applyAlignment="1">
      <alignment horizontal="center"/>
    </xf>
    <xf numFmtId="164" fontId="6" fillId="3" borderId="71" xfId="3" applyNumberFormat="1" applyFont="1" applyFill="1" applyBorder="1" applyAlignment="1">
      <alignment horizontal="center"/>
    </xf>
    <xf numFmtId="0" fontId="6" fillId="0" borderId="12" xfId="3" applyFont="1" applyBorder="1" applyAlignment="1">
      <alignment horizontal="left" wrapText="1"/>
    </xf>
    <xf numFmtId="167" fontId="6" fillId="3" borderId="12" xfId="3" applyNumberFormat="1" applyFont="1" applyFill="1" applyBorder="1" applyAlignment="1">
      <alignment horizontal="center"/>
    </xf>
    <xf numFmtId="0" fontId="6" fillId="0" borderId="72" xfId="3" applyFont="1" applyBorder="1" applyAlignment="1">
      <alignment horizontal="left" wrapText="1"/>
    </xf>
    <xf numFmtId="0" fontId="6" fillId="0" borderId="58" xfId="3" applyFont="1" applyBorder="1" applyAlignment="1">
      <alignment horizontal="left"/>
    </xf>
    <xf numFmtId="0" fontId="6" fillId="0" borderId="60" xfId="3" applyFont="1" applyBorder="1"/>
    <xf numFmtId="0" fontId="6" fillId="3" borderId="12" xfId="3" applyFont="1" applyFill="1" applyBorder="1" applyAlignment="1">
      <alignment horizontal="center"/>
    </xf>
    <xf numFmtId="0" fontId="6" fillId="0" borderId="73" xfId="3" applyFont="1" applyBorder="1"/>
    <xf numFmtId="0" fontId="6" fillId="3" borderId="74" xfId="3" applyFont="1" applyFill="1" applyBorder="1" applyAlignment="1">
      <alignment horizontal="center"/>
    </xf>
    <xf numFmtId="0" fontId="6" fillId="0" borderId="74" xfId="3" applyFont="1" applyBorder="1" applyAlignment="1">
      <alignment horizontal="center"/>
    </xf>
    <xf numFmtId="166" fontId="17" fillId="0" borderId="8" xfId="3" applyNumberFormat="1" applyFont="1" applyBorder="1" applyAlignment="1">
      <alignment horizontal="center"/>
    </xf>
    <xf numFmtId="9" fontId="6" fillId="0" borderId="1" xfId="3" applyNumberFormat="1" applyFont="1" applyBorder="1" applyAlignment="1">
      <alignment horizontal="center"/>
    </xf>
    <xf numFmtId="167" fontId="6" fillId="0" borderId="3" xfId="3" applyNumberFormat="1" applyFont="1" applyBorder="1" applyAlignment="1">
      <alignment horizontal="center"/>
    </xf>
    <xf numFmtId="167" fontId="6" fillId="0" borderId="9" xfId="3" applyNumberFormat="1" applyFont="1" applyBorder="1" applyAlignment="1">
      <alignment horizontal="center"/>
    </xf>
    <xf numFmtId="9" fontId="6" fillId="0" borderId="11" xfId="3" applyNumberFormat="1" applyFont="1" applyBorder="1" applyAlignment="1">
      <alignment horizontal="center"/>
    </xf>
    <xf numFmtId="9" fontId="6" fillId="0" borderId="0" xfId="3" applyNumberFormat="1" applyFont="1" applyAlignment="1">
      <alignment horizontal="center"/>
    </xf>
    <xf numFmtId="0" fontId="17" fillId="0" borderId="6" xfId="3" applyFont="1" applyBorder="1" applyAlignment="1">
      <alignment wrapText="1"/>
    </xf>
    <xf numFmtId="0" fontId="17" fillId="0" borderId="13" xfId="3" applyFont="1" applyBorder="1" applyAlignment="1">
      <alignment horizontal="center"/>
    </xf>
    <xf numFmtId="0" fontId="17" fillId="0" borderId="30" xfId="3" applyFont="1" applyBorder="1" applyAlignment="1">
      <alignment horizontal="center"/>
    </xf>
    <xf numFmtId="0" fontId="17" fillId="0" borderId="14" xfId="3" applyFont="1" applyBorder="1" applyAlignment="1">
      <alignment horizontal="center"/>
    </xf>
    <xf numFmtId="0" fontId="6" fillId="0" borderId="1" xfId="3" applyFont="1" applyBorder="1" applyAlignment="1">
      <alignment horizontal="center"/>
    </xf>
    <xf numFmtId="0" fontId="6" fillId="13" borderId="6" xfId="3" applyFont="1" applyFill="1" applyBorder="1"/>
    <xf numFmtId="0" fontId="6" fillId="0" borderId="7" xfId="3" applyFont="1" applyBorder="1"/>
    <xf numFmtId="167" fontId="6" fillId="0" borderId="0" xfId="3" applyNumberFormat="1" applyFont="1" applyAlignment="1">
      <alignment horizontal="left" wrapText="1"/>
    </xf>
    <xf numFmtId="16" fontId="6" fillId="0" borderId="1" xfId="3" applyNumberFormat="1" applyFont="1" applyBorder="1" applyAlignment="1">
      <alignment horizontal="center"/>
    </xf>
    <xf numFmtId="167" fontId="6" fillId="0" borderId="1" xfId="3" applyNumberFormat="1" applyFont="1" applyBorder="1" applyAlignment="1">
      <alignment horizontal="center"/>
    </xf>
    <xf numFmtId="0" fontId="17" fillId="0" borderId="10" xfId="3" applyFont="1" applyBorder="1" applyAlignment="1">
      <alignment horizontal="center"/>
    </xf>
    <xf numFmtId="167" fontId="6" fillId="0" borderId="11" xfId="3" applyNumberFormat="1" applyFont="1" applyBorder="1" applyAlignment="1">
      <alignment horizontal="center"/>
    </xf>
    <xf numFmtId="0" fontId="6" fillId="0" borderId="6" xfId="3" applyFont="1" applyBorder="1"/>
    <xf numFmtId="6" fontId="6" fillId="0" borderId="1" xfId="3" applyNumberFormat="1" applyFont="1" applyBorder="1" applyAlignment="1">
      <alignment horizontal="center"/>
    </xf>
    <xf numFmtId="0" fontId="17" fillId="0" borderId="9" xfId="3" applyFont="1" applyBorder="1"/>
    <xf numFmtId="0" fontId="6" fillId="0" borderId="11" xfId="3" applyFont="1" applyBorder="1"/>
    <xf numFmtId="0" fontId="6" fillId="0" borderId="13" xfId="3" applyFont="1" applyBorder="1"/>
    <xf numFmtId="0" fontId="20" fillId="0" borderId="30" xfId="3" applyFont="1" applyBorder="1" applyAlignment="1">
      <alignment horizontal="left"/>
    </xf>
    <xf numFmtId="166" fontId="6" fillId="0" borderId="30" xfId="3" applyNumberFormat="1" applyFont="1" applyBorder="1"/>
    <xf numFmtId="167" fontId="6" fillId="0" borderId="14" xfId="3" applyNumberFormat="1" applyFont="1" applyBorder="1" applyAlignment="1">
      <alignment horizontal="center"/>
    </xf>
    <xf numFmtId="9" fontId="6" fillId="0" borderId="7" xfId="3" applyNumberFormat="1" applyFont="1" applyBorder="1" applyAlignment="1">
      <alignment horizontal="center" wrapText="1"/>
    </xf>
    <xf numFmtId="166" fontId="6" fillId="0" borderId="7" xfId="3" applyNumberFormat="1" applyFont="1" applyBorder="1"/>
    <xf numFmtId="167" fontId="17" fillId="0" borderId="8" xfId="3" applyNumberFormat="1" applyFont="1" applyBorder="1" applyAlignment="1">
      <alignment horizontal="center"/>
    </xf>
    <xf numFmtId="0" fontId="6" fillId="0" borderId="3" xfId="3" applyFont="1" applyBorder="1" applyAlignment="1">
      <alignment horizontal="center"/>
    </xf>
    <xf numFmtId="166" fontId="6" fillId="0" borderId="0" xfId="3" applyNumberFormat="1" applyFont="1" applyAlignment="1">
      <alignment horizontal="left"/>
    </xf>
    <xf numFmtId="0" fontId="17" fillId="0" borderId="3" xfId="3" applyFont="1" applyBorder="1" applyAlignment="1">
      <alignment horizontal="center" wrapText="1"/>
    </xf>
    <xf numFmtId="0" fontId="6" fillId="0" borderId="9" xfId="3" applyFont="1" applyBorder="1" applyAlignment="1">
      <alignment horizontal="center"/>
    </xf>
    <xf numFmtId="0" fontId="18" fillId="11" borderId="0" xfId="3" applyFont="1" applyFill="1" applyAlignment="1">
      <alignment horizontal="left"/>
    </xf>
    <xf numFmtId="0" fontId="6" fillId="11" borderId="0" xfId="3" applyFont="1" applyFill="1"/>
    <xf numFmtId="167" fontId="6" fillId="11" borderId="0" xfId="3" applyNumberFormat="1" applyFont="1" applyFill="1" applyAlignment="1">
      <alignment horizontal="center"/>
    </xf>
    <xf numFmtId="0" fontId="6" fillId="12" borderId="0" xfId="3" applyFont="1" applyFill="1"/>
    <xf numFmtId="0" fontId="17" fillId="0" borderId="18" xfId="3" applyFont="1" applyBorder="1" applyAlignment="1">
      <alignment horizontal="center"/>
    </xf>
    <xf numFmtId="0" fontId="17" fillId="0" borderId="21" xfId="3" applyFont="1" applyBorder="1" applyAlignment="1">
      <alignment horizontal="center"/>
    </xf>
    <xf numFmtId="0" fontId="17" fillId="0" borderId="22" xfId="3" applyFont="1" applyBorder="1" applyAlignment="1">
      <alignment horizontal="center" wrapText="1"/>
    </xf>
    <xf numFmtId="0" fontId="17" fillId="3" borderId="22" xfId="3" applyFont="1" applyFill="1" applyBorder="1" applyAlignment="1">
      <alignment horizontal="center" wrapText="1"/>
    </xf>
    <xf numFmtId="0" fontId="17" fillId="3" borderId="23" xfId="3" applyFont="1" applyFill="1" applyBorder="1" applyAlignment="1">
      <alignment horizontal="center" wrapText="1"/>
    </xf>
    <xf numFmtId="167" fontId="6" fillId="0" borderId="6" xfId="3" applyNumberFormat="1" applyFont="1" applyBorder="1" applyAlignment="1">
      <alignment horizontal="left"/>
    </xf>
    <xf numFmtId="0" fontId="6" fillId="0" borderId="8" xfId="3" applyFont="1" applyBorder="1" applyAlignment="1">
      <alignment horizontal="right"/>
    </xf>
    <xf numFmtId="167" fontId="6" fillId="10" borderId="23" xfId="3" applyNumberFormat="1" applyFont="1" applyFill="1" applyBorder="1" applyAlignment="1">
      <alignment horizontal="center"/>
    </xf>
    <xf numFmtId="167" fontId="6" fillId="3" borderId="3" xfId="3" applyNumberFormat="1" applyFont="1" applyFill="1" applyBorder="1" applyAlignment="1">
      <alignment horizontal="left"/>
    </xf>
    <xf numFmtId="9" fontId="6" fillId="0" borderId="1" xfId="3" applyNumberFormat="1" applyFont="1" applyBorder="1"/>
    <xf numFmtId="167" fontId="6" fillId="3" borderId="9" xfId="3" applyNumberFormat="1" applyFont="1" applyFill="1" applyBorder="1" applyAlignment="1">
      <alignment horizontal="left"/>
    </xf>
    <xf numFmtId="9" fontId="6" fillId="0" borderId="11" xfId="3" applyNumberFormat="1" applyFont="1" applyBorder="1"/>
    <xf numFmtId="167" fontId="6" fillId="3" borderId="25" xfId="3" applyNumberFormat="1" applyFont="1" applyFill="1" applyBorder="1" applyAlignment="1">
      <alignment horizontal="center"/>
    </xf>
    <xf numFmtId="167" fontId="6" fillId="10" borderId="26" xfId="3" applyNumberFormat="1" applyFont="1" applyFill="1" applyBorder="1" applyAlignment="1">
      <alignment horizontal="center"/>
    </xf>
    <xf numFmtId="0" fontId="21" fillId="0" borderId="0" xfId="3" applyFont="1" applyAlignment="1">
      <alignment horizontal="left"/>
    </xf>
    <xf numFmtId="167" fontId="21" fillId="0" borderId="0" xfId="3" applyNumberFormat="1" applyFont="1" applyAlignment="1">
      <alignment horizontal="center"/>
    </xf>
    <xf numFmtId="0" fontId="21" fillId="0" borderId="0" xfId="3" applyFont="1"/>
    <xf numFmtId="0" fontId="17" fillId="0" borderId="13" xfId="3" applyFont="1" applyBorder="1"/>
    <xf numFmtId="0" fontId="17" fillId="0" borderId="5" xfId="3" applyFont="1" applyBorder="1" applyAlignment="1">
      <alignment horizontal="center"/>
    </xf>
    <xf numFmtId="167" fontId="17" fillId="0" borderId="14" xfId="3" applyNumberFormat="1" applyFont="1" applyBorder="1" applyAlignment="1">
      <alignment horizontal="center"/>
    </xf>
    <xf numFmtId="167" fontId="17" fillId="0" borderId="75" xfId="3" applyNumberFormat="1" applyFont="1" applyBorder="1" applyAlignment="1">
      <alignment horizontal="center"/>
    </xf>
    <xf numFmtId="167" fontId="17" fillId="0" borderId="76" xfId="3" applyNumberFormat="1" applyFont="1" applyBorder="1" applyAlignment="1">
      <alignment horizontal="center"/>
    </xf>
    <xf numFmtId="167" fontId="6" fillId="0" borderId="18" xfId="3" applyNumberFormat="1" applyFont="1" applyBorder="1" applyAlignment="1">
      <alignment horizontal="left"/>
    </xf>
    <xf numFmtId="169" fontId="6" fillId="3" borderId="22" xfId="3" applyNumberFormat="1" applyFont="1" applyFill="1" applyBorder="1" applyAlignment="1">
      <alignment horizontal="center"/>
    </xf>
    <xf numFmtId="167" fontId="6" fillId="0" borderId="23" xfId="3" applyNumberFormat="1" applyFont="1" applyBorder="1" applyAlignment="1">
      <alignment horizontal="left"/>
    </xf>
    <xf numFmtId="169" fontId="6" fillId="3" borderId="25" xfId="3" applyNumberFormat="1" applyFont="1" applyFill="1" applyBorder="1" applyAlignment="1">
      <alignment horizontal="center"/>
    </xf>
    <xf numFmtId="167" fontId="6" fillId="0" borderId="26" xfId="3" applyNumberFormat="1" applyFont="1" applyBorder="1" applyAlignment="1">
      <alignment horizontal="left"/>
    </xf>
    <xf numFmtId="170" fontId="6" fillId="0" borderId="0" xfId="3" applyNumberFormat="1" applyFont="1" applyAlignment="1">
      <alignment horizontal="center"/>
    </xf>
    <xf numFmtId="167" fontId="6" fillId="0" borderId="18" xfId="3" applyNumberFormat="1" applyFont="1" applyBorder="1" applyAlignment="1">
      <alignment horizontal="center"/>
    </xf>
    <xf numFmtId="170" fontId="6" fillId="3" borderId="22" xfId="3" applyNumberFormat="1" applyFont="1" applyFill="1" applyBorder="1" applyAlignment="1">
      <alignment horizontal="center"/>
    </xf>
    <xf numFmtId="167" fontId="6" fillId="0" borderId="23" xfId="3" applyNumberFormat="1" applyFont="1" applyBorder="1" applyAlignment="1">
      <alignment horizontal="center"/>
    </xf>
    <xf numFmtId="170" fontId="6" fillId="3" borderId="25" xfId="3" applyNumberFormat="1" applyFont="1" applyFill="1" applyBorder="1" applyAlignment="1">
      <alignment horizontal="center"/>
    </xf>
    <xf numFmtId="167" fontId="6" fillId="0" borderId="26" xfId="3" applyNumberFormat="1" applyFont="1" applyBorder="1" applyAlignment="1">
      <alignment horizontal="center"/>
    </xf>
    <xf numFmtId="166" fontId="6" fillId="0" borderId="0" xfId="3" applyNumberFormat="1" applyFont="1" applyAlignment="1">
      <alignment horizontal="center"/>
    </xf>
    <xf numFmtId="171" fontId="6" fillId="0" borderId="0" xfId="3" applyNumberFormat="1" applyFont="1" applyAlignment="1">
      <alignment horizontal="center"/>
    </xf>
    <xf numFmtId="0" fontId="6" fillId="0" borderId="77" xfId="3" applyFont="1" applyBorder="1"/>
    <xf numFmtId="0" fontId="6" fillId="0" borderId="78" xfId="3" applyFont="1" applyBorder="1" applyAlignment="1">
      <alignment horizontal="center"/>
    </xf>
    <xf numFmtId="167" fontId="6" fillId="0" borderId="40" xfId="3" applyNumberFormat="1" applyFont="1" applyBorder="1" applyAlignment="1">
      <alignment horizontal="center"/>
    </xf>
    <xf numFmtId="0" fontId="6" fillId="0" borderId="79" xfId="3" applyFont="1" applyBorder="1"/>
    <xf numFmtId="0" fontId="6" fillId="0" borderId="80" xfId="3" applyFont="1" applyBorder="1" applyAlignment="1">
      <alignment horizontal="center"/>
    </xf>
    <xf numFmtId="0" fontId="6" fillId="0" borderId="52" xfId="3" applyFont="1" applyBorder="1" applyAlignment="1">
      <alignment horizontal="center"/>
    </xf>
    <xf numFmtId="167" fontId="6" fillId="3" borderId="81" xfId="3" applyNumberFormat="1" applyFont="1" applyFill="1" applyBorder="1" applyAlignment="1">
      <alignment horizontal="center"/>
    </xf>
    <xf numFmtId="167" fontId="6" fillId="0" borderId="82" xfId="3" applyNumberFormat="1" applyFont="1" applyBorder="1" applyAlignment="1">
      <alignment horizontal="center"/>
    </xf>
    <xf numFmtId="0" fontId="6" fillId="0" borderId="83" xfId="3" applyFont="1" applyBorder="1"/>
    <xf numFmtId="167" fontId="6" fillId="0" borderId="52" xfId="3" applyNumberFormat="1" applyFont="1" applyBorder="1" applyAlignment="1">
      <alignment horizontal="center"/>
    </xf>
    <xf numFmtId="170" fontId="6" fillId="0" borderId="17" xfId="3" applyNumberFormat="1" applyFont="1" applyBorder="1" applyAlignment="1">
      <alignment horizontal="center"/>
    </xf>
    <xf numFmtId="167" fontId="6" fillId="13" borderId="22" xfId="3" applyNumberFormat="1" applyFont="1" applyFill="1" applyBorder="1" applyAlignment="1">
      <alignment horizontal="center"/>
    </xf>
    <xf numFmtId="167" fontId="6" fillId="3" borderId="52" xfId="3" applyNumberFormat="1" applyFont="1" applyFill="1" applyBorder="1" applyAlignment="1">
      <alignment horizontal="center"/>
    </xf>
    <xf numFmtId="167" fontId="6" fillId="0" borderId="84" xfId="3" applyNumberFormat="1" applyFont="1" applyBorder="1" applyAlignment="1">
      <alignment horizontal="center"/>
    </xf>
    <xf numFmtId="172" fontId="6" fillId="3" borderId="22" xfId="3" applyNumberFormat="1" applyFont="1" applyFill="1" applyBorder="1" applyAlignment="1">
      <alignment horizontal="center"/>
    </xf>
    <xf numFmtId="170" fontId="6" fillId="3" borderId="85" xfId="3" applyNumberFormat="1" applyFont="1" applyFill="1" applyBorder="1" applyAlignment="1">
      <alignment horizontal="center"/>
    </xf>
    <xf numFmtId="172" fontId="6" fillId="3" borderId="85" xfId="3" applyNumberFormat="1" applyFont="1" applyFill="1" applyBorder="1" applyAlignment="1">
      <alignment horizontal="center"/>
    </xf>
    <xf numFmtId="167" fontId="6" fillId="0" borderId="51" xfId="3" applyNumberFormat="1" applyFont="1" applyBorder="1" applyAlignment="1">
      <alignment horizontal="center"/>
    </xf>
    <xf numFmtId="167" fontId="6" fillId="0" borderId="53" xfId="3" applyNumberFormat="1" applyFont="1" applyBorder="1" applyAlignment="1">
      <alignment horizontal="center"/>
    </xf>
    <xf numFmtId="0" fontId="6" fillId="0" borderId="86" xfId="3" applyFont="1" applyBorder="1"/>
    <xf numFmtId="0" fontId="6" fillId="0" borderId="87" xfId="3" applyFont="1" applyBorder="1" applyAlignment="1">
      <alignment horizontal="center"/>
    </xf>
    <xf numFmtId="170" fontId="6" fillId="0" borderId="52" xfId="3" applyNumberFormat="1" applyFont="1" applyBorder="1" applyAlignment="1">
      <alignment horizontal="center"/>
    </xf>
    <xf numFmtId="170" fontId="6" fillId="3" borderId="52" xfId="3" applyNumberFormat="1" applyFont="1" applyFill="1" applyBorder="1" applyAlignment="1">
      <alignment horizontal="center"/>
    </xf>
    <xf numFmtId="167" fontId="6" fillId="0" borderId="87" xfId="3" applyNumberFormat="1" applyFont="1" applyBorder="1" applyAlignment="1">
      <alignment horizontal="center"/>
    </xf>
    <xf numFmtId="167" fontId="6" fillId="0" borderId="88" xfId="3" applyNumberFormat="1" applyFont="1" applyBorder="1" applyAlignment="1">
      <alignment horizontal="center"/>
    </xf>
    <xf numFmtId="170" fontId="6" fillId="0" borderId="51" xfId="3" applyNumberFormat="1" applyFont="1" applyBorder="1" applyAlignment="1">
      <alignment horizontal="center"/>
    </xf>
    <xf numFmtId="170" fontId="6" fillId="0" borderId="25" xfId="3" applyNumberFormat="1" applyFont="1" applyBorder="1" applyAlignment="1">
      <alignment horizontal="center"/>
    </xf>
    <xf numFmtId="0" fontId="17" fillId="0" borderId="16" xfId="3" applyFont="1" applyBorder="1" applyAlignment="1">
      <alignment horizontal="center"/>
    </xf>
    <xf numFmtId="166" fontId="17" fillId="0" borderId="18" xfId="3" applyNumberFormat="1" applyFont="1" applyBorder="1" applyAlignment="1">
      <alignment horizontal="center"/>
    </xf>
    <xf numFmtId="167" fontId="6" fillId="0" borderId="21" xfId="3" applyNumberFormat="1" applyFont="1" applyBorder="1" applyAlignment="1">
      <alignment horizontal="center"/>
    </xf>
    <xf numFmtId="9" fontId="6" fillId="0" borderId="23" xfId="3" applyNumberFormat="1" applyFont="1" applyBorder="1" applyAlignment="1">
      <alignment horizontal="center"/>
    </xf>
    <xf numFmtId="0" fontId="6" fillId="0" borderId="21" xfId="3" applyFont="1" applyBorder="1" applyAlignment="1">
      <alignment horizontal="left"/>
    </xf>
    <xf numFmtId="0" fontId="6" fillId="0" borderId="24" xfId="3" applyFont="1" applyBorder="1" applyAlignment="1">
      <alignment horizontal="left"/>
    </xf>
    <xf numFmtId="167" fontId="6" fillId="0" borderId="24" xfId="3" applyNumberFormat="1" applyFont="1" applyBorder="1" applyAlignment="1">
      <alignment horizontal="center"/>
    </xf>
    <xf numFmtId="0" fontId="20" fillId="0" borderId="0" xfId="3" applyFont="1" applyAlignment="1">
      <alignment horizontal="center"/>
    </xf>
    <xf numFmtId="0" fontId="6" fillId="0" borderId="13" xfId="3" applyFont="1" applyBorder="1" applyAlignment="1">
      <alignment horizontal="center"/>
    </xf>
    <xf numFmtId="0" fontId="20" fillId="0" borderId="30" xfId="3" applyFont="1" applyBorder="1" applyAlignment="1">
      <alignment horizontal="center"/>
    </xf>
    <xf numFmtId="167" fontId="6" fillId="0" borderId="30" xfId="3" applyNumberFormat="1" applyFont="1" applyBorder="1" applyAlignment="1">
      <alignment horizontal="center"/>
    </xf>
    <xf numFmtId="0" fontId="17" fillId="0" borderId="31" xfId="3" applyFont="1" applyBorder="1"/>
    <xf numFmtId="9" fontId="6" fillId="0" borderId="17" xfId="3" applyNumberFormat="1" applyFont="1" applyBorder="1" applyAlignment="1">
      <alignment horizontal="center" wrapText="1"/>
    </xf>
    <xf numFmtId="166" fontId="6" fillId="0" borderId="89" xfId="3" applyNumberFormat="1" applyFont="1" applyBorder="1"/>
    <xf numFmtId="167" fontId="17" fillId="0" borderId="17" xfId="3" applyNumberFormat="1" applyFont="1" applyBorder="1" applyAlignment="1">
      <alignment horizontal="center"/>
    </xf>
    <xf numFmtId="9" fontId="6" fillId="0" borderId="35" xfId="3" applyNumberFormat="1" applyFont="1" applyBorder="1" applyAlignment="1">
      <alignment horizontal="center"/>
    </xf>
    <xf numFmtId="166" fontId="6" fillId="0" borderId="22" xfId="3" applyNumberFormat="1" applyFont="1" applyBorder="1" applyAlignment="1">
      <alignment horizontal="left"/>
    </xf>
    <xf numFmtId="6" fontId="6" fillId="0" borderId="35" xfId="3" applyNumberFormat="1" applyFont="1" applyBorder="1" applyAlignment="1">
      <alignment horizontal="center"/>
    </xf>
    <xf numFmtId="0" fontId="17" fillId="0" borderId="21" xfId="3" applyFont="1" applyBorder="1" applyAlignment="1">
      <alignment horizontal="center" wrapText="1"/>
    </xf>
    <xf numFmtId="9" fontId="6" fillId="0" borderId="22" xfId="3" applyNumberFormat="1" applyFont="1" applyBorder="1" applyAlignment="1">
      <alignment horizontal="center"/>
    </xf>
    <xf numFmtId="9" fontId="6" fillId="0" borderId="38" xfId="3" applyNumberFormat="1" applyFont="1" applyBorder="1" applyAlignment="1">
      <alignment horizontal="center"/>
    </xf>
    <xf numFmtId="0" fontId="18" fillId="6" borderId="6" xfId="3" applyFont="1" applyFill="1" applyBorder="1"/>
    <xf numFmtId="0" fontId="16" fillId="6" borderId="7" xfId="3" applyFill="1" applyBorder="1"/>
    <xf numFmtId="0" fontId="17" fillId="6" borderId="7" xfId="3" applyFont="1" applyFill="1" applyBorder="1" applyAlignment="1">
      <alignment horizontal="center"/>
    </xf>
    <xf numFmtId="49" fontId="17" fillId="6" borderId="8" xfId="3" applyNumberFormat="1" applyFont="1" applyFill="1" applyBorder="1" applyAlignment="1">
      <alignment horizontal="center"/>
    </xf>
    <xf numFmtId="0" fontId="18" fillId="6" borderId="3" xfId="3" applyFont="1" applyFill="1" applyBorder="1"/>
    <xf numFmtId="0" fontId="16" fillId="6" borderId="0" xfId="3" applyFill="1"/>
    <xf numFmtId="0" fontId="17" fillId="6" borderId="0" xfId="3" applyFont="1" applyFill="1"/>
    <xf numFmtId="0" fontId="17" fillId="6" borderId="0" xfId="3" applyFont="1" applyFill="1" applyAlignment="1">
      <alignment horizontal="center"/>
    </xf>
    <xf numFmtId="49" fontId="17" fillId="6" borderId="1" xfId="3" applyNumberFormat="1" applyFont="1" applyFill="1" applyBorder="1" applyAlignment="1">
      <alignment horizontal="center"/>
    </xf>
    <xf numFmtId="0" fontId="17" fillId="0" borderId="3" xfId="3" applyFont="1" applyBorder="1" applyAlignment="1">
      <alignment horizontal="center"/>
    </xf>
    <xf numFmtId="0" fontId="17" fillId="0" borderId="1" xfId="3" applyFont="1" applyBorder="1" applyAlignment="1">
      <alignment horizontal="center"/>
    </xf>
    <xf numFmtId="0" fontId="17" fillId="11" borderId="34" xfId="3" applyFont="1" applyFill="1" applyBorder="1"/>
    <xf numFmtId="173" fontId="17" fillId="3" borderId="2" xfId="4" applyNumberFormat="1" applyFont="1" applyFill="1" applyBorder="1" applyAlignment="1">
      <alignment horizontal="center"/>
    </xf>
    <xf numFmtId="0" fontId="6" fillId="0" borderId="35" xfId="3" applyFont="1" applyBorder="1" applyAlignment="1">
      <alignment horizontal="left"/>
    </xf>
    <xf numFmtId="173" fontId="6" fillId="0" borderId="2" xfId="4" applyNumberFormat="1" applyFont="1" applyBorder="1" applyAlignment="1">
      <alignment horizontal="center"/>
    </xf>
    <xf numFmtId="0" fontId="17" fillId="14" borderId="34" xfId="3" applyFont="1" applyFill="1" applyBorder="1" applyAlignment="1">
      <alignment horizontal="left"/>
    </xf>
    <xf numFmtId="0" fontId="17" fillId="0" borderId="2" xfId="3" applyFont="1" applyBorder="1" applyAlignment="1">
      <alignment horizontal="center"/>
    </xf>
    <xf numFmtId="173" fontId="6" fillId="0" borderId="2" xfId="4" applyNumberFormat="1" applyFont="1" applyFill="1" applyBorder="1" applyAlignment="1">
      <alignment horizontal="center"/>
    </xf>
    <xf numFmtId="167" fontId="6" fillId="0" borderId="35" xfId="3" applyNumberFormat="1" applyFont="1" applyBorder="1" applyAlignment="1">
      <alignment horizontal="center"/>
    </xf>
    <xf numFmtId="167" fontId="6" fillId="0" borderId="2" xfId="3" applyNumberFormat="1" applyFont="1" applyBorder="1" applyAlignment="1">
      <alignment horizontal="center"/>
    </xf>
    <xf numFmtId="170" fontId="6" fillId="0" borderId="2" xfId="3" applyNumberFormat="1" applyFont="1" applyBorder="1" applyAlignment="1">
      <alignment horizontal="center"/>
    </xf>
    <xf numFmtId="174" fontId="6" fillId="0" borderId="2" xfId="3" applyNumberFormat="1" applyFont="1" applyBorder="1" applyAlignment="1">
      <alignment horizontal="center"/>
    </xf>
    <xf numFmtId="0" fontId="6" fillId="0" borderId="35" xfId="3" applyFont="1" applyBorder="1"/>
    <xf numFmtId="0" fontId="6" fillId="0" borderId="38" xfId="3" applyFont="1" applyBorder="1"/>
    <xf numFmtId="0" fontId="6" fillId="6" borderId="7" xfId="3" applyFont="1" applyFill="1" applyBorder="1"/>
    <xf numFmtId="0" fontId="6" fillId="6" borderId="0" xfId="3" applyFont="1" applyFill="1"/>
    <xf numFmtId="173" fontId="6" fillId="3" borderId="2" xfId="3" applyNumberFormat="1" applyFont="1" applyFill="1" applyBorder="1" applyAlignment="1">
      <alignment horizontal="center"/>
    </xf>
    <xf numFmtId="167" fontId="6" fillId="0" borderId="37" xfId="3" applyNumberFormat="1" applyFont="1" applyBorder="1" applyAlignment="1">
      <alignment horizontal="center"/>
    </xf>
    <xf numFmtId="0" fontId="6" fillId="0" borderId="90" xfId="3" applyFont="1" applyBorder="1"/>
    <xf numFmtId="0" fontId="6" fillId="0" borderId="90" xfId="3" applyFont="1" applyBorder="1" applyAlignment="1">
      <alignment horizontal="center"/>
    </xf>
    <xf numFmtId="167" fontId="6" fillId="0" borderId="90" xfId="3" applyNumberFormat="1" applyFont="1" applyBorder="1" applyAlignment="1">
      <alignment horizontal="center"/>
    </xf>
    <xf numFmtId="0" fontId="18" fillId="6" borderId="91" xfId="3" applyFont="1" applyFill="1" applyBorder="1"/>
    <xf numFmtId="0" fontId="6" fillId="6" borderId="92" xfId="3" applyFont="1" applyFill="1" applyBorder="1"/>
    <xf numFmtId="0" fontId="17" fillId="6" borderId="92" xfId="3" applyFont="1" applyFill="1" applyBorder="1" applyAlignment="1">
      <alignment horizontal="center"/>
    </xf>
    <xf numFmtId="0" fontId="6" fillId="0" borderId="93" xfId="3" applyFont="1" applyBorder="1"/>
    <xf numFmtId="0" fontId="6" fillId="0" borderId="94" xfId="3" applyFont="1" applyBorder="1"/>
    <xf numFmtId="0" fontId="6" fillId="0" borderId="94" xfId="3" applyFont="1" applyBorder="1" applyAlignment="1">
      <alignment horizontal="center"/>
    </xf>
    <xf numFmtId="0" fontId="17" fillId="0" borderId="34" xfId="3" applyFont="1" applyBorder="1" applyAlignment="1">
      <alignment horizontal="center"/>
    </xf>
    <xf numFmtId="167" fontId="17" fillId="0" borderId="2" xfId="3" applyNumberFormat="1" applyFont="1" applyBorder="1" applyAlignment="1">
      <alignment horizontal="center"/>
    </xf>
    <xf numFmtId="0" fontId="17" fillId="0" borderId="35" xfId="3" applyFont="1" applyBorder="1" applyAlignment="1">
      <alignment horizontal="center"/>
    </xf>
    <xf numFmtId="0" fontId="17" fillId="11" borderId="2" xfId="3" applyFont="1" applyFill="1" applyBorder="1" applyAlignment="1">
      <alignment horizontal="center"/>
    </xf>
    <xf numFmtId="167" fontId="17" fillId="3" borderId="2" xfId="3" applyNumberFormat="1" applyFont="1" applyFill="1" applyBorder="1" applyAlignment="1">
      <alignment horizontal="center"/>
    </xf>
    <xf numFmtId="173" fontId="6" fillId="0" borderId="2" xfId="3" applyNumberFormat="1" applyFont="1" applyBorder="1" applyAlignment="1">
      <alignment horizontal="center"/>
    </xf>
    <xf numFmtId="173" fontId="6" fillId="0" borderId="4" xfId="3" applyNumberFormat="1" applyFont="1" applyBorder="1" applyAlignment="1">
      <alignment horizontal="center"/>
    </xf>
    <xf numFmtId="0" fontId="22" fillId="0" borderId="0" xfId="3" applyFont="1"/>
    <xf numFmtId="0" fontId="23" fillId="0" borderId="10" xfId="3" applyFont="1" applyBorder="1" applyAlignment="1">
      <alignment horizontal="right" vertical="center"/>
    </xf>
    <xf numFmtId="0" fontId="24" fillId="16" borderId="62" xfId="3" applyFont="1" applyFill="1" applyBorder="1" applyAlignment="1">
      <alignment horizontal="center" vertical="center"/>
    </xf>
    <xf numFmtId="0" fontId="24" fillId="16" borderId="11" xfId="3" applyFont="1" applyFill="1" applyBorder="1" applyAlignment="1">
      <alignment horizontal="center" vertical="center"/>
    </xf>
    <xf numFmtId="0" fontId="24" fillId="0" borderId="62" xfId="3" applyFont="1" applyBorder="1" applyAlignment="1">
      <alignment horizontal="right" vertical="center"/>
    </xf>
    <xf numFmtId="173" fontId="24" fillId="0" borderId="11" xfId="3" applyNumberFormat="1" applyFont="1" applyBorder="1" applyAlignment="1">
      <alignment horizontal="right" vertical="center"/>
    </xf>
    <xf numFmtId="164" fontId="24" fillId="0" borderId="11" xfId="3" applyNumberFormat="1" applyFont="1" applyBorder="1" applyAlignment="1">
      <alignment horizontal="center" vertical="center"/>
    </xf>
    <xf numFmtId="0" fontId="24" fillId="0" borderId="11" xfId="3" applyFont="1" applyBorder="1" applyAlignment="1">
      <alignment horizontal="center" vertical="center"/>
    </xf>
    <xf numFmtId="0" fontId="3" fillId="0" borderId="0" xfId="5"/>
    <xf numFmtId="3" fontId="3" fillId="0" borderId="0" xfId="5" applyNumberFormat="1" applyAlignment="1">
      <alignment horizontal="center"/>
    </xf>
    <xf numFmtId="0" fontId="19" fillId="0" borderId="0" xfId="7"/>
    <xf numFmtId="0" fontId="8" fillId="0" borderId="0" xfId="0" applyFont="1" applyBorder="1"/>
    <xf numFmtId="0" fontId="0" fillId="0" borderId="0" xfId="5" applyFont="1"/>
    <xf numFmtId="175" fontId="0" fillId="0" borderId="0" xfId="2" applyNumberFormat="1" applyFont="1" applyAlignment="1">
      <alignment horizontal="center"/>
    </xf>
    <xf numFmtId="175" fontId="1" fillId="2" borderId="0" xfId="2" applyNumberFormat="1" applyFont="1" applyFill="1" applyAlignment="1">
      <alignment horizontal="center"/>
    </xf>
    <xf numFmtId="14" fontId="0" fillId="0" borderId="0" xfId="0" applyNumberFormat="1" applyAlignment="1">
      <alignment horizontal="center"/>
    </xf>
    <xf numFmtId="0" fontId="0" fillId="2" borderId="95" xfId="0" applyFill="1" applyBorder="1"/>
    <xf numFmtId="0" fontId="25" fillId="0" borderId="0" xfId="0" applyFont="1"/>
    <xf numFmtId="0" fontId="1" fillId="0" borderId="96" xfId="0" applyFont="1" applyBorder="1"/>
    <xf numFmtId="0" fontId="7" fillId="0" borderId="0" xfId="0" applyFont="1" applyBorder="1"/>
    <xf numFmtId="0" fontId="7" fillId="0" borderId="0" xfId="0" applyFont="1" applyFill="1" applyBorder="1" applyAlignment="1">
      <alignment horizontal="center"/>
    </xf>
    <xf numFmtId="0" fontId="0" fillId="0" borderId="98" xfId="0" applyBorder="1"/>
    <xf numFmtId="0" fontId="0" fillId="0" borderId="98" xfId="0" applyBorder="1" applyAlignment="1">
      <alignment horizontal="center"/>
    </xf>
    <xf numFmtId="0" fontId="0" fillId="0" borderId="99" xfId="0" applyBorder="1"/>
    <xf numFmtId="0" fontId="0" fillId="0" borderId="101" xfId="0" applyBorder="1"/>
    <xf numFmtId="0" fontId="0" fillId="0" borderId="101" xfId="0" applyBorder="1" applyAlignment="1">
      <alignment horizontal="center"/>
    </xf>
    <xf numFmtId="0" fontId="0" fillId="0" borderId="102" xfId="0" applyBorder="1"/>
    <xf numFmtId="0" fontId="0" fillId="0" borderId="97" xfId="0" applyFill="1" applyBorder="1"/>
    <xf numFmtId="0" fontId="0" fillId="0" borderId="98" xfId="0" applyFill="1" applyBorder="1"/>
    <xf numFmtId="0" fontId="0" fillId="0" borderId="101" xfId="0" applyFill="1" applyBorder="1"/>
    <xf numFmtId="0" fontId="0" fillId="0" borderId="98" xfId="0" applyFont="1" applyFill="1" applyBorder="1"/>
    <xf numFmtId="0" fontId="13" fillId="0" borderId="98" xfId="0" applyFont="1" applyFill="1" applyBorder="1"/>
    <xf numFmtId="0" fontId="13" fillId="0" borderId="98" xfId="0" applyFont="1" applyFill="1" applyBorder="1" applyAlignment="1">
      <alignment horizontal="left"/>
    </xf>
    <xf numFmtId="0" fontId="13" fillId="0" borderId="98" xfId="0" applyFont="1" applyFill="1" applyBorder="1" applyAlignment="1">
      <alignment horizontal="left" wrapText="1"/>
    </xf>
    <xf numFmtId="0" fontId="0" fillId="0" borderId="97" xfId="0" applyFill="1" applyBorder="1" applyAlignment="1">
      <alignment horizontal="left"/>
    </xf>
    <xf numFmtId="0" fontId="0" fillId="0" borderId="98" xfId="0" applyFill="1" applyBorder="1" applyAlignment="1">
      <alignment horizontal="left"/>
    </xf>
    <xf numFmtId="0" fontId="0" fillId="0" borderId="101" xfId="0" applyFill="1" applyBorder="1" applyAlignment="1">
      <alignment horizontal="left"/>
    </xf>
    <xf numFmtId="0" fontId="8" fillId="0" borderId="0" xfId="0" applyFont="1" applyAlignment="1">
      <alignment horizontal="left"/>
    </xf>
    <xf numFmtId="0" fontId="8" fillId="0" borderId="0" xfId="0" applyFont="1" applyAlignment="1">
      <alignment horizontal="center"/>
    </xf>
    <xf numFmtId="0" fontId="1" fillId="0" borderId="103" xfId="0" applyFont="1" applyBorder="1"/>
    <xf numFmtId="0" fontId="1" fillId="0" borderId="104" xfId="0" applyFont="1" applyBorder="1" applyAlignment="1">
      <alignment horizontal="center"/>
    </xf>
    <xf numFmtId="0" fontId="1" fillId="0" borderId="104" xfId="0" applyFont="1" applyBorder="1"/>
    <xf numFmtId="0" fontId="0" fillId="0" borderId="105" xfId="0" applyBorder="1"/>
    <xf numFmtId="0" fontId="0" fillId="0" borderId="107" xfId="0" applyBorder="1" applyAlignment="1">
      <alignment horizontal="center"/>
    </xf>
    <xf numFmtId="0" fontId="0" fillId="0" borderId="107" xfId="0" applyBorder="1"/>
    <xf numFmtId="0" fontId="0" fillId="0" borderId="108" xfId="0" applyBorder="1"/>
    <xf numFmtId="9" fontId="0" fillId="0" borderId="98" xfId="2" applyFont="1" applyBorder="1" applyAlignment="1">
      <alignment horizontal="center"/>
    </xf>
    <xf numFmtId="3" fontId="0" fillId="0" borderId="98" xfId="0" applyNumberFormat="1" applyBorder="1" applyAlignment="1">
      <alignment horizontal="center"/>
    </xf>
    <xf numFmtId="164" fontId="0" fillId="0" borderId="98" xfId="0" applyNumberFormat="1" applyBorder="1" applyAlignment="1">
      <alignment horizontal="center"/>
    </xf>
    <xf numFmtId="0" fontId="0" fillId="0" borderId="100" xfId="0" applyBorder="1"/>
    <xf numFmtId="0" fontId="0" fillId="0" borderId="0" xfId="0" applyAlignment="1">
      <alignment vertical="top"/>
    </xf>
    <xf numFmtId="0" fontId="0" fillId="0" borderId="0" xfId="0" applyAlignment="1">
      <alignment horizontal="left" vertical="top"/>
    </xf>
    <xf numFmtId="15" fontId="0" fillId="0" borderId="0" xfId="0" applyNumberFormat="1" applyAlignment="1">
      <alignment vertical="top"/>
    </xf>
    <xf numFmtId="0" fontId="13" fillId="0" borderId="0" xfId="0" applyFont="1" applyFill="1" applyBorder="1" applyAlignment="1">
      <alignment horizontal="left" wrapText="1"/>
    </xf>
    <xf numFmtId="1" fontId="0" fillId="0" borderId="98" xfId="2" applyNumberFormat="1" applyFont="1" applyBorder="1" applyAlignment="1">
      <alignment horizontal="center"/>
    </xf>
    <xf numFmtId="0" fontId="13" fillId="17" borderId="100" xfId="0" applyFont="1" applyFill="1" applyBorder="1"/>
    <xf numFmtId="0" fontId="13" fillId="17" borderId="106" xfId="0" applyFont="1" applyFill="1" applyBorder="1"/>
    <xf numFmtId="0" fontId="0" fillId="17" borderId="100" xfId="0" applyFill="1" applyBorder="1"/>
    <xf numFmtId="0" fontId="3" fillId="0" borderId="0" xfId="5" applyBorder="1"/>
    <xf numFmtId="0" fontId="15" fillId="0" borderId="0" xfId="0" applyFont="1" applyBorder="1" applyAlignment="1">
      <alignment horizontal="center"/>
    </xf>
    <xf numFmtId="0" fontId="2" fillId="0" borderId="0" xfId="5" applyFont="1" applyBorder="1"/>
    <xf numFmtId="3" fontId="2" fillId="0" borderId="0" xfId="5" applyNumberFormat="1" applyFont="1" applyBorder="1" applyAlignment="1">
      <alignment horizontal="center"/>
    </xf>
    <xf numFmtId="0" fontId="3" fillId="0" borderId="0" xfId="5" applyBorder="1" applyAlignment="1">
      <alignment vertical="top" wrapText="1"/>
    </xf>
    <xf numFmtId="3" fontId="3" fillId="0" borderId="0" xfId="5" applyNumberFormat="1" applyBorder="1" applyAlignment="1">
      <alignment horizontal="center"/>
    </xf>
    <xf numFmtId="3" fontId="15" fillId="0" borderId="0" xfId="0" applyNumberFormat="1" applyFont="1" applyFill="1" applyBorder="1" applyAlignment="1">
      <alignment horizontal="center"/>
    </xf>
    <xf numFmtId="0" fontId="2" fillId="0" borderId="1" xfId="5" applyFont="1" applyBorder="1"/>
    <xf numFmtId="0" fontId="3" fillId="0" borderId="1" xfId="5" applyBorder="1"/>
    <xf numFmtId="0" fontId="2" fillId="0" borderId="3" xfId="5" applyFont="1" applyBorder="1"/>
    <xf numFmtId="0" fontId="3" fillId="0" borderId="3" xfId="5" applyBorder="1"/>
    <xf numFmtId="176" fontId="0" fillId="0" borderId="0" xfId="2" applyNumberFormat="1" applyFont="1" applyAlignment="1">
      <alignment horizontal="center"/>
    </xf>
    <xf numFmtId="0" fontId="13" fillId="0" borderId="3" xfId="0" applyFont="1" applyBorder="1"/>
    <xf numFmtId="0" fontId="4" fillId="7" borderId="100" xfId="0" applyFont="1" applyFill="1" applyBorder="1"/>
    <xf numFmtId="0" fontId="4" fillId="7" borderId="98" xfId="0" applyFont="1" applyFill="1" applyBorder="1" applyAlignment="1">
      <alignment horizontal="center"/>
    </xf>
    <xf numFmtId="0" fontId="0" fillId="0" borderId="98" xfId="0" applyFill="1" applyBorder="1" applyAlignment="1">
      <alignment horizontal="center"/>
    </xf>
    <xf numFmtId="0" fontId="0" fillId="0" borderId="101" xfId="0" applyFill="1" applyBorder="1" applyAlignment="1">
      <alignment horizontal="center"/>
    </xf>
    <xf numFmtId="0" fontId="0" fillId="0" borderId="0" xfId="0" applyFill="1" applyAlignment="1">
      <alignment horizontal="center"/>
    </xf>
    <xf numFmtId="0" fontId="4" fillId="0" borderId="98" xfId="0" applyFont="1" applyFill="1" applyBorder="1" applyAlignment="1">
      <alignment horizontal="center"/>
    </xf>
    <xf numFmtId="0" fontId="0" fillId="0" borderId="0" xfId="0" applyFont="1" applyFill="1" applyBorder="1" applyAlignment="1">
      <alignment horizontal="left"/>
    </xf>
    <xf numFmtId="9" fontId="0" fillId="0" borderId="0" xfId="2" applyFont="1"/>
    <xf numFmtId="0" fontId="1" fillId="0" borderId="0" xfId="0" applyFont="1" applyFill="1" applyBorder="1" applyAlignment="1">
      <alignment horizontal="left"/>
    </xf>
    <xf numFmtId="0" fontId="0" fillId="18" borderId="98" xfId="0" applyFill="1" applyBorder="1" applyAlignment="1">
      <alignment horizontal="center"/>
    </xf>
    <xf numFmtId="0" fontId="0" fillId="18" borderId="101" xfId="0" applyFill="1" applyBorder="1" applyAlignment="1">
      <alignment horizontal="center"/>
    </xf>
    <xf numFmtId="0" fontId="0" fillId="18" borderId="0" xfId="0" applyFill="1" applyAlignment="1">
      <alignment horizontal="center"/>
    </xf>
    <xf numFmtId="177" fontId="3" fillId="0" borderId="0" xfId="5" applyNumberFormat="1" applyAlignment="1">
      <alignment horizontal="center"/>
    </xf>
    <xf numFmtId="177" fontId="1" fillId="2" borderId="0" xfId="0" applyNumberFormat="1" applyFont="1" applyFill="1" applyAlignment="1">
      <alignment horizontal="center"/>
    </xf>
    <xf numFmtId="0" fontId="7" fillId="0" borderId="0" xfId="0" applyFont="1" applyFill="1" applyBorder="1"/>
    <xf numFmtId="0" fontId="0" fillId="3" borderId="0" xfId="0" applyFill="1" applyAlignment="1">
      <alignment horizontal="right"/>
    </xf>
    <xf numFmtId="0" fontId="2" fillId="2" borderId="0" xfId="0" applyFont="1" applyFill="1" applyBorder="1" applyAlignment="1">
      <alignment horizontal="center"/>
    </xf>
    <xf numFmtId="0" fontId="2" fillId="2" borderId="1" xfId="0" applyFont="1" applyFill="1" applyBorder="1" applyAlignment="1">
      <alignment horizontal="center"/>
    </xf>
    <xf numFmtId="0" fontId="1" fillId="0" borderId="3" xfId="5" applyFont="1" applyBorder="1" applyAlignment="1">
      <alignment horizontal="left" vertical="top" wrapText="1"/>
    </xf>
    <xf numFmtId="0" fontId="1" fillId="0" borderId="0" xfId="5" applyFont="1" applyBorder="1" applyAlignment="1">
      <alignment horizontal="left" vertical="top" wrapText="1"/>
    </xf>
    <xf numFmtId="0" fontId="1" fillId="0" borderId="1" xfId="5" applyFont="1" applyBorder="1" applyAlignment="1">
      <alignment horizontal="left" vertical="top" wrapText="1"/>
    </xf>
    <xf numFmtId="0" fontId="17" fillId="0" borderId="3" xfId="3" applyFont="1" applyBorder="1" applyAlignment="1">
      <alignment horizontal="left" wrapText="1"/>
    </xf>
    <xf numFmtId="0" fontId="17" fillId="0" borderId="9" xfId="3" applyFont="1" applyBorder="1" applyAlignment="1">
      <alignment horizontal="left" wrapText="1"/>
    </xf>
    <xf numFmtId="0" fontId="23" fillId="15" borderId="6" xfId="3" applyFont="1" applyFill="1" applyBorder="1" applyAlignment="1">
      <alignment horizontal="center" vertical="center"/>
    </xf>
    <xf numFmtId="0" fontId="23" fillId="15" borderId="7" xfId="3" applyFont="1" applyFill="1" applyBorder="1" applyAlignment="1">
      <alignment horizontal="center" vertical="center"/>
    </xf>
    <xf numFmtId="0" fontId="23" fillId="15" borderId="8" xfId="3" applyFont="1" applyFill="1" applyBorder="1" applyAlignment="1">
      <alignment horizontal="center" vertical="center"/>
    </xf>
  </cellXfs>
  <cellStyles count="8">
    <cellStyle name="Comma" xfId="1" builtinId="3"/>
    <cellStyle name="Currency 2" xfId="4" xr:uid="{6541080A-BB84-4469-BC14-8A3CFC4DA7DE}"/>
    <cellStyle name="Normal" xfId="0" builtinId="0"/>
    <cellStyle name="Normal 2" xfId="3" xr:uid="{859CEA0E-DA3D-4AE7-B34F-E8D8C9F6CE28}"/>
    <cellStyle name="Normal 2 2 2" xfId="7" xr:uid="{3757D203-4EF9-4B46-BC57-C2D4738F958F}"/>
    <cellStyle name="Normal 40" xfId="5" xr:uid="{0C2F0E7F-75F9-4B55-AD0B-B9E82ACFAA45}"/>
    <cellStyle name="Percent" xfId="2" builtinId="5"/>
    <cellStyle name="Percent 9" xfId="6" xr:uid="{C77F7B58-A3BC-4C57-9BB9-9A59FA32DEA4}"/>
  </cellStyles>
  <dxfs count="3">
    <dxf>
      <font>
        <color theme="0"/>
      </font>
      <fill>
        <patternFill>
          <bgColor rgb="FF00B050"/>
        </patternFill>
      </fill>
    </dxf>
    <dxf>
      <font>
        <color theme="0"/>
      </font>
      <fill>
        <patternFill>
          <bgColor rgb="FFFF0000"/>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AL80"/>
  <sheetViews>
    <sheetView workbookViewId="0">
      <pane xSplit="1" ySplit="3" topLeftCell="B25" activePane="bottomRight" state="frozen"/>
      <selection pane="topRight" activeCell="B1" sqref="B1"/>
      <selection pane="bottomLeft" activeCell="A4" sqref="A4"/>
      <selection pane="bottomRight" activeCell="E19" sqref="E19"/>
    </sheetView>
  </sheetViews>
  <sheetFormatPr defaultRowHeight="15" x14ac:dyDescent="0.25"/>
  <cols>
    <col min="1" max="1" width="46.42578125" customWidth="1"/>
    <col min="2" max="4" width="30.7109375" style="3" customWidth="1"/>
    <col min="5" max="5" width="30.7109375" style="4" customWidth="1"/>
    <col min="6" max="38" width="9.140625" style="9"/>
  </cols>
  <sheetData>
    <row r="2" spans="1:38" ht="23.25" x14ac:dyDescent="0.35">
      <c r="B2" s="588" t="s">
        <v>111</v>
      </c>
      <c r="C2" s="588"/>
      <c r="D2" s="588"/>
      <c r="E2" s="589"/>
      <c r="F2" s="11" t="s">
        <v>112</v>
      </c>
    </row>
    <row r="3" spans="1:38" s="1" customFormat="1" ht="105" x14ac:dyDescent="0.25">
      <c r="B3" s="5" t="s">
        <v>109</v>
      </c>
      <c r="C3" s="5" t="s">
        <v>108</v>
      </c>
      <c r="D3" s="5" t="s">
        <v>107</v>
      </c>
      <c r="E3" s="6" t="s">
        <v>110</v>
      </c>
      <c r="F3" s="10" t="s">
        <v>4</v>
      </c>
      <c r="G3" s="10" t="s">
        <v>1</v>
      </c>
      <c r="H3" s="10" t="s">
        <v>2</v>
      </c>
      <c r="I3" s="10" t="s">
        <v>3</v>
      </c>
      <c r="J3" s="10" t="s">
        <v>5</v>
      </c>
      <c r="K3" s="10" t="s">
        <v>25</v>
      </c>
      <c r="L3" s="10" t="s">
        <v>26</v>
      </c>
      <c r="M3" s="10" t="s">
        <v>6</v>
      </c>
      <c r="N3" s="10" t="s">
        <v>7</v>
      </c>
      <c r="O3" s="10" t="s">
        <v>8</v>
      </c>
      <c r="P3" s="10" t="s">
        <v>9</v>
      </c>
      <c r="Q3" s="10" t="s">
        <v>10</v>
      </c>
      <c r="R3" s="10" t="s">
        <v>11</v>
      </c>
      <c r="S3" s="10" t="s">
        <v>12</v>
      </c>
      <c r="T3" s="10" t="s">
        <v>13</v>
      </c>
      <c r="U3" s="10" t="s">
        <v>15</v>
      </c>
      <c r="V3" s="10" t="s">
        <v>16</v>
      </c>
      <c r="W3" s="10" t="s">
        <v>20</v>
      </c>
      <c r="X3" s="10" t="s">
        <v>21</v>
      </c>
      <c r="Y3" s="10" t="s">
        <v>22</v>
      </c>
      <c r="Z3" s="10" t="s">
        <v>23</v>
      </c>
      <c r="AA3" s="10" t="s">
        <v>24</v>
      </c>
      <c r="AB3" s="10" t="s">
        <v>29</v>
      </c>
      <c r="AC3" s="10" t="s">
        <v>30</v>
      </c>
      <c r="AD3" s="10" t="s">
        <v>31</v>
      </c>
      <c r="AE3" s="10" t="s">
        <v>74</v>
      </c>
      <c r="AF3" s="10" t="s">
        <v>75</v>
      </c>
      <c r="AG3" s="10" t="s">
        <v>76</v>
      </c>
      <c r="AH3" s="10" t="s">
        <v>77</v>
      </c>
      <c r="AI3" s="10" t="s">
        <v>78</v>
      </c>
      <c r="AJ3" s="10" t="s">
        <v>79</v>
      </c>
      <c r="AK3" s="10" t="s">
        <v>80</v>
      </c>
      <c r="AL3" s="10" t="s">
        <v>106</v>
      </c>
    </row>
    <row r="4" spans="1:38" x14ac:dyDescent="0.25">
      <c r="A4" s="2" t="s">
        <v>17</v>
      </c>
      <c r="B4" s="7"/>
      <c r="C4" s="7"/>
      <c r="D4" s="7"/>
      <c r="E4" s="8"/>
    </row>
    <row r="5" spans="1:38" x14ac:dyDescent="0.25">
      <c r="A5" s="12" t="s">
        <v>114</v>
      </c>
      <c r="F5" s="9" t="s">
        <v>14</v>
      </c>
      <c r="G5" s="9" t="s">
        <v>14</v>
      </c>
      <c r="H5" s="9" t="s">
        <v>14</v>
      </c>
      <c r="I5" s="9" t="s">
        <v>14</v>
      </c>
      <c r="J5" s="9" t="s">
        <v>14</v>
      </c>
      <c r="K5" s="9" t="s">
        <v>14</v>
      </c>
      <c r="L5" s="9" t="s">
        <v>14</v>
      </c>
      <c r="M5" s="9" t="s">
        <v>14</v>
      </c>
      <c r="N5" s="9" t="s">
        <v>14</v>
      </c>
      <c r="O5" s="9" t="s">
        <v>14</v>
      </c>
      <c r="P5" s="9" t="s">
        <v>14</v>
      </c>
      <c r="Q5" s="9" t="s">
        <v>14</v>
      </c>
      <c r="R5" s="9" t="s">
        <v>14</v>
      </c>
      <c r="S5" s="9" t="s">
        <v>14</v>
      </c>
      <c r="T5" s="9" t="s">
        <v>14</v>
      </c>
    </row>
    <row r="6" spans="1:38" x14ac:dyDescent="0.25">
      <c r="A6" s="12" t="s">
        <v>0</v>
      </c>
      <c r="J6" s="9" t="s">
        <v>14</v>
      </c>
      <c r="K6" s="9" t="s">
        <v>14</v>
      </c>
      <c r="L6" s="9" t="s">
        <v>14</v>
      </c>
      <c r="P6" s="9" t="s">
        <v>14</v>
      </c>
      <c r="U6" s="9" t="s">
        <v>14</v>
      </c>
      <c r="V6" s="9" t="s">
        <v>14</v>
      </c>
    </row>
    <row r="7" spans="1:38" x14ac:dyDescent="0.25">
      <c r="A7" s="12" t="s">
        <v>18</v>
      </c>
      <c r="W7" s="9" t="s">
        <v>14</v>
      </c>
      <c r="X7" s="9" t="s">
        <v>14</v>
      </c>
      <c r="Y7" s="9" t="s">
        <v>14</v>
      </c>
    </row>
    <row r="8" spans="1:38" x14ac:dyDescent="0.25">
      <c r="A8" s="12" t="s">
        <v>19</v>
      </c>
      <c r="W8" s="9" t="s">
        <v>14</v>
      </c>
      <c r="X8" s="9" t="s">
        <v>14</v>
      </c>
      <c r="Y8" s="9" t="s">
        <v>14</v>
      </c>
    </row>
    <row r="9" spans="1:38" x14ac:dyDescent="0.25">
      <c r="A9" s="12" t="s">
        <v>113</v>
      </c>
      <c r="X9" s="9" t="s">
        <v>14</v>
      </c>
      <c r="Z9" s="9" t="s">
        <v>14</v>
      </c>
      <c r="AA9" s="9" t="s">
        <v>14</v>
      </c>
    </row>
    <row r="10" spans="1:38" x14ac:dyDescent="0.25">
      <c r="A10" s="12" t="s">
        <v>115</v>
      </c>
      <c r="H10" s="9" t="s">
        <v>14</v>
      </c>
      <c r="I10" s="9" t="s">
        <v>14</v>
      </c>
      <c r="J10" s="9" t="s">
        <v>14</v>
      </c>
      <c r="K10" s="9" t="s">
        <v>14</v>
      </c>
      <c r="L10" s="9" t="s">
        <v>14</v>
      </c>
      <c r="M10" s="9" t="s">
        <v>14</v>
      </c>
      <c r="N10" s="9" t="s">
        <v>14</v>
      </c>
      <c r="O10" s="9" t="s">
        <v>14</v>
      </c>
      <c r="P10" s="9" t="s">
        <v>14</v>
      </c>
      <c r="Q10" s="9" t="s">
        <v>14</v>
      </c>
      <c r="R10" s="9" t="s">
        <v>14</v>
      </c>
    </row>
    <row r="11" spans="1:38" x14ac:dyDescent="0.25">
      <c r="A11" s="12" t="s">
        <v>116</v>
      </c>
      <c r="H11" s="9" t="s">
        <v>14</v>
      </c>
      <c r="I11" s="9" t="s">
        <v>14</v>
      </c>
      <c r="J11" s="9" t="s">
        <v>14</v>
      </c>
      <c r="K11" s="9" t="s">
        <v>14</v>
      </c>
      <c r="L11" s="9" t="s">
        <v>14</v>
      </c>
      <c r="M11" s="9" t="s">
        <v>14</v>
      </c>
      <c r="N11" s="9" t="s">
        <v>14</v>
      </c>
      <c r="O11" s="9" t="s">
        <v>14</v>
      </c>
      <c r="P11" s="9" t="s">
        <v>14</v>
      </c>
      <c r="Q11" s="9" t="s">
        <v>14</v>
      </c>
      <c r="R11" s="9" t="s">
        <v>14</v>
      </c>
    </row>
    <row r="12" spans="1:38" x14ac:dyDescent="0.25">
      <c r="A12" s="12" t="s">
        <v>27</v>
      </c>
      <c r="E12" s="4" t="s">
        <v>14</v>
      </c>
      <c r="O12" s="9" t="s">
        <v>14</v>
      </c>
      <c r="AB12" s="9" t="s">
        <v>14</v>
      </c>
      <c r="AC12" s="9" t="s">
        <v>14</v>
      </c>
      <c r="AD12" s="9" t="s">
        <v>14</v>
      </c>
    </row>
    <row r="13" spans="1:38" x14ac:dyDescent="0.25">
      <c r="A13" s="12" t="s">
        <v>28</v>
      </c>
      <c r="O13" s="9" t="s">
        <v>14</v>
      </c>
      <c r="AB13" s="9" t="s">
        <v>14</v>
      </c>
      <c r="AC13" s="9" t="s">
        <v>14</v>
      </c>
      <c r="AD13" s="9" t="s">
        <v>14</v>
      </c>
    </row>
    <row r="14" spans="1:38" x14ac:dyDescent="0.25">
      <c r="A14" s="12" t="s">
        <v>32</v>
      </c>
    </row>
    <row r="15" spans="1:38" x14ac:dyDescent="0.25">
      <c r="A15" s="12" t="s">
        <v>33</v>
      </c>
    </row>
    <row r="16" spans="1:38" x14ac:dyDescent="0.25">
      <c r="A16" s="12" t="s">
        <v>34</v>
      </c>
    </row>
    <row r="17" spans="1:1" x14ac:dyDescent="0.25">
      <c r="A17" s="12" t="s">
        <v>35</v>
      </c>
    </row>
    <row r="18" spans="1:1" x14ac:dyDescent="0.25">
      <c r="A18" s="12" t="s">
        <v>36</v>
      </c>
    </row>
    <row r="19" spans="1:1" x14ac:dyDescent="0.25">
      <c r="A19" s="12" t="s">
        <v>37</v>
      </c>
    </row>
    <row r="20" spans="1:1" x14ac:dyDescent="0.25">
      <c r="A20" s="12" t="s">
        <v>38</v>
      </c>
    </row>
    <row r="21" spans="1:1" x14ac:dyDescent="0.25">
      <c r="A21" s="12" t="s">
        <v>39</v>
      </c>
    </row>
    <row r="22" spans="1:1" x14ac:dyDescent="0.25">
      <c r="A22" s="12" t="s">
        <v>40</v>
      </c>
    </row>
    <row r="23" spans="1:1" x14ac:dyDescent="0.25">
      <c r="A23" s="12" t="s">
        <v>41</v>
      </c>
    </row>
    <row r="24" spans="1:1" x14ac:dyDescent="0.25">
      <c r="A24" s="12" t="s">
        <v>42</v>
      </c>
    </row>
    <row r="25" spans="1:1" x14ac:dyDescent="0.25">
      <c r="A25" s="12" t="s">
        <v>43</v>
      </c>
    </row>
    <row r="26" spans="1:1" x14ac:dyDescent="0.25">
      <c r="A26" s="12" t="s">
        <v>44</v>
      </c>
    </row>
    <row r="27" spans="1:1" x14ac:dyDescent="0.25">
      <c r="A27" s="12" t="s">
        <v>45</v>
      </c>
    </row>
    <row r="28" spans="1:1" x14ac:dyDescent="0.25">
      <c r="A28" s="12" t="s">
        <v>46</v>
      </c>
    </row>
    <row r="29" spans="1:1" x14ac:dyDescent="0.25">
      <c r="A29" s="12" t="s">
        <v>47</v>
      </c>
    </row>
    <row r="30" spans="1:1" x14ac:dyDescent="0.25">
      <c r="A30" s="12" t="s">
        <v>48</v>
      </c>
    </row>
    <row r="31" spans="1:1" x14ac:dyDescent="0.25">
      <c r="A31" s="12" t="s">
        <v>49</v>
      </c>
    </row>
    <row r="32" spans="1:1" x14ac:dyDescent="0.25">
      <c r="A32" s="12" t="s">
        <v>50</v>
      </c>
    </row>
    <row r="33" spans="1:1" x14ac:dyDescent="0.25">
      <c r="A33" s="12" t="s">
        <v>51</v>
      </c>
    </row>
    <row r="34" spans="1:1" x14ac:dyDescent="0.25">
      <c r="A34" s="12" t="s">
        <v>52</v>
      </c>
    </row>
    <row r="35" spans="1:1" x14ac:dyDescent="0.25">
      <c r="A35" s="12" t="s">
        <v>53</v>
      </c>
    </row>
    <row r="36" spans="1:1" x14ac:dyDescent="0.25">
      <c r="A36" s="12" t="s">
        <v>54</v>
      </c>
    </row>
    <row r="37" spans="1:1" x14ac:dyDescent="0.25">
      <c r="A37" s="12" t="s">
        <v>55</v>
      </c>
    </row>
    <row r="38" spans="1:1" x14ac:dyDescent="0.25">
      <c r="A38" s="12" t="s">
        <v>56</v>
      </c>
    </row>
    <row r="39" spans="1:1" x14ac:dyDescent="0.25">
      <c r="A39" s="12" t="s">
        <v>57</v>
      </c>
    </row>
    <row r="40" spans="1:1" x14ac:dyDescent="0.25">
      <c r="A40" s="12" t="s">
        <v>58</v>
      </c>
    </row>
    <row r="41" spans="1:1" x14ac:dyDescent="0.25">
      <c r="A41" s="12" t="s">
        <v>59</v>
      </c>
    </row>
    <row r="42" spans="1:1" x14ac:dyDescent="0.25">
      <c r="A42" s="12" t="s">
        <v>60</v>
      </c>
    </row>
    <row r="43" spans="1:1" x14ac:dyDescent="0.25">
      <c r="A43" s="12" t="s">
        <v>61</v>
      </c>
    </row>
    <row r="44" spans="1:1" x14ac:dyDescent="0.25">
      <c r="A44" s="12" t="s">
        <v>62</v>
      </c>
    </row>
    <row r="45" spans="1:1" x14ac:dyDescent="0.25">
      <c r="A45" s="12" t="s">
        <v>63</v>
      </c>
    </row>
    <row r="46" spans="1:1" x14ac:dyDescent="0.25">
      <c r="A46" s="12" t="s">
        <v>64</v>
      </c>
    </row>
    <row r="47" spans="1:1" x14ac:dyDescent="0.25">
      <c r="A47" s="12" t="s">
        <v>65</v>
      </c>
    </row>
    <row r="48" spans="1:1" x14ac:dyDescent="0.25">
      <c r="A48" s="12" t="s">
        <v>66</v>
      </c>
    </row>
    <row r="49" spans="1:38" x14ac:dyDescent="0.25">
      <c r="A49" s="12" t="s">
        <v>67</v>
      </c>
    </row>
    <row r="50" spans="1:38" x14ac:dyDescent="0.25">
      <c r="A50" s="12" t="s">
        <v>68</v>
      </c>
    </row>
    <row r="51" spans="1:38" x14ac:dyDescent="0.25">
      <c r="A51" s="12" t="s">
        <v>69</v>
      </c>
    </row>
    <row r="52" spans="1:38" x14ac:dyDescent="0.25">
      <c r="A52" s="12" t="s">
        <v>70</v>
      </c>
    </row>
    <row r="53" spans="1:38" x14ac:dyDescent="0.25">
      <c r="A53" s="12" t="s">
        <v>71</v>
      </c>
    </row>
    <row r="54" spans="1:38" x14ac:dyDescent="0.25">
      <c r="A54" s="12" t="s">
        <v>72</v>
      </c>
      <c r="B54" s="3" t="s">
        <v>14</v>
      </c>
      <c r="D54" s="3" t="s">
        <v>14</v>
      </c>
      <c r="F54" s="9" t="s">
        <v>14</v>
      </c>
      <c r="J54" s="9" t="s">
        <v>14</v>
      </c>
      <c r="K54" s="9" t="s">
        <v>14</v>
      </c>
      <c r="L54" s="9" t="s">
        <v>14</v>
      </c>
      <c r="M54" s="9" t="s">
        <v>14</v>
      </c>
      <c r="AE54" s="9" t="s">
        <v>14</v>
      </c>
      <c r="AF54" s="9" t="s">
        <v>14</v>
      </c>
      <c r="AG54" s="9" t="s">
        <v>14</v>
      </c>
      <c r="AH54" s="9" t="s">
        <v>14</v>
      </c>
      <c r="AI54" s="9" t="s">
        <v>14</v>
      </c>
      <c r="AJ54" s="9" t="s">
        <v>14</v>
      </c>
      <c r="AK54" s="9" t="s">
        <v>14</v>
      </c>
      <c r="AL54" s="9" t="s">
        <v>14</v>
      </c>
    </row>
    <row r="55" spans="1:38" x14ac:dyDescent="0.25">
      <c r="A55" s="12" t="s">
        <v>73</v>
      </c>
      <c r="F55" s="9" t="s">
        <v>14</v>
      </c>
      <c r="J55" s="9" t="s">
        <v>14</v>
      </c>
      <c r="K55" s="9" t="s">
        <v>14</v>
      </c>
      <c r="L55" s="9" t="s">
        <v>14</v>
      </c>
      <c r="M55" s="9" t="s">
        <v>14</v>
      </c>
      <c r="AE55" s="9" t="s">
        <v>14</v>
      </c>
      <c r="AF55" s="9" t="s">
        <v>14</v>
      </c>
      <c r="AG55" s="9" t="s">
        <v>14</v>
      </c>
      <c r="AH55" s="9" t="s">
        <v>14</v>
      </c>
      <c r="AI55" s="9" t="s">
        <v>14</v>
      </c>
      <c r="AJ55" s="9" t="s">
        <v>14</v>
      </c>
      <c r="AK55" s="9" t="s">
        <v>14</v>
      </c>
      <c r="AL55" s="9" t="s">
        <v>14</v>
      </c>
    </row>
    <row r="56" spans="1:38" x14ac:dyDescent="0.25">
      <c r="A56" s="12" t="s">
        <v>81</v>
      </c>
      <c r="B56" s="3" t="s">
        <v>14</v>
      </c>
      <c r="C56" s="3" t="s">
        <v>14</v>
      </c>
      <c r="D56" s="3" t="s">
        <v>14</v>
      </c>
      <c r="F56" s="9" t="s">
        <v>14</v>
      </c>
      <c r="J56" s="9" t="s">
        <v>14</v>
      </c>
      <c r="K56" s="9" t="s">
        <v>14</v>
      </c>
      <c r="L56" s="9" t="s">
        <v>14</v>
      </c>
      <c r="M56" s="9" t="s">
        <v>14</v>
      </c>
      <c r="AE56" s="9" t="s">
        <v>14</v>
      </c>
      <c r="AF56" s="9" t="s">
        <v>14</v>
      </c>
      <c r="AG56" s="9" t="s">
        <v>14</v>
      </c>
      <c r="AH56" s="9" t="s">
        <v>14</v>
      </c>
      <c r="AI56" s="9" t="s">
        <v>14</v>
      </c>
      <c r="AJ56" s="9" t="s">
        <v>14</v>
      </c>
      <c r="AK56" s="9" t="s">
        <v>14</v>
      </c>
      <c r="AL56" s="9" t="s">
        <v>14</v>
      </c>
    </row>
    <row r="57" spans="1:38" x14ac:dyDescent="0.25">
      <c r="A57" s="12" t="s">
        <v>82</v>
      </c>
      <c r="B57" s="3" t="s">
        <v>14</v>
      </c>
      <c r="D57" s="3" t="s">
        <v>14</v>
      </c>
      <c r="F57" s="9" t="s">
        <v>14</v>
      </c>
      <c r="J57" s="9" t="s">
        <v>14</v>
      </c>
      <c r="K57" s="9" t="s">
        <v>14</v>
      </c>
      <c r="L57" s="9" t="s">
        <v>14</v>
      </c>
      <c r="M57" s="9" t="s">
        <v>14</v>
      </c>
      <c r="AE57" s="9" t="s">
        <v>14</v>
      </c>
      <c r="AF57" s="9" t="s">
        <v>14</v>
      </c>
      <c r="AG57" s="9" t="s">
        <v>14</v>
      </c>
      <c r="AH57" s="9" t="s">
        <v>14</v>
      </c>
      <c r="AI57" s="9" t="s">
        <v>14</v>
      </c>
      <c r="AJ57" s="9" t="s">
        <v>14</v>
      </c>
      <c r="AK57" s="9" t="s">
        <v>14</v>
      </c>
      <c r="AL57" s="9" t="s">
        <v>14</v>
      </c>
    </row>
    <row r="58" spans="1:38" x14ac:dyDescent="0.25">
      <c r="A58" s="12" t="s">
        <v>83</v>
      </c>
      <c r="B58" s="3" t="s">
        <v>14</v>
      </c>
      <c r="D58" s="3" t="s">
        <v>14</v>
      </c>
      <c r="F58" s="9" t="s">
        <v>14</v>
      </c>
      <c r="J58" s="9" t="s">
        <v>14</v>
      </c>
      <c r="K58" s="9" t="s">
        <v>14</v>
      </c>
      <c r="L58" s="9" t="s">
        <v>14</v>
      </c>
      <c r="M58" s="9" t="s">
        <v>14</v>
      </c>
      <c r="AE58" s="9" t="s">
        <v>14</v>
      </c>
      <c r="AF58" s="9" t="s">
        <v>14</v>
      </c>
      <c r="AG58" s="9" t="s">
        <v>14</v>
      </c>
      <c r="AH58" s="9" t="s">
        <v>14</v>
      </c>
      <c r="AI58" s="9" t="s">
        <v>14</v>
      </c>
      <c r="AJ58" s="9" t="s">
        <v>14</v>
      </c>
      <c r="AK58" s="9" t="s">
        <v>14</v>
      </c>
      <c r="AL58" s="9" t="s">
        <v>14</v>
      </c>
    </row>
    <row r="59" spans="1:38" x14ac:dyDescent="0.25">
      <c r="A59" s="12" t="s">
        <v>84</v>
      </c>
      <c r="B59" s="3" t="s">
        <v>14</v>
      </c>
      <c r="D59" s="3" t="s">
        <v>14</v>
      </c>
      <c r="F59" s="9" t="s">
        <v>14</v>
      </c>
      <c r="J59" s="9" t="s">
        <v>14</v>
      </c>
      <c r="K59" s="9" t="s">
        <v>14</v>
      </c>
      <c r="L59" s="9" t="s">
        <v>14</v>
      </c>
      <c r="M59" s="9" t="s">
        <v>14</v>
      </c>
      <c r="AE59" s="9" t="s">
        <v>14</v>
      </c>
      <c r="AF59" s="9" t="s">
        <v>14</v>
      </c>
      <c r="AG59" s="9" t="s">
        <v>14</v>
      </c>
      <c r="AH59" s="9" t="s">
        <v>14</v>
      </c>
      <c r="AI59" s="9" t="s">
        <v>14</v>
      </c>
      <c r="AJ59" s="9" t="s">
        <v>14</v>
      </c>
      <c r="AK59" s="9" t="s">
        <v>14</v>
      </c>
      <c r="AL59" s="9" t="s">
        <v>14</v>
      </c>
    </row>
    <row r="60" spans="1:38" x14ac:dyDescent="0.25">
      <c r="A60" s="12" t="s">
        <v>85</v>
      </c>
      <c r="B60" s="3" t="s">
        <v>14</v>
      </c>
      <c r="D60" s="3" t="s">
        <v>14</v>
      </c>
      <c r="F60" s="9" t="s">
        <v>14</v>
      </c>
      <c r="J60" s="9" t="s">
        <v>14</v>
      </c>
      <c r="K60" s="9" t="s">
        <v>14</v>
      </c>
      <c r="L60" s="9" t="s">
        <v>14</v>
      </c>
      <c r="M60" s="9" t="s">
        <v>14</v>
      </c>
      <c r="AE60" s="9" t="s">
        <v>14</v>
      </c>
      <c r="AF60" s="9" t="s">
        <v>14</v>
      </c>
      <c r="AG60" s="9" t="s">
        <v>14</v>
      </c>
      <c r="AH60" s="9" t="s">
        <v>14</v>
      </c>
      <c r="AI60" s="9" t="s">
        <v>14</v>
      </c>
      <c r="AJ60" s="9" t="s">
        <v>14</v>
      </c>
      <c r="AK60" s="9" t="s">
        <v>14</v>
      </c>
      <c r="AL60" s="9" t="s">
        <v>14</v>
      </c>
    </row>
    <row r="61" spans="1:38" x14ac:dyDescent="0.25">
      <c r="A61" s="12" t="s">
        <v>86</v>
      </c>
      <c r="B61" s="3" t="s">
        <v>14</v>
      </c>
      <c r="D61" s="3" t="s">
        <v>14</v>
      </c>
      <c r="F61" s="9" t="s">
        <v>14</v>
      </c>
      <c r="J61" s="9" t="s">
        <v>14</v>
      </c>
      <c r="K61" s="9" t="s">
        <v>14</v>
      </c>
      <c r="L61" s="9" t="s">
        <v>14</v>
      </c>
      <c r="M61" s="9" t="s">
        <v>14</v>
      </c>
      <c r="AE61" s="9" t="s">
        <v>14</v>
      </c>
      <c r="AF61" s="9" t="s">
        <v>14</v>
      </c>
      <c r="AG61" s="9" t="s">
        <v>14</v>
      </c>
      <c r="AH61" s="9" t="s">
        <v>14</v>
      </c>
      <c r="AI61" s="9" t="s">
        <v>14</v>
      </c>
      <c r="AJ61" s="9" t="s">
        <v>14</v>
      </c>
      <c r="AK61" s="9" t="s">
        <v>14</v>
      </c>
      <c r="AL61" s="9" t="s">
        <v>14</v>
      </c>
    </row>
    <row r="62" spans="1:38" x14ac:dyDescent="0.25">
      <c r="A62" s="12" t="s">
        <v>87</v>
      </c>
      <c r="B62" s="3" t="s">
        <v>14</v>
      </c>
      <c r="D62" s="3" t="s">
        <v>14</v>
      </c>
      <c r="F62" s="9" t="s">
        <v>14</v>
      </c>
      <c r="J62" s="9" t="s">
        <v>14</v>
      </c>
      <c r="K62" s="9" t="s">
        <v>14</v>
      </c>
      <c r="L62" s="9" t="s">
        <v>14</v>
      </c>
      <c r="M62" s="9" t="s">
        <v>14</v>
      </c>
      <c r="AE62" s="9" t="s">
        <v>14</v>
      </c>
      <c r="AF62" s="9" t="s">
        <v>14</v>
      </c>
      <c r="AG62" s="9" t="s">
        <v>14</v>
      </c>
      <c r="AH62" s="9" t="s">
        <v>14</v>
      </c>
      <c r="AI62" s="9" t="s">
        <v>14</v>
      </c>
      <c r="AJ62" s="9" t="s">
        <v>14</v>
      </c>
      <c r="AK62" s="9" t="s">
        <v>14</v>
      </c>
      <c r="AL62" s="9" t="s">
        <v>14</v>
      </c>
    </row>
    <row r="63" spans="1:38" x14ac:dyDescent="0.25">
      <c r="A63" s="12" t="s">
        <v>88</v>
      </c>
      <c r="B63" s="3" t="s">
        <v>14</v>
      </c>
      <c r="D63" s="3" t="s">
        <v>14</v>
      </c>
      <c r="F63" s="9" t="s">
        <v>14</v>
      </c>
      <c r="J63" s="9" t="s">
        <v>14</v>
      </c>
      <c r="K63" s="9" t="s">
        <v>14</v>
      </c>
      <c r="L63" s="9" t="s">
        <v>14</v>
      </c>
      <c r="M63" s="9" t="s">
        <v>14</v>
      </c>
      <c r="AE63" s="9" t="s">
        <v>14</v>
      </c>
      <c r="AF63" s="9" t="s">
        <v>14</v>
      </c>
      <c r="AG63" s="9" t="s">
        <v>14</v>
      </c>
      <c r="AH63" s="9" t="s">
        <v>14</v>
      </c>
      <c r="AI63" s="9" t="s">
        <v>14</v>
      </c>
      <c r="AJ63" s="9" t="s">
        <v>14</v>
      </c>
      <c r="AK63" s="9" t="s">
        <v>14</v>
      </c>
      <c r="AL63" s="9" t="s">
        <v>14</v>
      </c>
    </row>
    <row r="64" spans="1:38" x14ac:dyDescent="0.25">
      <c r="A64" s="12" t="s">
        <v>89</v>
      </c>
      <c r="B64" s="3" t="s">
        <v>14</v>
      </c>
      <c r="D64" s="3" t="s">
        <v>14</v>
      </c>
      <c r="F64" s="9" t="s">
        <v>14</v>
      </c>
      <c r="J64" s="9" t="s">
        <v>14</v>
      </c>
      <c r="K64" s="9" t="s">
        <v>14</v>
      </c>
      <c r="L64" s="9" t="s">
        <v>14</v>
      </c>
      <c r="M64" s="9" t="s">
        <v>14</v>
      </c>
      <c r="AE64" s="9" t="s">
        <v>14</v>
      </c>
      <c r="AF64" s="9" t="s">
        <v>14</v>
      </c>
      <c r="AG64" s="9" t="s">
        <v>14</v>
      </c>
      <c r="AH64" s="9" t="s">
        <v>14</v>
      </c>
      <c r="AI64" s="9" t="s">
        <v>14</v>
      </c>
      <c r="AJ64" s="9" t="s">
        <v>14</v>
      </c>
      <c r="AK64" s="9" t="s">
        <v>14</v>
      </c>
      <c r="AL64" s="9" t="s">
        <v>14</v>
      </c>
    </row>
    <row r="65" spans="1:38" x14ac:dyDescent="0.25">
      <c r="A65" s="12" t="s">
        <v>90</v>
      </c>
      <c r="B65" s="3" t="s">
        <v>14</v>
      </c>
      <c r="D65" s="3" t="s">
        <v>14</v>
      </c>
      <c r="F65" s="9" t="s">
        <v>14</v>
      </c>
      <c r="J65" s="9" t="s">
        <v>14</v>
      </c>
      <c r="K65" s="9" t="s">
        <v>14</v>
      </c>
      <c r="L65" s="9" t="s">
        <v>14</v>
      </c>
      <c r="M65" s="9" t="s">
        <v>14</v>
      </c>
      <c r="AE65" s="9" t="s">
        <v>14</v>
      </c>
      <c r="AF65" s="9" t="s">
        <v>14</v>
      </c>
      <c r="AG65" s="9" t="s">
        <v>14</v>
      </c>
      <c r="AH65" s="9" t="s">
        <v>14</v>
      </c>
      <c r="AI65" s="9" t="s">
        <v>14</v>
      </c>
      <c r="AJ65" s="9" t="s">
        <v>14</v>
      </c>
      <c r="AK65" s="9" t="s">
        <v>14</v>
      </c>
      <c r="AL65" s="9" t="s">
        <v>14</v>
      </c>
    </row>
    <row r="66" spans="1:38" x14ac:dyDescent="0.25">
      <c r="A66" s="12" t="s">
        <v>91</v>
      </c>
      <c r="F66" s="9" t="s">
        <v>14</v>
      </c>
      <c r="J66" s="9" t="s">
        <v>14</v>
      </c>
      <c r="K66" s="9" t="s">
        <v>14</v>
      </c>
      <c r="L66" s="9" t="s">
        <v>14</v>
      </c>
      <c r="M66" s="9" t="s">
        <v>14</v>
      </c>
      <c r="AE66" s="9" t="s">
        <v>14</v>
      </c>
      <c r="AF66" s="9" t="s">
        <v>14</v>
      </c>
      <c r="AG66" s="9" t="s">
        <v>14</v>
      </c>
      <c r="AH66" s="9" t="s">
        <v>14</v>
      </c>
      <c r="AI66" s="9" t="s">
        <v>14</v>
      </c>
      <c r="AJ66" s="9" t="s">
        <v>14</v>
      </c>
      <c r="AK66" s="9" t="s">
        <v>14</v>
      </c>
    </row>
    <row r="67" spans="1:38" x14ac:dyDescent="0.25">
      <c r="A67" s="12" t="s">
        <v>92</v>
      </c>
      <c r="F67" s="9" t="s">
        <v>14</v>
      </c>
      <c r="J67" s="9" t="s">
        <v>14</v>
      </c>
      <c r="K67" s="9" t="s">
        <v>14</v>
      </c>
      <c r="L67" s="9" t="s">
        <v>14</v>
      </c>
      <c r="M67" s="9" t="s">
        <v>14</v>
      </c>
      <c r="AE67" s="9" t="s">
        <v>14</v>
      </c>
      <c r="AF67" s="9" t="s">
        <v>14</v>
      </c>
      <c r="AG67" s="9" t="s">
        <v>14</v>
      </c>
      <c r="AH67" s="9" t="s">
        <v>14</v>
      </c>
      <c r="AI67" s="9" t="s">
        <v>14</v>
      </c>
      <c r="AJ67" s="9" t="s">
        <v>14</v>
      </c>
      <c r="AK67" s="9" t="s">
        <v>14</v>
      </c>
    </row>
    <row r="68" spans="1:38" x14ac:dyDescent="0.25">
      <c r="A68" s="12" t="s">
        <v>93</v>
      </c>
      <c r="F68" s="9" t="s">
        <v>14</v>
      </c>
      <c r="J68" s="9" t="s">
        <v>14</v>
      </c>
      <c r="K68" s="9" t="s">
        <v>14</v>
      </c>
      <c r="L68" s="9" t="s">
        <v>14</v>
      </c>
      <c r="M68" s="9" t="s">
        <v>14</v>
      </c>
      <c r="AE68" s="9" t="s">
        <v>14</v>
      </c>
      <c r="AF68" s="9" t="s">
        <v>14</v>
      </c>
      <c r="AG68" s="9" t="s">
        <v>14</v>
      </c>
      <c r="AH68" s="9" t="s">
        <v>14</v>
      </c>
      <c r="AI68" s="9" t="s">
        <v>14</v>
      </c>
      <c r="AJ68" s="9" t="s">
        <v>14</v>
      </c>
      <c r="AK68" s="9" t="s">
        <v>14</v>
      </c>
    </row>
    <row r="69" spans="1:38" x14ac:dyDescent="0.25">
      <c r="A69" s="12" t="s">
        <v>94</v>
      </c>
      <c r="F69" s="9" t="s">
        <v>14</v>
      </c>
      <c r="J69" s="9" t="s">
        <v>14</v>
      </c>
      <c r="K69" s="9" t="s">
        <v>14</v>
      </c>
      <c r="L69" s="9" t="s">
        <v>14</v>
      </c>
      <c r="M69" s="9" t="s">
        <v>14</v>
      </c>
      <c r="AE69" s="9" t="s">
        <v>14</v>
      </c>
      <c r="AF69" s="9" t="s">
        <v>14</v>
      </c>
      <c r="AG69" s="9" t="s">
        <v>14</v>
      </c>
      <c r="AH69" s="9" t="s">
        <v>14</v>
      </c>
      <c r="AI69" s="9" t="s">
        <v>14</v>
      </c>
      <c r="AJ69" s="9" t="s">
        <v>14</v>
      </c>
      <c r="AK69" s="9" t="s">
        <v>14</v>
      </c>
    </row>
    <row r="70" spans="1:38" x14ac:dyDescent="0.25">
      <c r="A70" s="12" t="s">
        <v>95</v>
      </c>
      <c r="F70" s="9" t="s">
        <v>14</v>
      </c>
      <c r="J70" s="9" t="s">
        <v>14</v>
      </c>
      <c r="K70" s="9" t="s">
        <v>14</v>
      </c>
      <c r="L70" s="9" t="s">
        <v>14</v>
      </c>
      <c r="M70" s="9" t="s">
        <v>14</v>
      </c>
      <c r="AE70" s="9" t="s">
        <v>14</v>
      </c>
      <c r="AF70" s="9" t="s">
        <v>14</v>
      </c>
      <c r="AG70" s="9" t="s">
        <v>14</v>
      </c>
      <c r="AH70" s="9" t="s">
        <v>14</v>
      </c>
      <c r="AI70" s="9" t="s">
        <v>14</v>
      </c>
      <c r="AJ70" s="9" t="s">
        <v>14</v>
      </c>
      <c r="AK70" s="9" t="s">
        <v>14</v>
      </c>
    </row>
    <row r="71" spans="1:38" x14ac:dyDescent="0.25">
      <c r="A71" s="12" t="s">
        <v>96</v>
      </c>
      <c r="F71" s="9" t="s">
        <v>14</v>
      </c>
      <c r="J71" s="9" t="s">
        <v>14</v>
      </c>
      <c r="K71" s="9" t="s">
        <v>14</v>
      </c>
      <c r="L71" s="9" t="s">
        <v>14</v>
      </c>
      <c r="M71" s="9" t="s">
        <v>14</v>
      </c>
      <c r="AE71" s="9" t="s">
        <v>14</v>
      </c>
      <c r="AF71" s="9" t="s">
        <v>14</v>
      </c>
      <c r="AG71" s="9" t="s">
        <v>14</v>
      </c>
      <c r="AH71" s="9" t="s">
        <v>14</v>
      </c>
      <c r="AI71" s="9" t="s">
        <v>14</v>
      </c>
      <c r="AJ71" s="9" t="s">
        <v>14</v>
      </c>
      <c r="AK71" s="9" t="s">
        <v>14</v>
      </c>
    </row>
    <row r="72" spans="1:38" x14ac:dyDescent="0.25">
      <c r="A72" s="12" t="s">
        <v>97</v>
      </c>
      <c r="F72" s="9" t="s">
        <v>14</v>
      </c>
      <c r="J72" s="9" t="s">
        <v>14</v>
      </c>
      <c r="K72" s="9" t="s">
        <v>14</v>
      </c>
      <c r="L72" s="9" t="s">
        <v>14</v>
      </c>
      <c r="M72" s="9" t="s">
        <v>14</v>
      </c>
      <c r="AE72" s="9" t="s">
        <v>14</v>
      </c>
      <c r="AF72" s="9" t="s">
        <v>14</v>
      </c>
      <c r="AG72" s="9" t="s">
        <v>14</v>
      </c>
      <c r="AH72" s="9" t="s">
        <v>14</v>
      </c>
      <c r="AI72" s="9" t="s">
        <v>14</v>
      </c>
      <c r="AJ72" s="9" t="s">
        <v>14</v>
      </c>
      <c r="AK72" s="9" t="s">
        <v>14</v>
      </c>
    </row>
    <row r="73" spans="1:38" x14ac:dyDescent="0.25">
      <c r="A73" s="12" t="s">
        <v>98</v>
      </c>
      <c r="F73" s="9" t="s">
        <v>14</v>
      </c>
      <c r="J73" s="9" t="s">
        <v>14</v>
      </c>
      <c r="K73" s="9" t="s">
        <v>14</v>
      </c>
      <c r="L73" s="9" t="s">
        <v>14</v>
      </c>
      <c r="M73" s="9" t="s">
        <v>14</v>
      </c>
      <c r="AE73" s="9" t="s">
        <v>14</v>
      </c>
      <c r="AF73" s="9" t="s">
        <v>14</v>
      </c>
      <c r="AG73" s="9" t="s">
        <v>14</v>
      </c>
      <c r="AH73" s="9" t="s">
        <v>14</v>
      </c>
      <c r="AI73" s="9" t="s">
        <v>14</v>
      </c>
      <c r="AJ73" s="9" t="s">
        <v>14</v>
      </c>
      <c r="AK73" s="9" t="s">
        <v>14</v>
      </c>
    </row>
    <row r="74" spans="1:38" x14ac:dyDescent="0.25">
      <c r="A74" s="12" t="s">
        <v>99</v>
      </c>
      <c r="F74" s="9" t="s">
        <v>14</v>
      </c>
      <c r="J74" s="9" t="s">
        <v>14</v>
      </c>
      <c r="K74" s="9" t="s">
        <v>14</v>
      </c>
      <c r="L74" s="9" t="s">
        <v>14</v>
      </c>
      <c r="M74" s="9" t="s">
        <v>14</v>
      </c>
      <c r="AE74" s="9" t="s">
        <v>14</v>
      </c>
      <c r="AF74" s="9" t="s">
        <v>14</v>
      </c>
      <c r="AG74" s="9" t="s">
        <v>14</v>
      </c>
      <c r="AH74" s="9" t="s">
        <v>14</v>
      </c>
      <c r="AI74" s="9" t="s">
        <v>14</v>
      </c>
      <c r="AJ74" s="9" t="s">
        <v>14</v>
      </c>
      <c r="AK74" s="9" t="s">
        <v>14</v>
      </c>
    </row>
    <row r="75" spans="1:38" x14ac:dyDescent="0.25">
      <c r="A75" s="12" t="s">
        <v>100</v>
      </c>
      <c r="F75" s="9" t="s">
        <v>14</v>
      </c>
      <c r="J75" s="9" t="s">
        <v>14</v>
      </c>
      <c r="K75" s="9" t="s">
        <v>14</v>
      </c>
      <c r="L75" s="9" t="s">
        <v>14</v>
      </c>
      <c r="M75" s="9" t="s">
        <v>14</v>
      </c>
      <c r="AE75" s="9" t="s">
        <v>14</v>
      </c>
      <c r="AF75" s="9" t="s">
        <v>14</v>
      </c>
      <c r="AG75" s="9" t="s">
        <v>14</v>
      </c>
      <c r="AH75" s="9" t="s">
        <v>14</v>
      </c>
      <c r="AI75" s="9" t="s">
        <v>14</v>
      </c>
      <c r="AJ75" s="9" t="s">
        <v>14</v>
      </c>
      <c r="AK75" s="9" t="s">
        <v>14</v>
      </c>
    </row>
    <row r="76" spans="1:38" x14ac:dyDescent="0.25">
      <c r="A76" s="12" t="s">
        <v>101</v>
      </c>
      <c r="F76" s="9" t="s">
        <v>14</v>
      </c>
      <c r="J76" s="9" t="s">
        <v>14</v>
      </c>
      <c r="K76" s="9" t="s">
        <v>14</v>
      </c>
      <c r="L76" s="9" t="s">
        <v>14</v>
      </c>
      <c r="M76" s="9" t="s">
        <v>14</v>
      </c>
      <c r="AE76" s="9" t="s">
        <v>14</v>
      </c>
      <c r="AF76" s="9" t="s">
        <v>14</v>
      </c>
      <c r="AG76" s="9" t="s">
        <v>14</v>
      </c>
      <c r="AH76" s="9" t="s">
        <v>14</v>
      </c>
      <c r="AI76" s="9" t="s">
        <v>14</v>
      </c>
      <c r="AJ76" s="9" t="s">
        <v>14</v>
      </c>
      <c r="AK76" s="9" t="s">
        <v>14</v>
      </c>
    </row>
    <row r="77" spans="1:38" x14ac:dyDescent="0.25">
      <c r="A77" s="12" t="s">
        <v>102</v>
      </c>
      <c r="F77" s="9" t="s">
        <v>14</v>
      </c>
      <c r="J77" s="9" t="s">
        <v>14</v>
      </c>
      <c r="K77" s="9" t="s">
        <v>14</v>
      </c>
      <c r="L77" s="9" t="s">
        <v>14</v>
      </c>
      <c r="M77" s="9" t="s">
        <v>14</v>
      </c>
      <c r="AE77" s="9" t="s">
        <v>14</v>
      </c>
      <c r="AF77" s="9" t="s">
        <v>14</v>
      </c>
      <c r="AG77" s="9" t="s">
        <v>14</v>
      </c>
      <c r="AH77" s="9" t="s">
        <v>14</v>
      </c>
      <c r="AI77" s="9" t="s">
        <v>14</v>
      </c>
      <c r="AJ77" s="9" t="s">
        <v>14</v>
      </c>
      <c r="AK77" s="9" t="s">
        <v>14</v>
      </c>
    </row>
    <row r="78" spans="1:38" x14ac:dyDescent="0.25">
      <c r="A78" s="12" t="s">
        <v>103</v>
      </c>
      <c r="F78" s="9" t="s">
        <v>14</v>
      </c>
      <c r="J78" s="9" t="s">
        <v>14</v>
      </c>
      <c r="K78" s="9" t="s">
        <v>14</v>
      </c>
      <c r="L78" s="9" t="s">
        <v>14</v>
      </c>
      <c r="M78" s="9" t="s">
        <v>14</v>
      </c>
      <c r="AE78" s="9" t="s">
        <v>14</v>
      </c>
      <c r="AF78" s="9" t="s">
        <v>14</v>
      </c>
      <c r="AG78" s="9" t="s">
        <v>14</v>
      </c>
      <c r="AH78" s="9" t="s">
        <v>14</v>
      </c>
      <c r="AI78" s="9" t="s">
        <v>14</v>
      </c>
      <c r="AJ78" s="9" t="s">
        <v>14</v>
      </c>
      <c r="AK78" s="9" t="s">
        <v>14</v>
      </c>
    </row>
    <row r="79" spans="1:38" x14ac:dyDescent="0.25">
      <c r="A79" s="12" t="s">
        <v>104</v>
      </c>
      <c r="F79" s="9" t="s">
        <v>14</v>
      </c>
      <c r="J79" s="9" t="s">
        <v>14</v>
      </c>
      <c r="K79" s="9" t="s">
        <v>14</v>
      </c>
      <c r="L79" s="9" t="s">
        <v>14</v>
      </c>
      <c r="M79" s="9" t="s">
        <v>14</v>
      </c>
      <c r="AE79" s="9" t="s">
        <v>14</v>
      </c>
      <c r="AF79" s="9" t="s">
        <v>14</v>
      </c>
      <c r="AG79" s="9" t="s">
        <v>14</v>
      </c>
      <c r="AH79" s="9" t="s">
        <v>14</v>
      </c>
      <c r="AI79" s="9" t="s">
        <v>14</v>
      </c>
      <c r="AJ79" s="9" t="s">
        <v>14</v>
      </c>
      <c r="AK79" s="9" t="s">
        <v>14</v>
      </c>
    </row>
    <row r="80" spans="1:38" x14ac:dyDescent="0.25">
      <c r="A80" s="12" t="s">
        <v>105</v>
      </c>
      <c r="F80" s="9" t="s">
        <v>14</v>
      </c>
      <c r="J80" s="9" t="s">
        <v>14</v>
      </c>
      <c r="K80" s="9" t="s">
        <v>14</v>
      </c>
      <c r="L80" s="9" t="s">
        <v>14</v>
      </c>
      <c r="M80" s="9" t="s">
        <v>14</v>
      </c>
      <c r="AE80" s="9" t="s">
        <v>14</v>
      </c>
      <c r="AF80" s="9" t="s">
        <v>14</v>
      </c>
      <c r="AG80" s="9" t="s">
        <v>14</v>
      </c>
      <c r="AH80" s="9" t="s">
        <v>14</v>
      </c>
      <c r="AI80" s="9" t="s">
        <v>14</v>
      </c>
      <c r="AJ80" s="9" t="s">
        <v>14</v>
      </c>
      <c r="AK80" s="9" t="s">
        <v>14</v>
      </c>
    </row>
  </sheetData>
  <mergeCells count="1">
    <mergeCell ref="B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33"/>
  <sheetViews>
    <sheetView workbookViewId="0">
      <selection activeCell="E16" sqref="E16"/>
    </sheetView>
  </sheetViews>
  <sheetFormatPr defaultRowHeight="15" x14ac:dyDescent="0.25"/>
  <cols>
    <col min="1" max="1" width="9.85546875" bestFit="1" customWidth="1"/>
    <col min="2" max="2" width="106.28515625" customWidth="1"/>
    <col min="3" max="3" width="23.28515625" customWidth="1"/>
    <col min="4" max="4" width="55.7109375" customWidth="1"/>
  </cols>
  <sheetData>
    <row r="1" spans="1:4" ht="21" x14ac:dyDescent="0.35">
      <c r="A1" s="518" t="s">
        <v>1304</v>
      </c>
    </row>
    <row r="3" spans="1:4" ht="15.75" thickBot="1" x14ac:dyDescent="0.3">
      <c r="A3" s="519" t="s">
        <v>1305</v>
      </c>
      <c r="B3" s="519" t="s">
        <v>1306</v>
      </c>
      <c r="C3" s="519" t="s">
        <v>1307</v>
      </c>
      <c r="D3" s="519" t="s">
        <v>1308</v>
      </c>
    </row>
    <row r="4" spans="1:4" ht="15.75" thickTop="1" x14ac:dyDescent="0.25">
      <c r="A4" s="551">
        <v>2</v>
      </c>
      <c r="B4" s="551" t="s">
        <v>654</v>
      </c>
      <c r="C4" s="551"/>
      <c r="D4" s="552" t="s">
        <v>1053</v>
      </c>
    </row>
    <row r="5" spans="1:4" x14ac:dyDescent="0.25">
      <c r="A5" s="551">
        <v>7</v>
      </c>
      <c r="B5" s="551" t="s">
        <v>679</v>
      </c>
      <c r="C5" s="551" t="s">
        <v>276</v>
      </c>
      <c r="D5" s="552" t="s">
        <v>276</v>
      </c>
    </row>
    <row r="6" spans="1:4" x14ac:dyDescent="0.25">
      <c r="A6" s="553">
        <v>44774</v>
      </c>
      <c r="B6" s="551" t="s">
        <v>1329</v>
      </c>
      <c r="C6" s="551" t="s">
        <v>276</v>
      </c>
      <c r="D6" s="551" t="s">
        <v>276</v>
      </c>
    </row>
    <row r="7" spans="1:4" x14ac:dyDescent="0.25">
      <c r="A7" s="553">
        <v>44774</v>
      </c>
      <c r="B7" s="551" t="s">
        <v>1353</v>
      </c>
      <c r="C7" s="551" t="s">
        <v>276</v>
      </c>
      <c r="D7" s="551" t="s">
        <v>276</v>
      </c>
    </row>
    <row r="8" spans="1:4" ht="60" x14ac:dyDescent="0.25">
      <c r="A8" s="553">
        <v>44775</v>
      </c>
      <c r="B8" s="1" t="s">
        <v>1333</v>
      </c>
      <c r="C8" s="551" t="s">
        <v>276</v>
      </c>
      <c r="D8" s="551" t="s">
        <v>276</v>
      </c>
    </row>
    <row r="9" spans="1:4" x14ac:dyDescent="0.25">
      <c r="A9" s="553">
        <v>44775</v>
      </c>
      <c r="B9" s="551" t="s">
        <v>1328</v>
      </c>
      <c r="C9" s="551" t="s">
        <v>276</v>
      </c>
      <c r="D9" s="551" t="s">
        <v>276</v>
      </c>
    </row>
    <row r="10" spans="1:4" x14ac:dyDescent="0.25">
      <c r="A10" s="553">
        <v>44775</v>
      </c>
      <c r="B10" s="551" t="s">
        <v>1330</v>
      </c>
      <c r="C10" s="551" t="s">
        <v>276</v>
      </c>
      <c r="D10" s="551" t="s">
        <v>276</v>
      </c>
    </row>
    <row r="11" spans="1:4" x14ac:dyDescent="0.25">
      <c r="A11" s="553">
        <v>44782</v>
      </c>
      <c r="B11" s="551" t="s">
        <v>1351</v>
      </c>
      <c r="C11" s="551" t="s">
        <v>276</v>
      </c>
      <c r="D11" s="551" t="s">
        <v>276</v>
      </c>
    </row>
    <row r="12" spans="1:4" x14ac:dyDescent="0.25">
      <c r="A12" s="553">
        <v>44785</v>
      </c>
      <c r="B12" s="551" t="s">
        <v>1352</v>
      </c>
      <c r="C12" s="551" t="s">
        <v>276</v>
      </c>
      <c r="D12" s="551" t="s">
        <v>276</v>
      </c>
    </row>
    <row r="13" spans="1:4" ht="105" x14ac:dyDescent="0.25">
      <c r="A13" s="553">
        <v>44807</v>
      </c>
      <c r="B13" s="1" t="s">
        <v>1367</v>
      </c>
      <c r="C13" s="551" t="s">
        <v>276</v>
      </c>
      <c r="D13" s="551" t="s">
        <v>276</v>
      </c>
    </row>
    <row r="14" spans="1:4" x14ac:dyDescent="0.25">
      <c r="A14" s="553">
        <v>44812</v>
      </c>
      <c r="B14" s="551" t="s">
        <v>1368</v>
      </c>
      <c r="C14" s="551" t="s">
        <v>176</v>
      </c>
      <c r="D14" s="551" t="s">
        <v>176</v>
      </c>
    </row>
    <row r="15" spans="1:4" x14ac:dyDescent="0.25">
      <c r="A15" s="553">
        <v>44817</v>
      </c>
      <c r="B15" s="551" t="s">
        <v>1378</v>
      </c>
      <c r="C15" s="551" t="s">
        <v>276</v>
      </c>
      <c r="D15" s="551" t="s">
        <v>276</v>
      </c>
    </row>
    <row r="16" spans="1:4" ht="75" x14ac:dyDescent="0.25">
      <c r="A16" s="553">
        <v>44819</v>
      </c>
      <c r="B16" s="1" t="s">
        <v>1384</v>
      </c>
      <c r="C16" s="551" t="s">
        <v>276</v>
      </c>
      <c r="D16" s="551" t="s">
        <v>176</v>
      </c>
    </row>
    <row r="17" spans="1:4" x14ac:dyDescent="0.25">
      <c r="A17" s="551"/>
      <c r="B17" s="551"/>
      <c r="C17" s="551"/>
      <c r="D17" s="551"/>
    </row>
    <row r="18" spans="1:4" x14ac:dyDescent="0.25">
      <c r="A18" s="551"/>
      <c r="B18" s="551"/>
      <c r="C18" s="551"/>
      <c r="D18" s="551"/>
    </row>
    <row r="19" spans="1:4" x14ac:dyDescent="0.25">
      <c r="A19" s="551"/>
      <c r="B19" s="551"/>
      <c r="C19" s="551"/>
      <c r="D19" s="551"/>
    </row>
    <row r="20" spans="1:4" x14ac:dyDescent="0.25">
      <c r="A20" s="551"/>
      <c r="B20" s="551"/>
      <c r="C20" s="551"/>
      <c r="D20" s="551"/>
    </row>
    <row r="21" spans="1:4" x14ac:dyDescent="0.25">
      <c r="A21" s="551"/>
      <c r="B21" s="551"/>
      <c r="C21" s="551"/>
      <c r="D21" s="551"/>
    </row>
    <row r="22" spans="1:4" x14ac:dyDescent="0.25">
      <c r="A22" s="551"/>
      <c r="B22" s="551"/>
      <c r="C22" s="551"/>
      <c r="D22" s="551"/>
    </row>
    <row r="23" spans="1:4" x14ac:dyDescent="0.25">
      <c r="A23" s="551"/>
      <c r="B23" s="551"/>
      <c r="C23" s="551"/>
      <c r="D23" s="551"/>
    </row>
    <row r="24" spans="1:4" x14ac:dyDescent="0.25">
      <c r="A24" s="551"/>
      <c r="B24" s="551"/>
      <c r="C24" s="551"/>
      <c r="D24" s="551"/>
    </row>
    <row r="25" spans="1:4" x14ac:dyDescent="0.25">
      <c r="A25" s="551"/>
      <c r="B25" s="551"/>
      <c r="C25" s="551"/>
      <c r="D25" s="551"/>
    </row>
    <row r="26" spans="1:4" x14ac:dyDescent="0.25">
      <c r="A26" s="551"/>
      <c r="B26" s="551"/>
      <c r="C26" s="551"/>
      <c r="D26" s="551"/>
    </row>
    <row r="27" spans="1:4" x14ac:dyDescent="0.25">
      <c r="A27" s="551"/>
      <c r="B27" s="551"/>
      <c r="C27" s="551"/>
      <c r="D27" s="551"/>
    </row>
    <row r="28" spans="1:4" x14ac:dyDescent="0.25">
      <c r="A28" s="551"/>
      <c r="B28" s="551"/>
      <c r="C28" s="551"/>
      <c r="D28" s="551"/>
    </row>
    <row r="29" spans="1:4" x14ac:dyDescent="0.25">
      <c r="A29" s="551"/>
      <c r="B29" s="551"/>
      <c r="C29" s="551"/>
      <c r="D29" s="551"/>
    </row>
    <row r="30" spans="1:4" x14ac:dyDescent="0.25">
      <c r="A30" s="551"/>
      <c r="B30" s="551"/>
      <c r="C30" s="551"/>
      <c r="D30" s="551"/>
    </row>
    <row r="31" spans="1:4" x14ac:dyDescent="0.25">
      <c r="A31" s="551"/>
      <c r="B31" s="551"/>
      <c r="C31" s="551"/>
      <c r="D31" s="551"/>
    </row>
    <row r="32" spans="1:4" x14ac:dyDescent="0.25">
      <c r="A32" s="551"/>
      <c r="B32" s="551"/>
      <c r="C32" s="551"/>
      <c r="D32" s="551"/>
    </row>
    <row r="33" spans="1:4" x14ac:dyDescent="0.25">
      <c r="A33" s="551"/>
      <c r="B33" s="551"/>
      <c r="C33" s="551"/>
      <c r="D33" s="5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X307"/>
  <sheetViews>
    <sheetView tabSelected="1" zoomScale="115" zoomScaleNormal="115" workbookViewId="0">
      <selection activeCell="B2" sqref="B2"/>
    </sheetView>
  </sheetViews>
  <sheetFormatPr defaultRowHeight="15" x14ac:dyDescent="0.25"/>
  <cols>
    <col min="1" max="1" width="33.5703125" style="125" customWidth="1"/>
    <col min="2" max="2" width="39.7109375" customWidth="1"/>
    <col min="3" max="3" width="17.5703125" style="9" customWidth="1"/>
    <col min="4" max="4" width="57.7109375" style="79" customWidth="1"/>
    <col min="5" max="5" width="14.140625" style="9" customWidth="1"/>
    <col min="6" max="6" width="15.85546875" style="9" customWidth="1"/>
    <col min="7" max="7" width="22.140625" style="9" customWidth="1"/>
    <col min="8" max="10" width="8.85546875" customWidth="1"/>
    <col min="11" max="11" width="20.7109375" customWidth="1"/>
    <col min="12" max="12" width="2.28515625" customWidth="1"/>
    <col min="13" max="13" width="24.7109375" style="79" customWidth="1"/>
    <col min="14" max="14" width="29.28515625" customWidth="1"/>
    <col min="15" max="15" width="28.140625" customWidth="1"/>
    <col min="16" max="16" width="26.7109375" customWidth="1"/>
    <col min="17" max="17" width="34.85546875" customWidth="1"/>
    <col min="18" max="18" width="16.7109375" customWidth="1"/>
    <col min="19" max="19" width="3.5703125" style="75" customWidth="1"/>
    <col min="20" max="20" width="43.85546875" customWidth="1"/>
    <col min="21" max="21" width="11.7109375" customWidth="1"/>
    <col min="22" max="26" width="9.140625" customWidth="1"/>
    <col min="27" max="27" width="18.7109375" customWidth="1"/>
    <col min="28" max="28" width="17.140625" customWidth="1"/>
    <col min="29" max="31" width="8.85546875" customWidth="1"/>
    <col min="32" max="32" width="14.42578125" customWidth="1"/>
    <col min="33" max="33" width="12.7109375" customWidth="1"/>
    <col min="34" max="34" width="8.85546875" customWidth="1"/>
    <col min="36" max="36" width="48.28515625" style="79" customWidth="1"/>
    <col min="37" max="37" width="33.140625" style="109" customWidth="1"/>
    <col min="38" max="39" width="21.85546875" customWidth="1"/>
    <col min="40" max="41" width="27.7109375" style="53" customWidth="1"/>
    <col min="42" max="42" width="27.7109375" style="9" customWidth="1"/>
    <col min="43" max="43" width="27.7109375" style="53" customWidth="1"/>
    <col min="44" max="44" width="25.85546875" style="97" customWidth="1"/>
    <col min="45" max="45" width="9.140625" style="116"/>
    <col min="46" max="46" width="7.5703125" style="79" customWidth="1"/>
    <col min="47" max="47" width="35.42578125" customWidth="1"/>
    <col min="48" max="48" width="21.28515625" customWidth="1"/>
    <col min="49" max="49" width="9.140625" style="75"/>
  </cols>
  <sheetData>
    <row r="1" spans="1:50" ht="23.25" x14ac:dyDescent="0.35">
      <c r="A1" s="538"/>
      <c r="B1" s="24"/>
      <c r="C1" s="539"/>
      <c r="D1" s="76" t="s">
        <v>118</v>
      </c>
      <c r="M1" s="76" t="s">
        <v>215</v>
      </c>
      <c r="T1" s="24" t="s">
        <v>139</v>
      </c>
      <c r="AJ1" s="76" t="s">
        <v>463</v>
      </c>
      <c r="AK1" s="512" t="s">
        <v>1296</v>
      </c>
      <c r="AR1" s="114" t="str">
        <f ca="1">IF(AO3="Accept",AO2,IF(AP3="Accept",AP2,IF(AND(AN3="Accept",AQ3="Bld Decline",N165&gt;0),AN2,IF(AND(AN3="Accept",AQ3="Accept"),IF(AN4=MIN(AN4,AQ4),AN2,AQ2),IF(OR(AQ3="Accept",AQ3="Bld Decline"),AQ2,"-")))))</f>
        <v>-</v>
      </c>
      <c r="AS1" s="560"/>
      <c r="AT1" s="568" t="s">
        <v>1072</v>
      </c>
      <c r="AU1" s="561"/>
      <c r="AV1" s="562"/>
      <c r="AW1" s="566"/>
      <c r="AX1" s="561"/>
    </row>
    <row r="2" spans="1:50" ht="45.75" thickBot="1" x14ac:dyDescent="0.35">
      <c r="A2" s="538" t="s">
        <v>680</v>
      </c>
      <c r="B2" s="24" t="s">
        <v>117</v>
      </c>
      <c r="C2" s="539" t="s">
        <v>1077</v>
      </c>
      <c r="AM2" t="s">
        <v>1376</v>
      </c>
      <c r="AN2" s="53" t="s">
        <v>564</v>
      </c>
      <c r="AO2" s="53" t="s">
        <v>565</v>
      </c>
      <c r="AP2" s="9" t="s">
        <v>566</v>
      </c>
      <c r="AQ2" s="53" t="s">
        <v>567</v>
      </c>
      <c r="AR2" s="97" t="s">
        <v>574</v>
      </c>
      <c r="AS2" s="560"/>
      <c r="AT2" s="590" t="s">
        <v>1073</v>
      </c>
      <c r="AU2" s="591"/>
      <c r="AV2" s="591"/>
      <c r="AW2" s="592"/>
      <c r="AX2" s="563" t="s">
        <v>1074</v>
      </c>
    </row>
    <row r="3" spans="1:50" ht="17.25" x14ac:dyDescent="0.3">
      <c r="A3" s="535" t="s">
        <v>730</v>
      </c>
      <c r="B3" s="528" t="s">
        <v>583</v>
      </c>
      <c r="C3" s="581"/>
      <c r="D3" s="87" t="s">
        <v>461</v>
      </c>
      <c r="E3" s="88">
        <f ca="1">COUNTIF(F11:F138,"&gt;0")</f>
        <v>9</v>
      </c>
      <c r="F3" s="88" t="s">
        <v>1301</v>
      </c>
      <c r="G3" s="88" t="str" cm="1">
        <f t="array" ref="G3">IFERROR(INDEX($K$11:$K$127,MATCH(TRUE,$K$11:$K$127&lt;&gt;"",0)),"")</f>
        <v>Risk must be in Canada</v>
      </c>
      <c r="H3" s="89"/>
      <c r="I3" s="89"/>
      <c r="J3" s="89"/>
      <c r="K3" s="89"/>
      <c r="L3" s="90"/>
      <c r="M3" s="77"/>
      <c r="T3" s="2" t="s">
        <v>158</v>
      </c>
      <c r="X3" s="17" t="str">
        <f ca="1">IF(AND(W6="No",W20="No",W31="No"),"No","Accept")</f>
        <v>Accept</v>
      </c>
      <c r="AJ3" s="79" t="s">
        <v>457</v>
      </c>
      <c r="AK3" s="509" t="s">
        <v>1079</v>
      </c>
      <c r="AN3" s="53" t="str">
        <f ca="1">W6</f>
        <v>Decline</v>
      </c>
      <c r="AO3" s="53" t="str">
        <f ca="1">W20</f>
        <v>Decline</v>
      </c>
      <c r="AP3" s="9" t="str">
        <f ca="1">W31</f>
        <v>Decline</v>
      </c>
      <c r="AQ3" s="53" t="str">
        <f ca="1">E7</f>
        <v>Decline</v>
      </c>
      <c r="AR3" s="97" t="str">
        <f ca="1">IFERROR(HLOOKUP($AR$1,$AN$2:$AQ$286,AS3,FALSE),E7)</f>
        <v>Decline</v>
      </c>
      <c r="AS3" s="560">
        <v>2</v>
      </c>
      <c r="AT3" s="569"/>
      <c r="AU3" s="559"/>
      <c r="AV3" s="564"/>
      <c r="AW3" s="567"/>
      <c r="AX3" s="559"/>
    </row>
    <row r="4" spans="1:50" x14ac:dyDescent="0.25">
      <c r="A4" s="536" t="s">
        <v>731</v>
      </c>
      <c r="B4" s="529" t="s">
        <v>586</v>
      </c>
      <c r="C4" s="581"/>
      <c r="D4" s="91" t="s">
        <v>459</v>
      </c>
      <c r="E4" s="3">
        <f ca="1">COUNTIF(H11:H154,"&gt;0")</f>
        <v>3</v>
      </c>
      <c r="F4" s="3"/>
      <c r="G4" s="3"/>
      <c r="H4" s="92"/>
      <c r="I4" s="92"/>
      <c r="J4" s="92"/>
      <c r="K4" s="92"/>
      <c r="L4" s="92"/>
      <c r="M4" s="110" t="s">
        <v>1310</v>
      </c>
      <c r="N4" s="520" t="s">
        <v>446</v>
      </c>
      <c r="O4" s="14" t="s">
        <v>447</v>
      </c>
      <c r="P4" s="14" t="s">
        <v>451</v>
      </c>
      <c r="Q4" s="521" t="s">
        <v>1001</v>
      </c>
      <c r="R4" s="586" t="s">
        <v>636</v>
      </c>
      <c r="AJ4" s="79" t="s">
        <v>465</v>
      </c>
      <c r="AK4" s="509" t="s">
        <v>465</v>
      </c>
      <c r="AN4" s="101">
        <f>$AB$12</f>
        <v>1007</v>
      </c>
      <c r="AO4" s="53">
        <f>$AB$24</f>
        <v>253</v>
      </c>
      <c r="AP4" s="9">
        <f>$AB$35</f>
        <v>253</v>
      </c>
      <c r="AQ4" s="101" t="e">
        <f ca="1">U255</f>
        <v>#N/A</v>
      </c>
      <c r="AR4" s="97" t="str">
        <f ca="1">IF(OR($AR$3="Refer",$AR$3="Decline"),"-",IF(AND($AR$3="Bld Decline",AM4="x"),"-",IFERROR(HLOOKUP($AR$1,$AN$2:$AQ$286,AS4,FALSE),"-")))</f>
        <v>-</v>
      </c>
      <c r="AS4" s="565">
        <v>3</v>
      </c>
      <c r="AT4" s="569"/>
      <c r="AU4" s="559"/>
      <c r="AV4" s="564"/>
      <c r="AW4" s="567"/>
      <c r="AX4" s="559"/>
    </row>
    <row r="5" spans="1:50" x14ac:dyDescent="0.25">
      <c r="A5" s="536" t="s">
        <v>728</v>
      </c>
      <c r="B5" s="529" t="s">
        <v>584</v>
      </c>
      <c r="C5" s="581"/>
      <c r="D5" s="91" t="s">
        <v>462</v>
      </c>
      <c r="E5" s="3">
        <f ca="1">COUNTIF(G11:G155,"&gt;0")</f>
        <v>3</v>
      </c>
      <c r="F5" s="3"/>
      <c r="G5" s="3"/>
      <c r="H5" s="92"/>
      <c r="I5" s="92"/>
      <c r="J5" s="92"/>
      <c r="K5" s="92"/>
      <c r="L5" s="92"/>
      <c r="M5" s="86">
        <v>729600</v>
      </c>
      <c r="N5" s="111" t="s">
        <v>1311</v>
      </c>
      <c r="O5" s="62" t="s">
        <v>147</v>
      </c>
      <c r="P5" s="112" t="s">
        <v>296</v>
      </c>
      <c r="Q5" s="579">
        <f>$C$19/100</f>
        <v>0</v>
      </c>
      <c r="R5" s="27">
        <f>IF(OR($C$18=0,$C$18=""),$C$17,$C$18)*Q5</f>
        <v>0</v>
      </c>
      <c r="AA5" s="2" t="s">
        <v>746</v>
      </c>
      <c r="AJ5" s="98" t="s">
        <v>1082</v>
      </c>
      <c r="AK5" s="509" t="s">
        <v>1082</v>
      </c>
      <c r="AL5" s="56"/>
      <c r="AM5" s="56"/>
      <c r="AN5" s="53">
        <v>50</v>
      </c>
      <c r="AO5" s="53">
        <v>50</v>
      </c>
      <c r="AP5" s="9">
        <v>50</v>
      </c>
      <c r="AQ5" s="53" t="e">
        <f ca="1">MAX(100,AQ4*11.11%)</f>
        <v>#N/A</v>
      </c>
      <c r="AR5" s="97" t="str">
        <f t="shared" ref="AR5:AR68" ca="1" si="0">IF(OR($AR$3="Refer",$AR$3="Decline"),"-",IF(AND($AR$3="Bld Decline",AM5="x"),"-",IFERROR(HLOOKUP($AR$1,$AN$2:$AQ$286,AS5,FALSE),"-")))</f>
        <v>-</v>
      </c>
      <c r="AS5" s="560">
        <v>4</v>
      </c>
      <c r="AT5" s="569" t="s">
        <v>1075</v>
      </c>
      <c r="AU5" s="559" t="s">
        <v>1076</v>
      </c>
      <c r="AV5" s="564" t="s">
        <v>1077</v>
      </c>
      <c r="AW5" s="567" t="s">
        <v>1078</v>
      </c>
      <c r="AX5" s="559"/>
    </row>
    <row r="6" spans="1:50" ht="15.75" thickBot="1" x14ac:dyDescent="0.3">
      <c r="A6" s="536" t="s">
        <v>729</v>
      </c>
      <c r="B6" s="529" t="s">
        <v>588</v>
      </c>
      <c r="C6" s="581"/>
      <c r="D6" s="91" t="s">
        <v>675</v>
      </c>
      <c r="E6" s="3">
        <f ca="1">COUNTIF(I11:I155,"&gt;0")</f>
        <v>3</v>
      </c>
      <c r="F6" s="3"/>
      <c r="G6" s="3"/>
      <c r="H6" s="92"/>
      <c r="I6" s="92"/>
      <c r="J6" s="92"/>
      <c r="K6" s="92"/>
      <c r="L6" s="92"/>
      <c r="M6" s="86">
        <v>729703</v>
      </c>
      <c r="N6" s="111" t="s">
        <v>1312</v>
      </c>
      <c r="O6" s="62" t="s">
        <v>147</v>
      </c>
      <c r="P6" s="112" t="s">
        <v>296</v>
      </c>
      <c r="Q6" s="579">
        <f>$C$20/100</f>
        <v>0</v>
      </c>
      <c r="R6" s="27">
        <f t="shared" ref="R6:R54" si="1">IF(OR($C$18=0,$C$18=""),$C$17,$C$18)*Q6</f>
        <v>0</v>
      </c>
      <c r="T6" s="2" t="s">
        <v>155</v>
      </c>
      <c r="W6" s="17" t="str">
        <f ca="1">IF(SUM(W9:W18)=0,"Accept","Decline")</f>
        <v>Decline</v>
      </c>
      <c r="Y6" t="s">
        <v>157</v>
      </c>
      <c r="AA6" s="14" t="s">
        <v>745</v>
      </c>
      <c r="AJ6" s="98" t="s">
        <v>1299</v>
      </c>
      <c r="AK6" s="509" t="s">
        <v>1081</v>
      </c>
      <c r="AN6" s="53">
        <f>SUM(AN4:AN5)</f>
        <v>1057</v>
      </c>
      <c r="AO6" s="53">
        <f t="shared" ref="AO6:AQ6" si="2">SUM(AO4:AO5)</f>
        <v>303</v>
      </c>
      <c r="AP6" s="53">
        <f t="shared" si="2"/>
        <v>303</v>
      </c>
      <c r="AQ6" s="53" t="e">
        <f t="shared" ca="1" si="2"/>
        <v>#N/A</v>
      </c>
      <c r="AR6" s="97" t="str">
        <f t="shared" ca="1" si="0"/>
        <v>-</v>
      </c>
      <c r="AS6" s="560">
        <v>5</v>
      </c>
      <c r="AT6" s="569"/>
      <c r="AU6" s="559"/>
      <c r="AV6" s="564"/>
      <c r="AW6" s="567"/>
      <c r="AX6" s="559"/>
    </row>
    <row r="7" spans="1:50" ht="15.75" thickBot="1" x14ac:dyDescent="0.3">
      <c r="A7" s="536" t="s">
        <v>681</v>
      </c>
      <c r="B7" s="529" t="s">
        <v>119</v>
      </c>
      <c r="C7" s="581"/>
      <c r="D7" s="93" t="s">
        <v>460</v>
      </c>
      <c r="E7" s="96" t="str">
        <f ca="1">IF(E4&gt;0,"Decline",IF(E5&gt;0,"Refer",IF(E6&gt;0,"Bld Decline",IF(E3=0,"Accept","Accept"))))</f>
        <v>Decline</v>
      </c>
      <c r="F7" s="94"/>
      <c r="G7" s="94" t="s">
        <v>677</v>
      </c>
      <c r="H7" s="95"/>
      <c r="I7" s="119" t="str">
        <f ca="1">IF(E6&gt;0,"Decline","Yes")</f>
        <v>Decline</v>
      </c>
      <c r="J7" s="95"/>
      <c r="K7" s="517"/>
      <c r="L7" s="517"/>
      <c r="M7" s="86">
        <v>729704</v>
      </c>
      <c r="N7" s="111" t="s">
        <v>82</v>
      </c>
      <c r="O7" s="62" t="s">
        <v>82</v>
      </c>
      <c r="P7" s="112" t="s">
        <v>296</v>
      </c>
      <c r="Q7" s="579">
        <f>$C$21/100</f>
        <v>0</v>
      </c>
      <c r="R7" s="27">
        <f t="shared" si="1"/>
        <v>0</v>
      </c>
      <c r="Y7" s="13" t="s">
        <v>147</v>
      </c>
      <c r="AA7" t="s">
        <v>736</v>
      </c>
      <c r="AB7" s="120">
        <v>1007</v>
      </c>
      <c r="AJ7" s="571" t="s">
        <v>1300</v>
      </c>
      <c r="AK7" s="509" t="s">
        <v>1268</v>
      </c>
      <c r="AN7" s="570">
        <v>100</v>
      </c>
      <c r="AO7" s="570">
        <v>100</v>
      </c>
      <c r="AP7" s="570">
        <v>100</v>
      </c>
      <c r="AQ7" s="570">
        <v>100</v>
      </c>
      <c r="AR7" s="97" t="str">
        <f t="shared" ca="1" si="0"/>
        <v>-</v>
      </c>
      <c r="AS7" s="117">
        <v>6</v>
      </c>
      <c r="AT7" s="569">
        <v>1</v>
      </c>
      <c r="AU7" s="559" t="s">
        <v>1079</v>
      </c>
      <c r="AV7" s="564" t="str">
        <f t="shared" ref="AV7:AV70" ca="1" si="3">IFERROR(VLOOKUP(AU7,$AK$3:$AR$785,7,FALSE),"")</f>
        <v>Decline</v>
      </c>
      <c r="AW7" s="567"/>
      <c r="AX7" s="559" t="str">
        <f>IF(ISERROR(VLOOKUP(AU7,AK1:AK1000,1,FALSE))=TRUE,AU7,"")</f>
        <v/>
      </c>
    </row>
    <row r="8" spans="1:50" x14ac:dyDescent="0.25">
      <c r="A8" s="536" t="s">
        <v>682</v>
      </c>
      <c r="B8" s="529" t="s">
        <v>120</v>
      </c>
      <c r="C8" s="581"/>
      <c r="M8" s="86">
        <v>729705</v>
      </c>
      <c r="N8" s="111" t="s">
        <v>651</v>
      </c>
      <c r="O8" s="62" t="s">
        <v>651</v>
      </c>
      <c r="P8" s="112" t="s">
        <v>296</v>
      </c>
      <c r="Q8" s="579">
        <f>$C$22/100</f>
        <v>0</v>
      </c>
      <c r="R8" s="27">
        <f t="shared" si="1"/>
        <v>0</v>
      </c>
      <c r="U8" t="s">
        <v>145</v>
      </c>
      <c r="V8" t="s">
        <v>146</v>
      </c>
      <c r="W8" t="s">
        <v>148</v>
      </c>
      <c r="Y8" s="13" t="s">
        <v>82</v>
      </c>
      <c r="AA8" t="s">
        <v>737</v>
      </c>
      <c r="AB8" s="71">
        <f>$U$56</f>
        <v>2000000</v>
      </c>
      <c r="AJ8" s="571" t="s">
        <v>1267</v>
      </c>
      <c r="AK8" s="509" t="s">
        <v>1267</v>
      </c>
      <c r="AN8" s="514">
        <v>0.17499999999999999</v>
      </c>
      <c r="AO8" s="514">
        <v>0.17499999999999999</v>
      </c>
      <c r="AP8" s="514">
        <v>0.17499999999999999</v>
      </c>
      <c r="AQ8" s="514">
        <v>0.17499999999999999</v>
      </c>
      <c r="AR8" s="515" t="str">
        <f t="shared" ca="1" si="0"/>
        <v>-</v>
      </c>
      <c r="AS8" s="116">
        <v>7</v>
      </c>
      <c r="AT8" s="569">
        <v>2</v>
      </c>
      <c r="AU8" s="559" t="s">
        <v>1080</v>
      </c>
      <c r="AV8" s="564" t="str">
        <f t="shared" si="3"/>
        <v>General package</v>
      </c>
      <c r="AW8" s="567"/>
      <c r="AX8" s="559" t="str">
        <f t="shared" ref="AX8:AX71" si="4">IF(ISERROR(VLOOKUP(AU8,$AK$1:$AK$1001,1,FALSE))=TRUE,AU8,"")</f>
        <v/>
      </c>
    </row>
    <row r="9" spans="1:50" x14ac:dyDescent="0.25">
      <c r="A9" s="536" t="s">
        <v>683</v>
      </c>
      <c r="B9" s="529" t="s">
        <v>121</v>
      </c>
      <c r="C9" s="581"/>
      <c r="M9" s="86">
        <v>729728</v>
      </c>
      <c r="N9" s="111" t="s">
        <v>652</v>
      </c>
      <c r="O9" s="111" t="s">
        <v>652</v>
      </c>
      <c r="P9" s="112" t="s">
        <v>387</v>
      </c>
      <c r="Q9" s="579">
        <f>$C$23/100</f>
        <v>0</v>
      </c>
      <c r="R9" s="27">
        <f t="shared" si="1"/>
        <v>0</v>
      </c>
      <c r="T9" t="s">
        <v>142</v>
      </c>
      <c r="U9" s="57">
        <f>$P$64</f>
        <v>0</v>
      </c>
      <c r="V9">
        <v>300000</v>
      </c>
      <c r="W9">
        <f>IF(U9&lt;=V9,0,1)</f>
        <v>0</v>
      </c>
      <c r="Y9" s="13" t="s">
        <v>149</v>
      </c>
      <c r="AA9" t="s">
        <v>738</v>
      </c>
      <c r="AB9" s="120">
        <f>IF(AB8=2000000,0,IF(AB8=3000000,100,IF(AB8=4000000,200,IF(AB8=5000000,300,0))))</f>
        <v>0</v>
      </c>
      <c r="AJ9" s="571" t="s">
        <v>1269</v>
      </c>
      <c r="AK9" s="513" t="s">
        <v>1269</v>
      </c>
      <c r="AN9" s="516">
        <f ca="1">TODAY()+60</f>
        <v>44879</v>
      </c>
      <c r="AO9" s="516">
        <f ca="1">TODAY()+60</f>
        <v>44879</v>
      </c>
      <c r="AP9" s="516">
        <f ca="1">TODAY()+60</f>
        <v>44879</v>
      </c>
      <c r="AQ9" s="516">
        <f ca="1">TODAY()+60</f>
        <v>44879</v>
      </c>
      <c r="AR9" s="585" t="str">
        <f t="shared" ca="1" si="0"/>
        <v>-</v>
      </c>
      <c r="AS9" s="116">
        <v>8</v>
      </c>
      <c r="AT9" s="569">
        <v>3</v>
      </c>
      <c r="AU9" s="559" t="s">
        <v>1081</v>
      </c>
      <c r="AV9" s="564" t="str">
        <f t="shared" ca="1" si="3"/>
        <v/>
      </c>
      <c r="AW9" s="567"/>
      <c r="AX9" s="559" t="str">
        <f t="shared" si="4"/>
        <v/>
      </c>
    </row>
    <row r="10" spans="1:50" x14ac:dyDescent="0.25">
      <c r="A10" s="536" t="s">
        <v>684</v>
      </c>
      <c r="B10" s="529" t="s">
        <v>122</v>
      </c>
      <c r="C10" s="581"/>
      <c r="D10" s="540" t="s">
        <v>464</v>
      </c>
      <c r="E10" s="541" t="s">
        <v>310</v>
      </c>
      <c r="F10" s="541" t="s">
        <v>311</v>
      </c>
      <c r="G10" s="541" t="s">
        <v>368</v>
      </c>
      <c r="H10" s="541" t="s">
        <v>458</v>
      </c>
      <c r="I10" s="542" t="s">
        <v>676</v>
      </c>
      <c r="J10" s="542" t="s">
        <v>1302</v>
      </c>
      <c r="K10" s="542" t="s">
        <v>1303</v>
      </c>
      <c r="L10" s="543"/>
      <c r="M10" s="79">
        <v>729729</v>
      </c>
      <c r="N10" s="111" t="s">
        <v>653</v>
      </c>
      <c r="O10" s="62" t="s">
        <v>653</v>
      </c>
      <c r="P10" s="112" t="s">
        <v>387</v>
      </c>
      <c r="Q10" s="579">
        <f>$C$24/100</f>
        <v>0</v>
      </c>
      <c r="R10" s="27">
        <f t="shared" si="1"/>
        <v>0</v>
      </c>
      <c r="T10" t="s">
        <v>143</v>
      </c>
      <c r="U10" s="38">
        <f>$C$89</f>
        <v>0</v>
      </c>
      <c r="V10">
        <v>1000</v>
      </c>
      <c r="W10">
        <f>IF(U10&lt;=V10,0,1)</f>
        <v>0</v>
      </c>
      <c r="Y10" s="13" t="s">
        <v>84</v>
      </c>
      <c r="AA10" t="s">
        <v>739</v>
      </c>
      <c r="AB10" s="587">
        <f>$C$122</f>
        <v>0</v>
      </c>
      <c r="AJ10" s="571" t="s">
        <v>1080</v>
      </c>
      <c r="AK10" s="509" t="s">
        <v>1080</v>
      </c>
      <c r="AN10" s="53" t="s">
        <v>564</v>
      </c>
      <c r="AO10" s="53" t="s">
        <v>565</v>
      </c>
      <c r="AP10" s="53" t="s">
        <v>1377</v>
      </c>
      <c r="AQ10" s="53" t="s">
        <v>567</v>
      </c>
      <c r="AR10" s="97" t="str">
        <f t="shared" ca="1" si="0"/>
        <v>-</v>
      </c>
      <c r="AS10" s="117">
        <v>9</v>
      </c>
      <c r="AT10" s="569">
        <v>4</v>
      </c>
      <c r="AU10" s="559" t="s">
        <v>1082</v>
      </c>
      <c r="AV10" s="564" t="str">
        <f t="shared" ca="1" si="3"/>
        <v/>
      </c>
      <c r="AW10" s="567"/>
      <c r="AX10" s="559" t="str">
        <f t="shared" si="4"/>
        <v/>
      </c>
    </row>
    <row r="11" spans="1:50" x14ac:dyDescent="0.25">
      <c r="A11" s="536" t="s">
        <v>685</v>
      </c>
      <c r="B11" s="529" t="s">
        <v>123</v>
      </c>
      <c r="C11" s="581"/>
      <c r="D11" s="557" t="s">
        <v>1309</v>
      </c>
      <c r="E11" s="544">
        <f>IF(C6=0,C4,IF(C6="",C4,C6))</f>
        <v>0</v>
      </c>
      <c r="F11" s="544">
        <f>IF(E11&lt;&gt;"Canada",1,0)</f>
        <v>1</v>
      </c>
      <c r="G11" s="544">
        <f>IF(F11=1,IF(J11="Refer",1,0),0)</f>
        <v>0</v>
      </c>
      <c r="H11" s="544">
        <f>IF(F11=1,IF(J11="Decline",1,0),0)</f>
        <v>1</v>
      </c>
      <c r="I11" s="544">
        <f>IF(F11=1,IF(J11="Bld Decline",1,0),0)</f>
        <v>0</v>
      </c>
      <c r="J11" s="545" t="s">
        <v>214</v>
      </c>
      <c r="K11" s="545" t="str">
        <f>IF(F11=1,D11,"")</f>
        <v>Risk must be in Canada</v>
      </c>
      <c r="L11" s="546"/>
      <c r="M11" s="79">
        <v>729706</v>
      </c>
      <c r="N11" s="111" t="s">
        <v>84</v>
      </c>
      <c r="O11" s="62" t="s">
        <v>84</v>
      </c>
      <c r="P11" s="112" t="s">
        <v>296</v>
      </c>
      <c r="Q11" s="579">
        <f>$C$25/100</f>
        <v>0</v>
      </c>
      <c r="R11" s="27">
        <f t="shared" si="1"/>
        <v>0</v>
      </c>
      <c r="T11" t="s">
        <v>144</v>
      </c>
      <c r="U11" s="59">
        <f>$R$165</f>
        <v>0</v>
      </c>
      <c r="V11">
        <v>150000</v>
      </c>
      <c r="W11" s="12">
        <f>IF(U11&lt;=V11,0,1)</f>
        <v>0</v>
      </c>
      <c r="Y11" s="13" t="s">
        <v>150</v>
      </c>
      <c r="AA11" t="s">
        <v>740</v>
      </c>
      <c r="AB11" s="122">
        <f>IF(AB10="Include",55,0)</f>
        <v>0</v>
      </c>
      <c r="AJ11" s="79" t="s">
        <v>466</v>
      </c>
      <c r="AK11" s="509" t="s">
        <v>1160</v>
      </c>
      <c r="AL11" t="s">
        <v>543</v>
      </c>
      <c r="AN11" s="53">
        <f>$AB$8</f>
        <v>2000000</v>
      </c>
      <c r="AO11" s="53">
        <f>$AB$22</f>
        <v>2000000</v>
      </c>
      <c r="AP11" s="53">
        <f>$AB$33</f>
        <v>2000000</v>
      </c>
      <c r="AQ11" s="53">
        <f>$U$56</f>
        <v>2000000</v>
      </c>
      <c r="AR11" s="97" t="str">
        <f t="shared" ca="1" si="0"/>
        <v>-</v>
      </c>
      <c r="AS11" s="116">
        <v>10</v>
      </c>
      <c r="AT11" s="569">
        <v>5</v>
      </c>
      <c r="AU11" s="559" t="s">
        <v>1083</v>
      </c>
      <c r="AV11" s="564" t="str">
        <f t="shared" si="3"/>
        <v/>
      </c>
      <c r="AW11" s="567"/>
      <c r="AX11" s="559" t="str">
        <f t="shared" si="4"/>
        <v>Covermatch</v>
      </c>
    </row>
    <row r="12" spans="1:50" x14ac:dyDescent="0.25">
      <c r="A12" s="536" t="s">
        <v>686</v>
      </c>
      <c r="B12" s="529" t="s">
        <v>124</v>
      </c>
      <c r="C12" s="581"/>
      <c r="D12" s="556" t="s">
        <v>194</v>
      </c>
      <c r="E12" s="523">
        <f>C121</f>
        <v>0</v>
      </c>
      <c r="F12" s="523">
        <f>IF(E12="No",0,1)</f>
        <v>1</v>
      </c>
      <c r="G12" s="523">
        <f>IF(F12=1,IF(J12="Refer",1,0),0)</f>
        <v>0</v>
      </c>
      <c r="H12" s="523">
        <f>IF(F12=1,IF(J12="Decline",1,0),0)</f>
        <v>1</v>
      </c>
      <c r="I12" s="523">
        <f t="shared" ref="I12:I30" si="5">IF(F12=1,IF(J12="Bld Decline",1,0),0)</f>
        <v>0</v>
      </c>
      <c r="J12" s="522" t="s">
        <v>214</v>
      </c>
      <c r="K12" s="522" t="str">
        <f t="shared" ref="K12:K30" si="6">IF(F12=1,D12,"")</f>
        <v>No cancellations or refusals</v>
      </c>
      <c r="L12" s="524"/>
      <c r="M12" s="79">
        <v>729707</v>
      </c>
      <c r="N12" s="61" t="s">
        <v>448</v>
      </c>
      <c r="O12" s="63" t="s">
        <v>448</v>
      </c>
      <c r="P12" s="112" t="s">
        <v>296</v>
      </c>
      <c r="Q12" s="579">
        <f>$C$26/100</f>
        <v>0</v>
      </c>
      <c r="R12" s="27">
        <f t="shared" si="1"/>
        <v>0</v>
      </c>
      <c r="T12" t="s">
        <v>455</v>
      </c>
      <c r="U12" s="57">
        <f>SUM($R$5,R6,$R$7,$R$8,$R$9,$R$11,$R$12,$R$14,$R$15,$R$17,$R$23,$R$16,$P$59)</f>
        <v>0</v>
      </c>
      <c r="Y12" s="13" t="s">
        <v>86</v>
      </c>
      <c r="AA12" t="s">
        <v>741</v>
      </c>
      <c r="AB12" s="123">
        <f>SUM(AB7,AB9,AB11)</f>
        <v>1007</v>
      </c>
      <c r="AJ12" s="79" t="s">
        <v>1344</v>
      </c>
      <c r="AK12" s="551" t="s">
        <v>1346</v>
      </c>
      <c r="AL12" t="s">
        <v>1345</v>
      </c>
      <c r="AN12" s="53">
        <f>$AB$8</f>
        <v>2000000</v>
      </c>
      <c r="AO12" s="53">
        <f>$AB$22</f>
        <v>2000000</v>
      </c>
      <c r="AP12" s="53">
        <f>$AB$33</f>
        <v>2000000</v>
      </c>
      <c r="AQ12" s="53">
        <f>$U$56</f>
        <v>2000000</v>
      </c>
      <c r="AR12" s="97" t="str">
        <f t="shared" ca="1" si="0"/>
        <v>-</v>
      </c>
      <c r="AS12" s="116">
        <v>11</v>
      </c>
      <c r="AT12" s="569">
        <v>6</v>
      </c>
      <c r="AU12" s="559" t="s">
        <v>1084</v>
      </c>
      <c r="AV12" s="564" t="str">
        <f t="shared" si="3"/>
        <v/>
      </c>
      <c r="AW12" s="567"/>
      <c r="AX12" s="559" t="str">
        <f t="shared" si="4"/>
        <v>Quotey Value Score</v>
      </c>
    </row>
    <row r="13" spans="1:50" x14ac:dyDescent="0.25">
      <c r="A13" s="536" t="s">
        <v>687</v>
      </c>
      <c r="B13" s="529" t="s">
        <v>138</v>
      </c>
      <c r="C13" s="581"/>
      <c r="D13" s="556" t="s">
        <v>195</v>
      </c>
      <c r="E13" s="523">
        <f>C120</f>
        <v>0</v>
      </c>
      <c r="F13" s="523">
        <f>IF(E13="No",0,1)</f>
        <v>1</v>
      </c>
      <c r="G13" s="523">
        <f t="shared" ref="G13:G30" si="7">IF(F13=1,IF(J13="Refer",1,0),0)</f>
        <v>1</v>
      </c>
      <c r="H13" s="523">
        <f t="shared" ref="H13:H30" si="8">IF(F13=1,IF(J13="Decline",1,0),0)</f>
        <v>0</v>
      </c>
      <c r="I13" s="523">
        <f t="shared" si="5"/>
        <v>0</v>
      </c>
      <c r="J13" s="522" t="s">
        <v>213</v>
      </c>
      <c r="K13" s="522" t="str">
        <f t="shared" si="6"/>
        <v>No claims in 5 years</v>
      </c>
      <c r="L13" s="524"/>
      <c r="M13" s="79">
        <v>729701</v>
      </c>
      <c r="N13" s="61" t="s">
        <v>1313</v>
      </c>
      <c r="O13" s="63" t="s">
        <v>1314</v>
      </c>
      <c r="P13" s="112" t="s">
        <v>296</v>
      </c>
      <c r="Q13" s="579"/>
      <c r="R13" s="27">
        <f t="shared" si="1"/>
        <v>0</v>
      </c>
      <c r="T13" t="s">
        <v>289</v>
      </c>
      <c r="U13" s="83" t="e">
        <f>U12/U9</f>
        <v>#DIV/0!</v>
      </c>
      <c r="V13" s="18">
        <v>1</v>
      </c>
      <c r="W13">
        <f>IFERROR(IF(U13=V13,0,1),1)</f>
        <v>1</v>
      </c>
      <c r="Y13" s="13" t="s">
        <v>87</v>
      </c>
      <c r="AB13" s="120"/>
      <c r="AJ13" s="79" t="s">
        <v>575</v>
      </c>
      <c r="AL13" t="s">
        <v>543</v>
      </c>
      <c r="AN13" s="101">
        <v>500</v>
      </c>
      <c r="AO13" s="101">
        <v>500</v>
      </c>
      <c r="AP13" s="101">
        <v>500</v>
      </c>
      <c r="AQ13" s="101">
        <f>$AG$76</f>
        <v>500</v>
      </c>
      <c r="AR13" s="97" t="str">
        <f t="shared" ca="1" si="0"/>
        <v>-</v>
      </c>
      <c r="AS13" s="117">
        <v>12</v>
      </c>
      <c r="AT13" s="569">
        <v>7</v>
      </c>
      <c r="AU13" s="559" t="s">
        <v>497</v>
      </c>
      <c r="AV13" s="564">
        <f t="shared" si="3"/>
        <v>50000</v>
      </c>
      <c r="AW13" s="567"/>
      <c r="AX13" s="559" t="str">
        <f t="shared" si="4"/>
        <v/>
      </c>
    </row>
    <row r="14" spans="1:50" x14ac:dyDescent="0.25">
      <c r="A14" s="536" t="s">
        <v>688</v>
      </c>
      <c r="B14" s="529" t="s">
        <v>125</v>
      </c>
      <c r="C14" s="581"/>
      <c r="D14" s="556" t="s">
        <v>205</v>
      </c>
      <c r="E14" s="523">
        <f>C90</f>
        <v>0</v>
      </c>
      <c r="F14" s="523">
        <f>IF(E14="No",1,0)</f>
        <v>0</v>
      </c>
      <c r="G14" s="523">
        <f t="shared" si="7"/>
        <v>0</v>
      </c>
      <c r="H14" s="523">
        <f t="shared" si="8"/>
        <v>0</v>
      </c>
      <c r="I14" s="523">
        <f t="shared" si="5"/>
        <v>0</v>
      </c>
      <c r="J14" s="522" t="s">
        <v>214</v>
      </c>
      <c r="K14" s="522" t="str">
        <f t="shared" si="6"/>
        <v/>
      </c>
      <c r="L14" s="524"/>
      <c r="M14" s="79">
        <v>729708</v>
      </c>
      <c r="N14" s="61" t="s">
        <v>86</v>
      </c>
      <c r="O14" s="63" t="s">
        <v>86</v>
      </c>
      <c r="P14" s="112" t="s">
        <v>296</v>
      </c>
      <c r="Q14" s="579">
        <f t="shared" ref="Q14:Q54" si="9">C27/100</f>
        <v>0</v>
      </c>
      <c r="R14" s="27">
        <f t="shared" si="1"/>
        <v>0</v>
      </c>
      <c r="T14" t="s">
        <v>622</v>
      </c>
      <c r="U14" s="115">
        <f>$C$85+$C$86+$C$87+$C$84</f>
        <v>0</v>
      </c>
      <c r="V14">
        <v>0</v>
      </c>
      <c r="W14">
        <f>IF(U14&gt;V14,1,0)</f>
        <v>0</v>
      </c>
      <c r="Y14" s="13" t="s">
        <v>88</v>
      </c>
      <c r="AB14" s="120"/>
      <c r="AJ14" s="79" t="s">
        <v>576</v>
      </c>
      <c r="AK14" s="509" t="s">
        <v>1185</v>
      </c>
      <c r="AL14" t="s">
        <v>543</v>
      </c>
      <c r="AN14" s="101">
        <f>$AG$72</f>
        <v>0</v>
      </c>
      <c r="AO14" s="101">
        <v>0</v>
      </c>
      <c r="AP14" s="101">
        <f>$AG$72</f>
        <v>0</v>
      </c>
      <c r="AQ14" s="101">
        <f>$AG$75</f>
        <v>0</v>
      </c>
      <c r="AR14" s="97" t="str">
        <f t="shared" ca="1" si="0"/>
        <v>-</v>
      </c>
      <c r="AS14" s="116">
        <v>13</v>
      </c>
      <c r="AT14" s="569">
        <v>8</v>
      </c>
      <c r="AU14" s="509" t="s">
        <v>1085</v>
      </c>
      <c r="AV14" s="510">
        <f t="shared" si="3"/>
        <v>10000</v>
      </c>
      <c r="AW14" s="567"/>
      <c r="AX14" s="509" t="str">
        <f t="shared" si="4"/>
        <v/>
      </c>
    </row>
    <row r="15" spans="1:50" x14ac:dyDescent="0.25">
      <c r="A15" s="536" t="s">
        <v>689</v>
      </c>
      <c r="B15" s="529" t="s">
        <v>127</v>
      </c>
      <c r="C15" s="581"/>
      <c r="D15" s="556" t="s">
        <v>208</v>
      </c>
      <c r="E15" s="547">
        <f>IFERROR(P59/$P$64,1)</f>
        <v>1</v>
      </c>
      <c r="F15" s="523">
        <f>IF(E15&gt;0.5,1,0)</f>
        <v>1</v>
      </c>
      <c r="G15" s="523">
        <f t="shared" si="7"/>
        <v>0</v>
      </c>
      <c r="H15" s="523">
        <f t="shared" si="8"/>
        <v>1</v>
      </c>
      <c r="I15" s="523">
        <f t="shared" si="5"/>
        <v>0</v>
      </c>
      <c r="J15" s="522" t="s">
        <v>214</v>
      </c>
      <c r="K15" s="522" t="str">
        <f t="shared" si="6"/>
        <v>Max 50% receipts from product sales</v>
      </c>
      <c r="L15" s="524"/>
      <c r="M15" s="79">
        <v>729710</v>
      </c>
      <c r="N15" s="61" t="s">
        <v>384</v>
      </c>
      <c r="O15" s="63" t="s">
        <v>384</v>
      </c>
      <c r="P15" s="112" t="s">
        <v>296</v>
      </c>
      <c r="Q15" s="579">
        <f t="shared" si="9"/>
        <v>0</v>
      </c>
      <c r="R15" s="27">
        <f t="shared" si="1"/>
        <v>0</v>
      </c>
      <c r="T15" t="s">
        <v>623</v>
      </c>
      <c r="U15" s="57">
        <f>$C$105</f>
        <v>0</v>
      </c>
      <c r="V15">
        <f>0</f>
        <v>0</v>
      </c>
      <c r="W15">
        <f>IF(U15&gt;V15,1,0)</f>
        <v>0</v>
      </c>
      <c r="Y15" s="13" t="s">
        <v>151</v>
      </c>
      <c r="AB15" s="120"/>
      <c r="AJ15" s="79" t="s">
        <v>467</v>
      </c>
      <c r="AK15" s="509" t="s">
        <v>1184</v>
      </c>
      <c r="AL15" t="s">
        <v>543</v>
      </c>
      <c r="AN15" s="53">
        <f>$AB$8</f>
        <v>2000000</v>
      </c>
      <c r="AO15" s="53">
        <f>$AB$22</f>
        <v>2000000</v>
      </c>
      <c r="AP15" s="53">
        <f>$AB$33</f>
        <v>2000000</v>
      </c>
      <c r="AQ15" s="53">
        <f>$U$56</f>
        <v>2000000</v>
      </c>
      <c r="AR15" s="97" t="str">
        <f t="shared" ca="1" si="0"/>
        <v>-</v>
      </c>
      <c r="AS15" s="116">
        <v>14</v>
      </c>
      <c r="AT15" s="569">
        <v>9</v>
      </c>
      <c r="AU15" s="509" t="s">
        <v>1086</v>
      </c>
      <c r="AV15" s="510" t="str">
        <f t="shared" si="3"/>
        <v/>
      </c>
      <c r="AW15" s="567"/>
      <c r="AX15" s="509" t="str">
        <f t="shared" si="4"/>
        <v>Bailees customer form</v>
      </c>
    </row>
    <row r="16" spans="1:50" x14ac:dyDescent="0.25">
      <c r="A16" s="536" t="s">
        <v>690</v>
      </c>
      <c r="B16" s="529" t="s">
        <v>126</v>
      </c>
      <c r="C16" s="581"/>
      <c r="D16" s="556" t="s">
        <v>1316</v>
      </c>
      <c r="E16" s="523">
        <f t="shared" ref="E16:E25" si="10">C7</f>
        <v>0</v>
      </c>
      <c r="F16" s="523">
        <f t="shared" ref="F16:F25" si="11">IF(E16=0,0,IFERROR(IF(OR(VLOOKUP(E16,$M$5:$P$54,4,FALSE)="Refer",VLOOKUP(E16,$M$5:$P$54,4,FALSE)="Decline"),1,0),1))</f>
        <v>0</v>
      </c>
      <c r="G16" s="523">
        <f t="shared" si="7"/>
        <v>0</v>
      </c>
      <c r="H16" s="523">
        <f t="shared" si="8"/>
        <v>0</v>
      </c>
      <c r="I16" s="523">
        <f t="shared" si="5"/>
        <v>0</v>
      </c>
      <c r="J16" s="522" t="s">
        <v>213</v>
      </c>
      <c r="K16" s="522" t="str">
        <f t="shared" si="6"/>
        <v/>
      </c>
      <c r="L16" s="524"/>
      <c r="M16" s="79">
        <v>729711</v>
      </c>
      <c r="N16" s="61" t="s">
        <v>154</v>
      </c>
      <c r="O16" s="63" t="s">
        <v>154</v>
      </c>
      <c r="P16" s="112" t="s">
        <v>296</v>
      </c>
      <c r="Q16" s="579">
        <f t="shared" si="9"/>
        <v>0</v>
      </c>
      <c r="R16" s="27">
        <f t="shared" si="1"/>
        <v>0</v>
      </c>
      <c r="T16" t="s">
        <v>642</v>
      </c>
      <c r="U16" s="57">
        <f>SUM($R$215,$R$217,$R$218)</f>
        <v>0</v>
      </c>
      <c r="V16">
        <v>3</v>
      </c>
      <c r="W16">
        <f>IF(U16&gt;V16,1,0)</f>
        <v>0</v>
      </c>
      <c r="Y16" s="13" t="s">
        <v>152</v>
      </c>
      <c r="AB16" s="120"/>
      <c r="AJ16" s="79" t="s">
        <v>468</v>
      </c>
      <c r="AK16" s="509" t="s">
        <v>1177</v>
      </c>
      <c r="AL16" t="s">
        <v>543</v>
      </c>
      <c r="AN16" s="53">
        <v>25000</v>
      </c>
      <c r="AO16" s="53">
        <v>25000</v>
      </c>
      <c r="AP16" s="53">
        <v>25000</v>
      </c>
      <c r="AQ16" s="53">
        <v>25000</v>
      </c>
      <c r="AR16" s="97" t="str">
        <f t="shared" ca="1" si="0"/>
        <v>-</v>
      </c>
      <c r="AS16" s="117">
        <v>15</v>
      </c>
      <c r="AT16" s="569">
        <v>10</v>
      </c>
      <c r="AU16" s="509" t="s">
        <v>1087</v>
      </c>
      <c r="AV16" s="510" t="str">
        <f t="shared" si="3"/>
        <v/>
      </c>
      <c r="AW16" s="567"/>
      <c r="AX16" s="509" t="str">
        <f t="shared" si="4"/>
        <v>Building bylaws</v>
      </c>
    </row>
    <row r="17" spans="1:50" x14ac:dyDescent="0.25">
      <c r="A17" s="536">
        <v>30002</v>
      </c>
      <c r="B17" s="529" t="s">
        <v>1324</v>
      </c>
      <c r="C17" s="581"/>
      <c r="D17" s="556" t="s">
        <v>1316</v>
      </c>
      <c r="E17" s="523">
        <f t="shared" si="10"/>
        <v>0</v>
      </c>
      <c r="F17" s="523">
        <f t="shared" si="11"/>
        <v>0</v>
      </c>
      <c r="G17" s="523">
        <f t="shared" ref="G17:G25" si="12">IF(F17=1,IF(J17="Refer",1,0),0)</f>
        <v>0</v>
      </c>
      <c r="H17" s="523">
        <f t="shared" ref="H17:H25" si="13">IF(F17=1,IF(J17="Decline",1,0),0)</f>
        <v>0</v>
      </c>
      <c r="I17" s="523">
        <f t="shared" ref="I17:I25" si="14">IF(F17=1,IF(J17="Bld Decline",1,0),0)</f>
        <v>0</v>
      </c>
      <c r="J17" s="522" t="s">
        <v>213</v>
      </c>
      <c r="K17" s="522" t="str">
        <f t="shared" ref="K17:K25" si="15">IF(F17=1,D17,"")</f>
        <v/>
      </c>
      <c r="L17" s="524"/>
      <c r="M17" s="79">
        <v>729712</v>
      </c>
      <c r="N17" s="61" t="s">
        <v>151</v>
      </c>
      <c r="O17" s="63" t="s">
        <v>151</v>
      </c>
      <c r="P17" s="112" t="s">
        <v>296</v>
      </c>
      <c r="Q17" s="579">
        <f t="shared" si="9"/>
        <v>0</v>
      </c>
      <c r="R17" s="27">
        <f t="shared" si="1"/>
        <v>0</v>
      </c>
      <c r="T17" t="s">
        <v>1369</v>
      </c>
      <c r="U17" s="38" t="str">
        <f ca="1">$E$7</f>
        <v>Decline</v>
      </c>
      <c r="V17" t="s">
        <v>1370</v>
      </c>
      <c r="W17">
        <f ca="1">IF(OR(U17="Decline",U17="Refer"),1,0)</f>
        <v>1</v>
      </c>
      <c r="Y17" s="13" t="s">
        <v>153</v>
      </c>
      <c r="AB17" s="120"/>
      <c r="AJ17" s="79" t="s">
        <v>469</v>
      </c>
      <c r="AK17" s="509" t="s">
        <v>1188</v>
      </c>
      <c r="AL17" t="s">
        <v>543</v>
      </c>
      <c r="AN17" s="53">
        <f>$AB$8</f>
        <v>2000000</v>
      </c>
      <c r="AO17" s="53">
        <v>250000</v>
      </c>
      <c r="AP17" s="53">
        <v>250000</v>
      </c>
      <c r="AQ17" s="53">
        <f>$U$56</f>
        <v>2000000</v>
      </c>
      <c r="AR17" s="97" t="str">
        <f t="shared" ca="1" si="0"/>
        <v>-</v>
      </c>
      <c r="AS17" s="116">
        <v>16</v>
      </c>
      <c r="AT17" s="569">
        <v>11</v>
      </c>
      <c r="AU17" s="509" t="s">
        <v>1088</v>
      </c>
      <c r="AV17" s="510" t="str">
        <f t="shared" si="3"/>
        <v/>
      </c>
      <c r="AW17" s="567"/>
      <c r="AX17" s="509" t="str">
        <f t="shared" si="4"/>
        <v>Brands and labels</v>
      </c>
    </row>
    <row r="18" spans="1:50" x14ac:dyDescent="0.25">
      <c r="A18" s="536">
        <v>30003</v>
      </c>
      <c r="B18" s="529" t="s">
        <v>1325</v>
      </c>
      <c r="C18" s="581"/>
      <c r="D18" s="556" t="s">
        <v>1316</v>
      </c>
      <c r="E18" s="523">
        <f t="shared" si="10"/>
        <v>0</v>
      </c>
      <c r="F18" s="523">
        <f t="shared" si="11"/>
        <v>0</v>
      </c>
      <c r="G18" s="523">
        <f t="shared" si="12"/>
        <v>0</v>
      </c>
      <c r="H18" s="523">
        <f t="shared" si="13"/>
        <v>0</v>
      </c>
      <c r="I18" s="523">
        <f t="shared" si="14"/>
        <v>0</v>
      </c>
      <c r="J18" s="522" t="s">
        <v>213</v>
      </c>
      <c r="K18" s="522" t="str">
        <f t="shared" si="15"/>
        <v/>
      </c>
      <c r="L18" s="524"/>
      <c r="M18" s="79">
        <v>729713</v>
      </c>
      <c r="N18" s="65" t="s">
        <v>297</v>
      </c>
      <c r="O18" s="64" t="s">
        <v>297</v>
      </c>
      <c r="P18" s="112" t="s">
        <v>386</v>
      </c>
      <c r="Q18" s="579">
        <f t="shared" si="9"/>
        <v>0</v>
      </c>
      <c r="R18" s="27">
        <f t="shared" si="1"/>
        <v>0</v>
      </c>
      <c r="U18" s="21"/>
      <c r="Y18" s="13" t="s">
        <v>154</v>
      </c>
      <c r="AB18" s="120"/>
      <c r="AJ18" s="79" t="s">
        <v>470</v>
      </c>
      <c r="AK18" s="509" t="s">
        <v>1172</v>
      </c>
      <c r="AL18" t="s">
        <v>543</v>
      </c>
      <c r="AN18" s="53">
        <v>5000000</v>
      </c>
      <c r="AO18" s="53">
        <v>5000000</v>
      </c>
      <c r="AP18" s="53">
        <v>5000000</v>
      </c>
      <c r="AQ18" s="53">
        <v>5000000</v>
      </c>
      <c r="AR18" s="97" t="str">
        <f t="shared" ca="1" si="0"/>
        <v>-</v>
      </c>
      <c r="AS18" s="116">
        <v>17</v>
      </c>
      <c r="AT18" s="569">
        <v>12</v>
      </c>
      <c r="AU18" s="509" t="s">
        <v>220</v>
      </c>
      <c r="AV18" s="510">
        <f t="shared" si="3"/>
        <v>0</v>
      </c>
      <c r="AW18" s="567"/>
      <c r="AX18" s="509" t="str">
        <f t="shared" si="4"/>
        <v/>
      </c>
    </row>
    <row r="19" spans="1:50" x14ac:dyDescent="0.25">
      <c r="A19" s="536">
        <v>30005</v>
      </c>
      <c r="B19" s="529" t="s">
        <v>1311</v>
      </c>
      <c r="C19" s="581"/>
      <c r="D19" s="556" t="s">
        <v>1316</v>
      </c>
      <c r="E19" s="523">
        <f t="shared" si="10"/>
        <v>0</v>
      </c>
      <c r="F19" s="523">
        <f t="shared" si="11"/>
        <v>0</v>
      </c>
      <c r="G19" s="523">
        <f t="shared" si="12"/>
        <v>0</v>
      </c>
      <c r="H19" s="523">
        <f t="shared" si="13"/>
        <v>0</v>
      </c>
      <c r="I19" s="523">
        <f t="shared" si="14"/>
        <v>0</v>
      </c>
      <c r="J19" s="522" t="s">
        <v>213</v>
      </c>
      <c r="K19" s="522" t="str">
        <f t="shared" si="15"/>
        <v/>
      </c>
      <c r="L19" s="524"/>
      <c r="M19" s="79">
        <v>729714</v>
      </c>
      <c r="N19" s="65" t="s">
        <v>298</v>
      </c>
      <c r="O19" s="64" t="s">
        <v>298</v>
      </c>
      <c r="P19" s="112" t="s">
        <v>386</v>
      </c>
      <c r="Q19" s="579">
        <f t="shared" si="9"/>
        <v>0</v>
      </c>
      <c r="R19" s="27">
        <f t="shared" si="1"/>
        <v>0</v>
      </c>
      <c r="AA19" s="2" t="s">
        <v>747</v>
      </c>
      <c r="AB19" s="120"/>
      <c r="AJ19" s="79" t="s">
        <v>471</v>
      </c>
      <c r="AK19" s="509" t="s">
        <v>1158</v>
      </c>
      <c r="AL19" t="s">
        <v>543</v>
      </c>
      <c r="AN19" s="53">
        <f>$AB$8</f>
        <v>2000000</v>
      </c>
      <c r="AO19" s="53">
        <f>$AB$22</f>
        <v>2000000</v>
      </c>
      <c r="AP19" s="53">
        <f>$AB$33</f>
        <v>2000000</v>
      </c>
      <c r="AQ19" s="53">
        <f>$U$56</f>
        <v>2000000</v>
      </c>
      <c r="AR19" s="97" t="str">
        <f t="shared" ca="1" si="0"/>
        <v>-</v>
      </c>
      <c r="AS19" s="117">
        <v>18</v>
      </c>
      <c r="AT19" s="569">
        <v>13</v>
      </c>
      <c r="AU19" s="509" t="s">
        <v>1089</v>
      </c>
      <c r="AV19" s="510" t="str">
        <f t="shared" si="3"/>
        <v>Included</v>
      </c>
      <c r="AW19" s="567"/>
      <c r="AX19" s="509" t="str">
        <f t="shared" si="4"/>
        <v/>
      </c>
    </row>
    <row r="20" spans="1:50" x14ac:dyDescent="0.25">
      <c r="A20" s="536">
        <v>30007</v>
      </c>
      <c r="B20" s="531" t="s">
        <v>147</v>
      </c>
      <c r="C20" s="581"/>
      <c r="D20" s="556" t="s">
        <v>1316</v>
      </c>
      <c r="E20" s="523">
        <f t="shared" si="10"/>
        <v>0</v>
      </c>
      <c r="F20" s="523">
        <f t="shared" si="11"/>
        <v>0</v>
      </c>
      <c r="G20" s="523">
        <f t="shared" si="12"/>
        <v>0</v>
      </c>
      <c r="H20" s="523">
        <f t="shared" si="13"/>
        <v>0</v>
      </c>
      <c r="I20" s="523">
        <f t="shared" si="14"/>
        <v>0</v>
      </c>
      <c r="J20" s="522" t="s">
        <v>213</v>
      </c>
      <c r="K20" s="522" t="str">
        <f t="shared" si="15"/>
        <v/>
      </c>
      <c r="L20" s="524"/>
      <c r="M20" s="79">
        <v>729715</v>
      </c>
      <c r="N20" s="65" t="s">
        <v>299</v>
      </c>
      <c r="O20" s="64" t="s">
        <v>299</v>
      </c>
      <c r="P20" s="112" t="s">
        <v>386</v>
      </c>
      <c r="Q20" s="579">
        <f t="shared" si="9"/>
        <v>0</v>
      </c>
      <c r="R20" s="27">
        <f t="shared" si="1"/>
        <v>0</v>
      </c>
      <c r="T20" s="2" t="s">
        <v>156</v>
      </c>
      <c r="W20" s="17" t="str">
        <f ca="1">IF(SUM(W23:W30)=0,"Accept","Decline")</f>
        <v>Decline</v>
      </c>
      <c r="Y20" t="s">
        <v>157</v>
      </c>
      <c r="AA20" s="14" t="s">
        <v>745</v>
      </c>
      <c r="AB20" s="120"/>
      <c r="AJ20" s="79" t="s">
        <v>472</v>
      </c>
      <c r="AK20" t="s">
        <v>1340</v>
      </c>
      <c r="AL20" t="s">
        <v>543</v>
      </c>
      <c r="AN20" s="101">
        <v>50000</v>
      </c>
      <c r="AO20" s="53">
        <v>250000</v>
      </c>
      <c r="AP20" s="53">
        <v>250000</v>
      </c>
      <c r="AQ20" s="53">
        <f>U131</f>
        <v>50000</v>
      </c>
      <c r="AR20" s="97" t="str">
        <f t="shared" ca="1" si="0"/>
        <v>-</v>
      </c>
      <c r="AS20" s="116">
        <v>19</v>
      </c>
      <c r="AT20" s="569">
        <v>14</v>
      </c>
      <c r="AU20" s="509" t="s">
        <v>500</v>
      </c>
      <c r="AV20" s="510">
        <f t="shared" si="3"/>
        <v>25000</v>
      </c>
      <c r="AW20" s="567"/>
      <c r="AX20" s="509" t="str">
        <f t="shared" si="4"/>
        <v/>
      </c>
    </row>
    <row r="21" spans="1:50" x14ac:dyDescent="0.25">
      <c r="A21" s="536">
        <v>30015</v>
      </c>
      <c r="B21" s="531" t="s">
        <v>82</v>
      </c>
      <c r="C21" s="581"/>
      <c r="D21" s="556" t="s">
        <v>1316</v>
      </c>
      <c r="E21" s="523">
        <f t="shared" si="10"/>
        <v>0</v>
      </c>
      <c r="F21" s="523">
        <f t="shared" si="11"/>
        <v>0</v>
      </c>
      <c r="G21" s="523">
        <f t="shared" si="12"/>
        <v>0</v>
      </c>
      <c r="H21" s="523">
        <f t="shared" si="13"/>
        <v>0</v>
      </c>
      <c r="I21" s="523">
        <f t="shared" si="14"/>
        <v>0</v>
      </c>
      <c r="J21" s="522" t="s">
        <v>213</v>
      </c>
      <c r="K21" s="522" t="str">
        <f t="shared" si="15"/>
        <v/>
      </c>
      <c r="L21" s="524"/>
      <c r="M21" s="79">
        <v>729716</v>
      </c>
      <c r="N21" s="65" t="s">
        <v>300</v>
      </c>
      <c r="O21" s="64" t="s">
        <v>300</v>
      </c>
      <c r="P21" s="112" t="s">
        <v>387</v>
      </c>
      <c r="Q21" s="579">
        <f t="shared" si="9"/>
        <v>0</v>
      </c>
      <c r="R21" s="27">
        <f t="shared" si="1"/>
        <v>0</v>
      </c>
      <c r="Y21" s="13" t="s">
        <v>147</v>
      </c>
      <c r="AA21" t="s">
        <v>736</v>
      </c>
      <c r="AB21" s="120">
        <v>253</v>
      </c>
      <c r="AJ21" s="79" t="s">
        <v>473</v>
      </c>
      <c r="AK21" s="509" t="s">
        <v>473</v>
      </c>
      <c r="AL21" t="s">
        <v>543</v>
      </c>
      <c r="AN21" s="53">
        <f>$AB$8</f>
        <v>2000000</v>
      </c>
      <c r="AO21" s="53">
        <v>0</v>
      </c>
      <c r="AP21" s="53">
        <v>0</v>
      </c>
      <c r="AQ21" s="53">
        <f>$U$56</f>
        <v>2000000</v>
      </c>
      <c r="AR21" s="97" t="str">
        <f t="shared" ca="1" si="0"/>
        <v>-</v>
      </c>
      <c r="AS21" s="116">
        <v>20</v>
      </c>
      <c r="AT21" s="569">
        <v>15</v>
      </c>
      <c r="AU21" s="509" t="s">
        <v>1090</v>
      </c>
      <c r="AV21" s="510">
        <f t="shared" si="3"/>
        <v>0</v>
      </c>
      <c r="AW21" s="567"/>
      <c r="AX21" s="509" t="str">
        <f t="shared" si="4"/>
        <v/>
      </c>
    </row>
    <row r="22" spans="1:50" x14ac:dyDescent="0.25">
      <c r="A22" s="536" t="s">
        <v>1321</v>
      </c>
      <c r="B22" s="531" t="s">
        <v>1317</v>
      </c>
      <c r="C22" s="581"/>
      <c r="D22" s="556" t="s">
        <v>1316</v>
      </c>
      <c r="E22" s="523">
        <f t="shared" si="10"/>
        <v>0</v>
      </c>
      <c r="F22" s="523">
        <f t="shared" si="11"/>
        <v>0</v>
      </c>
      <c r="G22" s="523">
        <f t="shared" si="12"/>
        <v>0</v>
      </c>
      <c r="H22" s="523">
        <f t="shared" si="13"/>
        <v>0</v>
      </c>
      <c r="I22" s="523">
        <f t="shared" si="14"/>
        <v>0</v>
      </c>
      <c r="J22" s="522" t="s">
        <v>213</v>
      </c>
      <c r="K22" s="522" t="str">
        <f t="shared" si="15"/>
        <v/>
      </c>
      <c r="L22" s="524"/>
      <c r="M22" s="79">
        <v>729717</v>
      </c>
      <c r="N22" s="65" t="s">
        <v>15</v>
      </c>
      <c r="O22" s="64" t="s">
        <v>15</v>
      </c>
      <c r="P22" s="112" t="s">
        <v>387</v>
      </c>
      <c r="Q22" s="579">
        <f t="shared" si="9"/>
        <v>0</v>
      </c>
      <c r="R22" s="27">
        <f t="shared" si="1"/>
        <v>0</v>
      </c>
      <c r="U22" t="s">
        <v>145</v>
      </c>
      <c r="V22" t="s">
        <v>146</v>
      </c>
      <c r="W22" t="s">
        <v>148</v>
      </c>
      <c r="Y22" s="13" t="s">
        <v>153</v>
      </c>
      <c r="AA22" t="s">
        <v>737</v>
      </c>
      <c r="AB22" s="71">
        <f>$U$56</f>
        <v>2000000</v>
      </c>
      <c r="AJ22" s="79" t="s">
        <v>474</v>
      </c>
      <c r="AK22" s="509" t="s">
        <v>1189</v>
      </c>
      <c r="AL22" t="s">
        <v>543</v>
      </c>
      <c r="AN22" s="53">
        <v>100000</v>
      </c>
      <c r="AO22" s="53">
        <v>0</v>
      </c>
      <c r="AP22" s="53">
        <v>0</v>
      </c>
      <c r="AQ22" s="53">
        <v>100000</v>
      </c>
      <c r="AR22" s="97" t="str">
        <f t="shared" ca="1" si="0"/>
        <v>-</v>
      </c>
      <c r="AS22" s="117">
        <v>21</v>
      </c>
      <c r="AT22" s="569">
        <v>16</v>
      </c>
      <c r="AU22" s="509" t="s">
        <v>1091</v>
      </c>
      <c r="AV22" s="510" t="str">
        <f t="shared" si="3"/>
        <v/>
      </c>
      <c r="AW22" s="567"/>
      <c r="AX22" s="509" t="str">
        <f t="shared" si="4"/>
        <v>By-Laws - additional time to rebuild</v>
      </c>
    </row>
    <row r="23" spans="1:50" x14ac:dyDescent="0.25">
      <c r="A23" s="536">
        <v>30023</v>
      </c>
      <c r="B23" s="531" t="s">
        <v>1371</v>
      </c>
      <c r="C23" s="581"/>
      <c r="D23" s="556" t="s">
        <v>1316</v>
      </c>
      <c r="E23" s="523">
        <f t="shared" si="10"/>
        <v>0</v>
      </c>
      <c r="F23" s="523">
        <f t="shared" si="11"/>
        <v>0</v>
      </c>
      <c r="G23" s="523">
        <f t="shared" si="12"/>
        <v>0</v>
      </c>
      <c r="H23" s="523">
        <f t="shared" si="13"/>
        <v>0</v>
      </c>
      <c r="I23" s="523">
        <f t="shared" si="14"/>
        <v>0</v>
      </c>
      <c r="J23" s="522" t="s">
        <v>213</v>
      </c>
      <c r="K23" s="522" t="str">
        <f t="shared" si="15"/>
        <v/>
      </c>
      <c r="L23" s="524"/>
      <c r="M23" s="79">
        <v>729730</v>
      </c>
      <c r="N23" s="65" t="s">
        <v>152</v>
      </c>
      <c r="O23" s="65" t="s">
        <v>152</v>
      </c>
      <c r="P23" s="112" t="s">
        <v>386</v>
      </c>
      <c r="Q23" s="579">
        <f t="shared" si="9"/>
        <v>0</v>
      </c>
      <c r="R23" s="27">
        <f t="shared" si="1"/>
        <v>0</v>
      </c>
      <c r="T23" t="s">
        <v>142</v>
      </c>
      <c r="U23" s="57">
        <f>$P$64</f>
        <v>0</v>
      </c>
      <c r="V23">
        <v>75000</v>
      </c>
      <c r="W23">
        <f>IF(U23&lt;=V23,0,1)</f>
        <v>0</v>
      </c>
      <c r="Y23" s="13"/>
      <c r="AA23" t="s">
        <v>738</v>
      </c>
      <c r="AB23" s="120">
        <f>IF(AB22=2000000,0,IF(AB22=3000000,100,IF(AB22=4000000,200,IF(AB22=5000000,300,0))))</f>
        <v>0</v>
      </c>
      <c r="AJ23" s="79" t="s">
        <v>475</v>
      </c>
      <c r="AK23" s="509" t="s">
        <v>475</v>
      </c>
      <c r="AL23" t="s">
        <v>543</v>
      </c>
      <c r="AN23" s="53">
        <v>2000000</v>
      </c>
      <c r="AO23" s="53">
        <v>0</v>
      </c>
      <c r="AP23" s="53">
        <v>0</v>
      </c>
      <c r="AQ23" s="53">
        <v>2000000</v>
      </c>
      <c r="AR23" s="97" t="str">
        <f t="shared" ca="1" si="0"/>
        <v>-</v>
      </c>
      <c r="AS23" s="116">
        <v>22</v>
      </c>
      <c r="AT23" s="569">
        <v>17</v>
      </c>
      <c r="AU23" s="509" t="s">
        <v>1092</v>
      </c>
      <c r="AV23" s="510" t="str">
        <f t="shared" si="3"/>
        <v/>
      </c>
      <c r="AW23" s="567"/>
      <c r="AX23" s="509" t="str">
        <f t="shared" si="4"/>
        <v>Catch-all Clause</v>
      </c>
    </row>
    <row r="24" spans="1:50" ht="30" x14ac:dyDescent="0.25">
      <c r="A24" s="536">
        <v>30021</v>
      </c>
      <c r="B24" s="531" t="s">
        <v>388</v>
      </c>
      <c r="C24" s="581"/>
      <c r="D24" s="556" t="s">
        <v>1316</v>
      </c>
      <c r="E24" s="523">
        <f t="shared" si="10"/>
        <v>0</v>
      </c>
      <c r="F24" s="523">
        <f t="shared" si="11"/>
        <v>0</v>
      </c>
      <c r="G24" s="523">
        <f t="shared" si="12"/>
        <v>0</v>
      </c>
      <c r="H24" s="523">
        <f t="shared" si="13"/>
        <v>0</v>
      </c>
      <c r="I24" s="523">
        <f t="shared" si="14"/>
        <v>0</v>
      </c>
      <c r="J24" s="522" t="s">
        <v>213</v>
      </c>
      <c r="K24" s="522" t="str">
        <f t="shared" si="15"/>
        <v/>
      </c>
      <c r="L24" s="524"/>
      <c r="M24" s="79">
        <v>729748</v>
      </c>
      <c r="N24" s="554" t="s">
        <v>1023</v>
      </c>
      <c r="O24" s="66" t="s">
        <v>385</v>
      </c>
      <c r="P24" s="112" t="s">
        <v>387</v>
      </c>
      <c r="Q24" s="579">
        <f t="shared" si="9"/>
        <v>0</v>
      </c>
      <c r="R24" s="27">
        <f t="shared" si="1"/>
        <v>0</v>
      </c>
      <c r="T24" t="s">
        <v>143</v>
      </c>
      <c r="U24" s="38">
        <f>$C$89</f>
        <v>0</v>
      </c>
      <c r="V24">
        <v>1</v>
      </c>
      <c r="W24">
        <f>IF(U24&lt;=V24,0,1)</f>
        <v>0</v>
      </c>
      <c r="AA24" t="s">
        <v>741</v>
      </c>
      <c r="AB24" s="123">
        <f>SUM(AB23,AB21)</f>
        <v>253</v>
      </c>
      <c r="AJ24" s="79" t="s">
        <v>476</v>
      </c>
      <c r="AK24" t="s">
        <v>1335</v>
      </c>
      <c r="AL24" t="s">
        <v>544</v>
      </c>
      <c r="AN24" s="53">
        <v>100000</v>
      </c>
      <c r="AO24" s="53">
        <v>0</v>
      </c>
      <c r="AP24" s="53">
        <v>0</v>
      </c>
      <c r="AQ24" s="53">
        <v>100000</v>
      </c>
      <c r="AR24" s="97" t="str">
        <f t="shared" ca="1" si="0"/>
        <v>-</v>
      </c>
      <c r="AS24" s="116">
        <v>23</v>
      </c>
      <c r="AT24" s="569">
        <v>18</v>
      </c>
      <c r="AU24" s="509" t="s">
        <v>1093</v>
      </c>
      <c r="AV24" s="510">
        <f t="shared" si="3"/>
        <v>0</v>
      </c>
      <c r="AW24" s="567"/>
      <c r="AX24" s="509" t="str">
        <f t="shared" si="4"/>
        <v/>
      </c>
    </row>
    <row r="25" spans="1:50" ht="30" x14ac:dyDescent="0.25">
      <c r="A25" s="536">
        <v>30013</v>
      </c>
      <c r="B25" s="531" t="s">
        <v>84</v>
      </c>
      <c r="C25" s="581"/>
      <c r="D25" s="556" t="s">
        <v>1316</v>
      </c>
      <c r="E25" s="523">
        <f t="shared" si="10"/>
        <v>0</v>
      </c>
      <c r="F25" s="523">
        <f t="shared" si="11"/>
        <v>0</v>
      </c>
      <c r="G25" s="523">
        <f t="shared" si="12"/>
        <v>0</v>
      </c>
      <c r="H25" s="523">
        <f t="shared" si="13"/>
        <v>0</v>
      </c>
      <c r="I25" s="523">
        <f t="shared" si="14"/>
        <v>0</v>
      </c>
      <c r="J25" s="522" t="s">
        <v>213</v>
      </c>
      <c r="K25" s="522" t="str">
        <f t="shared" si="15"/>
        <v/>
      </c>
      <c r="L25" s="524"/>
      <c r="M25" s="79">
        <v>729749</v>
      </c>
      <c r="N25" s="554" t="s">
        <v>1022</v>
      </c>
      <c r="O25" s="66" t="s">
        <v>385</v>
      </c>
      <c r="P25" s="112" t="s">
        <v>387</v>
      </c>
      <c r="Q25" s="579">
        <f t="shared" si="9"/>
        <v>0</v>
      </c>
      <c r="R25" s="27">
        <f t="shared" si="1"/>
        <v>0</v>
      </c>
      <c r="T25" t="s">
        <v>144</v>
      </c>
      <c r="U25" s="59">
        <f>$R$165</f>
        <v>0</v>
      </c>
      <c r="V25">
        <v>0</v>
      </c>
      <c r="W25">
        <f>IF(U25&lt;=V25,0,1)</f>
        <v>0</v>
      </c>
      <c r="AB25" s="120"/>
      <c r="AJ25" s="79" t="s">
        <v>477</v>
      </c>
      <c r="AK25" t="s">
        <v>1336</v>
      </c>
      <c r="AL25" t="s">
        <v>544</v>
      </c>
      <c r="AN25" s="53">
        <v>100000</v>
      </c>
      <c r="AO25" s="53">
        <v>0</v>
      </c>
      <c r="AP25" s="53">
        <v>0</v>
      </c>
      <c r="AQ25" s="53">
        <v>100000</v>
      </c>
      <c r="AR25" s="97" t="str">
        <f t="shared" ca="1" si="0"/>
        <v>-</v>
      </c>
      <c r="AS25" s="117">
        <v>24</v>
      </c>
      <c r="AT25" s="569">
        <v>19</v>
      </c>
      <c r="AU25" s="509" t="s">
        <v>1094</v>
      </c>
      <c r="AV25" s="510" t="str">
        <f t="shared" si="3"/>
        <v/>
      </c>
      <c r="AW25" s="567"/>
      <c r="AX25" s="509" t="str">
        <f t="shared" si="4"/>
        <v>Coinsurance waiver</v>
      </c>
    </row>
    <row r="26" spans="1:50" ht="30" x14ac:dyDescent="0.25">
      <c r="A26" s="536">
        <v>30011</v>
      </c>
      <c r="B26" s="532" t="s">
        <v>448</v>
      </c>
      <c r="C26" s="581"/>
      <c r="D26" s="556" t="s">
        <v>452</v>
      </c>
      <c r="E26" s="548">
        <f>P62</f>
        <v>0</v>
      </c>
      <c r="F26" s="523">
        <f>IF(E26&gt;0,1,0)</f>
        <v>0</v>
      </c>
      <c r="G26" s="523">
        <f t="shared" si="7"/>
        <v>0</v>
      </c>
      <c r="H26" s="523">
        <f t="shared" si="8"/>
        <v>0</v>
      </c>
      <c r="I26" s="523">
        <f t="shared" si="5"/>
        <v>0</v>
      </c>
      <c r="J26" s="522" t="s">
        <v>213</v>
      </c>
      <c r="K26" s="522" t="str">
        <f t="shared" si="6"/>
        <v/>
      </c>
      <c r="L26" s="524"/>
      <c r="M26" s="79">
        <v>729718</v>
      </c>
      <c r="N26" s="554" t="s">
        <v>1315</v>
      </c>
      <c r="O26" s="66" t="s">
        <v>385</v>
      </c>
      <c r="P26" s="112" t="s">
        <v>387</v>
      </c>
      <c r="Q26" s="579">
        <f t="shared" si="9"/>
        <v>0</v>
      </c>
      <c r="R26" s="27">
        <f t="shared" si="1"/>
        <v>0</v>
      </c>
      <c r="T26" t="s">
        <v>455</v>
      </c>
      <c r="U26" s="57">
        <f>SUM(R5,R6,P59)</f>
        <v>0</v>
      </c>
      <c r="V26" s="18"/>
      <c r="AB26" s="120"/>
      <c r="AJ26" s="79" t="s">
        <v>478</v>
      </c>
      <c r="AK26" t="s">
        <v>1337</v>
      </c>
      <c r="AL26" t="s">
        <v>544</v>
      </c>
      <c r="AN26" s="53">
        <v>100000</v>
      </c>
      <c r="AO26" s="53">
        <v>0</v>
      </c>
      <c r="AP26" s="53">
        <v>0</v>
      </c>
      <c r="AQ26" s="53">
        <v>100000</v>
      </c>
      <c r="AR26" s="97" t="str">
        <f t="shared" ca="1" si="0"/>
        <v>-</v>
      </c>
      <c r="AS26" s="116">
        <v>25</v>
      </c>
      <c r="AT26" s="569">
        <v>20</v>
      </c>
      <c r="AU26" s="509" t="s">
        <v>1095</v>
      </c>
      <c r="AV26" s="510" t="str">
        <f t="shared" si="3"/>
        <v/>
      </c>
      <c r="AW26" s="567"/>
      <c r="AX26" s="509" t="str">
        <f t="shared" si="4"/>
        <v>Condominium contingent</v>
      </c>
    </row>
    <row r="27" spans="1:50" x14ac:dyDescent="0.25">
      <c r="A27" s="536">
        <v>30009</v>
      </c>
      <c r="B27" s="532" t="s">
        <v>86</v>
      </c>
      <c r="C27" s="581"/>
      <c r="D27" s="556" t="s">
        <v>453</v>
      </c>
      <c r="E27" s="548">
        <f>P63</f>
        <v>0</v>
      </c>
      <c r="F27" s="523">
        <f>IF(E27&gt;0,1,0)</f>
        <v>0</v>
      </c>
      <c r="G27" s="523">
        <f t="shared" si="7"/>
        <v>0</v>
      </c>
      <c r="H27" s="523">
        <f t="shared" si="8"/>
        <v>0</v>
      </c>
      <c r="I27" s="523">
        <f t="shared" si="5"/>
        <v>0</v>
      </c>
      <c r="J27" s="522" t="s">
        <v>214</v>
      </c>
      <c r="K27" s="522" t="str">
        <f t="shared" si="6"/>
        <v/>
      </c>
      <c r="L27" s="524"/>
      <c r="M27" s="79">
        <v>729719</v>
      </c>
      <c r="N27" s="65" t="s">
        <v>301</v>
      </c>
      <c r="O27" s="64" t="s">
        <v>301</v>
      </c>
      <c r="P27" s="112" t="s">
        <v>387</v>
      </c>
      <c r="Q27" s="579">
        <f t="shared" si="9"/>
        <v>0</v>
      </c>
      <c r="R27" s="27">
        <f t="shared" si="1"/>
        <v>0</v>
      </c>
      <c r="T27" t="s">
        <v>289</v>
      </c>
      <c r="U27" s="83" t="e">
        <f>U26/U23</f>
        <v>#DIV/0!</v>
      </c>
      <c r="V27" s="18">
        <v>1</v>
      </c>
      <c r="W27">
        <f>IFERROR(IF(U27=V27,0,1),1)</f>
        <v>1</v>
      </c>
      <c r="AB27" s="120"/>
      <c r="AJ27" s="79" t="s">
        <v>479</v>
      </c>
      <c r="AK27" t="s">
        <v>1338</v>
      </c>
      <c r="AL27" t="s">
        <v>544</v>
      </c>
      <c r="AN27" s="53">
        <v>100000</v>
      </c>
      <c r="AO27" s="53">
        <v>0</v>
      </c>
      <c r="AP27" s="53">
        <v>0</v>
      </c>
      <c r="AQ27" s="53">
        <v>100000</v>
      </c>
      <c r="AR27" s="97" t="str">
        <f t="shared" ca="1" si="0"/>
        <v>-</v>
      </c>
      <c r="AS27" s="116">
        <v>26</v>
      </c>
      <c r="AT27" s="569">
        <v>21</v>
      </c>
      <c r="AU27" s="509" t="s">
        <v>1096</v>
      </c>
      <c r="AV27" s="510" t="str">
        <f t="shared" si="3"/>
        <v/>
      </c>
      <c r="AW27" s="567"/>
      <c r="AX27" s="509" t="str">
        <f t="shared" si="4"/>
        <v>Condominium loss assessment</v>
      </c>
    </row>
    <row r="28" spans="1:50" x14ac:dyDescent="0.25">
      <c r="A28" s="536">
        <v>30017</v>
      </c>
      <c r="B28" s="532" t="s">
        <v>384</v>
      </c>
      <c r="C28" s="581"/>
      <c r="D28" s="556" t="s">
        <v>209</v>
      </c>
      <c r="E28" s="523">
        <f>C70</f>
        <v>0</v>
      </c>
      <c r="F28" s="523">
        <f>IF(E28&gt;2,1,0)</f>
        <v>0</v>
      </c>
      <c r="G28" s="523">
        <f t="shared" si="7"/>
        <v>0</v>
      </c>
      <c r="H28" s="523">
        <f t="shared" si="8"/>
        <v>0</v>
      </c>
      <c r="I28" s="523">
        <f t="shared" si="5"/>
        <v>0</v>
      </c>
      <c r="J28" s="522" t="s">
        <v>214</v>
      </c>
      <c r="K28" s="522" t="str">
        <f t="shared" si="6"/>
        <v/>
      </c>
      <c r="L28" s="524"/>
      <c r="M28" s="79">
        <v>729720</v>
      </c>
      <c r="N28" s="65" t="s">
        <v>302</v>
      </c>
      <c r="O28" s="64" t="s">
        <v>302</v>
      </c>
      <c r="P28" s="112" t="s">
        <v>387</v>
      </c>
      <c r="Q28" s="579">
        <f t="shared" si="9"/>
        <v>0</v>
      </c>
      <c r="R28" s="27">
        <f t="shared" si="1"/>
        <v>0</v>
      </c>
      <c r="T28" t="s">
        <v>622</v>
      </c>
      <c r="U28" s="38">
        <f>$C$85+$C$86+$C$87+$C$84</f>
        <v>0</v>
      </c>
      <c r="V28">
        <v>0</v>
      </c>
      <c r="W28">
        <f>IF(U28&lt;=V28,0,1)</f>
        <v>0</v>
      </c>
      <c r="AB28" s="120"/>
      <c r="AJ28" s="79" t="s">
        <v>483</v>
      </c>
      <c r="AK28" t="s">
        <v>1339</v>
      </c>
      <c r="AL28" t="s">
        <v>544</v>
      </c>
      <c r="AN28" s="53">
        <v>5000</v>
      </c>
      <c r="AO28" s="53">
        <v>0</v>
      </c>
      <c r="AP28" s="53">
        <v>0</v>
      </c>
      <c r="AQ28" s="53">
        <v>5000</v>
      </c>
      <c r="AR28" s="97" t="str">
        <f t="shared" ca="1" si="0"/>
        <v>-</v>
      </c>
      <c r="AS28" s="117">
        <v>27</v>
      </c>
      <c r="AT28" s="569">
        <v>22</v>
      </c>
      <c r="AU28" s="509" t="s">
        <v>1097</v>
      </c>
      <c r="AV28" s="510" t="str">
        <f t="shared" si="3"/>
        <v/>
      </c>
      <c r="AW28" s="567"/>
      <c r="AX28" s="509" t="str">
        <f t="shared" si="4"/>
        <v>Consequential loss</v>
      </c>
    </row>
    <row r="29" spans="1:50" ht="15.75" customHeight="1" x14ac:dyDescent="0.25">
      <c r="A29" s="536">
        <v>30018</v>
      </c>
      <c r="B29" s="532" t="s">
        <v>154</v>
      </c>
      <c r="C29" s="581"/>
      <c r="D29" s="556" t="s">
        <v>210</v>
      </c>
      <c r="E29" s="523">
        <f>$C$71</f>
        <v>0</v>
      </c>
      <c r="F29" s="523">
        <f>IF(E29="No",1,0)</f>
        <v>0</v>
      </c>
      <c r="G29" s="523">
        <f t="shared" si="7"/>
        <v>0</v>
      </c>
      <c r="H29" s="523">
        <f t="shared" si="8"/>
        <v>0</v>
      </c>
      <c r="I29" s="523">
        <f t="shared" si="5"/>
        <v>0</v>
      </c>
      <c r="J29" s="522" t="s">
        <v>214</v>
      </c>
      <c r="K29" s="522" t="str">
        <f t="shared" si="6"/>
        <v/>
      </c>
      <c r="L29" s="524"/>
      <c r="M29" s="79">
        <v>729721</v>
      </c>
      <c r="N29" s="65" t="s">
        <v>303</v>
      </c>
      <c r="O29" s="64" t="s">
        <v>303</v>
      </c>
      <c r="P29" s="112" t="s">
        <v>387</v>
      </c>
      <c r="Q29" s="579">
        <f t="shared" si="9"/>
        <v>0</v>
      </c>
      <c r="R29" s="27">
        <f t="shared" si="1"/>
        <v>0</v>
      </c>
      <c r="T29" t="s">
        <v>642</v>
      </c>
      <c r="U29" s="57">
        <f>SUM($R$215,$R$217,$R$218)</f>
        <v>0</v>
      </c>
      <c r="V29">
        <v>3</v>
      </c>
      <c r="W29">
        <f>IF(U29&gt;V29,1,0)</f>
        <v>0</v>
      </c>
      <c r="AB29" s="120"/>
      <c r="AJ29" s="79" t="s">
        <v>480</v>
      </c>
      <c r="AL29" t="s">
        <v>543</v>
      </c>
      <c r="AN29" s="53" t="s">
        <v>568</v>
      </c>
      <c r="AO29" s="53" t="s">
        <v>568</v>
      </c>
      <c r="AP29" s="53" t="s">
        <v>568</v>
      </c>
      <c r="AQ29" s="53" t="s">
        <v>568</v>
      </c>
      <c r="AR29" s="97" t="str">
        <f t="shared" ca="1" si="0"/>
        <v>-</v>
      </c>
      <c r="AS29" s="116">
        <v>28</v>
      </c>
      <c r="AT29" s="569">
        <v>23</v>
      </c>
      <c r="AU29" s="509" t="s">
        <v>1098</v>
      </c>
      <c r="AV29" s="510" t="str">
        <f t="shared" si="3"/>
        <v/>
      </c>
      <c r="AW29" s="567"/>
      <c r="AX29" s="509" t="str">
        <f t="shared" si="4"/>
        <v>Contents at newly acquired locations</v>
      </c>
    </row>
    <row r="30" spans="1:50" x14ac:dyDescent="0.25">
      <c r="A30" s="536">
        <v>30019</v>
      </c>
      <c r="B30" s="532" t="s">
        <v>151</v>
      </c>
      <c r="C30" s="581"/>
      <c r="D30" s="556" t="s">
        <v>212</v>
      </c>
      <c r="E30" s="523">
        <f>C72</f>
        <v>0</v>
      </c>
      <c r="F30" s="523">
        <f>IF(E30="Yes",1,0)</f>
        <v>0</v>
      </c>
      <c r="G30" s="523">
        <f t="shared" si="7"/>
        <v>0</v>
      </c>
      <c r="H30" s="523">
        <f t="shared" si="8"/>
        <v>0</v>
      </c>
      <c r="I30" s="523">
        <f t="shared" si="5"/>
        <v>0</v>
      </c>
      <c r="J30" s="522" t="s">
        <v>213</v>
      </c>
      <c r="K30" s="522" t="str">
        <f t="shared" si="6"/>
        <v/>
      </c>
      <c r="L30" s="524"/>
      <c r="M30" s="79">
        <v>729722</v>
      </c>
      <c r="N30" s="65" t="s">
        <v>304</v>
      </c>
      <c r="O30" s="64" t="s">
        <v>304</v>
      </c>
      <c r="P30" s="112" t="s">
        <v>387</v>
      </c>
      <c r="Q30" s="579">
        <f t="shared" si="9"/>
        <v>0</v>
      </c>
      <c r="R30" s="27">
        <f t="shared" si="1"/>
        <v>0</v>
      </c>
      <c r="T30" t="s">
        <v>1369</v>
      </c>
      <c r="U30" s="38" t="str">
        <f ca="1">$E$7</f>
        <v>Decline</v>
      </c>
      <c r="V30" t="s">
        <v>1370</v>
      </c>
      <c r="W30">
        <f ca="1">IF(OR(U30="Decline",U30="Refer"),1,0)</f>
        <v>1</v>
      </c>
      <c r="AA30" s="2" t="s">
        <v>748</v>
      </c>
      <c r="AB30" s="120"/>
      <c r="AJ30" s="79" t="s">
        <v>481</v>
      </c>
      <c r="AL30" t="s">
        <v>543</v>
      </c>
      <c r="AN30" s="53" t="s">
        <v>568</v>
      </c>
      <c r="AO30" s="53" t="s">
        <v>568</v>
      </c>
      <c r="AP30" s="53" t="s">
        <v>568</v>
      </c>
      <c r="AQ30" s="53" t="s">
        <v>568</v>
      </c>
      <c r="AR30" s="97" t="str">
        <f t="shared" ca="1" si="0"/>
        <v>-</v>
      </c>
      <c r="AS30" s="116">
        <v>29</v>
      </c>
      <c r="AT30" s="569">
        <v>24</v>
      </c>
      <c r="AU30" s="509" t="s">
        <v>1099</v>
      </c>
      <c r="AV30" s="510">
        <f t="shared" si="3"/>
        <v>25000</v>
      </c>
      <c r="AW30" s="567"/>
      <c r="AX30" s="509" t="str">
        <f t="shared" si="4"/>
        <v/>
      </c>
    </row>
    <row r="31" spans="1:50" x14ac:dyDescent="0.25">
      <c r="A31" s="536" t="s">
        <v>1320</v>
      </c>
      <c r="B31" s="533" t="s">
        <v>297</v>
      </c>
      <c r="C31" s="581"/>
      <c r="D31" s="558" t="s">
        <v>1326</v>
      </c>
      <c r="E31" s="548">
        <f>MAX(C18,P64)</f>
        <v>0</v>
      </c>
      <c r="F31" s="523">
        <f>IF(E31&gt;2000000,1,0)</f>
        <v>0</v>
      </c>
      <c r="G31" s="523">
        <f t="shared" ref="G31" si="16">IF(F31=1,IF(J31="Refer",1,0),0)</f>
        <v>0</v>
      </c>
      <c r="H31" s="523">
        <f t="shared" ref="H31" si="17">IF(F31=1,IF(J31="Decline",1,0),0)</f>
        <v>0</v>
      </c>
      <c r="I31" s="523">
        <f t="shared" ref="I31" si="18">IF(F31=1,IF(J31="Bld Decline",1,0),0)</f>
        <v>0</v>
      </c>
      <c r="J31" s="522" t="s">
        <v>213</v>
      </c>
      <c r="K31" s="522" t="str">
        <f t="shared" ref="K31" si="19">IF(F31=1,D31,"")</f>
        <v/>
      </c>
      <c r="L31" s="524"/>
      <c r="M31" s="79">
        <v>729723</v>
      </c>
      <c r="N31" s="65" t="s">
        <v>305</v>
      </c>
      <c r="O31" s="64" t="s">
        <v>305</v>
      </c>
      <c r="P31" s="112" t="s">
        <v>387</v>
      </c>
      <c r="Q31" s="579">
        <f t="shared" si="9"/>
        <v>0</v>
      </c>
      <c r="R31" s="27">
        <f t="shared" si="1"/>
        <v>0</v>
      </c>
      <c r="T31" s="2" t="s">
        <v>159</v>
      </c>
      <c r="W31" s="17" t="str">
        <f ca="1">IF(SUM(W34:W43)=0,"Accept","Decline")</f>
        <v>Decline</v>
      </c>
      <c r="Y31" t="s">
        <v>157</v>
      </c>
      <c r="AA31" s="14" t="s">
        <v>745</v>
      </c>
      <c r="AB31" s="120"/>
      <c r="AJ31" s="79" t="s">
        <v>482</v>
      </c>
      <c r="AL31" t="s">
        <v>543</v>
      </c>
      <c r="AN31" s="53" t="s">
        <v>568</v>
      </c>
      <c r="AO31" s="53" t="s">
        <v>568</v>
      </c>
      <c r="AP31" s="53" t="s">
        <v>568</v>
      </c>
      <c r="AQ31" s="53" t="s">
        <v>568</v>
      </c>
      <c r="AR31" s="97" t="str">
        <f t="shared" ca="1" si="0"/>
        <v>-</v>
      </c>
      <c r="AS31" s="117">
        <v>30</v>
      </c>
      <c r="AT31" s="569">
        <v>25</v>
      </c>
      <c r="AU31" s="509" t="s">
        <v>1100</v>
      </c>
      <c r="AV31" s="510" t="str">
        <f t="shared" si="3"/>
        <v>Included</v>
      </c>
      <c r="AW31" s="567"/>
      <c r="AX31" s="509" t="str">
        <f t="shared" si="4"/>
        <v/>
      </c>
    </row>
    <row r="32" spans="1:50" x14ac:dyDescent="0.25">
      <c r="A32" s="536" t="s">
        <v>1319</v>
      </c>
      <c r="B32" s="533" t="s">
        <v>298</v>
      </c>
      <c r="C32" s="581"/>
      <c r="D32" s="558" t="s">
        <v>1327</v>
      </c>
      <c r="E32" s="548">
        <f>SUM(P57:P58,P60:P61)</f>
        <v>0</v>
      </c>
      <c r="F32" s="523">
        <f>IF(E32=0,1,0)</f>
        <v>1</v>
      </c>
      <c r="G32" s="523">
        <f t="shared" ref="G32" si="20">IF(F32=1,IF(J32="Refer",1,0),0)</f>
        <v>1</v>
      </c>
      <c r="H32" s="523">
        <f t="shared" ref="H32" si="21">IF(F32=1,IF(J32="Decline",1,0),0)</f>
        <v>0</v>
      </c>
      <c r="I32" s="523">
        <f t="shared" ref="I32" si="22">IF(F32=1,IF(J32="Bld Decline",1,0),0)</f>
        <v>0</v>
      </c>
      <c r="J32" s="522" t="s">
        <v>213</v>
      </c>
      <c r="K32" s="522" t="str">
        <f t="shared" ref="K32" si="23">IF(F32=1,D32,"")</f>
        <v>Zero revenues reported</v>
      </c>
      <c r="L32" s="524"/>
      <c r="M32" s="79">
        <v>729731</v>
      </c>
      <c r="N32" s="65" t="s">
        <v>389</v>
      </c>
      <c r="O32" s="65" t="s">
        <v>389</v>
      </c>
      <c r="P32" s="112" t="s">
        <v>387</v>
      </c>
      <c r="Q32" s="579">
        <f t="shared" si="9"/>
        <v>0</v>
      </c>
      <c r="R32" s="27">
        <f t="shared" si="1"/>
        <v>0</v>
      </c>
      <c r="Y32" s="13" t="s">
        <v>147</v>
      </c>
      <c r="AA32" t="s">
        <v>736</v>
      </c>
      <c r="AB32" s="120">
        <v>253</v>
      </c>
      <c r="AJ32" s="79" t="s">
        <v>484</v>
      </c>
      <c r="AL32" t="s">
        <v>543</v>
      </c>
      <c r="AN32" s="53" t="s">
        <v>568</v>
      </c>
      <c r="AO32" s="53">
        <v>0</v>
      </c>
      <c r="AP32" s="53">
        <v>0</v>
      </c>
      <c r="AQ32" s="53" t="s">
        <v>568</v>
      </c>
      <c r="AR32" s="97" t="str">
        <f t="shared" ca="1" si="0"/>
        <v>-</v>
      </c>
      <c r="AS32" s="116">
        <v>31</v>
      </c>
      <c r="AT32" s="569">
        <v>26</v>
      </c>
      <c r="AU32" s="509" t="s">
        <v>1101</v>
      </c>
      <c r="AV32" s="510" t="str">
        <f t="shared" si="3"/>
        <v/>
      </c>
      <c r="AW32" s="567"/>
      <c r="AX32" s="509" t="str">
        <f t="shared" si="4"/>
        <v>Contents of others</v>
      </c>
    </row>
    <row r="33" spans="1:50" x14ac:dyDescent="0.25">
      <c r="A33" s="536">
        <v>30027</v>
      </c>
      <c r="B33" s="533" t="s">
        <v>299</v>
      </c>
      <c r="C33" s="581"/>
      <c r="D33" s="558" t="s">
        <v>1372</v>
      </c>
      <c r="E33" s="547">
        <f>SUM(Q5:Q54)</f>
        <v>0</v>
      </c>
      <c r="F33" s="523">
        <f>IFERROR(IF(OR(E33&lt;99%,E33&gt;101%),1,0),1)</f>
        <v>1</v>
      </c>
      <c r="G33" s="523">
        <f t="shared" ref="G33:G34" si="24">IF(F33=1,IF(J33="Refer",1,0),0)</f>
        <v>1</v>
      </c>
      <c r="H33" s="523">
        <f t="shared" ref="H33:H34" si="25">IF(F33=1,IF(J33="Decline",1,0),0)</f>
        <v>0</v>
      </c>
      <c r="I33" s="523">
        <f t="shared" ref="I33:I34" si="26">IF(F33=1,IF(J33="Bld Decline",1,0),0)</f>
        <v>0</v>
      </c>
      <c r="J33" s="522" t="s">
        <v>213</v>
      </c>
      <c r="K33" s="522" t="str">
        <f t="shared" ref="K33:K34" si="27">IF(F33=1,D33,"")</f>
        <v>Operations do not equal 100%</v>
      </c>
      <c r="L33" s="524"/>
      <c r="M33" s="79">
        <v>729702</v>
      </c>
      <c r="N33" s="65" t="s">
        <v>390</v>
      </c>
      <c r="O33" s="65" t="s">
        <v>390</v>
      </c>
      <c r="P33" s="112" t="s">
        <v>387</v>
      </c>
      <c r="Q33" s="579">
        <f t="shared" si="9"/>
        <v>0</v>
      </c>
      <c r="R33" s="27">
        <f t="shared" si="1"/>
        <v>0</v>
      </c>
      <c r="U33" t="s">
        <v>145</v>
      </c>
      <c r="V33" t="s">
        <v>146</v>
      </c>
      <c r="W33" t="s">
        <v>148</v>
      </c>
      <c r="Y33" s="13" t="s">
        <v>82</v>
      </c>
      <c r="AA33" t="s">
        <v>737</v>
      </c>
      <c r="AB33" s="71">
        <f>$U$56</f>
        <v>2000000</v>
      </c>
      <c r="AJ33" s="79" t="s">
        <v>485</v>
      </c>
      <c r="AK33" t="s">
        <v>1342</v>
      </c>
      <c r="AL33" t="s">
        <v>543</v>
      </c>
      <c r="AN33" s="53" t="s">
        <v>568</v>
      </c>
      <c r="AO33" s="53" t="s">
        <v>568</v>
      </c>
      <c r="AP33" s="53" t="s">
        <v>568</v>
      </c>
      <c r="AQ33" s="53" t="s">
        <v>568</v>
      </c>
      <c r="AR33" s="97" t="str">
        <f t="shared" ca="1" si="0"/>
        <v>-</v>
      </c>
      <c r="AS33" s="116">
        <v>32</v>
      </c>
      <c r="AT33" s="569">
        <v>27</v>
      </c>
      <c r="AU33" s="509" t="s">
        <v>1102</v>
      </c>
      <c r="AV33" s="510" t="str">
        <f t="shared" si="3"/>
        <v/>
      </c>
      <c r="AW33" s="567"/>
      <c r="AX33" s="509" t="str">
        <f t="shared" si="4"/>
        <v>Contract penalty coverage</v>
      </c>
    </row>
    <row r="34" spans="1:50" x14ac:dyDescent="0.25">
      <c r="A34" s="536">
        <v>30028</v>
      </c>
      <c r="B34" s="533" t="s">
        <v>300</v>
      </c>
      <c r="C34" s="581"/>
      <c r="D34" s="558" t="s">
        <v>1350</v>
      </c>
      <c r="E34" s="523">
        <f>C93</f>
        <v>0</v>
      </c>
      <c r="F34" s="523">
        <f>IF(OR(E34=0,E34=""),0,1)</f>
        <v>0</v>
      </c>
      <c r="G34" s="523">
        <f t="shared" si="24"/>
        <v>0</v>
      </c>
      <c r="H34" s="523">
        <f t="shared" si="25"/>
        <v>0</v>
      </c>
      <c r="I34" s="523">
        <f t="shared" si="26"/>
        <v>0</v>
      </c>
      <c r="J34" s="522" t="s">
        <v>1375</v>
      </c>
      <c r="K34" s="522" t="str">
        <f t="shared" si="27"/>
        <v/>
      </c>
      <c r="L34" s="524"/>
      <c r="M34" s="79">
        <v>729732</v>
      </c>
      <c r="N34" s="65" t="s">
        <v>392</v>
      </c>
      <c r="O34" s="65" t="s">
        <v>392</v>
      </c>
      <c r="P34" s="112" t="s">
        <v>387</v>
      </c>
      <c r="Q34" s="579">
        <f t="shared" si="9"/>
        <v>0</v>
      </c>
      <c r="R34" s="27">
        <f t="shared" si="1"/>
        <v>0</v>
      </c>
      <c r="T34" t="s">
        <v>142</v>
      </c>
      <c r="U34" s="57">
        <f>$P$64</f>
        <v>0</v>
      </c>
      <c r="V34">
        <v>300000</v>
      </c>
      <c r="W34">
        <f>IF(U34&lt;=V34,0,1)</f>
        <v>0</v>
      </c>
      <c r="Y34" s="13" t="s">
        <v>149</v>
      </c>
      <c r="AA34" t="s">
        <v>738</v>
      </c>
      <c r="AB34" s="120">
        <f>IF(AB33=2000000,0,IF(AB33=3000000,100,IF(AB33=4000000,200,IF(AB33=5000000,300,0))))</f>
        <v>0</v>
      </c>
      <c r="AJ34" s="79" t="s">
        <v>664</v>
      </c>
      <c r="AK34" t="s">
        <v>1341</v>
      </c>
      <c r="AL34" t="s">
        <v>545</v>
      </c>
      <c r="AN34" s="53" t="s">
        <v>569</v>
      </c>
      <c r="AO34" s="53">
        <v>0</v>
      </c>
      <c r="AP34" s="53">
        <v>0</v>
      </c>
      <c r="AQ34" s="53" t="s">
        <v>569</v>
      </c>
      <c r="AR34" s="97" t="str">
        <f t="shared" ca="1" si="0"/>
        <v>-</v>
      </c>
      <c r="AS34" s="117">
        <v>33</v>
      </c>
      <c r="AT34" s="569">
        <v>28</v>
      </c>
      <c r="AU34" s="509" t="s">
        <v>1103</v>
      </c>
      <c r="AV34" s="510" t="str">
        <f t="shared" si="3"/>
        <v/>
      </c>
      <c r="AW34" s="567"/>
      <c r="AX34" s="509" t="str">
        <f t="shared" si="4"/>
        <v>Contractor's equipment</v>
      </c>
    </row>
    <row r="35" spans="1:50" x14ac:dyDescent="0.25">
      <c r="A35" s="536">
        <v>30029</v>
      </c>
      <c r="B35" s="533" t="s">
        <v>15</v>
      </c>
      <c r="C35" s="582"/>
      <c r="D35" s="556" t="s">
        <v>316</v>
      </c>
      <c r="E35" s="523" t="str">
        <f ca="1">IF(R120="Own",YEAR(NOW())-C98,"n/a")</f>
        <v>n/a</v>
      </c>
      <c r="F35" s="523">
        <f ca="1">IF(E35="n/a",0,IF(E35&gt;100,1,0))</f>
        <v>0</v>
      </c>
      <c r="G35" s="523">
        <f t="shared" ref="G35:G46" ca="1" si="28">IF(F35=1,IF(J35="Refer",1,0),0)</f>
        <v>0</v>
      </c>
      <c r="H35" s="523">
        <f t="shared" ref="H35:H46" ca="1" si="29">IF(F35=1,IF(J35="Decline",1,0),0)</f>
        <v>0</v>
      </c>
      <c r="I35" s="523">
        <f t="shared" ref="I35:I47" ca="1" si="30">IF(F35=1,IF(J35="Bld Decline",1,0),0)</f>
        <v>0</v>
      </c>
      <c r="J35" s="522" t="s">
        <v>1375</v>
      </c>
      <c r="K35" s="522" t="str">
        <f t="shared" ref="K35:K48" ca="1" si="31">IF(F35=1,D35,"")</f>
        <v/>
      </c>
      <c r="L35" s="524"/>
      <c r="M35" s="79">
        <v>729733</v>
      </c>
      <c r="N35" s="65" t="s">
        <v>393</v>
      </c>
      <c r="O35" s="65" t="s">
        <v>393</v>
      </c>
      <c r="P35" s="112" t="s">
        <v>387</v>
      </c>
      <c r="Q35" s="579">
        <f t="shared" si="9"/>
        <v>0</v>
      </c>
      <c r="R35" s="27">
        <f t="shared" si="1"/>
        <v>0</v>
      </c>
      <c r="T35" t="s">
        <v>143</v>
      </c>
      <c r="U35" s="38">
        <f>$C$89</f>
        <v>0</v>
      </c>
      <c r="V35">
        <v>1</v>
      </c>
      <c r="W35">
        <f>IF(U35&lt;=V35,0,1)</f>
        <v>0</v>
      </c>
      <c r="Y35" s="13" t="s">
        <v>84</v>
      </c>
      <c r="AA35" t="s">
        <v>741</v>
      </c>
      <c r="AB35" s="123">
        <f>SUM(AB34,AB32)</f>
        <v>253</v>
      </c>
      <c r="AJ35" s="79" t="s">
        <v>486</v>
      </c>
      <c r="AK35" s="509" t="s">
        <v>1179</v>
      </c>
      <c r="AL35" t="s">
        <v>546</v>
      </c>
      <c r="AN35" s="53">
        <v>2000000</v>
      </c>
      <c r="AO35" s="53">
        <v>0</v>
      </c>
      <c r="AP35" s="53">
        <v>0</v>
      </c>
      <c r="AQ35" s="53">
        <f>$U$56</f>
        <v>2000000</v>
      </c>
      <c r="AR35" s="97" t="str">
        <f t="shared" ca="1" si="0"/>
        <v>-</v>
      </c>
      <c r="AS35" s="116">
        <v>34</v>
      </c>
      <c r="AT35" s="569">
        <v>29</v>
      </c>
      <c r="AU35" s="509" t="s">
        <v>1104</v>
      </c>
      <c r="AV35" s="510" t="str">
        <f t="shared" si="3"/>
        <v/>
      </c>
      <c r="AW35" s="567"/>
      <c r="AX35" s="509" t="str">
        <f t="shared" si="4"/>
        <v>Contractor's equipment - co-insurance</v>
      </c>
    </row>
    <row r="36" spans="1:50" x14ac:dyDescent="0.25">
      <c r="A36" s="536">
        <v>30025</v>
      </c>
      <c r="B36" s="533" t="s">
        <v>152</v>
      </c>
      <c r="C36" s="583"/>
      <c r="D36" s="556" t="s">
        <v>198</v>
      </c>
      <c r="E36" s="555" t="str">
        <f>IF(R120="Own",IF(C94="Your business and other tenants",C95,"n/a"),"n/a")</f>
        <v>n/a</v>
      </c>
      <c r="F36" s="523">
        <f>IF(E36="n/a",0,IF(E36&lt;50,1,0))</f>
        <v>0</v>
      </c>
      <c r="G36" s="523">
        <f t="shared" si="28"/>
        <v>0</v>
      </c>
      <c r="H36" s="523">
        <f t="shared" si="29"/>
        <v>0</v>
      </c>
      <c r="I36" s="523">
        <f t="shared" si="30"/>
        <v>0</v>
      </c>
      <c r="J36" s="522" t="s">
        <v>1375</v>
      </c>
      <c r="K36" s="522" t="str">
        <f t="shared" si="31"/>
        <v/>
      </c>
      <c r="L36" s="524"/>
      <c r="M36" s="79">
        <v>729724</v>
      </c>
      <c r="N36" s="61" t="s">
        <v>397</v>
      </c>
      <c r="O36" s="63" t="s">
        <v>397</v>
      </c>
      <c r="P36" s="112" t="s">
        <v>391</v>
      </c>
      <c r="Q36" s="579">
        <f t="shared" si="9"/>
        <v>0</v>
      </c>
      <c r="R36" s="27">
        <f t="shared" si="1"/>
        <v>0</v>
      </c>
      <c r="T36" t="s">
        <v>144</v>
      </c>
      <c r="U36" s="59">
        <f>$R$165</f>
        <v>0</v>
      </c>
      <c r="V36">
        <v>0</v>
      </c>
      <c r="W36">
        <f>IF(U36&lt;=V36,0,1)</f>
        <v>0</v>
      </c>
      <c r="Y36" s="13" t="s">
        <v>150</v>
      </c>
      <c r="AB36" s="120"/>
      <c r="AJ36" s="79" t="s">
        <v>487</v>
      </c>
      <c r="AK36" s="509" t="s">
        <v>1178</v>
      </c>
      <c r="AL36" t="s">
        <v>546</v>
      </c>
      <c r="AN36" s="53">
        <v>100000</v>
      </c>
      <c r="AO36" s="53">
        <v>0</v>
      </c>
      <c r="AP36" s="53">
        <v>0</v>
      </c>
      <c r="AQ36" s="53">
        <v>100000</v>
      </c>
      <c r="AR36" s="97" t="str">
        <f t="shared" ca="1" si="0"/>
        <v>-</v>
      </c>
      <c r="AS36" s="116">
        <v>35</v>
      </c>
      <c r="AT36" s="569">
        <v>30</v>
      </c>
      <c r="AU36" s="509" t="s">
        <v>1105</v>
      </c>
      <c r="AV36" s="510" t="str">
        <f t="shared" si="3"/>
        <v/>
      </c>
      <c r="AW36" s="567"/>
      <c r="AX36" s="509" t="str">
        <f t="shared" si="4"/>
        <v>Contractors equipment - fire department charges</v>
      </c>
    </row>
    <row r="37" spans="1:50" x14ac:dyDescent="0.25">
      <c r="A37" s="536">
        <v>30031</v>
      </c>
      <c r="B37" s="534" t="s">
        <v>1023</v>
      </c>
      <c r="C37" s="583"/>
      <c r="D37" s="556" t="s">
        <v>199</v>
      </c>
      <c r="E37" s="523" t="str">
        <f>IF(R120="Rent / Lease",C103,IF(R120="Own",C103,"n/a"))</f>
        <v>n/a</v>
      </c>
      <c r="F37" s="523">
        <f>IF(E37="n/a",0,IF(E37="Yes",0,1))</f>
        <v>0</v>
      </c>
      <c r="G37" s="523">
        <f t="shared" si="28"/>
        <v>0</v>
      </c>
      <c r="H37" s="523">
        <f t="shared" si="29"/>
        <v>0</v>
      </c>
      <c r="I37" s="523">
        <f t="shared" si="30"/>
        <v>0</v>
      </c>
      <c r="J37" s="522" t="s">
        <v>1375</v>
      </c>
      <c r="K37" s="522" t="str">
        <f t="shared" si="31"/>
        <v/>
      </c>
      <c r="L37" s="524"/>
      <c r="M37" s="79">
        <v>729725</v>
      </c>
      <c r="N37" s="61" t="s">
        <v>306</v>
      </c>
      <c r="O37" s="63" t="s">
        <v>306</v>
      </c>
      <c r="P37" s="112" t="s">
        <v>213</v>
      </c>
      <c r="Q37" s="579">
        <f t="shared" si="9"/>
        <v>0</v>
      </c>
      <c r="R37" s="27">
        <f t="shared" si="1"/>
        <v>0</v>
      </c>
      <c r="T37" t="s">
        <v>455</v>
      </c>
      <c r="U37" s="57">
        <f>SUM($R$5,R6,$R$7,$R$8,$R$9,$R$11,$R$12,$R$14,$R$15,$R$17,$R$23,$R$16,$P$59)</f>
        <v>0</v>
      </c>
      <c r="V37" s="18"/>
      <c r="Y37" s="13" t="s">
        <v>86</v>
      </c>
      <c r="AJ37" s="79" t="s">
        <v>488</v>
      </c>
      <c r="AK37" s="509" t="s">
        <v>1181</v>
      </c>
      <c r="AL37" t="s">
        <v>546</v>
      </c>
      <c r="AN37" s="53" t="s">
        <v>568</v>
      </c>
      <c r="AO37" s="53">
        <v>0</v>
      </c>
      <c r="AP37" s="53">
        <v>0</v>
      </c>
      <c r="AQ37" s="53" t="s">
        <v>568</v>
      </c>
      <c r="AR37" s="97" t="str">
        <f t="shared" ca="1" si="0"/>
        <v>-</v>
      </c>
      <c r="AS37" s="117">
        <v>36</v>
      </c>
      <c r="AT37" s="569">
        <v>31</v>
      </c>
      <c r="AU37" s="509" t="s">
        <v>1106</v>
      </c>
      <c r="AV37" s="510" t="str">
        <f t="shared" si="3"/>
        <v/>
      </c>
      <c r="AW37" s="567"/>
      <c r="AX37" s="509" t="str">
        <f t="shared" si="4"/>
        <v>Contractors equipment - loss of use</v>
      </c>
    </row>
    <row r="38" spans="1:50" x14ac:dyDescent="0.25">
      <c r="A38" s="536">
        <v>30030</v>
      </c>
      <c r="B38" s="534" t="s">
        <v>1022</v>
      </c>
      <c r="C38" s="583"/>
      <c r="D38" s="556" t="s">
        <v>624</v>
      </c>
      <c r="E38" s="548">
        <f>C105</f>
        <v>0</v>
      </c>
      <c r="F38" s="523">
        <f>IF(E38&lt;1000000,0,1)</f>
        <v>0</v>
      </c>
      <c r="G38" s="523">
        <f t="shared" si="28"/>
        <v>0</v>
      </c>
      <c r="H38" s="523">
        <f t="shared" si="29"/>
        <v>0</v>
      </c>
      <c r="I38" s="523">
        <f t="shared" si="30"/>
        <v>0</v>
      </c>
      <c r="J38" s="522" t="s">
        <v>1375</v>
      </c>
      <c r="K38" s="522" t="str">
        <f t="shared" si="31"/>
        <v/>
      </c>
      <c r="L38" s="524"/>
      <c r="M38" s="79">
        <v>729726</v>
      </c>
      <c r="N38" s="61" t="s">
        <v>307</v>
      </c>
      <c r="O38" s="63" t="s">
        <v>307</v>
      </c>
      <c r="P38" s="112" t="s">
        <v>213</v>
      </c>
      <c r="Q38" s="579">
        <f t="shared" si="9"/>
        <v>0</v>
      </c>
      <c r="R38" s="27">
        <f t="shared" si="1"/>
        <v>0</v>
      </c>
      <c r="T38" t="s">
        <v>289</v>
      </c>
      <c r="U38" s="83" t="e">
        <f>U37/U34</f>
        <v>#DIV/0!</v>
      </c>
      <c r="V38" s="18">
        <v>1</v>
      </c>
      <c r="W38">
        <f>IFERROR(IF(U38=V38,0,1),1)</f>
        <v>1</v>
      </c>
      <c r="Y38" s="13" t="s">
        <v>87</v>
      </c>
      <c r="AJ38" s="79" t="s">
        <v>489</v>
      </c>
      <c r="AK38" s="509" t="s">
        <v>1182</v>
      </c>
      <c r="AL38" t="s">
        <v>546</v>
      </c>
      <c r="AN38" s="53" t="s">
        <v>568</v>
      </c>
      <c r="AO38" s="53">
        <v>0</v>
      </c>
      <c r="AP38" s="53">
        <v>0</v>
      </c>
      <c r="AQ38" s="53" t="s">
        <v>568</v>
      </c>
      <c r="AR38" s="97" t="str">
        <f t="shared" ca="1" si="0"/>
        <v>-</v>
      </c>
      <c r="AS38" s="116">
        <v>37</v>
      </c>
      <c r="AT38" s="569">
        <v>32</v>
      </c>
      <c r="AU38" s="509" t="s">
        <v>1107</v>
      </c>
      <c r="AV38" s="510" t="str">
        <f t="shared" si="3"/>
        <v/>
      </c>
      <c r="AW38" s="567"/>
      <c r="AX38" s="509" t="str">
        <f t="shared" si="4"/>
        <v>Contractor's equipment - single item maximum</v>
      </c>
    </row>
    <row r="39" spans="1:50" x14ac:dyDescent="0.25">
      <c r="A39" s="536">
        <v>30032</v>
      </c>
      <c r="B39" s="534" t="s">
        <v>1315</v>
      </c>
      <c r="C39" s="583"/>
      <c r="D39" s="556" t="s">
        <v>226</v>
      </c>
      <c r="E39" s="523">
        <f>R111</f>
        <v>0</v>
      </c>
      <c r="F39" s="523">
        <f>IF(E39="9+",1,0)</f>
        <v>0</v>
      </c>
      <c r="G39" s="523">
        <f t="shared" si="28"/>
        <v>0</v>
      </c>
      <c r="H39" s="523">
        <f t="shared" si="29"/>
        <v>0</v>
      </c>
      <c r="I39" s="523">
        <f t="shared" si="30"/>
        <v>0</v>
      </c>
      <c r="J39" s="522" t="s">
        <v>1375</v>
      </c>
      <c r="K39" s="522" t="str">
        <f t="shared" si="31"/>
        <v/>
      </c>
      <c r="L39" s="524"/>
      <c r="M39" s="79">
        <v>729727</v>
      </c>
      <c r="N39" s="61" t="s">
        <v>308</v>
      </c>
      <c r="O39" s="63" t="s">
        <v>308</v>
      </c>
      <c r="P39" s="112" t="s">
        <v>213</v>
      </c>
      <c r="Q39" s="579">
        <f t="shared" si="9"/>
        <v>0</v>
      </c>
      <c r="R39" s="27">
        <f t="shared" si="1"/>
        <v>0</v>
      </c>
      <c r="T39" t="s">
        <v>622</v>
      </c>
      <c r="U39" s="38">
        <f>$C$85+$C$86+$C$87+$C$84</f>
        <v>0</v>
      </c>
      <c r="V39">
        <v>0</v>
      </c>
      <c r="W39">
        <f>IF(U39&lt;=V39,0,1)</f>
        <v>0</v>
      </c>
      <c r="Y39" s="13" t="s">
        <v>88</v>
      </c>
      <c r="AJ39" s="79" t="s">
        <v>490</v>
      </c>
      <c r="AK39" t="s">
        <v>490</v>
      </c>
      <c r="AL39" t="s">
        <v>543</v>
      </c>
      <c r="AN39" s="53" t="s">
        <v>568</v>
      </c>
      <c r="AO39" s="53" t="s">
        <v>568</v>
      </c>
      <c r="AP39" s="53" t="s">
        <v>568</v>
      </c>
      <c r="AQ39" s="53" t="s">
        <v>568</v>
      </c>
      <c r="AR39" s="97" t="str">
        <f t="shared" ca="1" si="0"/>
        <v>-</v>
      </c>
      <c r="AS39" s="116">
        <v>38</v>
      </c>
      <c r="AT39" s="569">
        <v>33</v>
      </c>
      <c r="AU39" s="509" t="s">
        <v>1108</v>
      </c>
      <c r="AV39" s="510" t="str">
        <f t="shared" si="3"/>
        <v/>
      </c>
      <c r="AW39" s="567"/>
      <c r="AX39" s="509" t="str">
        <f t="shared" si="4"/>
        <v>Contractors equipment - sinking into muskeg or ice</v>
      </c>
    </row>
    <row r="40" spans="1:50" x14ac:dyDescent="0.25">
      <c r="A40" s="536">
        <v>30039</v>
      </c>
      <c r="B40" s="533" t="s">
        <v>301</v>
      </c>
      <c r="C40" s="583"/>
      <c r="D40" s="556" t="s">
        <v>227</v>
      </c>
      <c r="E40" s="523" t="str">
        <f>$R$168</f>
        <v>Decline</v>
      </c>
      <c r="F40" s="523">
        <f>IF(E40="Decline",1,0)</f>
        <v>1</v>
      </c>
      <c r="G40" s="523">
        <f t="shared" si="28"/>
        <v>0</v>
      </c>
      <c r="H40" s="523">
        <f t="shared" si="29"/>
        <v>0</v>
      </c>
      <c r="I40" s="523">
        <f t="shared" si="30"/>
        <v>1</v>
      </c>
      <c r="J40" s="522" t="s">
        <v>1375</v>
      </c>
      <c r="K40" s="522" t="str">
        <f t="shared" si="31"/>
        <v>Maximum capacity rules for property</v>
      </c>
      <c r="L40" s="524"/>
      <c r="M40" s="79">
        <v>729734</v>
      </c>
      <c r="N40" s="61" t="s">
        <v>184</v>
      </c>
      <c r="O40" s="61" t="s">
        <v>184</v>
      </c>
      <c r="P40" s="112" t="s">
        <v>391</v>
      </c>
      <c r="Q40" s="579">
        <f t="shared" si="9"/>
        <v>0</v>
      </c>
      <c r="R40" s="27">
        <f t="shared" si="1"/>
        <v>0</v>
      </c>
      <c r="T40" t="s">
        <v>642</v>
      </c>
      <c r="U40" s="57">
        <f>SUM($R$215,$R$217,$R$218)</f>
        <v>0</v>
      </c>
      <c r="V40">
        <v>3</v>
      </c>
      <c r="W40">
        <f>IF(U40&gt;V40,1,0)</f>
        <v>0</v>
      </c>
      <c r="Y40" s="13" t="s">
        <v>151</v>
      </c>
      <c r="AJ40" s="79" t="s">
        <v>491</v>
      </c>
      <c r="AK40" t="s">
        <v>1348</v>
      </c>
      <c r="AL40" t="s">
        <v>543</v>
      </c>
      <c r="AN40" s="53" t="s">
        <v>568</v>
      </c>
      <c r="AO40" s="53" t="s">
        <v>568</v>
      </c>
      <c r="AP40" s="53" t="s">
        <v>568</v>
      </c>
      <c r="AQ40" s="53" t="s">
        <v>568</v>
      </c>
      <c r="AR40" s="97" t="str">
        <f t="shared" ca="1" si="0"/>
        <v>-</v>
      </c>
      <c r="AS40" s="117">
        <v>39</v>
      </c>
      <c r="AT40" s="569">
        <v>34</v>
      </c>
      <c r="AU40" s="509" t="s">
        <v>1109</v>
      </c>
      <c r="AV40" s="510" t="str">
        <f t="shared" si="3"/>
        <v/>
      </c>
      <c r="AW40" s="567"/>
      <c r="AX40" s="509" t="str">
        <f t="shared" si="4"/>
        <v>Contractor's equipment replacement cost</v>
      </c>
    </row>
    <row r="41" spans="1:50" x14ac:dyDescent="0.25">
      <c r="A41" s="536">
        <v>30037</v>
      </c>
      <c r="B41" s="533" t="s">
        <v>302</v>
      </c>
      <c r="C41" s="583"/>
      <c r="D41" s="556" t="s">
        <v>341</v>
      </c>
      <c r="E41" s="523">
        <f>C97</f>
        <v>0</v>
      </c>
      <c r="F41" s="523">
        <f>IF(R120="Home",0,IF(OR(E41="Other",E41="Unknown",E41=0),1,0))</f>
        <v>1</v>
      </c>
      <c r="G41" s="523">
        <f t="shared" si="28"/>
        <v>0</v>
      </c>
      <c r="H41" s="523">
        <f t="shared" si="29"/>
        <v>0</v>
      </c>
      <c r="I41" s="523">
        <f t="shared" si="30"/>
        <v>1</v>
      </c>
      <c r="J41" s="522" t="s">
        <v>1375</v>
      </c>
      <c r="K41" s="522" t="str">
        <f t="shared" si="31"/>
        <v>Building - known construction</v>
      </c>
      <c r="L41" s="524"/>
      <c r="M41" s="79">
        <v>729735</v>
      </c>
      <c r="N41" s="61" t="s">
        <v>394</v>
      </c>
      <c r="O41" s="61" t="s">
        <v>394</v>
      </c>
      <c r="P41" s="112" t="s">
        <v>213</v>
      </c>
      <c r="Q41" s="579">
        <f t="shared" si="9"/>
        <v>0</v>
      </c>
      <c r="R41" s="27">
        <f t="shared" si="1"/>
        <v>0</v>
      </c>
      <c r="T41" t="s">
        <v>1369</v>
      </c>
      <c r="U41" s="38" t="str">
        <f ca="1">$E$7</f>
        <v>Decline</v>
      </c>
      <c r="V41" t="s">
        <v>1370</v>
      </c>
      <c r="W41">
        <f ca="1">IF(OR(U41="Decline",U41="Refer"),1,0)</f>
        <v>1</v>
      </c>
      <c r="Y41" s="84" t="s">
        <v>153</v>
      </c>
      <c r="AJ41" s="79" t="s">
        <v>492</v>
      </c>
      <c r="AK41" t="s">
        <v>492</v>
      </c>
      <c r="AL41" t="s">
        <v>543</v>
      </c>
      <c r="AN41" s="53" t="s">
        <v>568</v>
      </c>
      <c r="AO41" s="53" t="s">
        <v>568</v>
      </c>
      <c r="AP41" s="53" t="s">
        <v>568</v>
      </c>
      <c r="AQ41" s="53" t="s">
        <v>568</v>
      </c>
      <c r="AR41" s="97" t="str">
        <f t="shared" ca="1" si="0"/>
        <v>-</v>
      </c>
      <c r="AS41" s="116">
        <v>40</v>
      </c>
      <c r="AT41" s="569">
        <v>35</v>
      </c>
      <c r="AU41" s="509" t="s">
        <v>1110</v>
      </c>
      <c r="AV41" s="510" t="str">
        <f t="shared" si="3"/>
        <v/>
      </c>
      <c r="AW41" s="567"/>
      <c r="AX41" s="509" t="str">
        <f t="shared" si="4"/>
        <v>Conviction reward</v>
      </c>
    </row>
    <row r="42" spans="1:50" x14ac:dyDescent="0.25">
      <c r="A42" s="536" t="s">
        <v>1322</v>
      </c>
      <c r="B42" s="533" t="s">
        <v>303</v>
      </c>
      <c r="C42" s="583"/>
      <c r="D42" s="556" t="s">
        <v>342</v>
      </c>
      <c r="E42" s="549" t="str">
        <f>IF(R120="Own",C123,"")</f>
        <v/>
      </c>
      <c r="F42" s="523">
        <f>IF(E42="",0,IF(E42="Yes",1,0))</f>
        <v>0</v>
      </c>
      <c r="G42" s="523">
        <f t="shared" si="28"/>
        <v>0</v>
      </c>
      <c r="H42" s="523">
        <f t="shared" si="29"/>
        <v>0</v>
      </c>
      <c r="I42" s="523">
        <f t="shared" si="30"/>
        <v>0</v>
      </c>
      <c r="J42" s="522" t="s">
        <v>1375</v>
      </c>
      <c r="K42" s="522" t="str">
        <f t="shared" si="31"/>
        <v/>
      </c>
      <c r="L42" s="524"/>
      <c r="M42" s="79">
        <v>729736</v>
      </c>
      <c r="N42" s="61" t="s">
        <v>395</v>
      </c>
      <c r="O42" s="61" t="s">
        <v>395</v>
      </c>
      <c r="P42" s="112" t="s">
        <v>213</v>
      </c>
      <c r="Q42" s="579">
        <f t="shared" si="9"/>
        <v>0</v>
      </c>
      <c r="R42" s="27">
        <f t="shared" si="1"/>
        <v>0</v>
      </c>
      <c r="U42" s="21"/>
      <c r="Y42" s="85" t="s">
        <v>154</v>
      </c>
      <c r="AJ42" s="79" t="s">
        <v>493</v>
      </c>
      <c r="AK42" s="131" t="s">
        <v>1183</v>
      </c>
      <c r="AL42" t="s">
        <v>543</v>
      </c>
      <c r="AN42" s="53" t="s">
        <v>568</v>
      </c>
      <c r="AO42" s="53" t="s">
        <v>568</v>
      </c>
      <c r="AP42" s="53" t="s">
        <v>568</v>
      </c>
      <c r="AQ42" s="53" t="s">
        <v>568</v>
      </c>
      <c r="AR42" s="97" t="str">
        <f t="shared" ca="1" si="0"/>
        <v>-</v>
      </c>
      <c r="AS42" s="116">
        <v>41</v>
      </c>
      <c r="AT42" s="569">
        <v>36</v>
      </c>
      <c r="AU42" s="509" t="s">
        <v>1111</v>
      </c>
      <c r="AV42" s="510" t="str">
        <f t="shared" si="3"/>
        <v/>
      </c>
      <c r="AW42" s="567"/>
      <c r="AX42" s="509" t="str">
        <f t="shared" si="4"/>
        <v>Data coverage</v>
      </c>
    </row>
    <row r="43" spans="1:50" x14ac:dyDescent="0.25">
      <c r="A43" s="536">
        <v>30031</v>
      </c>
      <c r="B43" s="533" t="s">
        <v>304</v>
      </c>
      <c r="C43" s="583"/>
      <c r="D43" s="556" t="s">
        <v>362</v>
      </c>
      <c r="E43" s="523" t="str">
        <f ca="1">IF(OR(R120="Own",R120="Rent / Lease"),IF(YEAR(NOW())-$C$98&gt;=20,C99,"n/a"),"n/a")</f>
        <v>n/a</v>
      </c>
      <c r="F43" s="523">
        <f ca="1">IF(E43="n/a",0,IF(E43=0,1,IF(YEAR(NOW())-E43&gt;20,1,0)))</f>
        <v>0</v>
      </c>
      <c r="G43" s="523">
        <f t="shared" ca="1" si="28"/>
        <v>0</v>
      </c>
      <c r="H43" s="523">
        <f t="shared" ca="1" si="29"/>
        <v>0</v>
      </c>
      <c r="I43" s="523">
        <f t="shared" ca="1" si="30"/>
        <v>0</v>
      </c>
      <c r="J43" s="522" t="s">
        <v>1375</v>
      </c>
      <c r="K43" s="522" t="str">
        <f t="shared" ca="1" si="31"/>
        <v/>
      </c>
      <c r="L43" s="524"/>
      <c r="M43" s="79">
        <v>729737</v>
      </c>
      <c r="N43" s="61" t="s">
        <v>396</v>
      </c>
      <c r="O43" s="61" t="s">
        <v>396</v>
      </c>
      <c r="P43" s="112" t="s">
        <v>213</v>
      </c>
      <c r="Q43" s="579">
        <f t="shared" si="9"/>
        <v>0</v>
      </c>
      <c r="R43" s="27">
        <f t="shared" si="1"/>
        <v>0</v>
      </c>
      <c r="U43" s="21"/>
      <c r="AJ43" s="79" t="s">
        <v>494</v>
      </c>
      <c r="AK43" t="s">
        <v>494</v>
      </c>
      <c r="AL43" t="s">
        <v>543</v>
      </c>
      <c r="AN43" s="53" t="s">
        <v>568</v>
      </c>
      <c r="AO43" s="53" t="s">
        <v>568</v>
      </c>
      <c r="AP43" s="53" t="s">
        <v>568</v>
      </c>
      <c r="AQ43" s="53" t="s">
        <v>568</v>
      </c>
      <c r="AR43" s="97" t="str">
        <f t="shared" ca="1" si="0"/>
        <v>-</v>
      </c>
      <c r="AS43" s="117">
        <v>42</v>
      </c>
      <c r="AT43" s="569">
        <v>37</v>
      </c>
      <c r="AU43" s="509" t="s">
        <v>1112</v>
      </c>
      <c r="AV43" s="510" t="str">
        <f t="shared" si="3"/>
        <v/>
      </c>
      <c r="AW43" s="567"/>
      <c r="AX43" s="509" t="str">
        <f t="shared" si="4"/>
        <v>Debris Removal</v>
      </c>
    </row>
    <row r="44" spans="1:50" x14ac:dyDescent="0.25">
      <c r="A44" s="536" t="s">
        <v>1323</v>
      </c>
      <c r="B44" s="533" t="s">
        <v>305</v>
      </c>
      <c r="C44" s="583"/>
      <c r="D44" s="556" t="s">
        <v>363</v>
      </c>
      <c r="E44" s="523" t="str">
        <f ca="1">IF(OR(R120="Own",R120="Rent / Lease"),IF(YEAR(NOW())-$C$98&gt;=35,C100,"n/a"),"n/a")</f>
        <v>n/a</v>
      </c>
      <c r="F44" s="523">
        <f ca="1">IF(E44="n/a",0,IF(E44=0,1,IF(YEAR(NOW())-E44&gt;35,1,0)))</f>
        <v>0</v>
      </c>
      <c r="G44" s="523">
        <f t="shared" ca="1" si="28"/>
        <v>0</v>
      </c>
      <c r="H44" s="523">
        <f t="shared" ca="1" si="29"/>
        <v>0</v>
      </c>
      <c r="I44" s="523">
        <f t="shared" ca="1" si="30"/>
        <v>0</v>
      </c>
      <c r="J44" s="522" t="s">
        <v>1375</v>
      </c>
      <c r="K44" s="522" t="str">
        <f t="shared" ca="1" si="31"/>
        <v/>
      </c>
      <c r="L44" s="524"/>
      <c r="M44" s="79">
        <v>729738</v>
      </c>
      <c r="N44" s="61" t="s">
        <v>398</v>
      </c>
      <c r="O44" s="61" t="s">
        <v>398</v>
      </c>
      <c r="P44" s="112" t="s">
        <v>213</v>
      </c>
      <c r="Q44" s="579">
        <f t="shared" si="9"/>
        <v>0</v>
      </c>
      <c r="R44" s="27">
        <f t="shared" si="1"/>
        <v>0</v>
      </c>
      <c r="T44" s="2" t="s">
        <v>160</v>
      </c>
      <c r="AJ44" s="79" t="s">
        <v>563</v>
      </c>
      <c r="AL44" t="s">
        <v>543</v>
      </c>
      <c r="AN44" s="53" t="s">
        <v>568</v>
      </c>
      <c r="AO44" s="53" t="s">
        <v>568</v>
      </c>
      <c r="AP44" s="53" t="s">
        <v>568</v>
      </c>
      <c r="AQ44" s="53">
        <v>0</v>
      </c>
      <c r="AR44" s="97" t="str">
        <f t="shared" ca="1" si="0"/>
        <v>-</v>
      </c>
      <c r="AS44" s="116">
        <v>43</v>
      </c>
      <c r="AT44" s="569">
        <v>38</v>
      </c>
      <c r="AU44" s="509" t="s">
        <v>1113</v>
      </c>
      <c r="AV44" s="510">
        <f t="shared" si="3"/>
        <v>1000</v>
      </c>
      <c r="AW44" s="567"/>
      <c r="AX44" s="509" t="str">
        <f t="shared" si="4"/>
        <v/>
      </c>
    </row>
    <row r="45" spans="1:50" x14ac:dyDescent="0.25">
      <c r="A45" s="536">
        <v>30033</v>
      </c>
      <c r="B45" s="533" t="s">
        <v>389</v>
      </c>
      <c r="C45" s="583"/>
      <c r="D45" s="556" t="s">
        <v>364</v>
      </c>
      <c r="E45" s="523" t="str">
        <f ca="1">IF(OR(R120="Own",R120="Rent / Lease"),IF(YEAR(NOW())-$C$98&gt;=35,C101,"n/a"),"n/a")</f>
        <v>n/a</v>
      </c>
      <c r="F45" s="523">
        <f ca="1">IF(E45="n/a",0,IF(E45=0,1,IF(YEAR(NOW())-E45&gt;35,1,0)))</f>
        <v>0</v>
      </c>
      <c r="G45" s="523">
        <f t="shared" ca="1" si="28"/>
        <v>0</v>
      </c>
      <c r="H45" s="523">
        <f t="shared" ca="1" si="29"/>
        <v>0</v>
      </c>
      <c r="I45" s="523">
        <f t="shared" ca="1" si="30"/>
        <v>0</v>
      </c>
      <c r="J45" s="522" t="s">
        <v>1375</v>
      </c>
      <c r="K45" s="522" t="str">
        <f t="shared" ca="1" si="31"/>
        <v/>
      </c>
      <c r="L45" s="524"/>
      <c r="M45" s="79">
        <v>729739</v>
      </c>
      <c r="N45" s="61" t="s">
        <v>399</v>
      </c>
      <c r="O45" s="61" t="s">
        <v>399</v>
      </c>
      <c r="P45" s="112" t="s">
        <v>214</v>
      </c>
      <c r="Q45" s="579">
        <f t="shared" si="9"/>
        <v>0</v>
      </c>
      <c r="R45" s="27">
        <f t="shared" si="1"/>
        <v>0</v>
      </c>
      <c r="AJ45" s="79" t="s">
        <v>495</v>
      </c>
      <c r="AK45" s="509" t="s">
        <v>220</v>
      </c>
      <c r="AL45" t="s">
        <v>547</v>
      </c>
      <c r="AM45" t="s">
        <v>14</v>
      </c>
      <c r="AN45" s="53">
        <v>0</v>
      </c>
      <c r="AO45" s="53">
        <v>0</v>
      </c>
      <c r="AP45" s="53">
        <v>0</v>
      </c>
      <c r="AQ45" s="53">
        <f>$U$157</f>
        <v>0</v>
      </c>
      <c r="AR45" s="97" t="str">
        <f t="shared" ca="1" si="0"/>
        <v>-</v>
      </c>
      <c r="AS45" s="116">
        <v>44</v>
      </c>
      <c r="AT45" s="569">
        <v>39</v>
      </c>
      <c r="AU45" s="509" t="s">
        <v>529</v>
      </c>
      <c r="AV45" s="510" t="str">
        <f t="shared" si="3"/>
        <v>Included</v>
      </c>
      <c r="AW45" s="567"/>
      <c r="AX45" s="509" t="str">
        <f t="shared" si="4"/>
        <v/>
      </c>
    </row>
    <row r="46" spans="1:50" x14ac:dyDescent="0.25">
      <c r="A46" s="536">
        <v>30035</v>
      </c>
      <c r="B46" s="533" t="s">
        <v>390</v>
      </c>
      <c r="C46" s="583"/>
      <c r="D46" s="556" t="s">
        <v>365</v>
      </c>
      <c r="E46" s="523" t="str">
        <f ca="1">IF(OR(R120="Own",R120="Rent / Lease"),IF(YEAR(NOW())-$C$98&gt;=35,C102,"n/a"),"n/a")</f>
        <v>n/a</v>
      </c>
      <c r="F46" s="523">
        <f ca="1">IF(E46="n/a",0,IF(E46=0,1,IF(YEAR(NOW())-E46&gt;35,1,0)))</f>
        <v>0</v>
      </c>
      <c r="G46" s="523">
        <f t="shared" ca="1" si="28"/>
        <v>0</v>
      </c>
      <c r="H46" s="523">
        <f t="shared" ca="1" si="29"/>
        <v>0</v>
      </c>
      <c r="I46" s="523">
        <f t="shared" ca="1" si="30"/>
        <v>0</v>
      </c>
      <c r="J46" s="522" t="s">
        <v>1375</v>
      </c>
      <c r="K46" s="522" t="str">
        <f t="shared" ca="1" si="31"/>
        <v/>
      </c>
      <c r="L46" s="524"/>
      <c r="M46" s="79">
        <v>729740</v>
      </c>
      <c r="N46" s="61" t="s">
        <v>400</v>
      </c>
      <c r="O46" s="61" t="s">
        <v>400</v>
      </c>
      <c r="P46" s="112" t="s">
        <v>214</v>
      </c>
      <c r="Q46" s="579">
        <f t="shared" si="9"/>
        <v>0</v>
      </c>
      <c r="R46" s="27">
        <f t="shared" si="1"/>
        <v>0</v>
      </c>
      <c r="T46" s="14" t="s">
        <v>161</v>
      </c>
      <c r="AJ46" s="79" t="s">
        <v>130</v>
      </c>
      <c r="AK46" s="509" t="s">
        <v>1090</v>
      </c>
      <c r="AL46" t="s">
        <v>547</v>
      </c>
      <c r="AM46" t="s">
        <v>14</v>
      </c>
      <c r="AN46" s="53">
        <f>$U$161</f>
        <v>0</v>
      </c>
      <c r="AO46" s="53">
        <v>0</v>
      </c>
      <c r="AP46" s="53">
        <v>0</v>
      </c>
      <c r="AQ46" s="53">
        <f>$U$161</f>
        <v>0</v>
      </c>
      <c r="AR46" s="97" t="str">
        <f t="shared" ca="1" si="0"/>
        <v>-</v>
      </c>
      <c r="AS46" s="117">
        <v>45</v>
      </c>
      <c r="AT46" s="569">
        <v>40</v>
      </c>
      <c r="AU46" s="509" t="s">
        <v>1114</v>
      </c>
      <c r="AV46" s="510" t="str">
        <f t="shared" si="3"/>
        <v/>
      </c>
      <c r="AW46" s="567"/>
      <c r="AX46" s="509" t="str">
        <f t="shared" si="4"/>
        <v>Eco-friendly coverage enhancement</v>
      </c>
    </row>
    <row r="47" spans="1:50" x14ac:dyDescent="0.25">
      <c r="A47" s="536">
        <v>30041</v>
      </c>
      <c r="B47" s="533" t="s">
        <v>392</v>
      </c>
      <c r="C47" s="583"/>
      <c r="D47" s="558" t="s">
        <v>644</v>
      </c>
      <c r="E47" s="523" t="str">
        <f>IF(R120="Rent / Lease",C96,"n/a")</f>
        <v>n/a</v>
      </c>
      <c r="F47" s="523">
        <f>IF(E47="n/a",0,IF(E47=0,1,0))</f>
        <v>0</v>
      </c>
      <c r="G47" s="523">
        <f t="shared" ref="G47" si="32">IF(F47=1,IF(J47="Refer",1,0),0)</f>
        <v>0</v>
      </c>
      <c r="H47" s="523">
        <f t="shared" ref="H47" si="33">IF(F47=1,IF(J47="Decline",1,0),0)</f>
        <v>0</v>
      </c>
      <c r="I47" s="523">
        <f t="shared" si="30"/>
        <v>0</v>
      </c>
      <c r="J47" s="522" t="s">
        <v>1375</v>
      </c>
      <c r="K47" s="522" t="str">
        <f t="shared" si="31"/>
        <v/>
      </c>
      <c r="L47" s="524"/>
      <c r="M47" s="79">
        <v>729741</v>
      </c>
      <c r="N47" s="61" t="s">
        <v>401</v>
      </c>
      <c r="O47" s="61" t="s">
        <v>401</v>
      </c>
      <c r="P47" s="112" t="s">
        <v>214</v>
      </c>
      <c r="Q47" s="579">
        <f t="shared" si="9"/>
        <v>0</v>
      </c>
      <c r="R47" s="27">
        <f t="shared" si="1"/>
        <v>0</v>
      </c>
      <c r="V47" t="s">
        <v>165</v>
      </c>
      <c r="W47" t="s">
        <v>167</v>
      </c>
      <c r="X47" t="s">
        <v>166</v>
      </c>
      <c r="Y47" t="s">
        <v>168</v>
      </c>
      <c r="AJ47" s="79" t="s">
        <v>131</v>
      </c>
      <c r="AK47" s="509" t="s">
        <v>1150</v>
      </c>
      <c r="AL47" t="s">
        <v>547</v>
      </c>
      <c r="AM47" t="s">
        <v>14</v>
      </c>
      <c r="AN47" s="53">
        <f>$U$162</f>
        <v>0</v>
      </c>
      <c r="AO47" s="53">
        <v>0</v>
      </c>
      <c r="AP47" s="53">
        <v>0</v>
      </c>
      <c r="AQ47" s="53">
        <f>$U$162</f>
        <v>0</v>
      </c>
      <c r="AR47" s="97" t="str">
        <f t="shared" ca="1" si="0"/>
        <v>-</v>
      </c>
      <c r="AS47" s="116">
        <v>46</v>
      </c>
      <c r="AT47" s="569">
        <v>41</v>
      </c>
      <c r="AU47" s="509" t="s">
        <v>1115</v>
      </c>
      <c r="AV47" s="510">
        <f t="shared" si="3"/>
        <v>0</v>
      </c>
      <c r="AW47" s="567"/>
      <c r="AX47" s="509" t="str">
        <f t="shared" si="4"/>
        <v/>
      </c>
    </row>
    <row r="48" spans="1:50" x14ac:dyDescent="0.25">
      <c r="A48" s="536">
        <v>30043</v>
      </c>
      <c r="B48" s="533" t="s">
        <v>393</v>
      </c>
      <c r="C48" s="583"/>
      <c r="D48" s="558" t="s">
        <v>699</v>
      </c>
      <c r="E48" s="549" t="str">
        <f>R120</f>
        <v>Error</v>
      </c>
      <c r="F48" s="523">
        <f>IF(E48="Error",1,0)</f>
        <v>1</v>
      </c>
      <c r="G48" s="523">
        <f t="shared" ref="G48" si="34">IF(F48=1,IF(J48="Refer",1,0),0)</f>
        <v>0</v>
      </c>
      <c r="H48" s="523">
        <f t="shared" ref="H48" si="35">IF(F48=1,IF(J48="Decline",1,0),0)</f>
        <v>0</v>
      </c>
      <c r="I48" s="523">
        <f t="shared" ref="I48" si="36">IF(F48=1,IF(J48="Bld Decline",1,0),0)</f>
        <v>1</v>
      </c>
      <c r="J48" s="522" t="s">
        <v>1375</v>
      </c>
      <c r="K48" s="522" t="str">
        <f t="shared" si="31"/>
        <v>Location type not clear / doesn't map</v>
      </c>
      <c r="L48" s="524"/>
      <c r="M48" s="79">
        <v>729742</v>
      </c>
      <c r="N48" s="61" t="s">
        <v>402</v>
      </c>
      <c r="O48" s="61" t="s">
        <v>402</v>
      </c>
      <c r="P48" s="112" t="s">
        <v>214</v>
      </c>
      <c r="Q48" s="579">
        <f t="shared" si="9"/>
        <v>0</v>
      </c>
      <c r="R48" s="27">
        <f t="shared" si="1"/>
        <v>0</v>
      </c>
      <c r="T48" t="s">
        <v>162</v>
      </c>
      <c r="U48" s="82">
        <f>$P$57</f>
        <v>0</v>
      </c>
      <c r="V48" s="23">
        <f>IF(U48&lt;25000,'2022 Liability Rates'!E151-'2022 Liability Rates'!E151*0.1,'2022 Liability Rates'!E151)</f>
        <v>1.125</v>
      </c>
      <c r="W48" s="15">
        <f>U48*V48/1000</f>
        <v>0</v>
      </c>
      <c r="X48" s="15">
        <f>IF(W48=0,0,'2022 Liability Rates'!F151)</f>
        <v>0</v>
      </c>
      <c r="Y48">
        <f>IF(U48=0,0,MAX(W48:X48))</f>
        <v>0</v>
      </c>
      <c r="AA48" s="21"/>
      <c r="AB48" s="21"/>
      <c r="AC48" s="21"/>
      <c r="AD48" s="21"/>
      <c r="AE48" s="21"/>
      <c r="AJ48" s="79" t="s">
        <v>132</v>
      </c>
      <c r="AK48" s="509" t="s">
        <v>1265</v>
      </c>
      <c r="AL48" t="s">
        <v>547</v>
      </c>
      <c r="AM48" t="s">
        <v>14</v>
      </c>
      <c r="AN48" s="53">
        <f>$U$164</f>
        <v>0</v>
      </c>
      <c r="AO48" s="53">
        <v>0</v>
      </c>
      <c r="AP48" s="53">
        <v>0</v>
      </c>
      <c r="AQ48" s="53">
        <f>$U$164</f>
        <v>0</v>
      </c>
      <c r="AR48" s="97" t="str">
        <f t="shared" ca="1" si="0"/>
        <v>-</v>
      </c>
      <c r="AS48" s="116">
        <v>47</v>
      </c>
      <c r="AT48" s="569">
        <v>42</v>
      </c>
      <c r="AU48" s="509" t="s">
        <v>1116</v>
      </c>
      <c r="AV48" s="510" t="str">
        <f t="shared" si="3"/>
        <v/>
      </c>
      <c r="AW48" s="567"/>
      <c r="AX48" s="509" t="str">
        <f t="shared" si="4"/>
        <v>Computers and other Electronic Data Processing Equipment - away from your regular premises</v>
      </c>
    </row>
    <row r="49" spans="1:50" x14ac:dyDescent="0.25">
      <c r="A49" s="536">
        <v>30061</v>
      </c>
      <c r="B49" s="532" t="s">
        <v>397</v>
      </c>
      <c r="C49" s="583"/>
      <c r="D49" s="550"/>
      <c r="E49" s="523"/>
      <c r="F49" s="523"/>
      <c r="G49" s="523"/>
      <c r="H49" s="522"/>
      <c r="I49" s="522"/>
      <c r="J49" s="522"/>
      <c r="K49" s="522"/>
      <c r="L49" s="524"/>
      <c r="M49" s="79">
        <v>729743</v>
      </c>
      <c r="N49" s="61" t="s">
        <v>403</v>
      </c>
      <c r="O49" s="61" t="s">
        <v>403</v>
      </c>
      <c r="P49" s="112" t="s">
        <v>214</v>
      </c>
      <c r="Q49" s="579">
        <f t="shared" si="9"/>
        <v>0</v>
      </c>
      <c r="R49" s="27">
        <f t="shared" si="1"/>
        <v>0</v>
      </c>
      <c r="T49" t="s">
        <v>454</v>
      </c>
      <c r="U49" s="82">
        <f>$P$58+P59</f>
        <v>0</v>
      </c>
      <c r="V49">
        <f>'2022 Liability Rates'!E163</f>
        <v>1.25</v>
      </c>
      <c r="W49" s="15">
        <f t="shared" ref="W49:W51" si="37">U49*V49/1000</f>
        <v>0</v>
      </c>
      <c r="X49" s="118">
        <f>IF(W49=0,0,'2022 Liability Rates'!F163)</f>
        <v>0</v>
      </c>
      <c r="Y49">
        <f t="shared" ref="Y49:Y51" si="38">IF(U49=0,0,MAX(W49:X49))</f>
        <v>0</v>
      </c>
      <c r="AJ49" s="79" t="s">
        <v>196</v>
      </c>
      <c r="AK49" t="s">
        <v>196</v>
      </c>
      <c r="AL49" t="s">
        <v>547</v>
      </c>
      <c r="AM49" t="s">
        <v>14</v>
      </c>
      <c r="AN49" s="53">
        <f>$U$179</f>
        <v>0</v>
      </c>
      <c r="AO49" s="53">
        <v>0</v>
      </c>
      <c r="AP49" s="53">
        <v>0</v>
      </c>
      <c r="AQ49" s="53">
        <f>$U$179</f>
        <v>0</v>
      </c>
      <c r="AR49" s="97" t="str">
        <f t="shared" ca="1" si="0"/>
        <v>-</v>
      </c>
      <c r="AS49" s="117">
        <v>48</v>
      </c>
      <c r="AT49" s="569">
        <v>43</v>
      </c>
      <c r="AU49" s="509" t="s">
        <v>550</v>
      </c>
      <c r="AV49" s="510" t="str">
        <f t="shared" si="3"/>
        <v>Unlimited</v>
      </c>
      <c r="AW49" s="567"/>
      <c r="AX49" s="509" t="str">
        <f t="shared" si="4"/>
        <v/>
      </c>
    </row>
    <row r="50" spans="1:50" x14ac:dyDescent="0.25">
      <c r="A50" s="536">
        <v>30059</v>
      </c>
      <c r="B50" s="532" t="s">
        <v>306</v>
      </c>
      <c r="C50" s="583"/>
      <c r="D50" s="550"/>
      <c r="E50" s="523"/>
      <c r="F50" s="523"/>
      <c r="G50" s="523"/>
      <c r="H50" s="522"/>
      <c r="I50" s="522"/>
      <c r="J50" s="522"/>
      <c r="K50" s="522"/>
      <c r="L50" s="524"/>
      <c r="M50" s="79">
        <v>729744</v>
      </c>
      <c r="N50" s="61" t="s">
        <v>404</v>
      </c>
      <c r="O50" s="61" t="s">
        <v>404</v>
      </c>
      <c r="P50" s="112" t="s">
        <v>214</v>
      </c>
      <c r="Q50" s="579">
        <f t="shared" si="9"/>
        <v>0</v>
      </c>
      <c r="R50" s="27">
        <f t="shared" si="1"/>
        <v>0</v>
      </c>
      <c r="T50" t="s">
        <v>163</v>
      </c>
      <c r="U50" s="82">
        <f>$P$60</f>
        <v>0</v>
      </c>
      <c r="V50">
        <f>'2022 Liability Rates'!E169</f>
        <v>2.5</v>
      </c>
      <c r="W50" s="15">
        <f t="shared" si="37"/>
        <v>0</v>
      </c>
      <c r="X50" s="15">
        <f>IF(W50=0,0,'2022 Liability Rates'!F169)</f>
        <v>0</v>
      </c>
      <c r="Y50">
        <f t="shared" si="38"/>
        <v>0</v>
      </c>
      <c r="AJ50" s="79" t="s">
        <v>135</v>
      </c>
      <c r="AK50" s="509" t="s">
        <v>1115</v>
      </c>
      <c r="AL50" t="s">
        <v>547</v>
      </c>
      <c r="AM50" t="s">
        <v>14</v>
      </c>
      <c r="AN50" s="53">
        <f>$U$163</f>
        <v>0</v>
      </c>
      <c r="AO50" s="53">
        <v>0</v>
      </c>
      <c r="AP50" s="53">
        <v>0</v>
      </c>
      <c r="AQ50" s="53">
        <f>$U$163</f>
        <v>0</v>
      </c>
      <c r="AR50" s="97" t="str">
        <f t="shared" ca="1" si="0"/>
        <v>-</v>
      </c>
      <c r="AS50" s="116">
        <v>49</v>
      </c>
      <c r="AT50" s="569">
        <v>44</v>
      </c>
      <c r="AU50" s="509" t="s">
        <v>1117</v>
      </c>
      <c r="AV50" s="510">
        <f t="shared" si="3"/>
        <v>50000</v>
      </c>
      <c r="AW50" s="567"/>
      <c r="AX50" s="509" t="str">
        <f t="shared" si="4"/>
        <v/>
      </c>
    </row>
    <row r="51" spans="1:50" x14ac:dyDescent="0.25">
      <c r="A51" s="536">
        <v>30047</v>
      </c>
      <c r="B51" s="532" t="s">
        <v>307</v>
      </c>
      <c r="C51" s="583"/>
      <c r="D51" s="550"/>
      <c r="E51" s="523"/>
      <c r="F51" s="523"/>
      <c r="G51" s="523"/>
      <c r="H51" s="522"/>
      <c r="I51" s="522"/>
      <c r="J51" s="522"/>
      <c r="K51" s="522"/>
      <c r="L51" s="524"/>
      <c r="M51" s="79">
        <v>729745</v>
      </c>
      <c r="N51" s="61" t="s">
        <v>405</v>
      </c>
      <c r="O51" s="61" t="s">
        <v>405</v>
      </c>
      <c r="P51" s="112" t="s">
        <v>214</v>
      </c>
      <c r="Q51" s="579">
        <f t="shared" si="9"/>
        <v>0</v>
      </c>
      <c r="R51" s="27">
        <f t="shared" si="1"/>
        <v>0</v>
      </c>
      <c r="T51" t="s">
        <v>164</v>
      </c>
      <c r="U51" s="82">
        <f>$P$61</f>
        <v>0</v>
      </c>
      <c r="V51">
        <f>'2022 Liability Rates'!E176</f>
        <v>3.75</v>
      </c>
      <c r="W51" s="15">
        <f t="shared" si="37"/>
        <v>0</v>
      </c>
      <c r="X51" s="15">
        <f>IF(W51=0,0,'2022 Liability Rates'!F176)</f>
        <v>0</v>
      </c>
      <c r="Y51">
        <f t="shared" si="38"/>
        <v>0</v>
      </c>
      <c r="AJ51" s="79" t="s">
        <v>378</v>
      </c>
      <c r="AK51" s="109" t="s">
        <v>1343</v>
      </c>
      <c r="AL51" t="s">
        <v>548</v>
      </c>
      <c r="AM51" t="s">
        <v>14</v>
      </c>
      <c r="AN51" s="53">
        <f>$U$165</f>
        <v>0</v>
      </c>
      <c r="AO51" s="53">
        <v>0</v>
      </c>
      <c r="AP51" s="53">
        <v>0</v>
      </c>
      <c r="AQ51" s="53">
        <f>$U$165</f>
        <v>0</v>
      </c>
      <c r="AR51" s="97" t="str">
        <f t="shared" ca="1" si="0"/>
        <v>-</v>
      </c>
      <c r="AS51" s="116">
        <v>50</v>
      </c>
      <c r="AT51" s="569">
        <v>45</v>
      </c>
      <c r="AU51" s="509" t="s">
        <v>1118</v>
      </c>
      <c r="AV51" s="510" t="str">
        <f t="shared" si="3"/>
        <v/>
      </c>
      <c r="AW51" s="567"/>
      <c r="AX51" s="509" t="str">
        <f t="shared" si="4"/>
        <v>Expediting expenses</v>
      </c>
    </row>
    <row r="52" spans="1:50" x14ac:dyDescent="0.25">
      <c r="A52" s="536">
        <v>30045</v>
      </c>
      <c r="B52" s="532" t="s">
        <v>308</v>
      </c>
      <c r="C52" s="583"/>
      <c r="D52" s="550"/>
      <c r="E52" s="523"/>
      <c r="F52" s="523"/>
      <c r="G52" s="523"/>
      <c r="H52" s="522"/>
      <c r="I52" s="522"/>
      <c r="J52" s="522"/>
      <c r="K52" s="522"/>
      <c r="L52" s="524"/>
      <c r="M52" s="79">
        <v>729746</v>
      </c>
      <c r="N52" s="61" t="s">
        <v>406</v>
      </c>
      <c r="O52" s="61" t="s">
        <v>406</v>
      </c>
      <c r="P52" s="112" t="s">
        <v>214</v>
      </c>
      <c r="Q52" s="579">
        <f t="shared" si="9"/>
        <v>0</v>
      </c>
      <c r="R52" s="27">
        <f t="shared" si="1"/>
        <v>0</v>
      </c>
      <c r="AJ52" s="79" t="s">
        <v>496</v>
      </c>
      <c r="AK52" s="559" t="s">
        <v>1256</v>
      </c>
      <c r="AL52" t="s">
        <v>547</v>
      </c>
      <c r="AM52" t="s">
        <v>14</v>
      </c>
      <c r="AN52" s="53">
        <f>$U$186</f>
        <v>0</v>
      </c>
      <c r="AO52" s="53">
        <v>0</v>
      </c>
      <c r="AP52" s="53">
        <v>0</v>
      </c>
      <c r="AQ52" s="53">
        <f>$U$186</f>
        <v>0</v>
      </c>
      <c r="AR52" s="97" t="str">
        <f t="shared" ca="1" si="0"/>
        <v>-</v>
      </c>
      <c r="AS52" s="117">
        <v>51</v>
      </c>
      <c r="AT52" s="569">
        <v>46</v>
      </c>
      <c r="AU52" s="509" t="s">
        <v>1119</v>
      </c>
      <c r="AV52" s="510" t="str">
        <f t="shared" si="3"/>
        <v>Included</v>
      </c>
      <c r="AW52" s="567"/>
      <c r="AX52" s="509" t="str">
        <f t="shared" si="4"/>
        <v/>
      </c>
    </row>
    <row r="53" spans="1:50" x14ac:dyDescent="0.25">
      <c r="A53" s="536">
        <v>30051</v>
      </c>
      <c r="B53" s="532" t="s">
        <v>184</v>
      </c>
      <c r="C53" s="583"/>
      <c r="D53" s="550"/>
      <c r="E53" s="523"/>
      <c r="F53" s="523"/>
      <c r="G53" s="523"/>
      <c r="H53" s="522"/>
      <c r="I53" s="522"/>
      <c r="J53" s="522"/>
      <c r="K53" s="522"/>
      <c r="L53" s="524"/>
      <c r="M53" s="79">
        <v>729747</v>
      </c>
      <c r="N53" s="61" t="s">
        <v>407</v>
      </c>
      <c r="O53" s="61" t="s">
        <v>407</v>
      </c>
      <c r="P53" s="112" t="s">
        <v>214</v>
      </c>
      <c r="Q53" s="579">
        <f t="shared" si="9"/>
        <v>0</v>
      </c>
      <c r="R53" s="27">
        <f t="shared" si="1"/>
        <v>0</v>
      </c>
      <c r="T53" s="2" t="s">
        <v>186</v>
      </c>
      <c r="W53" s="15">
        <f>ROUNDUP(SUM(W48:W51),0)</f>
        <v>0</v>
      </c>
      <c r="X53" s="15">
        <f>MAX(X48:X51)</f>
        <v>0</v>
      </c>
      <c r="Y53" s="30">
        <f>MAX(W53:X53)</f>
        <v>0</v>
      </c>
      <c r="AA53" s="21"/>
      <c r="AJ53" s="79" t="s">
        <v>136</v>
      </c>
      <c r="AK53" s="559" t="s">
        <v>1113</v>
      </c>
      <c r="AL53" t="s">
        <v>547</v>
      </c>
      <c r="AM53" t="s">
        <v>14</v>
      </c>
      <c r="AN53" s="53">
        <v>1000</v>
      </c>
      <c r="AO53" s="53">
        <v>0</v>
      </c>
      <c r="AP53" s="53">
        <v>0</v>
      </c>
      <c r="AQ53" s="53">
        <f>U194</f>
        <v>1000</v>
      </c>
      <c r="AR53" s="97" t="str">
        <f t="shared" ca="1" si="0"/>
        <v>-</v>
      </c>
      <c r="AS53" s="116">
        <v>52</v>
      </c>
      <c r="AT53" s="569">
        <v>47</v>
      </c>
      <c r="AU53" s="509" t="s">
        <v>1120</v>
      </c>
      <c r="AV53" s="510">
        <f t="shared" si="3"/>
        <v>25000</v>
      </c>
      <c r="AW53" s="567"/>
      <c r="AX53" s="509" t="str">
        <f t="shared" si="4"/>
        <v/>
      </c>
    </row>
    <row r="54" spans="1:50" x14ac:dyDescent="0.25">
      <c r="A54" s="536">
        <v>30053</v>
      </c>
      <c r="B54" s="532" t="s">
        <v>394</v>
      </c>
      <c r="C54" s="583"/>
      <c r="D54" s="550"/>
      <c r="E54" s="523"/>
      <c r="F54" s="523"/>
      <c r="G54" s="523"/>
      <c r="H54" s="522"/>
      <c r="I54" s="522"/>
      <c r="J54" s="522"/>
      <c r="K54" s="522"/>
      <c r="L54" s="524"/>
      <c r="M54">
        <v>2000015</v>
      </c>
      <c r="N54" s="61" t="s">
        <v>1318</v>
      </c>
      <c r="O54" s="61" t="s">
        <v>1318</v>
      </c>
      <c r="P54" s="112" t="s">
        <v>213</v>
      </c>
      <c r="Q54" s="579">
        <f t="shared" si="9"/>
        <v>0</v>
      </c>
      <c r="R54" s="27">
        <f t="shared" si="1"/>
        <v>0</v>
      </c>
      <c r="T54" s="2"/>
      <c r="Y54" s="19"/>
      <c r="AJ54" s="79" t="s">
        <v>497</v>
      </c>
      <c r="AK54" s="559" t="s">
        <v>497</v>
      </c>
      <c r="AL54" t="s">
        <v>548</v>
      </c>
      <c r="AM54" t="s">
        <v>14</v>
      </c>
      <c r="AN54" s="53">
        <f>SUM($U$166,$U$186)</f>
        <v>0</v>
      </c>
      <c r="AO54" s="53">
        <v>0</v>
      </c>
      <c r="AP54" s="53">
        <v>0</v>
      </c>
      <c r="AQ54" s="53">
        <v>50000</v>
      </c>
      <c r="AR54" s="97" t="str">
        <f t="shared" ca="1" si="0"/>
        <v>-</v>
      </c>
      <c r="AS54" s="116">
        <v>53</v>
      </c>
      <c r="AT54" s="569">
        <v>48</v>
      </c>
      <c r="AU54" s="509" t="s">
        <v>1121</v>
      </c>
      <c r="AV54" s="510" t="str">
        <f t="shared" si="3"/>
        <v/>
      </c>
      <c r="AW54" s="567"/>
      <c r="AX54" s="509" t="str">
        <f t="shared" si="4"/>
        <v>Extinguishing System warranty</v>
      </c>
    </row>
    <row r="55" spans="1:50" x14ac:dyDescent="0.25">
      <c r="A55" s="536">
        <v>30055</v>
      </c>
      <c r="B55" s="532" t="s">
        <v>395</v>
      </c>
      <c r="C55" s="583"/>
      <c r="D55" s="550"/>
      <c r="E55" s="523"/>
      <c r="F55" s="523"/>
      <c r="G55" s="523"/>
      <c r="H55" s="522"/>
      <c r="I55" s="522"/>
      <c r="J55" s="522"/>
      <c r="K55" s="522"/>
      <c r="L55" s="524"/>
      <c r="V55" t="s">
        <v>188</v>
      </c>
      <c r="W55" t="s">
        <v>167</v>
      </c>
      <c r="X55" t="s">
        <v>189</v>
      </c>
      <c r="Y55" t="s">
        <v>168</v>
      </c>
      <c r="AJ55" s="79" t="s">
        <v>498</v>
      </c>
      <c r="AK55" t="s">
        <v>498</v>
      </c>
      <c r="AL55" t="s">
        <v>548</v>
      </c>
      <c r="AM55" t="s">
        <v>14</v>
      </c>
      <c r="AN55" s="53">
        <f>SUM($U$166,$U$186)</f>
        <v>0</v>
      </c>
      <c r="AO55" s="53">
        <v>0</v>
      </c>
      <c r="AP55" s="53">
        <v>0</v>
      </c>
      <c r="AQ55" s="53">
        <v>10000</v>
      </c>
      <c r="AR55" s="97" t="str">
        <f t="shared" ca="1" si="0"/>
        <v>-</v>
      </c>
      <c r="AS55" s="117">
        <v>54</v>
      </c>
      <c r="AT55" s="569">
        <v>49</v>
      </c>
      <c r="AU55" s="509" t="s">
        <v>510</v>
      </c>
      <c r="AV55" s="510">
        <f t="shared" si="3"/>
        <v>50000</v>
      </c>
      <c r="AW55" s="567"/>
      <c r="AX55" s="509" t="str">
        <f t="shared" si="4"/>
        <v/>
      </c>
    </row>
    <row r="56" spans="1:50" ht="17.25" x14ac:dyDescent="0.3">
      <c r="A56" s="536">
        <v>30057</v>
      </c>
      <c r="B56" s="532" t="s">
        <v>396</v>
      </c>
      <c r="C56" s="583"/>
      <c r="D56" s="550"/>
      <c r="E56" s="523"/>
      <c r="F56" s="523"/>
      <c r="G56" s="523"/>
      <c r="H56" s="522"/>
      <c r="I56" s="522"/>
      <c r="J56" s="522"/>
      <c r="K56" s="522"/>
      <c r="L56" s="524"/>
      <c r="M56" s="77" t="s">
        <v>450</v>
      </c>
      <c r="T56" t="s">
        <v>187</v>
      </c>
      <c r="U56" s="57">
        <f>$R$198</f>
        <v>2000000</v>
      </c>
      <c r="V56" s="18">
        <f>IF(U56=1000000,-10%,IF($U$56=2000000,0%,IF($U$56=3000000,10%,IF($U$56=4000000,20%,IF($U$56=5000000,25%,0)))))</f>
        <v>0</v>
      </c>
      <c r="W56">
        <f>ROUNDUP(Y53*V56,0)</f>
        <v>0</v>
      </c>
      <c r="X56" s="20">
        <f>IF($U$56=2000000,0,IF($U$56=3000000,100,IF($U$56=4000000,200,IF($U$56=5000000,300,0))))</f>
        <v>0</v>
      </c>
      <c r="Y56" s="16">
        <f>IF(W56&lt;0,W56,MAX(W56:X56))</f>
        <v>0</v>
      </c>
      <c r="AJ56" s="79" t="s">
        <v>499</v>
      </c>
      <c r="AK56" s="509" t="s">
        <v>1085</v>
      </c>
      <c r="AL56" t="s">
        <v>548</v>
      </c>
      <c r="AM56" t="s">
        <v>14</v>
      </c>
      <c r="AN56" s="53">
        <v>10000</v>
      </c>
      <c r="AO56" s="53">
        <v>0</v>
      </c>
      <c r="AP56" s="53">
        <v>0</v>
      </c>
      <c r="AQ56" s="53">
        <v>10000</v>
      </c>
      <c r="AR56" s="97" t="str">
        <f t="shared" ca="1" si="0"/>
        <v>-</v>
      </c>
      <c r="AS56" s="116">
        <v>55</v>
      </c>
      <c r="AT56" s="569">
        <v>50</v>
      </c>
      <c r="AU56" s="509" t="s">
        <v>1122</v>
      </c>
      <c r="AV56" s="510">
        <f t="shared" si="3"/>
        <v>50000</v>
      </c>
      <c r="AW56" s="567"/>
      <c r="AX56" s="509" t="str">
        <f t="shared" si="4"/>
        <v/>
      </c>
    </row>
    <row r="57" spans="1:50" x14ac:dyDescent="0.25">
      <c r="A57" s="533">
        <v>30063</v>
      </c>
      <c r="B57" s="532" t="s">
        <v>398</v>
      </c>
      <c r="C57" s="583"/>
      <c r="D57" s="550"/>
      <c r="E57" s="523"/>
      <c r="F57" s="523"/>
      <c r="G57" s="523"/>
      <c r="H57" s="522"/>
      <c r="I57" s="522"/>
      <c r="J57" s="522"/>
      <c r="K57" s="522"/>
      <c r="L57" s="524"/>
      <c r="O57" t="s">
        <v>296</v>
      </c>
      <c r="P57" s="27">
        <f>SUMIF($P$5:$P$54,O57,$R$5:$R$54)</f>
        <v>0</v>
      </c>
      <c r="U57" s="18"/>
      <c r="AA57" s="21"/>
      <c r="AH57" s="21"/>
      <c r="AI57" s="21"/>
      <c r="AJ57" s="79" t="s">
        <v>500</v>
      </c>
      <c r="AK57" s="509" t="s">
        <v>500</v>
      </c>
      <c r="AL57" t="s">
        <v>548</v>
      </c>
      <c r="AM57" t="s">
        <v>14</v>
      </c>
      <c r="AN57" s="53">
        <v>25000</v>
      </c>
      <c r="AO57" s="53">
        <v>0</v>
      </c>
      <c r="AP57" s="53">
        <v>0</v>
      </c>
      <c r="AQ57" s="53">
        <v>25000</v>
      </c>
      <c r="AR57" s="97" t="str">
        <f t="shared" ca="1" si="0"/>
        <v>-</v>
      </c>
      <c r="AS57" s="116">
        <v>56</v>
      </c>
      <c r="AT57" s="569">
        <v>51</v>
      </c>
      <c r="AU57" s="509" t="s">
        <v>1123</v>
      </c>
      <c r="AV57" s="510">
        <f t="shared" si="3"/>
        <v>25000</v>
      </c>
      <c r="AW57" s="567"/>
      <c r="AX57" s="509" t="str">
        <f t="shared" si="4"/>
        <v/>
      </c>
    </row>
    <row r="58" spans="1:50" x14ac:dyDescent="0.25">
      <c r="A58" s="536">
        <v>30065</v>
      </c>
      <c r="B58" s="532" t="s">
        <v>399</v>
      </c>
      <c r="C58" s="583"/>
      <c r="D58" s="550"/>
      <c r="E58" s="523"/>
      <c r="F58" s="523"/>
      <c r="G58" s="523"/>
      <c r="H58" s="522"/>
      <c r="I58" s="522"/>
      <c r="J58" s="522"/>
      <c r="K58" s="522"/>
      <c r="L58" s="524"/>
      <c r="O58" t="s">
        <v>386</v>
      </c>
      <c r="P58" s="27">
        <f>SUMIF($P$5:$P$54,O58,$R$5:$R$54)</f>
        <v>0</v>
      </c>
      <c r="T58" t="s">
        <v>270</v>
      </c>
      <c r="U58" s="59">
        <f>$R$139</f>
        <v>0</v>
      </c>
      <c r="AA58" s="21"/>
      <c r="AH58" s="21"/>
      <c r="AI58" s="21"/>
      <c r="AJ58" s="79" t="s">
        <v>501</v>
      </c>
      <c r="AK58" s="509" t="s">
        <v>1142</v>
      </c>
      <c r="AL58" t="s">
        <v>548</v>
      </c>
      <c r="AM58" t="s">
        <v>14</v>
      </c>
      <c r="AN58" s="53">
        <f>SUM($U$166,$U$186)</f>
        <v>0</v>
      </c>
      <c r="AO58" s="53">
        <v>0</v>
      </c>
      <c r="AP58" s="53">
        <v>0</v>
      </c>
      <c r="AQ58" s="53">
        <v>50000</v>
      </c>
      <c r="AR58" s="97" t="str">
        <f t="shared" ca="1" si="0"/>
        <v>-</v>
      </c>
      <c r="AS58" s="117">
        <v>57</v>
      </c>
      <c r="AT58" s="569">
        <v>52</v>
      </c>
      <c r="AU58" s="509" t="s">
        <v>530</v>
      </c>
      <c r="AV58" s="510" t="str">
        <f t="shared" si="3"/>
        <v>Included</v>
      </c>
      <c r="AW58" s="567"/>
      <c r="AX58" s="509" t="str">
        <f t="shared" si="4"/>
        <v/>
      </c>
    </row>
    <row r="59" spans="1:50" x14ac:dyDescent="0.25">
      <c r="A59" s="536">
        <v>30066</v>
      </c>
      <c r="B59" s="532" t="s">
        <v>400</v>
      </c>
      <c r="C59" s="583"/>
      <c r="D59" s="550"/>
      <c r="E59" s="523"/>
      <c r="F59" s="523"/>
      <c r="G59" s="523"/>
      <c r="H59" s="522"/>
      <c r="I59" s="522"/>
      <c r="J59" s="522"/>
      <c r="K59" s="522"/>
      <c r="L59" s="524"/>
      <c r="O59" t="s">
        <v>106</v>
      </c>
      <c r="P59" s="27">
        <f>C69</f>
        <v>0</v>
      </c>
      <c r="T59" t="s">
        <v>674</v>
      </c>
      <c r="U59" s="59">
        <f>$AG$75</f>
        <v>0</v>
      </c>
      <c r="AA59" s="21"/>
      <c r="AH59" s="21"/>
      <c r="AI59" s="21"/>
      <c r="AJ59" s="79" t="s">
        <v>502</v>
      </c>
      <c r="AK59" s="131" t="s">
        <v>1099</v>
      </c>
      <c r="AL59" t="s">
        <v>548</v>
      </c>
      <c r="AM59" t="s">
        <v>14</v>
      </c>
      <c r="AN59" s="53">
        <f>SUM($U$166,$U$186)</f>
        <v>0</v>
      </c>
      <c r="AO59" s="53">
        <v>0</v>
      </c>
      <c r="AP59" s="53">
        <v>0</v>
      </c>
      <c r="AQ59" s="53">
        <v>25000</v>
      </c>
      <c r="AR59" s="97" t="str">
        <f t="shared" ca="1" si="0"/>
        <v>-</v>
      </c>
      <c r="AS59" s="116">
        <v>58</v>
      </c>
      <c r="AT59" s="569">
        <v>53</v>
      </c>
      <c r="AU59" s="509" t="s">
        <v>534</v>
      </c>
      <c r="AV59" s="510">
        <f t="shared" si="3"/>
        <v>10000</v>
      </c>
      <c r="AW59" s="567"/>
      <c r="AX59" s="509" t="str">
        <f t="shared" si="4"/>
        <v/>
      </c>
    </row>
    <row r="60" spans="1:50" x14ac:dyDescent="0.25">
      <c r="A60" s="536">
        <v>30067</v>
      </c>
      <c r="B60" s="532" t="s">
        <v>401</v>
      </c>
      <c r="C60" s="583"/>
      <c r="D60" s="550"/>
      <c r="E60" s="523"/>
      <c r="F60" s="523"/>
      <c r="G60" s="523"/>
      <c r="H60" s="522"/>
      <c r="I60" s="522"/>
      <c r="J60" s="522"/>
      <c r="K60" s="522"/>
      <c r="L60" s="524"/>
      <c r="O60" t="s">
        <v>387</v>
      </c>
      <c r="P60" s="27">
        <f>SUMIF($P$5:$P$54,O60,$R$5:$R$54)</f>
        <v>0</v>
      </c>
      <c r="T60" t="s">
        <v>655</v>
      </c>
      <c r="U60" s="59">
        <f>U51</f>
        <v>0</v>
      </c>
      <c r="AA60" s="21"/>
      <c r="AH60" s="21"/>
      <c r="AI60" s="21"/>
      <c r="AJ60" s="79" t="s">
        <v>503</v>
      </c>
      <c r="AK60" s="509" t="s">
        <v>1089</v>
      </c>
      <c r="AL60" t="s">
        <v>548</v>
      </c>
      <c r="AM60" t="s">
        <v>14</v>
      </c>
      <c r="AN60" s="53" t="s">
        <v>568</v>
      </c>
      <c r="AO60" s="53">
        <v>0</v>
      </c>
      <c r="AP60" s="53">
        <v>0</v>
      </c>
      <c r="AQ60" s="53" t="s">
        <v>568</v>
      </c>
      <c r="AR60" s="97" t="str">
        <f t="shared" ca="1" si="0"/>
        <v>-</v>
      </c>
      <c r="AS60" s="116">
        <v>59</v>
      </c>
      <c r="AT60" s="569">
        <v>54</v>
      </c>
      <c r="AU60" s="509" t="s">
        <v>1124</v>
      </c>
      <c r="AV60" s="510" t="str">
        <f t="shared" si="3"/>
        <v>$1,000 item / $25,000 total</v>
      </c>
      <c r="AW60" s="567"/>
      <c r="AX60" s="509" t="str">
        <f t="shared" si="4"/>
        <v/>
      </c>
    </row>
    <row r="61" spans="1:50" x14ac:dyDescent="0.25">
      <c r="A61" s="536">
        <v>30068</v>
      </c>
      <c r="B61" s="532" t="s">
        <v>402</v>
      </c>
      <c r="C61" s="583"/>
      <c r="D61" s="550"/>
      <c r="E61" s="523"/>
      <c r="F61" s="523"/>
      <c r="G61" s="523"/>
      <c r="H61" s="522"/>
      <c r="I61" s="522"/>
      <c r="J61" s="522"/>
      <c r="K61" s="522"/>
      <c r="L61" s="524"/>
      <c r="O61" t="s">
        <v>391</v>
      </c>
      <c r="P61" s="27">
        <f>SUMIF($P$5:$P$54,O61,$R$5:$R$54)</f>
        <v>0</v>
      </c>
      <c r="T61" t="s">
        <v>274</v>
      </c>
      <c r="U61">
        <f>IF(AND(U58=1000,U60&gt;0),1,VLOOKUP(U59,$AB$68:$AC$72,2,FALSE))</f>
        <v>1</v>
      </c>
      <c r="W61" t="s">
        <v>656</v>
      </c>
      <c r="AA61" s="21"/>
      <c r="AH61" s="21"/>
      <c r="AI61" s="21"/>
      <c r="AJ61" s="79" t="s">
        <v>1297</v>
      </c>
      <c r="AK61" s="509" t="s">
        <v>1100</v>
      </c>
      <c r="AL61" t="s">
        <v>548</v>
      </c>
      <c r="AM61" t="s">
        <v>14</v>
      </c>
      <c r="AN61" s="53" t="s">
        <v>568</v>
      </c>
      <c r="AO61" s="53">
        <v>0</v>
      </c>
      <c r="AP61" s="53">
        <v>0</v>
      </c>
      <c r="AQ61" s="53" t="s">
        <v>568</v>
      </c>
      <c r="AR61" s="97" t="str">
        <f t="shared" ca="1" si="0"/>
        <v>-</v>
      </c>
      <c r="AS61" s="117">
        <v>60</v>
      </c>
      <c r="AT61" s="569">
        <v>55</v>
      </c>
      <c r="AU61" s="509" t="s">
        <v>1125</v>
      </c>
      <c r="AV61" s="510" t="str">
        <f t="shared" si="3"/>
        <v/>
      </c>
      <c r="AW61" s="567"/>
      <c r="AX61" s="509" t="str">
        <f t="shared" si="4"/>
        <v>Home office extension</v>
      </c>
    </row>
    <row r="62" spans="1:50" x14ac:dyDescent="0.25">
      <c r="A62" s="536">
        <v>30069</v>
      </c>
      <c r="B62" s="532" t="s">
        <v>403</v>
      </c>
      <c r="C62" s="583"/>
      <c r="D62" s="550"/>
      <c r="E62" s="523"/>
      <c r="F62" s="523"/>
      <c r="G62" s="523"/>
      <c r="H62" s="522"/>
      <c r="I62" s="522"/>
      <c r="J62" s="522"/>
      <c r="K62" s="522"/>
      <c r="L62" s="524"/>
      <c r="O62" t="s">
        <v>213</v>
      </c>
      <c r="P62" s="27">
        <f>SUMIF($P$5:$P$54,O62,$R$5:$R$54)</f>
        <v>0</v>
      </c>
      <c r="T62" t="s">
        <v>271</v>
      </c>
      <c r="U62" s="25">
        <f>ROUNDUP(SUM(Y53,Y56)*U61,0)</f>
        <v>0</v>
      </c>
      <c r="W62" t="s">
        <v>657</v>
      </c>
      <c r="AA62" s="21"/>
      <c r="AH62" s="21"/>
      <c r="AI62" s="21"/>
      <c r="AJ62" s="79" t="s">
        <v>504</v>
      </c>
      <c r="AK62" s="509" t="s">
        <v>1144</v>
      </c>
      <c r="AL62" t="s">
        <v>548</v>
      </c>
      <c r="AM62" t="s">
        <v>14</v>
      </c>
      <c r="AN62" s="53" t="s">
        <v>568</v>
      </c>
      <c r="AO62" s="53">
        <v>0</v>
      </c>
      <c r="AP62" s="53">
        <v>0</v>
      </c>
      <c r="AQ62" s="53" t="s">
        <v>568</v>
      </c>
      <c r="AR62" s="97" t="str">
        <f t="shared" ca="1" si="0"/>
        <v>-</v>
      </c>
      <c r="AS62" s="116">
        <v>61</v>
      </c>
      <c r="AT62" s="569">
        <v>56</v>
      </c>
      <c r="AU62" s="509" t="s">
        <v>514</v>
      </c>
      <c r="AV62" s="510">
        <f t="shared" si="3"/>
        <v>0.05</v>
      </c>
      <c r="AW62" s="567"/>
      <c r="AX62" s="509" t="str">
        <f t="shared" si="4"/>
        <v/>
      </c>
    </row>
    <row r="63" spans="1:50" x14ac:dyDescent="0.25">
      <c r="A63" s="536">
        <v>30070</v>
      </c>
      <c r="B63" s="532" t="s">
        <v>404</v>
      </c>
      <c r="C63" s="583"/>
      <c r="D63" s="550"/>
      <c r="E63" s="523"/>
      <c r="F63" s="523"/>
      <c r="G63" s="523"/>
      <c r="H63" s="522"/>
      <c r="I63" s="522"/>
      <c r="J63" s="522"/>
      <c r="K63" s="522"/>
      <c r="L63" s="524"/>
      <c r="O63" t="s">
        <v>214</v>
      </c>
      <c r="P63" s="27">
        <f>SUMIF($P$5:$P$54,O63,$R$5:$R$54)</f>
        <v>0</v>
      </c>
      <c r="AA63" s="21"/>
      <c r="AH63" s="21"/>
      <c r="AJ63" s="79" t="s">
        <v>505</v>
      </c>
      <c r="AK63" s="509" t="s">
        <v>1093</v>
      </c>
      <c r="AL63" t="s">
        <v>548</v>
      </c>
      <c r="AM63" t="s">
        <v>14</v>
      </c>
      <c r="AN63" s="53">
        <v>0</v>
      </c>
      <c r="AO63" s="53">
        <v>0</v>
      </c>
      <c r="AP63" s="53">
        <v>0</v>
      </c>
      <c r="AQ63" s="101">
        <v>0</v>
      </c>
      <c r="AR63" s="97" t="str">
        <f t="shared" ca="1" si="0"/>
        <v>-</v>
      </c>
      <c r="AS63" s="116">
        <v>62</v>
      </c>
      <c r="AT63" s="569">
        <v>57</v>
      </c>
      <c r="AU63" s="509" t="s">
        <v>1126</v>
      </c>
      <c r="AV63" s="510">
        <f t="shared" si="3"/>
        <v>250000</v>
      </c>
      <c r="AW63" s="567"/>
      <c r="AX63" s="509" t="str">
        <f t="shared" si="4"/>
        <v/>
      </c>
    </row>
    <row r="64" spans="1:50" x14ac:dyDescent="0.25">
      <c r="A64" s="536">
        <v>30071</v>
      </c>
      <c r="B64" s="532" t="s">
        <v>405</v>
      </c>
      <c r="C64" s="583"/>
      <c r="D64" s="550"/>
      <c r="E64" s="523"/>
      <c r="F64" s="523"/>
      <c r="G64" s="523"/>
      <c r="H64" s="522"/>
      <c r="I64" s="522"/>
      <c r="J64" s="522"/>
      <c r="K64" s="522"/>
      <c r="L64" s="524"/>
      <c r="O64" t="s">
        <v>142</v>
      </c>
      <c r="P64" s="27">
        <f>SUM(P57:P63)</f>
        <v>0</v>
      </c>
      <c r="T64" t="s">
        <v>190</v>
      </c>
      <c r="Y64" s="30">
        <f>MAX(U62,SUM(X53,X56))</f>
        <v>0</v>
      </c>
      <c r="AA64" s="21"/>
      <c r="AB64" s="21"/>
      <c r="AC64" s="21"/>
      <c r="AD64" s="21"/>
      <c r="AE64" s="21"/>
      <c r="AF64" s="21"/>
      <c r="AG64" s="21"/>
      <c r="AH64" s="21"/>
      <c r="AJ64" s="79" t="s">
        <v>506</v>
      </c>
      <c r="AK64" s="509" t="s">
        <v>1117</v>
      </c>
      <c r="AL64" t="s">
        <v>548</v>
      </c>
      <c r="AM64" t="s">
        <v>14</v>
      </c>
      <c r="AN64" s="53">
        <v>25000</v>
      </c>
      <c r="AO64" s="53">
        <v>0</v>
      </c>
      <c r="AP64" s="53">
        <v>0</v>
      </c>
      <c r="AQ64" s="53">
        <v>50000</v>
      </c>
      <c r="AR64" s="97" t="str">
        <f t="shared" ca="1" si="0"/>
        <v>-</v>
      </c>
      <c r="AS64" s="117">
        <v>63</v>
      </c>
      <c r="AT64" s="569">
        <v>58</v>
      </c>
      <c r="AU64" s="509" t="s">
        <v>1127</v>
      </c>
      <c r="AV64" s="510" t="str">
        <f t="shared" si="3"/>
        <v/>
      </c>
      <c r="AW64" s="567"/>
      <c r="AX64" s="509" t="str">
        <f t="shared" si="4"/>
        <v>Leased, rented or borrowed equipment</v>
      </c>
    </row>
    <row r="65" spans="1:50" x14ac:dyDescent="0.25">
      <c r="A65" s="536">
        <v>30072</v>
      </c>
      <c r="B65" s="532" t="s">
        <v>406</v>
      </c>
      <c r="C65" s="583"/>
      <c r="D65" s="550"/>
      <c r="E65" s="523"/>
      <c r="F65" s="523"/>
      <c r="G65" s="523"/>
      <c r="H65" s="522"/>
      <c r="I65" s="522"/>
      <c r="J65" s="522"/>
      <c r="K65" s="522"/>
      <c r="L65" s="524"/>
      <c r="AA65" s="21"/>
      <c r="AF65" t="s">
        <v>620</v>
      </c>
      <c r="AH65" s="21"/>
      <c r="AJ65" s="79" t="s">
        <v>507</v>
      </c>
      <c r="AL65" t="s">
        <v>548</v>
      </c>
      <c r="AM65" t="s">
        <v>14</v>
      </c>
      <c r="AN65" s="53">
        <v>25000</v>
      </c>
      <c r="AO65" s="53">
        <v>0</v>
      </c>
      <c r="AP65" s="53">
        <v>0</v>
      </c>
      <c r="AQ65" s="53">
        <v>25000</v>
      </c>
      <c r="AR65" s="97" t="str">
        <f t="shared" ca="1" si="0"/>
        <v>-</v>
      </c>
      <c r="AS65" s="116">
        <v>64</v>
      </c>
      <c r="AT65" s="569">
        <v>59</v>
      </c>
      <c r="AU65" s="509" t="s">
        <v>1128</v>
      </c>
      <c r="AV65" s="510">
        <f t="shared" si="3"/>
        <v>50000</v>
      </c>
      <c r="AW65" s="567"/>
      <c r="AX65" s="509" t="str">
        <f t="shared" si="4"/>
        <v/>
      </c>
    </row>
    <row r="66" spans="1:50" ht="17.25" x14ac:dyDescent="0.3">
      <c r="A66" s="536">
        <v>30073</v>
      </c>
      <c r="B66" s="532" t="s">
        <v>407</v>
      </c>
      <c r="C66" s="583"/>
      <c r="D66" s="550"/>
      <c r="E66" s="523"/>
      <c r="F66" s="523"/>
      <c r="G66" s="523"/>
      <c r="H66" s="522"/>
      <c r="I66" s="522"/>
      <c r="J66" s="522"/>
      <c r="K66" s="522"/>
      <c r="L66" s="524"/>
      <c r="M66" s="77" t="s">
        <v>456</v>
      </c>
      <c r="T66" s="14" t="s">
        <v>169</v>
      </c>
      <c r="AA66" s="21"/>
      <c r="AB66" s="21"/>
      <c r="AC66" s="21"/>
      <c r="AD66" s="21"/>
      <c r="AE66" s="21"/>
      <c r="AF66" s="12" t="s">
        <v>669</v>
      </c>
      <c r="AG66" s="21"/>
      <c r="AH66" s="21" t="s">
        <v>732</v>
      </c>
      <c r="AJ66" s="79" t="s">
        <v>570</v>
      </c>
      <c r="AK66" s="131" t="s">
        <v>1196</v>
      </c>
      <c r="AL66" t="s">
        <v>551</v>
      </c>
      <c r="AM66" t="s">
        <v>14</v>
      </c>
      <c r="AN66" s="53" t="s">
        <v>749</v>
      </c>
      <c r="AO66" s="53">
        <v>0</v>
      </c>
      <c r="AP66" s="53">
        <v>0</v>
      </c>
      <c r="AQ66" s="53" t="str">
        <f>$U$175</f>
        <v>-</v>
      </c>
      <c r="AR66" s="97" t="str">
        <f t="shared" ca="1" si="0"/>
        <v>-</v>
      </c>
      <c r="AS66" s="116">
        <v>65</v>
      </c>
      <c r="AT66" s="569">
        <v>60</v>
      </c>
      <c r="AU66" s="509" t="s">
        <v>1129</v>
      </c>
      <c r="AV66" s="510">
        <f t="shared" si="3"/>
        <v>25000</v>
      </c>
      <c r="AW66" s="567"/>
      <c r="AX66" s="509" t="str">
        <f t="shared" si="4"/>
        <v/>
      </c>
    </row>
    <row r="67" spans="1:50" x14ac:dyDescent="0.25">
      <c r="A67" s="536">
        <v>30074</v>
      </c>
      <c r="B67" s="532" t="s">
        <v>1318</v>
      </c>
      <c r="C67" s="583"/>
      <c r="D67" s="550"/>
      <c r="E67" s="523"/>
      <c r="F67" s="523"/>
      <c r="G67" s="523"/>
      <c r="H67" s="522"/>
      <c r="I67" s="522"/>
      <c r="J67" s="522"/>
      <c r="K67" s="522"/>
      <c r="L67" s="524"/>
      <c r="O67" t="s">
        <v>645</v>
      </c>
      <c r="P67" s="106">
        <f>P64*0.8</f>
        <v>0</v>
      </c>
      <c r="AB67" s="29" t="s">
        <v>269</v>
      </c>
      <c r="AC67" t="s">
        <v>228</v>
      </c>
      <c r="AD67" s="21"/>
      <c r="AE67" s="21"/>
      <c r="AF67" s="21" t="s">
        <v>733</v>
      </c>
      <c r="AG67" s="21">
        <v>0</v>
      </c>
      <c r="AH67">
        <v>500</v>
      </c>
      <c r="AJ67" s="79" t="s">
        <v>508</v>
      </c>
      <c r="AK67" s="131" t="s">
        <v>1264</v>
      </c>
      <c r="AL67" t="s">
        <v>551</v>
      </c>
      <c r="AM67" t="s">
        <v>14</v>
      </c>
      <c r="AN67" s="53" t="s">
        <v>750</v>
      </c>
      <c r="AO67" s="53">
        <v>0</v>
      </c>
      <c r="AP67" s="53">
        <v>0</v>
      </c>
      <c r="AQ67" s="53" t="str">
        <f>$U$176</f>
        <v>-</v>
      </c>
      <c r="AR67" s="97" t="str">
        <f t="shared" ca="1" si="0"/>
        <v>-</v>
      </c>
      <c r="AS67" s="117">
        <v>66</v>
      </c>
      <c r="AT67" s="569">
        <v>61</v>
      </c>
      <c r="AU67" s="509" t="s">
        <v>1130</v>
      </c>
      <c r="AV67" s="510" t="str">
        <f t="shared" si="3"/>
        <v/>
      </c>
      <c r="AW67" s="567"/>
      <c r="AX67" s="509" t="str">
        <f t="shared" si="4"/>
        <v>Mortgage rate guarantee</v>
      </c>
    </row>
    <row r="68" spans="1:50" x14ac:dyDescent="0.25">
      <c r="A68" s="536">
        <v>30140</v>
      </c>
      <c r="B68" s="529" t="s">
        <v>207</v>
      </c>
      <c r="C68" s="583"/>
      <c r="D68" s="550"/>
      <c r="E68" s="523"/>
      <c r="F68" s="523"/>
      <c r="G68" s="523"/>
      <c r="H68" s="522"/>
      <c r="I68" s="522"/>
      <c r="J68" s="522"/>
      <c r="K68" s="522"/>
      <c r="L68" s="524"/>
      <c r="O68" t="s">
        <v>257</v>
      </c>
      <c r="P68" s="71" t="str">
        <f>R120</f>
        <v>Error</v>
      </c>
      <c r="T68" s="2" t="s">
        <v>170</v>
      </c>
      <c r="AB68">
        <v>0</v>
      </c>
      <c r="AC68">
        <v>1</v>
      </c>
      <c r="AD68" s="21"/>
      <c r="AE68" s="21"/>
      <c r="AF68" s="21" t="s">
        <v>617</v>
      </c>
      <c r="AG68" s="21">
        <v>500</v>
      </c>
      <c r="AH68">
        <v>500</v>
      </c>
      <c r="AJ68" s="86" t="s">
        <v>509</v>
      </c>
      <c r="AK68" s="131" t="s">
        <v>1126</v>
      </c>
      <c r="AL68" t="s">
        <v>548</v>
      </c>
      <c r="AM68" t="s">
        <v>14</v>
      </c>
      <c r="AN68" s="53">
        <f>SUM($U$166,$U$186)</f>
        <v>0</v>
      </c>
      <c r="AO68" s="53">
        <v>0</v>
      </c>
      <c r="AP68" s="53">
        <v>0</v>
      </c>
      <c r="AQ68" s="53">
        <v>250000</v>
      </c>
      <c r="AR68" s="97" t="str">
        <f t="shared" ca="1" si="0"/>
        <v>-</v>
      </c>
      <c r="AS68" s="116">
        <v>67</v>
      </c>
      <c r="AT68" s="569">
        <v>62</v>
      </c>
      <c r="AU68" s="509" t="s">
        <v>1131</v>
      </c>
      <c r="AV68" s="510" t="str">
        <f t="shared" si="3"/>
        <v/>
      </c>
      <c r="AW68" s="567"/>
      <c r="AX68" s="509" t="str">
        <f t="shared" si="4"/>
        <v>Newly acquired buildings</v>
      </c>
    </row>
    <row r="69" spans="1:50" x14ac:dyDescent="0.25">
      <c r="A69" s="536">
        <v>30144</v>
      </c>
      <c r="B69" s="529" t="s">
        <v>309</v>
      </c>
      <c r="C69" s="583"/>
      <c r="D69" s="550"/>
      <c r="E69" s="523"/>
      <c r="F69" s="523"/>
      <c r="G69" s="523"/>
      <c r="H69" s="522"/>
      <c r="I69" s="522"/>
      <c r="J69" s="522"/>
      <c r="K69" s="522"/>
      <c r="L69" s="524"/>
      <c r="O69" t="s">
        <v>646</v>
      </c>
      <c r="P69" s="102">
        <f>IF(OR(P68="Home",P68="Error"),0,P67)</f>
        <v>0</v>
      </c>
      <c r="T69" t="s">
        <v>171</v>
      </c>
      <c r="U69" s="57">
        <f>R215</f>
        <v>0</v>
      </c>
      <c r="AB69">
        <v>500</v>
      </c>
      <c r="AC69">
        <v>1</v>
      </c>
      <c r="AD69" s="21"/>
      <c r="AE69" s="21"/>
      <c r="AF69" s="21" t="s">
        <v>618</v>
      </c>
      <c r="AG69">
        <v>500</v>
      </c>
      <c r="AH69">
        <v>500</v>
      </c>
      <c r="AJ69" s="86" t="s">
        <v>510</v>
      </c>
      <c r="AK69" s="509" t="s">
        <v>510</v>
      </c>
      <c r="AL69" t="s">
        <v>548</v>
      </c>
      <c r="AM69" t="s">
        <v>14</v>
      </c>
      <c r="AN69" s="53">
        <f>SUM($U$166,$U$186)</f>
        <v>0</v>
      </c>
      <c r="AO69" s="53">
        <v>0</v>
      </c>
      <c r="AP69" s="53">
        <v>0</v>
      </c>
      <c r="AQ69" s="53">
        <v>50000</v>
      </c>
      <c r="AR69" s="97" t="str">
        <f t="shared" ref="AR69:AR126" ca="1" si="39">IF(OR($AR$3="Refer",$AR$3="Decline"),"-",IF(AND($AR$3="Bld Decline",AM69="x"),"-",IFERROR(HLOOKUP($AR$1,$AN$2:$AQ$286,AS69,FALSE),"-")))</f>
        <v>-</v>
      </c>
      <c r="AS69" s="116">
        <v>68</v>
      </c>
      <c r="AT69" s="569">
        <v>63</v>
      </c>
      <c r="AU69" s="509" t="s">
        <v>1132</v>
      </c>
      <c r="AV69" s="510" t="str">
        <f t="shared" si="3"/>
        <v/>
      </c>
      <c r="AW69" s="567"/>
      <c r="AX69" s="509" t="str">
        <f t="shared" si="4"/>
        <v>Newly acquired business contents</v>
      </c>
    </row>
    <row r="70" spans="1:50" x14ac:dyDescent="0.25">
      <c r="A70" s="536">
        <v>31600</v>
      </c>
      <c r="B70" s="529" t="s">
        <v>577</v>
      </c>
      <c r="C70" s="583"/>
      <c r="D70" s="550"/>
      <c r="E70" s="523"/>
      <c r="F70" s="523"/>
      <c r="G70" s="523"/>
      <c r="H70" s="522"/>
      <c r="I70" s="522"/>
      <c r="J70" s="522"/>
      <c r="K70" s="522"/>
      <c r="L70" s="524"/>
      <c r="T70" t="s">
        <v>172</v>
      </c>
      <c r="U70">
        <f>'2022 Liability Rates'!B184</f>
        <v>66</v>
      </c>
      <c r="AB70">
        <v>1000</v>
      </c>
      <c r="AC70">
        <v>0.95</v>
      </c>
      <c r="AD70" s="21"/>
      <c r="AE70" s="21"/>
      <c r="AF70" s="21" t="s">
        <v>619</v>
      </c>
      <c r="AG70" s="21">
        <v>1000</v>
      </c>
      <c r="AH70">
        <v>500</v>
      </c>
      <c r="AJ70" s="86" t="s">
        <v>665</v>
      </c>
      <c r="AK70" s="509" t="s">
        <v>1122</v>
      </c>
      <c r="AL70" t="s">
        <v>548</v>
      </c>
      <c r="AM70" t="s">
        <v>14</v>
      </c>
      <c r="AN70" s="53">
        <v>25000</v>
      </c>
      <c r="AO70" s="53">
        <v>0</v>
      </c>
      <c r="AP70" s="53">
        <v>0</v>
      </c>
      <c r="AQ70" s="53">
        <v>50000</v>
      </c>
      <c r="AR70" s="97" t="str">
        <f t="shared" ca="1" si="39"/>
        <v>-</v>
      </c>
      <c r="AS70" s="117">
        <v>69</v>
      </c>
      <c r="AT70" s="569">
        <v>64</v>
      </c>
      <c r="AU70" s="509" t="s">
        <v>1133</v>
      </c>
      <c r="AV70" s="510" t="str">
        <f t="shared" si="3"/>
        <v/>
      </c>
      <c r="AW70" s="567"/>
      <c r="AX70" s="509" t="str">
        <f t="shared" si="4"/>
        <v>Newly acquired equipment</v>
      </c>
    </row>
    <row r="71" spans="1:50" ht="17.25" x14ac:dyDescent="0.3">
      <c r="A71" s="536">
        <v>31430</v>
      </c>
      <c r="B71" s="529" t="s">
        <v>211</v>
      </c>
      <c r="C71" s="583"/>
      <c r="D71" s="550"/>
      <c r="E71" s="523"/>
      <c r="F71" s="523"/>
      <c r="G71" s="523"/>
      <c r="H71" s="522"/>
      <c r="I71" s="522"/>
      <c r="J71" s="522"/>
      <c r="K71" s="522"/>
      <c r="L71" s="524"/>
      <c r="M71" s="77" t="s">
        <v>340</v>
      </c>
      <c r="T71" t="s">
        <v>173</v>
      </c>
      <c r="U71" s="16">
        <f>U70*U69</f>
        <v>0</v>
      </c>
      <c r="AB71">
        <v>2500</v>
      </c>
      <c r="AC71">
        <v>0.93</v>
      </c>
      <c r="AF71" s="21"/>
      <c r="AG71" s="21"/>
      <c r="AJ71" s="86" t="s">
        <v>511</v>
      </c>
      <c r="AK71" s="509" t="s">
        <v>1123</v>
      </c>
      <c r="AL71" t="s">
        <v>548</v>
      </c>
      <c r="AM71" t="s">
        <v>14</v>
      </c>
      <c r="AN71" s="53">
        <v>25000</v>
      </c>
      <c r="AO71" s="53">
        <v>0</v>
      </c>
      <c r="AP71" s="53">
        <v>0</v>
      </c>
      <c r="AQ71" s="53">
        <v>25000</v>
      </c>
      <c r="AR71" s="97" t="str">
        <f t="shared" ca="1" si="39"/>
        <v>-</v>
      </c>
      <c r="AS71" s="116">
        <v>70</v>
      </c>
      <c r="AT71" s="569">
        <v>65</v>
      </c>
      <c r="AU71" s="509" t="s">
        <v>1134</v>
      </c>
      <c r="AV71" s="510" t="str">
        <f t="shared" ref="AV71:AV134" si="40">IFERROR(VLOOKUP(AU71,$AK$3:$AR$785,7,FALSE),"")</f>
        <v/>
      </c>
      <c r="AW71" s="567"/>
      <c r="AX71" s="509" t="str">
        <f t="shared" si="4"/>
        <v>Newly acquired locations</v>
      </c>
    </row>
    <row r="72" spans="1:50" x14ac:dyDescent="0.25">
      <c r="A72" s="536">
        <v>30150</v>
      </c>
      <c r="B72" s="529" t="s">
        <v>372</v>
      </c>
      <c r="C72" s="583"/>
      <c r="D72" s="572" t="s">
        <v>1354</v>
      </c>
      <c r="E72" s="573"/>
      <c r="F72" s="577"/>
      <c r="G72" s="523"/>
      <c r="H72" s="522"/>
      <c r="I72" s="522"/>
      <c r="J72" s="522"/>
      <c r="K72" s="522"/>
      <c r="L72" s="524"/>
      <c r="M72" s="78" t="s">
        <v>339</v>
      </c>
      <c r="N72" s="40"/>
      <c r="O72" s="14" t="s">
        <v>335</v>
      </c>
      <c r="P72" s="14" t="s">
        <v>336</v>
      </c>
      <c r="Q72" s="40"/>
      <c r="R72" s="14" t="s">
        <v>338</v>
      </c>
      <c r="AB72">
        <v>5000</v>
      </c>
      <c r="AC72">
        <v>0.92</v>
      </c>
      <c r="AF72" s="21" t="s">
        <v>670</v>
      </c>
      <c r="AG72">
        <f>IF($U$51&lt;&gt;0,$AG$70,IF($U$50&lt;&gt;0,$AG$69,IF($U$49&lt;&gt;0,$AG$68,$AG$67)))</f>
        <v>0</v>
      </c>
      <c r="AJ72" s="79" t="s">
        <v>512</v>
      </c>
      <c r="AK72" t="s">
        <v>1347</v>
      </c>
      <c r="AL72" t="s">
        <v>548</v>
      </c>
      <c r="AM72" t="s">
        <v>14</v>
      </c>
      <c r="AN72" s="53">
        <v>1000</v>
      </c>
      <c r="AO72" s="53">
        <v>0</v>
      </c>
      <c r="AP72" s="53">
        <v>0</v>
      </c>
      <c r="AQ72" s="53">
        <v>50000</v>
      </c>
      <c r="AR72" s="97" t="str">
        <f t="shared" ca="1" si="39"/>
        <v>-</v>
      </c>
      <c r="AS72" s="116">
        <v>71</v>
      </c>
      <c r="AT72" s="569">
        <v>66</v>
      </c>
      <c r="AU72" s="509" t="s">
        <v>1135</v>
      </c>
      <c r="AV72" s="510" t="str">
        <f t="shared" si="40"/>
        <v>Included</v>
      </c>
      <c r="AW72" s="567"/>
      <c r="AX72" s="509" t="str">
        <f t="shared" ref="AX72:AX135" si="41">IF(ISERROR(VLOOKUP(AU72,$AK$1:$AK$1001,1,FALSE))=TRUE,AU72,"")</f>
        <v/>
      </c>
    </row>
    <row r="73" spans="1:50" x14ac:dyDescent="0.25">
      <c r="A73" s="536">
        <v>31001</v>
      </c>
      <c r="B73" s="529" t="s">
        <v>443</v>
      </c>
      <c r="C73" s="583"/>
      <c r="D73" s="574" t="s">
        <v>117</v>
      </c>
      <c r="E73" s="574" t="s">
        <v>1077</v>
      </c>
      <c r="F73" s="574"/>
      <c r="G73" s="523"/>
      <c r="H73" s="522"/>
      <c r="I73" s="522"/>
      <c r="J73" s="522"/>
      <c r="K73" s="522"/>
      <c r="L73" s="524"/>
      <c r="M73" s="79" t="s">
        <v>337</v>
      </c>
      <c r="N73" s="12">
        <f>$C$97</f>
        <v>0</v>
      </c>
      <c r="O73" t="s">
        <v>704</v>
      </c>
      <c r="P73" t="s">
        <v>217</v>
      </c>
      <c r="R73" s="12" t="str">
        <f>IFERROR(VLOOKUP(N73,$O$73:$P$82,2,FALSE),"Frame")</f>
        <v>Frame</v>
      </c>
      <c r="AF73" s="21" t="s">
        <v>671</v>
      </c>
      <c r="AG73">
        <f>500</f>
        <v>500</v>
      </c>
      <c r="AJ73" s="79" t="s">
        <v>513</v>
      </c>
      <c r="AK73" s="509" t="s">
        <v>1124</v>
      </c>
      <c r="AL73" t="s">
        <v>548</v>
      </c>
      <c r="AM73" t="s">
        <v>14</v>
      </c>
      <c r="AN73" s="53" t="s">
        <v>571</v>
      </c>
      <c r="AO73" s="53">
        <v>0</v>
      </c>
      <c r="AP73" s="53">
        <v>0</v>
      </c>
      <c r="AQ73" s="53" t="s">
        <v>571</v>
      </c>
      <c r="AR73" s="97" t="str">
        <f t="shared" ca="1" si="39"/>
        <v>-</v>
      </c>
      <c r="AS73" s="117">
        <v>72</v>
      </c>
      <c r="AT73" s="569">
        <v>67</v>
      </c>
      <c r="AU73" s="509" t="s">
        <v>1136</v>
      </c>
      <c r="AV73" s="510" t="str">
        <f t="shared" si="40"/>
        <v/>
      </c>
      <c r="AW73" s="567"/>
      <c r="AX73" s="509" t="str">
        <f t="shared" si="41"/>
        <v>Parcel post</v>
      </c>
    </row>
    <row r="74" spans="1:50" x14ac:dyDescent="0.25">
      <c r="A74" s="536">
        <v>32800</v>
      </c>
      <c r="B74" s="529" t="s">
        <v>630</v>
      </c>
      <c r="C74" s="583"/>
      <c r="D74" s="574" t="s">
        <v>583</v>
      </c>
      <c r="E74" s="581" t="s">
        <v>585</v>
      </c>
      <c r="F74" s="574"/>
      <c r="G74" s="523"/>
      <c r="H74" s="522"/>
      <c r="I74" s="522"/>
      <c r="J74" s="522"/>
      <c r="K74" s="522"/>
      <c r="L74" s="524"/>
      <c r="O74" t="s">
        <v>705</v>
      </c>
      <c r="P74" t="s">
        <v>217</v>
      </c>
      <c r="T74" s="2" t="s">
        <v>174</v>
      </c>
      <c r="AJ74" s="79" t="s">
        <v>514</v>
      </c>
      <c r="AK74" s="509" t="s">
        <v>514</v>
      </c>
      <c r="AL74" t="s">
        <v>548</v>
      </c>
      <c r="AM74" t="s">
        <v>14</v>
      </c>
      <c r="AN74" s="39">
        <v>0.05</v>
      </c>
      <c r="AO74" s="53">
        <v>0</v>
      </c>
      <c r="AP74" s="53">
        <v>0</v>
      </c>
      <c r="AQ74" s="39">
        <v>0.05</v>
      </c>
      <c r="AR74" s="97" t="str">
        <f t="shared" ca="1" si="39"/>
        <v>-</v>
      </c>
      <c r="AS74" s="116">
        <v>73</v>
      </c>
      <c r="AT74" s="569">
        <v>68</v>
      </c>
      <c r="AU74" s="509" t="s">
        <v>1137</v>
      </c>
      <c r="AV74" s="510" t="str">
        <f t="shared" si="40"/>
        <v/>
      </c>
      <c r="AW74" s="567"/>
      <c r="AX74" s="509" t="str">
        <f t="shared" si="41"/>
        <v>Pavement, Sidewalk and Driveways</v>
      </c>
    </row>
    <row r="75" spans="1:50" x14ac:dyDescent="0.25">
      <c r="A75" s="536">
        <v>32805</v>
      </c>
      <c r="B75" s="529" t="s">
        <v>628</v>
      </c>
      <c r="C75" s="583"/>
      <c r="D75" s="574" t="s">
        <v>586</v>
      </c>
      <c r="E75" s="581" t="s">
        <v>587</v>
      </c>
      <c r="F75" s="574"/>
      <c r="G75" s="523"/>
      <c r="H75" s="522"/>
      <c r="I75" s="522"/>
      <c r="J75" s="522"/>
      <c r="K75" s="522"/>
      <c r="L75" s="524"/>
      <c r="O75" t="s">
        <v>710</v>
      </c>
      <c r="P75" t="s">
        <v>216</v>
      </c>
      <c r="T75" t="s">
        <v>175</v>
      </c>
      <c r="U75" s="57">
        <f>$R$216</f>
        <v>0</v>
      </c>
      <c r="AF75" t="s">
        <v>672</v>
      </c>
      <c r="AG75" s="69">
        <f>MAX($U$58,AG72)</f>
        <v>0</v>
      </c>
      <c r="AJ75" s="79" t="s">
        <v>515</v>
      </c>
      <c r="AK75" s="509" t="s">
        <v>1128</v>
      </c>
      <c r="AL75" t="s">
        <v>548</v>
      </c>
      <c r="AM75" t="s">
        <v>14</v>
      </c>
      <c r="AN75" s="53">
        <v>10000</v>
      </c>
      <c r="AO75" s="53">
        <v>0</v>
      </c>
      <c r="AP75" s="53">
        <v>0</v>
      </c>
      <c r="AQ75" s="53">
        <v>50000</v>
      </c>
      <c r="AR75" s="97" t="str">
        <f t="shared" ca="1" si="39"/>
        <v>-</v>
      </c>
      <c r="AS75" s="116">
        <v>74</v>
      </c>
      <c r="AT75" s="569">
        <v>69</v>
      </c>
      <c r="AU75" s="509" t="s">
        <v>1138</v>
      </c>
      <c r="AV75" s="510" t="str">
        <f t="shared" si="40"/>
        <v>$500 person / $25,000 total</v>
      </c>
      <c r="AW75" s="567"/>
      <c r="AX75" s="509" t="str">
        <f t="shared" si="41"/>
        <v/>
      </c>
    </row>
    <row r="76" spans="1:50" x14ac:dyDescent="0.25">
      <c r="A76" s="536">
        <v>31005</v>
      </c>
      <c r="B76" s="529" t="s">
        <v>419</v>
      </c>
      <c r="C76" s="583"/>
      <c r="D76" s="574" t="s">
        <v>584</v>
      </c>
      <c r="E76" s="581"/>
      <c r="F76" s="574"/>
      <c r="G76" s="523"/>
      <c r="H76" s="522"/>
      <c r="I76" s="522"/>
      <c r="J76" s="522"/>
      <c r="K76" s="522"/>
      <c r="L76" s="524"/>
      <c r="O76" t="s">
        <v>707</v>
      </c>
      <c r="P76" t="s">
        <v>216</v>
      </c>
      <c r="T76" t="s">
        <v>172</v>
      </c>
      <c r="U76">
        <f>'2022 Liability Rates'!B185</f>
        <v>319</v>
      </c>
      <c r="AF76" t="s">
        <v>673</v>
      </c>
      <c r="AG76" s="69">
        <f>MAX(U58,AG73)</f>
        <v>500</v>
      </c>
      <c r="AJ76" s="79" t="s">
        <v>516</v>
      </c>
      <c r="AK76" s="509" t="s">
        <v>1129</v>
      </c>
      <c r="AL76" t="s">
        <v>548</v>
      </c>
      <c r="AM76" t="s">
        <v>14</v>
      </c>
      <c r="AN76" s="53">
        <v>25000</v>
      </c>
      <c r="AO76" s="53">
        <v>0</v>
      </c>
      <c r="AP76" s="53">
        <v>0</v>
      </c>
      <c r="AQ76" s="53">
        <v>25000</v>
      </c>
      <c r="AR76" s="97" t="str">
        <f t="shared" ca="1" si="39"/>
        <v>-</v>
      </c>
      <c r="AS76" s="117">
        <v>75</v>
      </c>
      <c r="AT76" s="569">
        <v>70</v>
      </c>
      <c r="AU76" s="509" t="s">
        <v>1139</v>
      </c>
      <c r="AV76" s="510">
        <f t="shared" si="40"/>
        <v>50000</v>
      </c>
      <c r="AW76" s="567"/>
      <c r="AX76" s="509" t="str">
        <f t="shared" si="41"/>
        <v/>
      </c>
    </row>
    <row r="77" spans="1:50" x14ac:dyDescent="0.25">
      <c r="A77" s="536">
        <v>31010</v>
      </c>
      <c r="B77" s="529" t="s">
        <v>420</v>
      </c>
      <c r="C77" s="583"/>
      <c r="D77" s="574" t="s">
        <v>588</v>
      </c>
      <c r="E77" s="581"/>
      <c r="F77" s="574"/>
      <c r="G77" s="523"/>
      <c r="H77" s="522"/>
      <c r="I77" s="522"/>
      <c r="J77" s="522"/>
      <c r="K77" s="522"/>
      <c r="L77" s="524"/>
      <c r="O77" t="s">
        <v>708</v>
      </c>
      <c r="P77" t="s">
        <v>218</v>
      </c>
      <c r="T77" t="s">
        <v>173</v>
      </c>
      <c r="U77" s="16">
        <f>U76*U75</f>
        <v>0</v>
      </c>
      <c r="AJ77" s="79" t="s">
        <v>517</v>
      </c>
      <c r="AK77" s="509" t="s">
        <v>1135</v>
      </c>
      <c r="AL77" t="s">
        <v>548</v>
      </c>
      <c r="AM77" t="s">
        <v>14</v>
      </c>
      <c r="AN77" s="53" t="s">
        <v>568</v>
      </c>
      <c r="AO77" s="53">
        <v>0</v>
      </c>
      <c r="AP77" s="53">
        <v>0</v>
      </c>
      <c r="AQ77" s="53" t="s">
        <v>568</v>
      </c>
      <c r="AR77" s="97" t="str">
        <f t="shared" ca="1" si="39"/>
        <v>-</v>
      </c>
      <c r="AS77" s="116">
        <v>76</v>
      </c>
      <c r="AT77" s="569">
        <v>71</v>
      </c>
      <c r="AU77" s="509" t="s">
        <v>1140</v>
      </c>
      <c r="AV77" s="510" t="str">
        <f t="shared" si="40"/>
        <v/>
      </c>
      <c r="AW77" s="567"/>
      <c r="AX77" s="509" t="str">
        <f t="shared" si="41"/>
        <v>Preservation of property</v>
      </c>
    </row>
    <row r="78" spans="1:50" x14ac:dyDescent="0.25">
      <c r="A78" s="536">
        <v>31011</v>
      </c>
      <c r="B78" s="529" t="s">
        <v>421</v>
      </c>
      <c r="C78" s="583"/>
      <c r="D78" s="574" t="s">
        <v>119</v>
      </c>
      <c r="E78" s="581">
        <v>729708</v>
      </c>
      <c r="F78" s="574"/>
      <c r="G78" s="523"/>
      <c r="H78" s="522"/>
      <c r="I78" s="522"/>
      <c r="J78" s="522"/>
      <c r="K78" s="522"/>
      <c r="L78" s="524"/>
      <c r="O78" t="s">
        <v>1071</v>
      </c>
      <c r="P78" t="s">
        <v>219</v>
      </c>
      <c r="AJ78" s="79" t="s">
        <v>518</v>
      </c>
      <c r="AK78" s="509" t="s">
        <v>1148</v>
      </c>
      <c r="AL78" t="s">
        <v>548</v>
      </c>
      <c r="AM78" t="s">
        <v>14</v>
      </c>
      <c r="AN78" s="53">
        <f>SUM($U$166,$U$186)</f>
        <v>0</v>
      </c>
      <c r="AO78" s="53">
        <v>0</v>
      </c>
      <c r="AP78" s="53">
        <v>0</v>
      </c>
      <c r="AQ78" s="53">
        <v>100000</v>
      </c>
      <c r="AR78" s="97" t="str">
        <f t="shared" ca="1" si="39"/>
        <v>-</v>
      </c>
      <c r="AS78" s="116">
        <v>77</v>
      </c>
      <c r="AT78" s="569">
        <v>72</v>
      </c>
      <c r="AU78" s="509" t="s">
        <v>1141</v>
      </c>
      <c r="AV78" s="510">
        <f t="shared" si="40"/>
        <v>50000</v>
      </c>
      <c r="AW78" s="567"/>
      <c r="AX78" s="509" t="str">
        <f t="shared" si="41"/>
        <v/>
      </c>
    </row>
    <row r="79" spans="1:50" x14ac:dyDescent="0.25">
      <c r="A79" s="536">
        <v>31015</v>
      </c>
      <c r="B79" s="529" t="s">
        <v>422</v>
      </c>
      <c r="C79" s="583"/>
      <c r="D79" s="574" t="s">
        <v>120</v>
      </c>
      <c r="E79" s="581"/>
      <c r="F79" s="574"/>
      <c r="G79" s="523"/>
      <c r="H79" s="522"/>
      <c r="I79" s="522"/>
      <c r="J79" s="522"/>
      <c r="K79" s="522"/>
      <c r="L79" s="524"/>
      <c r="O79" t="s">
        <v>709</v>
      </c>
      <c r="P79" t="s">
        <v>219</v>
      </c>
      <c r="T79" s="2" t="s">
        <v>6</v>
      </c>
      <c r="AJ79" s="79" t="s">
        <v>519</v>
      </c>
      <c r="AK79" s="509" t="s">
        <v>1138</v>
      </c>
      <c r="AL79" t="s">
        <v>548</v>
      </c>
      <c r="AM79" t="s">
        <v>14</v>
      </c>
      <c r="AN79" s="53" t="s">
        <v>572</v>
      </c>
      <c r="AO79" s="53">
        <v>0</v>
      </c>
      <c r="AP79" s="53">
        <v>0</v>
      </c>
      <c r="AQ79" s="53" t="s">
        <v>572</v>
      </c>
      <c r="AR79" s="97" t="str">
        <f t="shared" ca="1" si="39"/>
        <v>-</v>
      </c>
      <c r="AS79" s="117">
        <v>78</v>
      </c>
      <c r="AT79" s="569">
        <v>73</v>
      </c>
      <c r="AU79" s="509" t="s">
        <v>1142</v>
      </c>
      <c r="AV79" s="510">
        <f t="shared" si="40"/>
        <v>50000</v>
      </c>
      <c r="AW79" s="567"/>
      <c r="AX79" s="509" t="str">
        <f t="shared" si="41"/>
        <v/>
      </c>
    </row>
    <row r="80" spans="1:50" x14ac:dyDescent="0.25">
      <c r="A80" s="536">
        <v>31020</v>
      </c>
      <c r="B80" s="529" t="s">
        <v>423</v>
      </c>
      <c r="C80" s="583"/>
      <c r="D80" s="574" t="s">
        <v>121</v>
      </c>
      <c r="E80" s="581"/>
      <c r="F80" s="574"/>
      <c r="G80" s="523"/>
      <c r="H80" s="522"/>
      <c r="I80" s="522"/>
      <c r="J80" s="522"/>
      <c r="K80" s="522"/>
      <c r="L80" s="524"/>
      <c r="T80" t="s">
        <v>436</v>
      </c>
      <c r="U80" s="57">
        <f>R217</f>
        <v>0</v>
      </c>
      <c r="AJ80" s="79" t="s">
        <v>520</v>
      </c>
      <c r="AK80" s="509" t="s">
        <v>1139</v>
      </c>
      <c r="AL80" t="s">
        <v>548</v>
      </c>
      <c r="AM80" t="s">
        <v>14</v>
      </c>
      <c r="AN80" s="53">
        <f>SUM($U$166,$U$186)</f>
        <v>0</v>
      </c>
      <c r="AO80" s="53">
        <v>0</v>
      </c>
      <c r="AP80" s="53">
        <v>0</v>
      </c>
      <c r="AQ80" s="53">
        <v>50000</v>
      </c>
      <c r="AR80" s="97" t="str">
        <f t="shared" ca="1" si="39"/>
        <v>-</v>
      </c>
      <c r="AS80" s="116">
        <v>79</v>
      </c>
      <c r="AT80" s="569">
        <v>74</v>
      </c>
      <c r="AU80" s="509" t="s">
        <v>1143</v>
      </c>
      <c r="AV80" s="510" t="str">
        <f t="shared" si="40"/>
        <v/>
      </c>
      <c r="AW80" s="567"/>
      <c r="AX80" s="509" t="str">
        <f t="shared" si="41"/>
        <v>Rental reimbursement</v>
      </c>
    </row>
    <row r="81" spans="1:50" x14ac:dyDescent="0.25">
      <c r="A81" s="536">
        <v>31025</v>
      </c>
      <c r="B81" s="529" t="s">
        <v>424</v>
      </c>
      <c r="C81" s="583"/>
      <c r="D81" s="574" t="s">
        <v>122</v>
      </c>
      <c r="E81" s="581"/>
      <c r="F81" s="574"/>
      <c r="G81" s="523"/>
      <c r="H81" s="522"/>
      <c r="I81" s="522"/>
      <c r="J81" s="522"/>
      <c r="K81" s="522"/>
      <c r="L81" s="524"/>
      <c r="T81" t="s">
        <v>177</v>
      </c>
      <c r="U81">
        <v>138</v>
      </c>
      <c r="AJ81" s="79" t="s">
        <v>521</v>
      </c>
      <c r="AK81" s="509" t="s">
        <v>1141</v>
      </c>
      <c r="AL81" t="s">
        <v>548</v>
      </c>
      <c r="AM81" t="s">
        <v>14</v>
      </c>
      <c r="AN81" s="53">
        <f>SUM($U$166,$U$186)</f>
        <v>0</v>
      </c>
      <c r="AO81" s="53">
        <v>0</v>
      </c>
      <c r="AP81" s="53">
        <v>0</v>
      </c>
      <c r="AQ81" s="53">
        <v>50000</v>
      </c>
      <c r="AR81" s="97" t="str">
        <f t="shared" ca="1" si="39"/>
        <v>-</v>
      </c>
      <c r="AS81" s="116">
        <v>80</v>
      </c>
      <c r="AT81" s="569">
        <v>75</v>
      </c>
      <c r="AU81" s="509" t="s">
        <v>1144</v>
      </c>
      <c r="AV81" s="510" t="str">
        <f t="shared" si="40"/>
        <v>Included</v>
      </c>
      <c r="AW81" s="567"/>
      <c r="AX81" s="509" t="str">
        <f t="shared" si="41"/>
        <v/>
      </c>
    </row>
    <row r="82" spans="1:50" x14ac:dyDescent="0.25">
      <c r="A82" s="536">
        <v>31030</v>
      </c>
      <c r="B82" s="529" t="s">
        <v>425</v>
      </c>
      <c r="C82" s="583"/>
      <c r="D82" s="574" t="s">
        <v>123</v>
      </c>
      <c r="E82" s="581"/>
      <c r="F82" s="574"/>
      <c r="G82" s="523"/>
      <c r="H82" s="522"/>
      <c r="I82" s="522"/>
      <c r="J82" s="522"/>
      <c r="K82" s="522"/>
      <c r="L82" s="524"/>
      <c r="T82" t="s">
        <v>173</v>
      </c>
      <c r="U82" s="16">
        <f>IF(U80&gt;0,U81,0)</f>
        <v>0</v>
      </c>
      <c r="AJ82" s="79" t="s">
        <v>522</v>
      </c>
      <c r="AK82" s="509" t="s">
        <v>1120</v>
      </c>
      <c r="AL82" t="s">
        <v>548</v>
      </c>
      <c r="AM82" t="s">
        <v>14</v>
      </c>
      <c r="AN82" s="53">
        <v>15000</v>
      </c>
      <c r="AO82" s="53">
        <v>0</v>
      </c>
      <c r="AP82" s="53">
        <v>0</v>
      </c>
      <c r="AQ82" s="53">
        <v>25000</v>
      </c>
      <c r="AR82" s="97" t="str">
        <f t="shared" ca="1" si="39"/>
        <v>-</v>
      </c>
      <c r="AS82" s="117">
        <v>81</v>
      </c>
      <c r="AT82" s="569">
        <v>76</v>
      </c>
      <c r="AU82" s="509" t="s">
        <v>1145</v>
      </c>
      <c r="AV82" s="510" t="str">
        <f t="shared" si="40"/>
        <v/>
      </c>
      <c r="AW82" s="567"/>
      <c r="AX82" s="509" t="str">
        <f t="shared" si="41"/>
        <v>Replacement cost - tools</v>
      </c>
    </row>
    <row r="83" spans="1:50" x14ac:dyDescent="0.25">
      <c r="A83" s="536">
        <v>31031</v>
      </c>
      <c r="B83" s="529" t="s">
        <v>426</v>
      </c>
      <c r="C83" s="583"/>
      <c r="D83" s="574" t="s">
        <v>124</v>
      </c>
      <c r="E83" s="581"/>
      <c r="F83" s="574"/>
      <c r="G83" s="523"/>
      <c r="H83" s="522"/>
      <c r="I83" s="522"/>
      <c r="J83" s="522"/>
      <c r="K83" s="522"/>
      <c r="L83" s="524"/>
      <c r="AJ83" s="79" t="s">
        <v>523</v>
      </c>
      <c r="AK83" s="509" t="s">
        <v>1151</v>
      </c>
      <c r="AL83" t="s">
        <v>548</v>
      </c>
      <c r="AM83" t="s">
        <v>14</v>
      </c>
      <c r="AN83" s="53">
        <f>SUM($U$166,$U$186)</f>
        <v>0</v>
      </c>
      <c r="AO83" s="53">
        <v>0</v>
      </c>
      <c r="AP83" s="53">
        <v>0</v>
      </c>
      <c r="AQ83" s="53">
        <v>25000</v>
      </c>
      <c r="AR83" s="97" t="str">
        <f t="shared" ca="1" si="39"/>
        <v>-</v>
      </c>
      <c r="AS83" s="116">
        <v>82</v>
      </c>
      <c r="AT83" s="569">
        <v>77</v>
      </c>
      <c r="AU83" s="509" t="s">
        <v>1146</v>
      </c>
      <c r="AV83" s="510" t="str">
        <f t="shared" si="40"/>
        <v/>
      </c>
      <c r="AW83" s="567"/>
      <c r="AX83" s="509" t="str">
        <f t="shared" si="41"/>
        <v>Retailers product impairment</v>
      </c>
    </row>
    <row r="84" spans="1:50" x14ac:dyDescent="0.25">
      <c r="A84" s="536">
        <v>31032</v>
      </c>
      <c r="B84" s="529" t="s">
        <v>427</v>
      </c>
      <c r="C84" s="583"/>
      <c r="D84" s="574" t="s">
        <v>138</v>
      </c>
      <c r="E84" s="581"/>
      <c r="F84" s="574"/>
      <c r="G84" s="523"/>
      <c r="H84" s="522"/>
      <c r="I84" s="522"/>
      <c r="J84" s="522"/>
      <c r="K84" s="522"/>
      <c r="L84" s="524"/>
      <c r="T84" s="2" t="s">
        <v>178</v>
      </c>
      <c r="AJ84" s="79" t="s">
        <v>524</v>
      </c>
      <c r="AK84" s="131" t="s">
        <v>1153</v>
      </c>
      <c r="AL84" t="s">
        <v>548</v>
      </c>
      <c r="AM84" t="s">
        <v>14</v>
      </c>
      <c r="AN84" s="53">
        <f>SUM($U$166,$U$186)</f>
        <v>0</v>
      </c>
      <c r="AO84" s="53">
        <v>0</v>
      </c>
      <c r="AP84" s="53">
        <v>0</v>
      </c>
      <c r="AQ84" s="53">
        <v>25000</v>
      </c>
      <c r="AR84" s="97" t="str">
        <f t="shared" ca="1" si="39"/>
        <v>-</v>
      </c>
      <c r="AS84" s="116">
        <v>83</v>
      </c>
      <c r="AT84" s="569">
        <v>78</v>
      </c>
      <c r="AU84" s="509" t="s">
        <v>1147</v>
      </c>
      <c r="AV84" s="510" t="str">
        <f t="shared" si="40"/>
        <v/>
      </c>
      <c r="AW84" s="567"/>
      <c r="AX84" s="509" t="str">
        <f t="shared" si="41"/>
        <v>Sales representative samples</v>
      </c>
    </row>
    <row r="85" spans="1:50" ht="17.25" x14ac:dyDescent="0.3">
      <c r="A85" s="536">
        <v>31255</v>
      </c>
      <c r="B85" s="529" t="s">
        <v>428</v>
      </c>
      <c r="C85" s="583"/>
      <c r="D85" s="574" t="s">
        <v>125</v>
      </c>
      <c r="E85" s="581"/>
      <c r="F85" s="574"/>
      <c r="G85" s="523"/>
      <c r="H85" s="522"/>
      <c r="I85" s="522"/>
      <c r="J85" s="522"/>
      <c r="K85" s="522"/>
      <c r="L85" s="524"/>
      <c r="M85" s="77" t="s">
        <v>358</v>
      </c>
      <c r="T85" t="s">
        <v>179</v>
      </c>
      <c r="U85" s="58" t="str">
        <f>$R$272</f>
        <v>Yes</v>
      </c>
      <c r="AJ85" s="79" t="s">
        <v>525</v>
      </c>
      <c r="AK85" s="131" t="s">
        <v>1128</v>
      </c>
      <c r="AL85" t="s">
        <v>548</v>
      </c>
      <c r="AM85" t="s">
        <v>14</v>
      </c>
      <c r="AN85" s="53">
        <v>25000</v>
      </c>
      <c r="AO85" s="53">
        <v>0</v>
      </c>
      <c r="AP85" s="53">
        <v>0</v>
      </c>
      <c r="AQ85" s="53">
        <v>50000</v>
      </c>
      <c r="AR85" s="97" t="str">
        <f t="shared" ca="1" si="39"/>
        <v>-</v>
      </c>
      <c r="AS85" s="117">
        <v>84</v>
      </c>
      <c r="AT85" s="569">
        <v>79</v>
      </c>
      <c r="AU85" s="509" t="s">
        <v>1148</v>
      </c>
      <c r="AV85" s="510">
        <f t="shared" si="40"/>
        <v>100000</v>
      </c>
      <c r="AW85" s="567"/>
      <c r="AX85" s="509" t="str">
        <f t="shared" si="41"/>
        <v/>
      </c>
    </row>
    <row r="86" spans="1:50" x14ac:dyDescent="0.25">
      <c r="A86" s="536">
        <v>31260</v>
      </c>
      <c r="B86" s="529" t="s">
        <v>429</v>
      </c>
      <c r="C86" s="583"/>
      <c r="D86" s="574" t="s">
        <v>127</v>
      </c>
      <c r="E86" s="581"/>
      <c r="F86" s="574"/>
      <c r="G86" s="523"/>
      <c r="H86" s="522"/>
      <c r="I86" s="522"/>
      <c r="J86" s="522"/>
      <c r="K86" s="522"/>
      <c r="L86" s="524"/>
      <c r="M86" s="80" t="s">
        <v>343</v>
      </c>
      <c r="N86" s="47"/>
      <c r="O86" s="48" t="s">
        <v>345</v>
      </c>
      <c r="P86" s="2" t="s">
        <v>346</v>
      </c>
      <c r="Q86" s="2"/>
      <c r="R86" s="2" t="s">
        <v>347</v>
      </c>
      <c r="T86" t="s">
        <v>639</v>
      </c>
      <c r="U86" s="58" t="str">
        <f>R277</f>
        <v>Sold</v>
      </c>
      <c r="AJ86" s="79" t="s">
        <v>526</v>
      </c>
      <c r="AK86" s="509" t="s">
        <v>526</v>
      </c>
      <c r="AL86" t="s">
        <v>548</v>
      </c>
      <c r="AM86" t="s">
        <v>14</v>
      </c>
      <c r="AN86" s="53">
        <f>SUM($U$166,$U$186)</f>
        <v>0</v>
      </c>
      <c r="AO86" s="53">
        <v>0</v>
      </c>
      <c r="AP86" s="53">
        <v>0</v>
      </c>
      <c r="AQ86" s="53">
        <v>50000</v>
      </c>
      <c r="AR86" s="97" t="str">
        <f t="shared" ca="1" si="39"/>
        <v>-</v>
      </c>
      <c r="AS86" s="116">
        <v>85</v>
      </c>
      <c r="AT86" s="569">
        <v>80</v>
      </c>
      <c r="AU86" s="509" t="s">
        <v>1149</v>
      </c>
      <c r="AV86" s="510" t="str">
        <f t="shared" si="40"/>
        <v>Included</v>
      </c>
      <c r="AW86" s="567"/>
      <c r="AX86" s="509" t="str">
        <f t="shared" si="41"/>
        <v/>
      </c>
    </row>
    <row r="87" spans="1:50" x14ac:dyDescent="0.25">
      <c r="A87" s="536">
        <v>31265</v>
      </c>
      <c r="B87" s="529" t="s">
        <v>430</v>
      </c>
      <c r="C87" s="583"/>
      <c r="D87" s="574" t="s">
        <v>126</v>
      </c>
      <c r="E87" s="581"/>
      <c r="F87" s="574"/>
      <c r="G87" s="523"/>
      <c r="H87" s="522"/>
      <c r="I87" s="522"/>
      <c r="J87" s="522"/>
      <c r="K87" s="522"/>
      <c r="L87" s="524"/>
      <c r="M87" s="79" t="s">
        <v>348</v>
      </c>
      <c r="N87" s="43">
        <f>$C$104</f>
        <v>0</v>
      </c>
      <c r="O87" s="9">
        <v>0</v>
      </c>
      <c r="P87" s="31" t="s">
        <v>349</v>
      </c>
      <c r="R87" s="9" t="str">
        <f>VLOOKUP(N88,$O$87:$P$107,2,FALSE)</f>
        <v>1-8</v>
      </c>
      <c r="T87" t="s">
        <v>636</v>
      </c>
      <c r="U87" s="58">
        <f>R278</f>
        <v>0</v>
      </c>
      <c r="X87" t="s">
        <v>659</v>
      </c>
      <c r="AJ87" s="79" t="s">
        <v>527</v>
      </c>
      <c r="AK87" s="509" t="s">
        <v>1119</v>
      </c>
      <c r="AL87" t="s">
        <v>548</v>
      </c>
      <c r="AM87" t="s">
        <v>14</v>
      </c>
      <c r="AN87" s="53" t="s">
        <v>568</v>
      </c>
      <c r="AO87" s="53">
        <v>0</v>
      </c>
      <c r="AP87" s="53">
        <v>0</v>
      </c>
      <c r="AQ87" s="53" t="s">
        <v>568</v>
      </c>
      <c r="AR87" s="97" t="str">
        <f t="shared" ca="1" si="39"/>
        <v>-</v>
      </c>
      <c r="AS87" s="116">
        <v>86</v>
      </c>
      <c r="AT87" s="569">
        <v>81</v>
      </c>
      <c r="AU87" s="509" t="s">
        <v>1150</v>
      </c>
      <c r="AV87" s="510">
        <f t="shared" si="40"/>
        <v>0</v>
      </c>
      <c r="AW87" s="567"/>
      <c r="AX87" s="509" t="str">
        <f t="shared" si="41"/>
        <v/>
      </c>
    </row>
    <row r="88" spans="1:50" x14ac:dyDescent="0.25">
      <c r="A88" s="536">
        <v>31270</v>
      </c>
      <c r="B88" s="529" t="s">
        <v>431</v>
      </c>
      <c r="C88" s="583"/>
      <c r="D88" s="574" t="s">
        <v>1324</v>
      </c>
      <c r="E88" s="581">
        <v>110000</v>
      </c>
      <c r="F88" s="574"/>
      <c r="G88" s="523"/>
      <c r="H88" s="522"/>
      <c r="I88" s="522"/>
      <c r="J88" s="522"/>
      <c r="K88" s="522"/>
      <c r="L88" s="524"/>
      <c r="M88" s="79" t="s">
        <v>350</v>
      </c>
      <c r="N88" s="44">
        <f>IFERROR(VLOOKUP(N87,O87:O107,1,TRUE),"Not required")</f>
        <v>0</v>
      </c>
      <c r="O88" s="9">
        <v>1</v>
      </c>
      <c r="P88" s="31" t="s">
        <v>349</v>
      </c>
      <c r="R88" s="9"/>
      <c r="T88" t="s">
        <v>637</v>
      </c>
      <c r="U88" s="113"/>
      <c r="X88" t="s">
        <v>660</v>
      </c>
      <c r="AJ88" s="79" t="s">
        <v>528</v>
      </c>
      <c r="AL88" t="s">
        <v>548</v>
      </c>
      <c r="AM88" t="s">
        <v>14</v>
      </c>
      <c r="AN88" s="53" t="s">
        <v>568</v>
      </c>
      <c r="AO88" s="53">
        <v>0</v>
      </c>
      <c r="AP88" s="53">
        <v>0</v>
      </c>
      <c r="AQ88" s="53" t="s">
        <v>568</v>
      </c>
      <c r="AR88" s="97" t="str">
        <f t="shared" ca="1" si="39"/>
        <v>-</v>
      </c>
      <c r="AS88" s="117">
        <v>87</v>
      </c>
      <c r="AT88" s="569">
        <v>82</v>
      </c>
      <c r="AU88" s="509" t="s">
        <v>1151</v>
      </c>
      <c r="AV88" s="510">
        <f t="shared" si="40"/>
        <v>25000</v>
      </c>
      <c r="AW88" s="567"/>
      <c r="AX88" s="509" t="str">
        <f t="shared" si="41"/>
        <v/>
      </c>
    </row>
    <row r="89" spans="1:50" x14ac:dyDescent="0.25">
      <c r="A89" s="536" t="s">
        <v>691</v>
      </c>
      <c r="B89" s="529" t="s">
        <v>370</v>
      </c>
      <c r="C89" s="583"/>
      <c r="D89" s="574" t="s">
        <v>1325</v>
      </c>
      <c r="E89" s="581">
        <v>125000</v>
      </c>
      <c r="F89" s="574"/>
      <c r="G89" s="523"/>
      <c r="H89" s="522"/>
      <c r="I89" s="522"/>
      <c r="J89" s="522"/>
      <c r="K89" s="522"/>
      <c r="L89" s="524"/>
      <c r="O89" s="9">
        <v>2</v>
      </c>
      <c r="P89" s="31" t="s">
        <v>349</v>
      </c>
      <c r="R89" s="9"/>
      <c r="T89" t="s">
        <v>638</v>
      </c>
      <c r="U89" s="101"/>
      <c r="X89" t="s">
        <v>661</v>
      </c>
      <c r="AJ89" s="79" t="s">
        <v>529</v>
      </c>
      <c r="AK89" s="509" t="s">
        <v>529</v>
      </c>
      <c r="AL89" t="s">
        <v>547</v>
      </c>
      <c r="AM89" t="s">
        <v>14</v>
      </c>
      <c r="AN89" s="53" t="s">
        <v>568</v>
      </c>
      <c r="AO89" s="53">
        <v>0</v>
      </c>
      <c r="AP89" s="53">
        <v>0</v>
      </c>
      <c r="AQ89" s="53" t="s">
        <v>568</v>
      </c>
      <c r="AR89" s="97" t="str">
        <f t="shared" ca="1" si="39"/>
        <v>-</v>
      </c>
      <c r="AS89" s="116">
        <v>88</v>
      </c>
      <c r="AT89" s="569">
        <v>83</v>
      </c>
      <c r="AU89" s="509" t="s">
        <v>1152</v>
      </c>
      <c r="AV89" s="510" t="str">
        <f t="shared" si="40"/>
        <v/>
      </c>
      <c r="AW89" s="567"/>
      <c r="AX89" s="509" t="str">
        <f t="shared" si="41"/>
        <v>Tenants damage by vandalism exclusion</v>
      </c>
    </row>
    <row r="90" spans="1:50" x14ac:dyDescent="0.25">
      <c r="A90" s="536" t="s">
        <v>692</v>
      </c>
      <c r="B90" s="529" t="s">
        <v>206</v>
      </c>
      <c r="C90" s="583"/>
      <c r="D90" s="574" t="s">
        <v>1311</v>
      </c>
      <c r="E90" s="581">
        <v>60</v>
      </c>
      <c r="F90" s="574"/>
      <c r="G90" s="523"/>
      <c r="H90" s="522"/>
      <c r="I90" s="522"/>
      <c r="J90" s="522"/>
      <c r="K90" s="522"/>
      <c r="L90" s="524"/>
      <c r="M90" s="81"/>
      <c r="O90" s="9">
        <v>3</v>
      </c>
      <c r="P90" s="31" t="s">
        <v>349</v>
      </c>
      <c r="T90" t="s">
        <v>658</v>
      </c>
      <c r="U90">
        <v>138</v>
      </c>
      <c r="AJ90" s="79" t="s">
        <v>530</v>
      </c>
      <c r="AK90" s="509" t="s">
        <v>530</v>
      </c>
      <c r="AL90" t="s">
        <v>547</v>
      </c>
      <c r="AM90" t="s">
        <v>14</v>
      </c>
      <c r="AN90" s="53" t="s">
        <v>568</v>
      </c>
      <c r="AO90" s="53">
        <v>0</v>
      </c>
      <c r="AP90" s="53">
        <v>0</v>
      </c>
      <c r="AQ90" s="53" t="s">
        <v>568</v>
      </c>
      <c r="AR90" s="97" t="str">
        <f t="shared" ca="1" si="39"/>
        <v>-</v>
      </c>
      <c r="AS90" s="116">
        <v>89</v>
      </c>
      <c r="AT90" s="569">
        <v>84</v>
      </c>
      <c r="AU90" s="509" t="s">
        <v>1153</v>
      </c>
      <c r="AV90" s="510">
        <f t="shared" si="40"/>
        <v>25000</v>
      </c>
      <c r="AW90" s="567"/>
      <c r="AX90" s="509" t="str">
        <f t="shared" si="41"/>
        <v/>
      </c>
    </row>
    <row r="91" spans="1:50" x14ac:dyDescent="0.25">
      <c r="A91" s="536">
        <v>31001</v>
      </c>
      <c r="B91" s="529" t="s">
        <v>371</v>
      </c>
      <c r="C91" s="583"/>
      <c r="D91" s="574" t="s">
        <v>147</v>
      </c>
      <c r="E91" s="581"/>
      <c r="F91" s="574"/>
      <c r="G91" s="523"/>
      <c r="H91" s="522"/>
      <c r="I91" s="522"/>
      <c r="J91" s="522"/>
      <c r="K91" s="522"/>
      <c r="L91" s="524"/>
      <c r="M91" s="81"/>
      <c r="O91" s="9">
        <v>4</v>
      </c>
      <c r="P91" s="31" t="s">
        <v>349</v>
      </c>
      <c r="T91" t="s">
        <v>640</v>
      </c>
      <c r="AJ91" s="79" t="s">
        <v>531</v>
      </c>
      <c r="AK91" s="509" t="s">
        <v>1149</v>
      </c>
      <c r="AL91" t="s">
        <v>547</v>
      </c>
      <c r="AM91" t="s">
        <v>14</v>
      </c>
      <c r="AN91" s="53" t="s">
        <v>568</v>
      </c>
      <c r="AO91" s="53">
        <v>0</v>
      </c>
      <c r="AP91" s="53">
        <v>0</v>
      </c>
      <c r="AQ91" s="53" t="s">
        <v>568</v>
      </c>
      <c r="AR91" s="97" t="str">
        <f t="shared" ca="1" si="39"/>
        <v>-</v>
      </c>
      <c r="AS91" s="117">
        <v>90</v>
      </c>
      <c r="AT91" s="569">
        <v>85</v>
      </c>
      <c r="AU91" s="509" t="s">
        <v>1154</v>
      </c>
      <c r="AV91" s="510" t="str">
        <f t="shared" si="40"/>
        <v/>
      </c>
      <c r="AW91" s="567"/>
      <c r="AX91" s="509" t="str">
        <f t="shared" si="41"/>
        <v>Tools single item limit</v>
      </c>
    </row>
    <row r="92" spans="1:50" x14ac:dyDescent="0.25">
      <c r="A92" s="536" t="s">
        <v>1373</v>
      </c>
      <c r="B92" s="529" t="s">
        <v>134</v>
      </c>
      <c r="C92"/>
      <c r="D92" s="574" t="s">
        <v>82</v>
      </c>
      <c r="E92" s="581"/>
      <c r="F92" s="574"/>
      <c r="G92" s="523"/>
      <c r="H92" s="522"/>
      <c r="I92" s="522"/>
      <c r="J92" s="522"/>
      <c r="K92" s="522"/>
      <c r="L92" s="524"/>
      <c r="M92" s="81"/>
      <c r="O92" s="9">
        <v>5</v>
      </c>
      <c r="P92" s="31" t="s">
        <v>349</v>
      </c>
      <c r="T92" t="s">
        <v>641</v>
      </c>
      <c r="AJ92" s="79" t="s">
        <v>532</v>
      </c>
      <c r="AL92" t="s">
        <v>547</v>
      </c>
      <c r="AM92" t="s">
        <v>14</v>
      </c>
      <c r="AN92" s="53">
        <v>0</v>
      </c>
      <c r="AO92" s="53">
        <v>0</v>
      </c>
      <c r="AP92" s="53">
        <v>0</v>
      </c>
      <c r="AQ92" s="53" t="s">
        <v>568</v>
      </c>
      <c r="AR92" s="97" t="str">
        <f t="shared" ca="1" si="39"/>
        <v>-</v>
      </c>
      <c r="AS92" s="116">
        <v>91</v>
      </c>
      <c r="AT92" s="569">
        <v>86</v>
      </c>
      <c r="AU92" s="509" t="s">
        <v>1155</v>
      </c>
      <c r="AV92" s="510" t="str">
        <f t="shared" si="40"/>
        <v/>
      </c>
      <c r="AW92" s="567"/>
      <c r="AX92" s="509" t="str">
        <f t="shared" si="41"/>
        <v>Tools co-insurance</v>
      </c>
    </row>
    <row r="93" spans="1:50" x14ac:dyDescent="0.25">
      <c r="A93" s="536" t="s">
        <v>1374</v>
      </c>
      <c r="B93" s="529" t="s">
        <v>1349</v>
      </c>
      <c r="C93" s="583"/>
      <c r="D93" s="574" t="s">
        <v>1317</v>
      </c>
      <c r="E93" s="581"/>
      <c r="F93" s="574"/>
      <c r="G93" s="523"/>
      <c r="H93" s="522"/>
      <c r="I93" s="522"/>
      <c r="J93" s="522"/>
      <c r="K93" s="522"/>
      <c r="L93" s="524"/>
      <c r="M93" s="81"/>
      <c r="O93" s="9">
        <v>6</v>
      </c>
      <c r="P93" s="31" t="s">
        <v>349</v>
      </c>
      <c r="T93" t="s">
        <v>173</v>
      </c>
      <c r="U93" s="16">
        <f>IF(U85="Yes",U90,0)</f>
        <v>138</v>
      </c>
      <c r="AJ93" s="79" t="s">
        <v>533</v>
      </c>
      <c r="AK93" s="509" t="s">
        <v>589</v>
      </c>
      <c r="AL93" t="s">
        <v>547</v>
      </c>
      <c r="AM93" t="s">
        <v>14</v>
      </c>
      <c r="AN93" s="53" t="str">
        <f>$R$284</f>
        <v>10% of claim or $25,000</v>
      </c>
      <c r="AO93" s="53">
        <v>0</v>
      </c>
      <c r="AP93" s="53">
        <v>0</v>
      </c>
      <c r="AQ93" s="53" t="str">
        <f>$R$284</f>
        <v>10% of claim or $25,000</v>
      </c>
      <c r="AR93" s="97" t="str">
        <f t="shared" ca="1" si="39"/>
        <v>-</v>
      </c>
      <c r="AS93" s="116">
        <v>92</v>
      </c>
      <c r="AT93" s="569">
        <v>87</v>
      </c>
      <c r="AU93" s="509" t="s">
        <v>526</v>
      </c>
      <c r="AV93" s="510">
        <f t="shared" si="40"/>
        <v>50000</v>
      </c>
      <c r="AW93" s="567"/>
      <c r="AX93" s="509" t="str">
        <f t="shared" si="41"/>
        <v/>
      </c>
    </row>
    <row r="94" spans="1:50" x14ac:dyDescent="0.25">
      <c r="A94" s="536" t="s">
        <v>700</v>
      </c>
      <c r="B94" s="529" t="s">
        <v>643</v>
      </c>
      <c r="C94" s="583"/>
      <c r="D94" s="574" t="s">
        <v>295</v>
      </c>
      <c r="E94" s="581"/>
      <c r="F94" s="574"/>
      <c r="G94" s="523"/>
      <c r="H94" s="522"/>
      <c r="I94" s="522"/>
      <c r="J94" s="522"/>
      <c r="K94" s="522"/>
      <c r="L94" s="524"/>
      <c r="M94" s="81"/>
      <c r="O94" s="9">
        <v>7</v>
      </c>
      <c r="P94" s="31" t="s">
        <v>349</v>
      </c>
      <c r="AJ94" s="79" t="s">
        <v>534</v>
      </c>
      <c r="AK94" s="509" t="s">
        <v>534</v>
      </c>
      <c r="AL94" t="s">
        <v>547</v>
      </c>
      <c r="AM94" t="s">
        <v>14</v>
      </c>
      <c r="AN94" s="53">
        <v>10000</v>
      </c>
      <c r="AO94" s="53">
        <v>0</v>
      </c>
      <c r="AP94" s="53">
        <v>0</v>
      </c>
      <c r="AQ94" s="53">
        <v>10000</v>
      </c>
      <c r="AR94" s="97" t="str">
        <f t="shared" ca="1" si="39"/>
        <v>-</v>
      </c>
      <c r="AS94" s="117">
        <v>93</v>
      </c>
      <c r="AT94" s="569">
        <v>88</v>
      </c>
      <c r="AU94" s="509" t="s">
        <v>735</v>
      </c>
      <c r="AV94" s="510">
        <f t="shared" si="40"/>
        <v>5000</v>
      </c>
      <c r="AW94" s="567"/>
      <c r="AX94" s="509" t="str">
        <f t="shared" si="41"/>
        <v/>
      </c>
    </row>
    <row r="95" spans="1:50" x14ac:dyDescent="0.25">
      <c r="A95" s="536" t="s">
        <v>701</v>
      </c>
      <c r="B95" s="529" t="s">
        <v>321</v>
      </c>
      <c r="C95" s="583"/>
      <c r="D95" s="574" t="s">
        <v>388</v>
      </c>
      <c r="E95" s="581"/>
      <c r="F95" s="574"/>
      <c r="G95" s="523"/>
      <c r="H95" s="522"/>
      <c r="I95" s="522"/>
      <c r="J95" s="522"/>
      <c r="K95" s="522"/>
      <c r="L95" s="524"/>
      <c r="M95" s="81"/>
      <c r="O95" s="9">
        <v>8</v>
      </c>
      <c r="P95" s="31" t="s">
        <v>349</v>
      </c>
      <c r="T95" s="2" t="s">
        <v>180</v>
      </c>
      <c r="AJ95" s="79" t="s">
        <v>735</v>
      </c>
      <c r="AK95" s="509" t="s">
        <v>1298</v>
      </c>
      <c r="AL95" t="s">
        <v>547</v>
      </c>
      <c r="AM95" t="s">
        <v>14</v>
      </c>
      <c r="AN95" s="53">
        <v>5000</v>
      </c>
      <c r="AO95" s="53">
        <v>0</v>
      </c>
      <c r="AP95" s="53">
        <v>0</v>
      </c>
      <c r="AQ95" s="53">
        <v>5000</v>
      </c>
      <c r="AR95" s="97" t="str">
        <f t="shared" ca="1" si="39"/>
        <v>-</v>
      </c>
      <c r="AS95" s="116">
        <v>94</v>
      </c>
      <c r="AT95" s="569">
        <v>89</v>
      </c>
      <c r="AU95" s="509" t="s">
        <v>1156</v>
      </c>
      <c r="AV95" s="510" t="str">
        <f t="shared" si="40"/>
        <v/>
      </c>
      <c r="AW95" s="567"/>
      <c r="AX95" s="509" t="str">
        <f t="shared" si="41"/>
        <v>Work damage to stock</v>
      </c>
    </row>
    <row r="96" spans="1:50" x14ac:dyDescent="0.25">
      <c r="A96" s="536" t="s">
        <v>702</v>
      </c>
      <c r="B96" s="529" t="s">
        <v>322</v>
      </c>
      <c r="C96" s="583"/>
      <c r="D96" s="574" t="s">
        <v>84</v>
      </c>
      <c r="E96" s="581">
        <v>10</v>
      </c>
      <c r="F96" s="574"/>
      <c r="G96" s="523"/>
      <c r="H96" s="522"/>
      <c r="I96" s="522"/>
      <c r="J96" s="522"/>
      <c r="K96" s="522"/>
      <c r="L96" s="524"/>
      <c r="M96" s="81"/>
      <c r="O96" s="9">
        <v>9</v>
      </c>
      <c r="P96" s="32" t="s">
        <v>351</v>
      </c>
      <c r="T96" t="s">
        <v>181</v>
      </c>
      <c r="U96" s="38">
        <f>$Q$10</f>
        <v>0</v>
      </c>
      <c r="AJ96" s="79" t="s">
        <v>734</v>
      </c>
      <c r="AK96" s="509" t="s">
        <v>1278</v>
      </c>
      <c r="AL96" t="s">
        <v>547</v>
      </c>
      <c r="AM96" t="s">
        <v>14</v>
      </c>
      <c r="AN96" s="53">
        <v>5000</v>
      </c>
      <c r="AO96" s="53">
        <v>0</v>
      </c>
      <c r="AP96" s="53">
        <v>0</v>
      </c>
      <c r="AQ96" s="53">
        <v>5000</v>
      </c>
      <c r="AR96" s="97" t="str">
        <f t="shared" ca="1" si="39"/>
        <v>-</v>
      </c>
      <c r="AS96" s="116">
        <v>95</v>
      </c>
      <c r="AT96" s="569">
        <v>90</v>
      </c>
      <c r="AU96" s="509" t="s">
        <v>1157</v>
      </c>
      <c r="AV96" s="510" t="str">
        <f t="shared" si="40"/>
        <v/>
      </c>
      <c r="AW96" s="567"/>
      <c r="AX96" s="509" t="str">
        <f t="shared" si="41"/>
        <v>Absolute pollution exclusion endorsement</v>
      </c>
    </row>
    <row r="97" spans="1:50" x14ac:dyDescent="0.25">
      <c r="A97" s="536" t="s">
        <v>703</v>
      </c>
      <c r="B97" s="529" t="s">
        <v>128</v>
      </c>
      <c r="C97"/>
      <c r="D97" s="574" t="s">
        <v>448</v>
      </c>
      <c r="E97" s="581">
        <v>20</v>
      </c>
      <c r="F97" s="574"/>
      <c r="G97" s="523"/>
      <c r="H97" s="522"/>
      <c r="I97" s="522"/>
      <c r="J97" s="522"/>
      <c r="K97" s="522"/>
      <c r="L97" s="524"/>
      <c r="M97" s="81"/>
      <c r="O97" s="9">
        <v>10</v>
      </c>
      <c r="P97" s="32" t="s">
        <v>351</v>
      </c>
      <c r="T97" t="s">
        <v>177</v>
      </c>
      <c r="U97">
        <v>138</v>
      </c>
      <c r="AJ97" s="79" t="s">
        <v>535</v>
      </c>
      <c r="AK97" s="509" t="s">
        <v>1199</v>
      </c>
      <c r="AL97" t="s">
        <v>223</v>
      </c>
      <c r="AM97" t="s">
        <v>14</v>
      </c>
      <c r="AN97" s="53">
        <v>5000</v>
      </c>
      <c r="AO97" s="53">
        <v>0</v>
      </c>
      <c r="AP97" s="53">
        <v>0</v>
      </c>
      <c r="AQ97" s="53">
        <f t="shared" ref="AQ97:AQ104" si="42">U218</f>
        <v>25000</v>
      </c>
      <c r="AR97" s="97" t="str">
        <f t="shared" ca="1" si="39"/>
        <v>-</v>
      </c>
      <c r="AS97" s="117">
        <v>96</v>
      </c>
      <c r="AT97" s="569">
        <v>91</v>
      </c>
      <c r="AU97" s="509" t="s">
        <v>1158</v>
      </c>
      <c r="AV97" s="510">
        <f t="shared" si="40"/>
        <v>2000000</v>
      </c>
      <c r="AW97" s="567"/>
      <c r="AX97" s="509" t="str">
        <f t="shared" si="41"/>
        <v/>
      </c>
    </row>
    <row r="98" spans="1:50" x14ac:dyDescent="0.25">
      <c r="A98" s="536" t="s">
        <v>711</v>
      </c>
      <c r="B98" s="529" t="s">
        <v>366</v>
      </c>
      <c r="C98" s="583"/>
      <c r="D98" s="574" t="s">
        <v>86</v>
      </c>
      <c r="E98" s="581">
        <v>10</v>
      </c>
      <c r="F98" s="574"/>
      <c r="G98" s="523"/>
      <c r="H98" s="522"/>
      <c r="I98" s="522"/>
      <c r="J98" s="522"/>
      <c r="K98" s="522"/>
      <c r="L98" s="524"/>
      <c r="M98" s="81"/>
      <c r="O98" s="9">
        <v>11</v>
      </c>
      <c r="P98" s="32" t="s">
        <v>351</v>
      </c>
      <c r="T98" t="s">
        <v>173</v>
      </c>
      <c r="U98" s="16">
        <f>IF(U96&gt;0,U97,0)</f>
        <v>0</v>
      </c>
      <c r="AJ98" s="79" t="s">
        <v>536</v>
      </c>
      <c r="AK98" s="509" t="s">
        <v>536</v>
      </c>
      <c r="AL98" t="s">
        <v>223</v>
      </c>
      <c r="AM98" t="s">
        <v>14</v>
      </c>
      <c r="AN98" s="53">
        <v>5000</v>
      </c>
      <c r="AO98" s="53">
        <v>0</v>
      </c>
      <c r="AP98" s="53">
        <v>0</v>
      </c>
      <c r="AQ98" s="53">
        <f t="shared" si="42"/>
        <v>10000</v>
      </c>
      <c r="AR98" s="97" t="str">
        <f t="shared" ca="1" si="39"/>
        <v>-</v>
      </c>
      <c r="AS98" s="116">
        <v>97</v>
      </c>
      <c r="AT98" s="569">
        <v>92</v>
      </c>
      <c r="AU98" s="509" t="s">
        <v>1159</v>
      </c>
      <c r="AV98" s="510" t="str">
        <f t="shared" si="40"/>
        <v/>
      </c>
      <c r="AW98" s="567"/>
      <c r="AX98" s="509" t="str">
        <f t="shared" si="41"/>
        <v>Care, custody and control</v>
      </c>
    </row>
    <row r="99" spans="1:50" x14ac:dyDescent="0.25">
      <c r="A99" s="536" t="s">
        <v>712</v>
      </c>
      <c r="B99" s="529" t="s">
        <v>200</v>
      </c>
      <c r="C99" s="583"/>
      <c r="D99" s="574" t="s">
        <v>384</v>
      </c>
      <c r="E99" s="581"/>
      <c r="F99" s="574"/>
      <c r="G99" s="523"/>
      <c r="H99" s="522"/>
      <c r="I99" s="522"/>
      <c r="J99" s="522"/>
      <c r="K99" s="522"/>
      <c r="L99" s="524"/>
      <c r="M99" s="81"/>
      <c r="O99" s="9">
        <v>12</v>
      </c>
      <c r="P99" s="32" t="s">
        <v>351</v>
      </c>
      <c r="AF99" s="53"/>
      <c r="AJ99" s="79" t="s">
        <v>537</v>
      </c>
      <c r="AK99" s="509" t="s">
        <v>537</v>
      </c>
      <c r="AL99" t="s">
        <v>223</v>
      </c>
      <c r="AM99" t="s">
        <v>14</v>
      </c>
      <c r="AN99" s="53">
        <v>5000</v>
      </c>
      <c r="AO99" s="53">
        <v>0</v>
      </c>
      <c r="AP99" s="53">
        <v>0</v>
      </c>
      <c r="AQ99" s="53">
        <f t="shared" si="42"/>
        <v>10000</v>
      </c>
      <c r="AR99" s="97" t="str">
        <f t="shared" ca="1" si="39"/>
        <v>-</v>
      </c>
      <c r="AS99" s="116">
        <v>98</v>
      </c>
      <c r="AT99" s="569">
        <v>93</v>
      </c>
      <c r="AU99" s="509" t="s">
        <v>1160</v>
      </c>
      <c r="AV99" s="510">
        <f t="shared" si="40"/>
        <v>2000000</v>
      </c>
      <c r="AW99" s="567"/>
      <c r="AX99" s="509" t="str">
        <f t="shared" si="41"/>
        <v/>
      </c>
    </row>
    <row r="100" spans="1:50" x14ac:dyDescent="0.25">
      <c r="A100" s="536" t="s">
        <v>713</v>
      </c>
      <c r="B100" s="529" t="s">
        <v>202</v>
      </c>
      <c r="C100" s="583"/>
      <c r="D100" s="574" t="s">
        <v>154</v>
      </c>
      <c r="E100" s="581"/>
      <c r="F100" s="574"/>
      <c r="G100" s="523"/>
      <c r="H100" s="522"/>
      <c r="I100" s="522"/>
      <c r="J100" s="522"/>
      <c r="K100" s="522"/>
      <c r="L100" s="524"/>
      <c r="M100" s="81"/>
      <c r="O100" s="9">
        <v>13</v>
      </c>
      <c r="P100" s="32" t="s">
        <v>351</v>
      </c>
      <c r="T100" s="2" t="s">
        <v>152</v>
      </c>
      <c r="AF100" s="53"/>
      <c r="AJ100" s="79" t="s">
        <v>538</v>
      </c>
      <c r="AK100" s="509" t="s">
        <v>1207</v>
      </c>
      <c r="AL100" t="s">
        <v>223</v>
      </c>
      <c r="AM100" t="s">
        <v>14</v>
      </c>
      <c r="AN100" s="53">
        <v>5000</v>
      </c>
      <c r="AO100" s="53">
        <v>0</v>
      </c>
      <c r="AP100" s="53">
        <v>0</v>
      </c>
      <c r="AQ100" s="53">
        <f t="shared" si="42"/>
        <v>10000</v>
      </c>
      <c r="AR100" s="97" t="str">
        <f t="shared" ca="1" si="39"/>
        <v>-</v>
      </c>
      <c r="AS100" s="117">
        <v>99</v>
      </c>
      <c r="AT100" s="569">
        <v>94</v>
      </c>
      <c r="AU100" s="509" t="s">
        <v>1161</v>
      </c>
      <c r="AV100" s="510" t="str">
        <f t="shared" si="40"/>
        <v/>
      </c>
      <c r="AW100" s="567"/>
      <c r="AX100" s="509" t="str">
        <f t="shared" si="41"/>
        <v>Condominium special assessment</v>
      </c>
    </row>
    <row r="101" spans="1:50" x14ac:dyDescent="0.25">
      <c r="A101" s="536" t="s">
        <v>714</v>
      </c>
      <c r="B101" s="529" t="s">
        <v>201</v>
      </c>
      <c r="C101" s="583"/>
      <c r="D101" s="574" t="s">
        <v>151</v>
      </c>
      <c r="E101" s="581"/>
      <c r="F101" s="574"/>
      <c r="G101" s="523"/>
      <c r="H101" s="522"/>
      <c r="I101" s="522"/>
      <c r="J101" s="522"/>
      <c r="K101" s="522"/>
      <c r="L101" s="524"/>
      <c r="M101" s="81"/>
      <c r="O101" s="9">
        <v>14</v>
      </c>
      <c r="P101" s="32" t="s">
        <v>351</v>
      </c>
      <c r="T101" t="s">
        <v>182</v>
      </c>
      <c r="U101" s="38">
        <f>$Q$23</f>
        <v>0</v>
      </c>
      <c r="AF101" s="53"/>
      <c r="AJ101" s="79" t="s">
        <v>539</v>
      </c>
      <c r="AK101" s="509" t="s">
        <v>1198</v>
      </c>
      <c r="AL101" t="s">
        <v>223</v>
      </c>
      <c r="AM101" t="s">
        <v>14</v>
      </c>
      <c r="AN101" s="53">
        <v>5000</v>
      </c>
      <c r="AO101" s="53">
        <v>0</v>
      </c>
      <c r="AP101" s="53">
        <v>0</v>
      </c>
      <c r="AQ101" s="53">
        <f t="shared" si="42"/>
        <v>10000</v>
      </c>
      <c r="AR101" s="97" t="str">
        <f t="shared" ca="1" si="39"/>
        <v>-</v>
      </c>
      <c r="AS101" s="116">
        <v>100</v>
      </c>
      <c r="AT101" s="569">
        <v>95</v>
      </c>
      <c r="AU101" s="509" t="s">
        <v>1162</v>
      </c>
      <c r="AV101" s="510" t="str">
        <f t="shared" si="40"/>
        <v/>
      </c>
      <c r="AW101" s="567"/>
      <c r="AX101" s="509" t="str">
        <f t="shared" si="41"/>
        <v>Contingent wrap-up liability including diff in conditions</v>
      </c>
    </row>
    <row r="102" spans="1:50" x14ac:dyDescent="0.25">
      <c r="A102" s="536" t="s">
        <v>715</v>
      </c>
      <c r="B102" s="529" t="s">
        <v>367</v>
      </c>
      <c r="C102" s="583"/>
      <c r="D102" s="574" t="s">
        <v>297</v>
      </c>
      <c r="E102" s="581"/>
      <c r="F102" s="574"/>
      <c r="G102" s="523"/>
      <c r="H102" s="522"/>
      <c r="I102" s="522"/>
      <c r="J102" s="522"/>
      <c r="K102" s="522"/>
      <c r="L102" s="524"/>
      <c r="M102" s="81"/>
      <c r="O102" s="9">
        <v>15</v>
      </c>
      <c r="P102" s="32" t="s">
        <v>351</v>
      </c>
      <c r="T102" t="s">
        <v>289</v>
      </c>
      <c r="U102" s="33" t="e">
        <f>U101/SUM(U48:U51)</f>
        <v>#DIV/0!</v>
      </c>
      <c r="AF102" s="53"/>
      <c r="AJ102" s="79" t="s">
        <v>540</v>
      </c>
      <c r="AK102" s="509" t="s">
        <v>540</v>
      </c>
      <c r="AL102" t="s">
        <v>223</v>
      </c>
      <c r="AM102" t="s">
        <v>14</v>
      </c>
      <c r="AN102" s="53">
        <v>5000</v>
      </c>
      <c r="AO102" s="53">
        <v>0</v>
      </c>
      <c r="AP102" s="53">
        <v>0</v>
      </c>
      <c r="AQ102" s="53">
        <f t="shared" si="42"/>
        <v>10000</v>
      </c>
      <c r="AR102" s="97" t="str">
        <f t="shared" ca="1" si="39"/>
        <v>-</v>
      </c>
      <c r="AS102" s="116">
        <v>101</v>
      </c>
      <c r="AT102" s="569">
        <v>96</v>
      </c>
      <c r="AU102" s="509" t="s">
        <v>1163</v>
      </c>
      <c r="AV102" s="510" t="str">
        <f>IFERROR(VLOOKUP(AU102,$AK$3:$AR$785,7,FALSE),"")</f>
        <v/>
      </c>
      <c r="AW102" s="567"/>
      <c r="AX102" s="509" t="str">
        <f t="shared" si="41"/>
        <v>Contingent wrap-up liability including diff in deductibles</v>
      </c>
    </row>
    <row r="103" spans="1:50" x14ac:dyDescent="0.25">
      <c r="A103" s="536" t="s">
        <v>716</v>
      </c>
      <c r="B103" s="529" t="s">
        <v>324</v>
      </c>
      <c r="C103" s="583"/>
      <c r="D103" s="574" t="s">
        <v>298</v>
      </c>
      <c r="E103" s="581"/>
      <c r="F103" s="574"/>
      <c r="G103" s="523"/>
      <c r="H103" s="522"/>
      <c r="I103" s="522"/>
      <c r="J103" s="522"/>
      <c r="K103" s="522"/>
      <c r="L103" s="524"/>
      <c r="M103" s="81"/>
      <c r="O103" s="9">
        <v>16</v>
      </c>
      <c r="P103" s="32" t="s">
        <v>351</v>
      </c>
      <c r="T103" t="s">
        <v>290</v>
      </c>
      <c r="U103" s="34">
        <v>0</v>
      </c>
      <c r="AF103" s="53"/>
      <c r="AJ103" s="79" t="s">
        <v>541</v>
      </c>
      <c r="AK103" s="509" t="s">
        <v>1197</v>
      </c>
      <c r="AL103" t="s">
        <v>223</v>
      </c>
      <c r="AM103" t="s">
        <v>14</v>
      </c>
      <c r="AN103" s="53">
        <v>5000</v>
      </c>
      <c r="AO103" s="53">
        <v>0</v>
      </c>
      <c r="AP103" s="53">
        <v>0</v>
      </c>
      <c r="AQ103" s="53">
        <f t="shared" si="42"/>
        <v>100000</v>
      </c>
      <c r="AR103" s="97" t="str">
        <f t="shared" ca="1" si="39"/>
        <v>-</v>
      </c>
      <c r="AS103" s="117">
        <v>102</v>
      </c>
      <c r="AT103" s="569">
        <v>97</v>
      </c>
      <c r="AU103" s="509" t="s">
        <v>1164</v>
      </c>
      <c r="AV103" s="510" t="str">
        <f t="shared" si="40"/>
        <v/>
      </c>
      <c r="AW103" s="567"/>
      <c r="AX103" s="509" t="str">
        <f t="shared" si="41"/>
        <v>Contractors Errors &amp; Omissions</v>
      </c>
    </row>
    <row r="104" spans="1:50" x14ac:dyDescent="0.25">
      <c r="A104" s="536" t="s">
        <v>717</v>
      </c>
      <c r="B104" s="529" t="s">
        <v>326</v>
      </c>
      <c r="C104" s="583"/>
      <c r="D104" s="574" t="s">
        <v>299</v>
      </c>
      <c r="E104" s="581"/>
      <c r="F104" s="574"/>
      <c r="G104" s="523"/>
      <c r="H104" s="522"/>
      <c r="I104" s="522"/>
      <c r="J104" s="522"/>
      <c r="K104" s="522"/>
      <c r="L104" s="524"/>
      <c r="M104" s="81"/>
      <c r="O104" s="9">
        <v>17</v>
      </c>
      <c r="P104" s="32" t="s">
        <v>351</v>
      </c>
      <c r="T104" t="s">
        <v>291</v>
      </c>
      <c r="U104" s="34">
        <v>600</v>
      </c>
      <c r="AF104" s="53"/>
      <c r="AJ104" s="79" t="s">
        <v>542</v>
      </c>
      <c r="AK104" s="509" t="s">
        <v>1201</v>
      </c>
      <c r="AL104" t="s">
        <v>223</v>
      </c>
      <c r="AM104" t="s">
        <v>14</v>
      </c>
      <c r="AN104" s="53">
        <v>5000</v>
      </c>
      <c r="AO104" s="53">
        <v>0</v>
      </c>
      <c r="AP104" s="53">
        <v>0</v>
      </c>
      <c r="AQ104" s="53">
        <f t="shared" si="42"/>
        <v>100000</v>
      </c>
      <c r="AR104" s="97" t="str">
        <f t="shared" ca="1" si="39"/>
        <v>-</v>
      </c>
      <c r="AS104" s="116">
        <v>103</v>
      </c>
      <c r="AT104" s="569">
        <v>98</v>
      </c>
      <c r="AU104" s="509" t="s">
        <v>1165</v>
      </c>
      <c r="AV104" s="510" t="str">
        <f t="shared" si="40"/>
        <v/>
      </c>
      <c r="AW104" s="567"/>
      <c r="AX104" s="509" t="str">
        <f t="shared" si="41"/>
        <v>Excess liability</v>
      </c>
    </row>
    <row r="105" spans="1:50" x14ac:dyDescent="0.25">
      <c r="A105" s="536" t="s">
        <v>718</v>
      </c>
      <c r="B105" s="529" t="s">
        <v>129</v>
      </c>
      <c r="C105" s="583"/>
      <c r="D105" s="574" t="s">
        <v>300</v>
      </c>
      <c r="E105" s="581"/>
      <c r="F105" s="574"/>
      <c r="G105" s="523"/>
      <c r="H105" s="522"/>
      <c r="I105" s="522"/>
      <c r="J105" s="522"/>
      <c r="K105" s="522"/>
      <c r="L105" s="524"/>
      <c r="M105" s="81"/>
      <c r="O105" s="9">
        <v>18</v>
      </c>
      <c r="P105" s="32" t="s">
        <v>351</v>
      </c>
      <c r="T105" t="s">
        <v>292</v>
      </c>
      <c r="U105" s="33">
        <v>0.15</v>
      </c>
      <c r="AF105" s="53"/>
      <c r="AJ105" s="79" t="s">
        <v>549</v>
      </c>
      <c r="AK105" s="509" t="s">
        <v>550</v>
      </c>
      <c r="AL105" t="s">
        <v>550</v>
      </c>
      <c r="AM105" t="s">
        <v>14</v>
      </c>
      <c r="AN105" s="53" t="str">
        <f>IF($AB$10="Include","Unlimited","-")</f>
        <v>-</v>
      </c>
      <c r="AO105" s="53">
        <v>0</v>
      </c>
      <c r="AP105" s="53">
        <v>0</v>
      </c>
      <c r="AQ105" s="53" t="str">
        <f t="shared" ref="AQ105:AQ118" si="43">U231</f>
        <v>Unlimited</v>
      </c>
      <c r="AR105" s="97" t="str">
        <f t="shared" ca="1" si="39"/>
        <v>-</v>
      </c>
      <c r="AS105" s="116">
        <v>104</v>
      </c>
      <c r="AT105" s="569">
        <v>99</v>
      </c>
      <c r="AU105" s="509" t="s">
        <v>1166</v>
      </c>
      <c r="AV105" s="510" t="str">
        <f t="shared" si="40"/>
        <v/>
      </c>
      <c r="AW105" s="567"/>
      <c r="AX105" s="509" t="str">
        <f t="shared" si="41"/>
        <v>Damage from Blasting, Pile Driving, Removal or Weakening of Support</v>
      </c>
    </row>
    <row r="106" spans="1:50" x14ac:dyDescent="0.25">
      <c r="A106" s="536" t="s">
        <v>719</v>
      </c>
      <c r="B106" s="529" t="s">
        <v>130</v>
      </c>
      <c r="C106" s="583"/>
      <c r="D106" s="575" t="s">
        <v>15</v>
      </c>
      <c r="E106" s="582"/>
      <c r="F106" s="575"/>
      <c r="G106" s="526"/>
      <c r="H106" s="525"/>
      <c r="I106" s="525"/>
      <c r="J106" s="525"/>
      <c r="K106" s="525"/>
      <c r="L106" s="527"/>
      <c r="M106" s="81"/>
      <c r="O106" s="9">
        <v>19</v>
      </c>
      <c r="P106" s="32" t="s">
        <v>351</v>
      </c>
      <c r="T106" t="s">
        <v>173</v>
      </c>
      <c r="U106" s="35" t="e">
        <f>ROUNDUP(MIN((U102/U105),1)*(U104-U103),0)</f>
        <v>#DIV/0!</v>
      </c>
      <c r="AF106" s="53"/>
      <c r="AJ106" s="79" t="s">
        <v>551</v>
      </c>
      <c r="AL106" t="s">
        <v>550</v>
      </c>
      <c r="AM106" t="s">
        <v>14</v>
      </c>
      <c r="AN106" s="53" t="str">
        <f>IF($AB$10="Include","Unlimited","-")</f>
        <v>-</v>
      </c>
      <c r="AO106" s="53">
        <v>0</v>
      </c>
      <c r="AP106" s="53">
        <v>0</v>
      </c>
      <c r="AQ106" s="53" t="str">
        <f t="shared" si="43"/>
        <v>Unlimited</v>
      </c>
      <c r="AR106" s="97" t="str">
        <f t="shared" ca="1" si="39"/>
        <v>-</v>
      </c>
      <c r="AS106" s="117">
        <v>105</v>
      </c>
      <c r="AT106" s="569">
        <v>100</v>
      </c>
      <c r="AU106" s="509" t="s">
        <v>1167</v>
      </c>
      <c r="AV106" s="510" t="str">
        <f t="shared" si="40"/>
        <v/>
      </c>
      <c r="AW106" s="567"/>
      <c r="AX106" s="509" t="str">
        <f t="shared" si="41"/>
        <v>Elevator and Hoist collision</v>
      </c>
    </row>
    <row r="107" spans="1:50" x14ac:dyDescent="0.25">
      <c r="A107" s="536" t="s">
        <v>720</v>
      </c>
      <c r="B107" s="529" t="s">
        <v>131</v>
      </c>
      <c r="C107" s="583"/>
      <c r="D107" s="576" t="s">
        <v>152</v>
      </c>
      <c r="E107" s="583">
        <v>0</v>
      </c>
      <c r="F107" s="576"/>
      <c r="M107" s="81"/>
      <c r="O107" s="9">
        <v>20</v>
      </c>
      <c r="P107" s="32" t="s">
        <v>351</v>
      </c>
      <c r="AF107" s="53"/>
      <c r="AJ107" s="79" t="s">
        <v>552</v>
      </c>
      <c r="AL107" t="s">
        <v>550</v>
      </c>
      <c r="AM107" t="s">
        <v>14</v>
      </c>
      <c r="AN107" s="53" t="str">
        <f>IF($AB$10="Include","Unlimited","-")</f>
        <v>-</v>
      </c>
      <c r="AO107" s="53">
        <v>0</v>
      </c>
      <c r="AP107" s="53">
        <v>0</v>
      </c>
      <c r="AQ107" s="53" t="str">
        <f t="shared" si="43"/>
        <v>Unlimited</v>
      </c>
      <c r="AR107" s="97" t="str">
        <f t="shared" ca="1" si="39"/>
        <v>-</v>
      </c>
      <c r="AS107" s="116">
        <v>106</v>
      </c>
      <c r="AT107" s="569">
        <v>101</v>
      </c>
      <c r="AU107" s="509" t="s">
        <v>475</v>
      </c>
      <c r="AV107" s="510">
        <f t="shared" si="40"/>
        <v>2000000</v>
      </c>
      <c r="AW107" s="567"/>
      <c r="AX107" s="509" t="str">
        <f t="shared" si="41"/>
        <v/>
      </c>
    </row>
    <row r="108" spans="1:50" x14ac:dyDescent="0.25">
      <c r="A108" s="536" t="s">
        <v>721</v>
      </c>
      <c r="B108" s="529" t="s">
        <v>132</v>
      </c>
      <c r="C108" s="583"/>
      <c r="D108" s="576" t="s">
        <v>1023</v>
      </c>
      <c r="E108" s="583"/>
      <c r="F108" s="576"/>
      <c r="M108" s="81"/>
      <c r="T108" s="2" t="s">
        <v>183</v>
      </c>
      <c r="V108" s="21"/>
      <c r="W108" s="21"/>
      <c r="X108" s="21" t="s">
        <v>662</v>
      </c>
      <c r="Y108" s="21"/>
      <c r="Z108" s="21"/>
      <c r="AF108" s="53"/>
      <c r="AJ108" s="79" t="s">
        <v>523</v>
      </c>
      <c r="AL108" t="s">
        <v>550</v>
      </c>
      <c r="AM108" t="s">
        <v>14</v>
      </c>
      <c r="AN108" s="53" t="str">
        <f>IF($AB$10="Include","Unlimited","-")</f>
        <v>-</v>
      </c>
      <c r="AO108" s="53">
        <v>0</v>
      </c>
      <c r="AP108" s="53">
        <v>0</v>
      </c>
      <c r="AQ108" s="53" t="str">
        <f t="shared" si="43"/>
        <v>Unlimited</v>
      </c>
      <c r="AR108" s="97" t="str">
        <f t="shared" ca="1" si="39"/>
        <v>-</v>
      </c>
      <c r="AS108" s="116">
        <v>107</v>
      </c>
      <c r="AT108" s="569">
        <v>102</v>
      </c>
      <c r="AU108" s="509" t="s">
        <v>473</v>
      </c>
      <c r="AV108" s="510">
        <f t="shared" si="40"/>
        <v>2000000</v>
      </c>
      <c r="AW108" s="567"/>
      <c r="AX108" s="509" t="str">
        <f t="shared" si="41"/>
        <v/>
      </c>
    </row>
    <row r="109" spans="1:50" ht="17.25" x14ac:dyDescent="0.3">
      <c r="A109" s="536">
        <v>44560</v>
      </c>
      <c r="B109" s="529" t="s">
        <v>196</v>
      </c>
      <c r="C109" s="583"/>
      <c r="D109" s="576" t="s">
        <v>1022</v>
      </c>
      <c r="E109" s="583"/>
      <c r="F109" s="576"/>
      <c r="M109" s="77" t="s">
        <v>352</v>
      </c>
      <c r="X109" t="s">
        <v>663</v>
      </c>
      <c r="AF109" s="53"/>
      <c r="AJ109" s="79" t="s">
        <v>553</v>
      </c>
      <c r="AL109" t="s">
        <v>550</v>
      </c>
      <c r="AM109" t="s">
        <v>14</v>
      </c>
      <c r="AN109" s="53" t="str">
        <f>IF($AB$10="Include","Unlimited","-")</f>
        <v>-</v>
      </c>
      <c r="AO109" s="53">
        <v>0</v>
      </c>
      <c r="AP109" s="53">
        <v>0</v>
      </c>
      <c r="AQ109" s="53" t="str">
        <f t="shared" si="43"/>
        <v>Unlimited</v>
      </c>
      <c r="AR109" s="97" t="str">
        <f t="shared" ca="1" si="39"/>
        <v>-</v>
      </c>
      <c r="AS109" s="117">
        <v>108</v>
      </c>
      <c r="AT109" s="569">
        <v>103</v>
      </c>
      <c r="AU109" s="509" t="s">
        <v>1168</v>
      </c>
      <c r="AV109" s="510" t="str">
        <f t="shared" si="40"/>
        <v/>
      </c>
      <c r="AW109" s="567"/>
      <c r="AX109" s="509" t="str">
        <f t="shared" si="41"/>
        <v>Failure to perform</v>
      </c>
    </row>
    <row r="110" spans="1:50" x14ac:dyDescent="0.25">
      <c r="A110" s="536" t="s">
        <v>727</v>
      </c>
      <c r="B110" s="529" t="s">
        <v>133</v>
      </c>
      <c r="C110" s="583"/>
      <c r="D110" s="576" t="s">
        <v>1315</v>
      </c>
      <c r="E110" s="583"/>
      <c r="F110" s="576"/>
      <c r="M110" s="80" t="s">
        <v>343</v>
      </c>
      <c r="N110" s="41" t="s">
        <v>344</v>
      </c>
      <c r="O110" s="42" t="s">
        <v>345</v>
      </c>
      <c r="P110" s="40" t="s">
        <v>346</v>
      </c>
      <c r="R110" s="40" t="s">
        <v>338</v>
      </c>
      <c r="T110" t="s">
        <v>173</v>
      </c>
      <c r="U110" s="16"/>
      <c r="AF110" s="53"/>
      <c r="AJ110" s="79" t="s">
        <v>554</v>
      </c>
      <c r="AL110" t="s">
        <v>550</v>
      </c>
      <c r="AM110" t="s">
        <v>14</v>
      </c>
      <c r="AN110" s="53" t="str">
        <f>IF($AB$10="Include",100000,"-")</f>
        <v>-</v>
      </c>
      <c r="AO110" s="53">
        <v>0</v>
      </c>
      <c r="AP110" s="53">
        <v>0</v>
      </c>
      <c r="AQ110" s="53">
        <f t="shared" si="43"/>
        <v>100000</v>
      </c>
      <c r="AR110" s="97" t="str">
        <f t="shared" ca="1" si="39"/>
        <v>-</v>
      </c>
      <c r="AS110" s="116">
        <v>109</v>
      </c>
      <c r="AT110" s="569">
        <v>104</v>
      </c>
      <c r="AU110" s="509" t="s">
        <v>1169</v>
      </c>
      <c r="AV110" s="510" t="str">
        <f t="shared" si="40"/>
        <v/>
      </c>
      <c r="AW110" s="567"/>
      <c r="AX110" s="509" t="str">
        <f t="shared" si="41"/>
        <v>Faulty workmanship</v>
      </c>
    </row>
    <row r="111" spans="1:50" x14ac:dyDescent="0.25">
      <c r="A111" s="536" t="s">
        <v>722</v>
      </c>
      <c r="B111" s="529" t="s">
        <v>135</v>
      </c>
      <c r="C111" s="583"/>
      <c r="D111" s="576" t="s">
        <v>301</v>
      </c>
      <c r="E111" s="583"/>
      <c r="F111" s="576"/>
      <c r="M111" s="79" t="s">
        <v>359</v>
      </c>
      <c r="N111" s="45">
        <f>C103</f>
        <v>0</v>
      </c>
      <c r="O111" s="9" t="s">
        <v>353</v>
      </c>
      <c r="P111" s="49" t="s">
        <v>360</v>
      </c>
      <c r="R111" s="45">
        <f>IF(R120="Home","1-4",IFERROR(VLOOKUP(N113,$O$111:$P$114,2,FALSE),0))</f>
        <v>0</v>
      </c>
      <c r="AF111" s="53"/>
      <c r="AJ111" s="79" t="s">
        <v>555</v>
      </c>
      <c r="AL111" t="s">
        <v>550</v>
      </c>
      <c r="AM111" t="s">
        <v>14</v>
      </c>
      <c r="AN111" s="53" t="str">
        <f>IF($AB$10="Include",100000,"-")</f>
        <v>-</v>
      </c>
      <c r="AO111" s="53">
        <v>0</v>
      </c>
      <c r="AP111" s="53">
        <v>0</v>
      </c>
      <c r="AQ111" s="53">
        <f t="shared" si="43"/>
        <v>100000</v>
      </c>
      <c r="AR111" s="97" t="str">
        <f t="shared" ca="1" si="39"/>
        <v>-</v>
      </c>
      <c r="AS111" s="116">
        <v>110</v>
      </c>
      <c r="AT111" s="569">
        <v>105</v>
      </c>
      <c r="AU111" s="509" t="s">
        <v>1170</v>
      </c>
      <c r="AV111" s="510" t="str">
        <f t="shared" si="40"/>
        <v/>
      </c>
      <c r="AW111" s="567"/>
      <c r="AX111" s="509" t="str">
        <f t="shared" si="41"/>
        <v>Forest and Prairie Fire Fighting Expense</v>
      </c>
    </row>
    <row r="112" spans="1:50" x14ac:dyDescent="0.25">
      <c r="A112" s="536" t="s">
        <v>723</v>
      </c>
      <c r="B112" s="529" t="s">
        <v>378</v>
      </c>
      <c r="C112" s="583"/>
      <c r="D112" s="576" t="s">
        <v>302</v>
      </c>
      <c r="E112" s="583"/>
      <c r="F112" s="576"/>
      <c r="M112" s="79" t="s">
        <v>354</v>
      </c>
      <c r="N112" s="43" t="str">
        <f>R87</f>
        <v>1-8</v>
      </c>
      <c r="O112" s="9" t="s">
        <v>355</v>
      </c>
      <c r="P112" s="49" t="s">
        <v>752</v>
      </c>
      <c r="R112" s="9"/>
      <c r="T112" s="2" t="s">
        <v>184</v>
      </c>
      <c r="AF112" s="53"/>
      <c r="AJ112" s="79" t="s">
        <v>556</v>
      </c>
      <c r="AL112" t="s">
        <v>550</v>
      </c>
      <c r="AM112" t="s">
        <v>14</v>
      </c>
      <c r="AN112" s="53" t="str">
        <f>IF($AB$10="Include",25000,"-")</f>
        <v>-</v>
      </c>
      <c r="AO112" s="53">
        <v>0</v>
      </c>
      <c r="AP112" s="53">
        <v>0</v>
      </c>
      <c r="AQ112" s="53">
        <f t="shared" si="43"/>
        <v>25000</v>
      </c>
      <c r="AR112" s="97" t="str">
        <f t="shared" ca="1" si="39"/>
        <v>-</v>
      </c>
      <c r="AS112" s="117">
        <v>111</v>
      </c>
      <c r="AT112" s="569">
        <v>106</v>
      </c>
      <c r="AU112" s="509" t="s">
        <v>1171</v>
      </c>
      <c r="AV112" s="510" t="str">
        <f t="shared" si="40"/>
        <v/>
      </c>
      <c r="AW112" s="567"/>
      <c r="AX112" s="509" t="str">
        <f t="shared" si="41"/>
        <v>Fungi and fungal derivatives</v>
      </c>
    </row>
    <row r="113" spans="1:50" x14ac:dyDescent="0.25">
      <c r="A113" s="536" t="s">
        <v>724</v>
      </c>
      <c r="B113" s="529" t="s">
        <v>203</v>
      </c>
      <c r="C113" s="583"/>
      <c r="D113" s="576" t="s">
        <v>303</v>
      </c>
      <c r="E113" s="583"/>
      <c r="F113" s="576"/>
      <c r="M113" s="79" t="s">
        <v>350</v>
      </c>
      <c r="N113" s="46" t="str">
        <f>CONCATENATE(N111," ",N112)</f>
        <v>0 1-8</v>
      </c>
      <c r="O113" s="9" t="s">
        <v>356</v>
      </c>
      <c r="P113" s="49" t="s">
        <v>751</v>
      </c>
      <c r="R113" s="9"/>
      <c r="T113" t="s">
        <v>185</v>
      </c>
      <c r="U113" s="38">
        <f>$Q$40</f>
        <v>0</v>
      </c>
      <c r="AJ113" s="79" t="s">
        <v>557</v>
      </c>
      <c r="AL113" t="s">
        <v>550</v>
      </c>
      <c r="AM113" t="s">
        <v>14</v>
      </c>
      <c r="AN113" s="53" t="str">
        <f>IF($AB$10="Include","Unlimited","-")</f>
        <v>-</v>
      </c>
      <c r="AO113" s="53">
        <v>0</v>
      </c>
      <c r="AP113" s="53">
        <v>0</v>
      </c>
      <c r="AQ113" s="53" t="str">
        <f t="shared" si="43"/>
        <v>Unlimited</v>
      </c>
      <c r="AR113" s="97" t="str">
        <f t="shared" ca="1" si="39"/>
        <v>-</v>
      </c>
      <c r="AS113" s="116">
        <v>112</v>
      </c>
      <c r="AT113" s="569">
        <v>107</v>
      </c>
      <c r="AU113" s="509" t="s">
        <v>1172</v>
      </c>
      <c r="AV113" s="510">
        <f t="shared" si="40"/>
        <v>5000000</v>
      </c>
      <c r="AW113" s="567"/>
      <c r="AX113" s="509" t="str">
        <f t="shared" si="41"/>
        <v/>
      </c>
    </row>
    <row r="114" spans="1:50" x14ac:dyDescent="0.25">
      <c r="A114" s="536" t="s">
        <v>725</v>
      </c>
      <c r="B114" s="529" t="s">
        <v>136</v>
      </c>
      <c r="C114" s="583"/>
      <c r="D114" s="576" t="s">
        <v>304</v>
      </c>
      <c r="E114" s="583"/>
      <c r="F114" s="576"/>
      <c r="O114" s="9" t="s">
        <v>357</v>
      </c>
      <c r="P114" s="49" t="s">
        <v>361</v>
      </c>
      <c r="R114" s="9"/>
      <c r="T114" t="s">
        <v>289</v>
      </c>
      <c r="U114" s="33" t="e">
        <f>U113/SUM($U$48:$U$51)</f>
        <v>#DIV/0!</v>
      </c>
      <c r="AJ114" s="79" t="s">
        <v>558</v>
      </c>
      <c r="AL114" t="s">
        <v>550</v>
      </c>
      <c r="AM114" t="s">
        <v>14</v>
      </c>
      <c r="AN114" s="53" t="str">
        <f>IF($AB$10="Include",25000,"-")</f>
        <v>-</v>
      </c>
      <c r="AO114" s="53">
        <v>0</v>
      </c>
      <c r="AP114" s="53">
        <v>0</v>
      </c>
      <c r="AQ114" s="53">
        <f t="shared" si="43"/>
        <v>25000</v>
      </c>
      <c r="AR114" s="97" t="str">
        <f t="shared" ca="1" si="39"/>
        <v>-</v>
      </c>
      <c r="AS114" s="116">
        <v>113</v>
      </c>
      <c r="AT114" s="569">
        <v>108</v>
      </c>
      <c r="AU114" s="509" t="s">
        <v>1173</v>
      </c>
      <c r="AV114" s="510" t="str">
        <f t="shared" si="40"/>
        <v/>
      </c>
      <c r="AW114" s="567"/>
      <c r="AX114" s="509" t="str">
        <f t="shared" si="41"/>
        <v>Umbrella liability</v>
      </c>
    </row>
    <row r="115" spans="1:50" x14ac:dyDescent="0.25">
      <c r="A115" s="536" t="s">
        <v>726</v>
      </c>
      <c r="B115" s="529" t="s">
        <v>137</v>
      </c>
      <c r="C115" s="583"/>
      <c r="D115" s="576" t="s">
        <v>305</v>
      </c>
      <c r="E115" s="583"/>
      <c r="F115" s="576"/>
      <c r="M115" s="80"/>
      <c r="O115" s="9"/>
      <c r="Q115" s="9"/>
      <c r="T115" t="s">
        <v>290</v>
      </c>
      <c r="U115" s="34">
        <v>0</v>
      </c>
      <c r="AJ115" s="79" t="s">
        <v>559</v>
      </c>
      <c r="AL115" t="s">
        <v>550</v>
      </c>
      <c r="AM115" t="s">
        <v>14</v>
      </c>
      <c r="AN115" s="53" t="str">
        <f>IF($AB$10="Include",10000,"-")</f>
        <v>-</v>
      </c>
      <c r="AO115" s="53">
        <v>0</v>
      </c>
      <c r="AP115" s="53">
        <v>0</v>
      </c>
      <c r="AQ115" s="53">
        <f t="shared" si="43"/>
        <v>10000</v>
      </c>
      <c r="AR115" s="97" t="str">
        <f t="shared" ca="1" si="39"/>
        <v>-</v>
      </c>
      <c r="AS115" s="117">
        <v>114</v>
      </c>
      <c r="AT115" s="569">
        <v>109</v>
      </c>
      <c r="AU115" s="509" t="s">
        <v>1174</v>
      </c>
      <c r="AV115" s="510" t="str">
        <f t="shared" si="40"/>
        <v/>
      </c>
      <c r="AW115" s="567"/>
      <c r="AX115" s="509" t="str">
        <f t="shared" si="41"/>
        <v>Wrap-up liability</v>
      </c>
    </row>
    <row r="116" spans="1:50" x14ac:dyDescent="0.25">
      <c r="A116" s="536">
        <v>44510</v>
      </c>
      <c r="B116" s="529" t="s">
        <v>140</v>
      </c>
      <c r="C116" s="583"/>
      <c r="D116" s="576" t="s">
        <v>389</v>
      </c>
      <c r="E116" s="583"/>
      <c r="F116" s="576"/>
      <c r="T116" t="s">
        <v>291</v>
      </c>
      <c r="U116" s="34">
        <v>319</v>
      </c>
      <c r="AJ116" s="79" t="s">
        <v>560</v>
      </c>
      <c r="AL116" t="s">
        <v>550</v>
      </c>
      <c r="AM116" t="s">
        <v>14</v>
      </c>
      <c r="AN116" s="53" t="str">
        <f>IF($AB$10="Include",5000,"-")</f>
        <v>-</v>
      </c>
      <c r="AO116" s="53">
        <v>0</v>
      </c>
      <c r="AP116" s="53">
        <v>0</v>
      </c>
      <c r="AQ116" s="53">
        <f t="shared" si="43"/>
        <v>5000</v>
      </c>
      <c r="AR116" s="97" t="str">
        <f t="shared" ca="1" si="39"/>
        <v>-</v>
      </c>
      <c r="AS116" s="116">
        <v>115</v>
      </c>
      <c r="AT116" s="569">
        <v>110</v>
      </c>
      <c r="AU116" s="509" t="s">
        <v>1175</v>
      </c>
      <c r="AV116" s="510" t="str">
        <f t="shared" si="40"/>
        <v/>
      </c>
      <c r="AW116" s="567"/>
      <c r="AX116" s="509" t="str">
        <f t="shared" si="41"/>
        <v>Limitation of coverages to designated premises</v>
      </c>
    </row>
    <row r="117" spans="1:50" x14ac:dyDescent="0.25">
      <c r="A117" s="536" t="s">
        <v>693</v>
      </c>
      <c r="B117" s="529" t="s">
        <v>694</v>
      </c>
      <c r="C117" s="583"/>
      <c r="D117" s="576" t="s">
        <v>390</v>
      </c>
      <c r="E117" s="583">
        <v>0</v>
      </c>
      <c r="F117" s="576"/>
      <c r="T117" t="s">
        <v>292</v>
      </c>
      <c r="U117" s="33">
        <v>0.05</v>
      </c>
      <c r="AJ117" s="79" t="s">
        <v>561</v>
      </c>
      <c r="AL117" t="s">
        <v>550</v>
      </c>
      <c r="AM117" t="s">
        <v>14</v>
      </c>
      <c r="AN117" s="53" t="str">
        <f>IF($AB$10="Include",100000,"-")</f>
        <v>-</v>
      </c>
      <c r="AO117" s="53">
        <v>0</v>
      </c>
      <c r="AP117" s="53">
        <v>0</v>
      </c>
      <c r="AQ117" s="53">
        <f t="shared" si="43"/>
        <v>100000</v>
      </c>
      <c r="AR117" s="97" t="str">
        <f t="shared" ca="1" si="39"/>
        <v>-</v>
      </c>
      <c r="AS117" s="116">
        <v>116</v>
      </c>
      <c r="AT117" s="569">
        <v>111</v>
      </c>
      <c r="AU117" s="509" t="s">
        <v>1176</v>
      </c>
      <c r="AV117" s="510" t="str">
        <f t="shared" si="40"/>
        <v/>
      </c>
      <c r="AW117" s="567"/>
      <c r="AX117" s="509" t="str">
        <f t="shared" si="41"/>
        <v>Limited Pollution Liability</v>
      </c>
    </row>
    <row r="118" spans="1:50" ht="17.25" x14ac:dyDescent="0.3">
      <c r="A118" s="536">
        <v>44512</v>
      </c>
      <c r="B118" s="529" t="s">
        <v>369</v>
      </c>
      <c r="C118" s="583"/>
      <c r="D118" s="576" t="s">
        <v>392</v>
      </c>
      <c r="E118" s="583"/>
      <c r="F118" s="576"/>
      <c r="M118" s="77" t="s">
        <v>695</v>
      </c>
      <c r="O118" s="9"/>
      <c r="Q118" s="9"/>
      <c r="T118" t="s">
        <v>173</v>
      </c>
      <c r="U118" s="35" t="e">
        <f>MIN((U114/U117),1)*(U116-U115)</f>
        <v>#DIV/0!</v>
      </c>
      <c r="AJ118" s="79" t="s">
        <v>562</v>
      </c>
      <c r="AL118" t="s">
        <v>550</v>
      </c>
      <c r="AM118" t="s">
        <v>14</v>
      </c>
      <c r="AN118" s="53" t="str">
        <f>IF($AB$10="Include",25000,"-")</f>
        <v>-</v>
      </c>
      <c r="AO118" s="53">
        <v>0</v>
      </c>
      <c r="AP118" s="53">
        <v>0</v>
      </c>
      <c r="AQ118" s="53">
        <f t="shared" si="43"/>
        <v>25000</v>
      </c>
      <c r="AR118" s="97" t="str">
        <f t="shared" ca="1" si="39"/>
        <v>-</v>
      </c>
      <c r="AS118" s="117">
        <v>117</v>
      </c>
      <c r="AT118" s="569">
        <v>112</v>
      </c>
      <c r="AU118" s="509" t="s">
        <v>1177</v>
      </c>
      <c r="AV118" s="510">
        <f t="shared" si="40"/>
        <v>25000</v>
      </c>
      <c r="AW118" s="567"/>
      <c r="AX118" s="509" t="str">
        <f t="shared" si="41"/>
        <v/>
      </c>
    </row>
    <row r="119" spans="1:50" x14ac:dyDescent="0.25">
      <c r="A119" s="536">
        <v>44517</v>
      </c>
      <c r="B119" s="529" t="s">
        <v>141</v>
      </c>
      <c r="C119" s="583"/>
      <c r="D119" s="576" t="s">
        <v>393</v>
      </c>
      <c r="E119" s="583"/>
      <c r="F119" s="576"/>
      <c r="M119" s="80" t="s">
        <v>343</v>
      </c>
      <c r="N119" s="41" t="s">
        <v>344</v>
      </c>
      <c r="O119" s="42" t="s">
        <v>345</v>
      </c>
      <c r="P119" s="42" t="s">
        <v>346</v>
      </c>
      <c r="Q119" s="42"/>
      <c r="R119" s="40" t="s">
        <v>338</v>
      </c>
      <c r="AJ119" s="79" t="s">
        <v>1250</v>
      </c>
      <c r="AK119" s="509" t="s">
        <v>1250</v>
      </c>
      <c r="AL119" t="s">
        <v>1345</v>
      </c>
      <c r="AN119" s="53" t="s">
        <v>1379</v>
      </c>
      <c r="AO119" s="53" t="s">
        <v>1379</v>
      </c>
      <c r="AP119" s="53" t="s">
        <v>1379</v>
      </c>
      <c r="AQ119" s="53" t="s">
        <v>1379</v>
      </c>
      <c r="AR119" s="97" t="str">
        <f t="shared" ca="1" si="39"/>
        <v>-</v>
      </c>
      <c r="AS119" s="116">
        <v>118</v>
      </c>
      <c r="AT119" s="569">
        <v>113</v>
      </c>
      <c r="AU119" s="509" t="s">
        <v>1178</v>
      </c>
      <c r="AV119" s="510">
        <f t="shared" si="40"/>
        <v>100000</v>
      </c>
      <c r="AW119" s="567"/>
      <c r="AX119" s="509" t="str">
        <f t="shared" si="41"/>
        <v/>
      </c>
    </row>
    <row r="120" spans="1:50" x14ac:dyDescent="0.25">
      <c r="A120" s="536">
        <v>650000</v>
      </c>
      <c r="B120" s="529" t="s">
        <v>192</v>
      </c>
      <c r="C120" s="583"/>
      <c r="D120" s="576" t="s">
        <v>397</v>
      </c>
      <c r="E120" s="583"/>
      <c r="F120" s="576"/>
      <c r="M120" s="79" t="s">
        <v>666</v>
      </c>
      <c r="N120" s="52">
        <f>C92</f>
        <v>0</v>
      </c>
      <c r="O120" t="s">
        <v>696</v>
      </c>
      <c r="P120" t="s">
        <v>313</v>
      </c>
      <c r="Q120" s="53"/>
      <c r="R120" s="54" t="str">
        <f>IFERROR(VLOOKUP(N120,O120:P122,2,FALSE),"Error")</f>
        <v>Error</v>
      </c>
      <c r="T120" s="2" t="s">
        <v>80</v>
      </c>
      <c r="AJ120" s="79" t="s">
        <v>1251</v>
      </c>
      <c r="AK120" s="509" t="s">
        <v>1251</v>
      </c>
      <c r="AL120" t="s">
        <v>1345</v>
      </c>
      <c r="AN120" s="53" t="s">
        <v>1380</v>
      </c>
      <c r="AO120" s="53" t="s">
        <v>1380</v>
      </c>
      <c r="AP120" s="53" t="s">
        <v>1380</v>
      </c>
      <c r="AQ120" s="53" t="s">
        <v>1380</v>
      </c>
      <c r="AR120" s="97" t="str">
        <f t="shared" ca="1" si="39"/>
        <v>-</v>
      </c>
      <c r="AS120" s="116">
        <v>119</v>
      </c>
      <c r="AT120" s="569">
        <v>114</v>
      </c>
      <c r="AU120" s="509" t="s">
        <v>1179</v>
      </c>
      <c r="AV120" s="510">
        <f t="shared" si="40"/>
        <v>2000000</v>
      </c>
      <c r="AW120" s="567"/>
      <c r="AX120" s="509" t="str">
        <f t="shared" si="41"/>
        <v/>
      </c>
    </row>
    <row r="121" spans="1:50" x14ac:dyDescent="0.25">
      <c r="A121" s="536">
        <v>650500</v>
      </c>
      <c r="B121" s="529" t="s">
        <v>193</v>
      </c>
      <c r="C121" s="583"/>
      <c r="D121" s="576" t="s">
        <v>306</v>
      </c>
      <c r="E121" s="583"/>
      <c r="F121" s="576"/>
      <c r="N121" s="55"/>
      <c r="O121" t="s">
        <v>697</v>
      </c>
      <c r="P121" t="s">
        <v>323</v>
      </c>
      <c r="Q121" s="9"/>
      <c r="T121" t="s">
        <v>293</v>
      </c>
      <c r="U121" s="38">
        <f>$Q$36</f>
        <v>0</v>
      </c>
      <c r="AJ121" s="79" t="s">
        <v>1252</v>
      </c>
      <c r="AK121" s="509" t="s">
        <v>1252</v>
      </c>
      <c r="AL121" t="s">
        <v>1345</v>
      </c>
      <c r="AN121" s="53">
        <f>AN14</f>
        <v>0</v>
      </c>
      <c r="AO121" s="53">
        <f t="shared" ref="AO121:AQ121" si="44">AO14</f>
        <v>0</v>
      </c>
      <c r="AP121" s="53">
        <f t="shared" si="44"/>
        <v>0</v>
      </c>
      <c r="AQ121" s="53">
        <f t="shared" si="44"/>
        <v>0</v>
      </c>
      <c r="AR121" s="97" t="str">
        <f t="shared" ca="1" si="39"/>
        <v>-</v>
      </c>
      <c r="AS121" s="117">
        <v>120</v>
      </c>
      <c r="AT121" s="569">
        <v>115</v>
      </c>
      <c r="AU121" s="509" t="s">
        <v>1180</v>
      </c>
      <c r="AV121" s="510" t="str">
        <f t="shared" si="40"/>
        <v/>
      </c>
      <c r="AW121" s="567"/>
      <c r="AX121" s="509" t="str">
        <f t="shared" si="41"/>
        <v>Non-Owned Auto - OEF 98B</v>
      </c>
    </row>
    <row r="122" spans="1:50" x14ac:dyDescent="0.25">
      <c r="A122" s="536" t="s">
        <v>744</v>
      </c>
      <c r="B122" s="529" t="s">
        <v>742</v>
      </c>
      <c r="C122" s="583"/>
      <c r="D122" s="576" t="s">
        <v>307</v>
      </c>
      <c r="E122" s="583"/>
      <c r="F122" s="576"/>
      <c r="O122" t="s">
        <v>698</v>
      </c>
      <c r="P122" t="s">
        <v>314</v>
      </c>
      <c r="T122" t="s">
        <v>289</v>
      </c>
      <c r="U122" s="33" t="e">
        <f>U121/SUM($U$48:$U$51)</f>
        <v>#DIV/0!</v>
      </c>
      <c r="AB122" s="21"/>
      <c r="AJ122" s="79" t="s">
        <v>1253</v>
      </c>
      <c r="AK122" s="509" t="s">
        <v>1253</v>
      </c>
      <c r="AL122" t="s">
        <v>1345</v>
      </c>
      <c r="AN122" s="53" t="s">
        <v>1381</v>
      </c>
      <c r="AO122" s="53" t="s">
        <v>1381</v>
      </c>
      <c r="AP122" s="53" t="s">
        <v>1381</v>
      </c>
      <c r="AQ122" s="53" t="s">
        <v>1381</v>
      </c>
      <c r="AR122" s="97" t="str">
        <f t="shared" ca="1" si="39"/>
        <v>-</v>
      </c>
      <c r="AS122" s="116">
        <v>121</v>
      </c>
      <c r="AT122" s="569">
        <v>116</v>
      </c>
      <c r="AU122" s="509" t="s">
        <v>1181</v>
      </c>
      <c r="AV122" s="510" t="str">
        <f t="shared" si="40"/>
        <v>Included</v>
      </c>
      <c r="AW122" s="567"/>
      <c r="AX122" s="509" t="str">
        <f t="shared" si="41"/>
        <v/>
      </c>
    </row>
    <row r="123" spans="1:50" x14ac:dyDescent="0.25">
      <c r="A123" s="537" t="s">
        <v>1331</v>
      </c>
      <c r="B123" s="530" t="s">
        <v>1332</v>
      </c>
      <c r="C123" s="583"/>
      <c r="D123" s="576" t="s">
        <v>308</v>
      </c>
      <c r="E123" s="583"/>
      <c r="F123" s="576"/>
      <c r="P123" s="53"/>
      <c r="T123" t="s">
        <v>290</v>
      </c>
      <c r="U123" s="34">
        <v>0</v>
      </c>
      <c r="AJ123" s="79" t="s">
        <v>1254</v>
      </c>
      <c r="AK123" s="509" t="s">
        <v>1254</v>
      </c>
      <c r="AL123" t="s">
        <v>1345</v>
      </c>
      <c r="AN123" s="53" t="s">
        <v>1381</v>
      </c>
      <c r="AO123" s="53" t="s">
        <v>1381</v>
      </c>
      <c r="AP123" s="53" t="s">
        <v>1381</v>
      </c>
      <c r="AQ123" s="53" t="s">
        <v>1381</v>
      </c>
      <c r="AR123" s="97" t="str">
        <f t="shared" ca="1" si="39"/>
        <v>-</v>
      </c>
      <c r="AS123" s="116">
        <v>122</v>
      </c>
      <c r="AT123" s="569">
        <v>117</v>
      </c>
      <c r="AU123" s="509" t="s">
        <v>1182</v>
      </c>
      <c r="AV123" s="510" t="str">
        <f t="shared" si="40"/>
        <v>Included</v>
      </c>
      <c r="AW123" s="567"/>
      <c r="AX123" s="509" t="str">
        <f t="shared" si="41"/>
        <v/>
      </c>
    </row>
    <row r="124" spans="1:50" x14ac:dyDescent="0.25">
      <c r="C124" s="576"/>
      <c r="D124" s="576" t="s">
        <v>184</v>
      </c>
      <c r="E124" s="583"/>
      <c r="F124" s="576"/>
      <c r="P124" s="53"/>
      <c r="T124" t="s">
        <v>291</v>
      </c>
      <c r="U124" s="34">
        <v>633</v>
      </c>
      <c r="AJ124" s="79" t="s">
        <v>1255</v>
      </c>
      <c r="AK124" s="509" t="s">
        <v>1255</v>
      </c>
      <c r="AL124" t="s">
        <v>1345</v>
      </c>
      <c r="AN124" s="53" t="s">
        <v>1382</v>
      </c>
      <c r="AO124" s="53" t="s">
        <v>1382</v>
      </c>
      <c r="AP124" s="53" t="s">
        <v>1382</v>
      </c>
      <c r="AQ124" s="53" t="s">
        <v>1382</v>
      </c>
      <c r="AR124" s="97" t="str">
        <f t="shared" ca="1" si="39"/>
        <v>-</v>
      </c>
      <c r="AS124" s="117">
        <v>123</v>
      </c>
      <c r="AT124" s="569">
        <v>118</v>
      </c>
      <c r="AU124" s="509" t="s">
        <v>1183</v>
      </c>
      <c r="AV124" s="510" t="str">
        <f t="shared" si="40"/>
        <v>Included</v>
      </c>
      <c r="AW124" s="567"/>
      <c r="AX124" s="509" t="str">
        <f t="shared" si="41"/>
        <v/>
      </c>
    </row>
    <row r="125" spans="1:50" ht="17.25" x14ac:dyDescent="0.3">
      <c r="D125" s="576" t="s">
        <v>394</v>
      </c>
      <c r="E125" s="583"/>
      <c r="F125" s="576"/>
      <c r="M125" s="77" t="s">
        <v>373</v>
      </c>
      <c r="O125" s="9"/>
      <c r="Q125" s="9"/>
      <c r="T125" t="s">
        <v>292</v>
      </c>
      <c r="U125" s="33">
        <v>0.05</v>
      </c>
      <c r="AJ125" s="79" t="s">
        <v>1257</v>
      </c>
      <c r="AK125" s="509" t="s">
        <v>1257</v>
      </c>
      <c r="AL125" t="s">
        <v>1345</v>
      </c>
      <c r="AN125" s="53" t="s">
        <v>1383</v>
      </c>
      <c r="AO125" s="53" t="s">
        <v>1383</v>
      </c>
      <c r="AP125" s="53" t="s">
        <v>1383</v>
      </c>
      <c r="AQ125" s="53" t="s">
        <v>1383</v>
      </c>
      <c r="AR125" s="97" t="str">
        <f t="shared" ca="1" si="39"/>
        <v>-</v>
      </c>
      <c r="AS125" s="116">
        <v>124</v>
      </c>
      <c r="AT125" s="569">
        <v>119</v>
      </c>
      <c r="AU125" s="509" t="s">
        <v>1184</v>
      </c>
      <c r="AV125" s="510">
        <f t="shared" si="40"/>
        <v>2000000</v>
      </c>
      <c r="AW125" s="567"/>
      <c r="AX125" s="509" t="str">
        <f t="shared" si="41"/>
        <v/>
      </c>
    </row>
    <row r="126" spans="1:50" x14ac:dyDescent="0.25">
      <c r="D126" s="576" t="s">
        <v>395</v>
      </c>
      <c r="E126" s="583"/>
      <c r="F126" s="576"/>
      <c r="M126" s="80" t="s">
        <v>343</v>
      </c>
      <c r="N126" s="41" t="s">
        <v>344</v>
      </c>
      <c r="O126" s="42" t="s">
        <v>345</v>
      </c>
      <c r="P126" s="42" t="s">
        <v>346</v>
      </c>
      <c r="Q126" s="42"/>
      <c r="R126" s="40" t="s">
        <v>338</v>
      </c>
      <c r="T126" t="s">
        <v>173</v>
      </c>
      <c r="U126" s="35" t="e">
        <f>MIN((U122/U125),1)*(U124-U123)</f>
        <v>#DIV/0!</v>
      </c>
      <c r="AJ126" s="79" t="s">
        <v>1258</v>
      </c>
      <c r="AK126" s="509" t="s">
        <v>1258</v>
      </c>
      <c r="AL126" t="s">
        <v>1345</v>
      </c>
      <c r="AN126" s="53" t="s">
        <v>1383</v>
      </c>
      <c r="AO126" s="53" t="s">
        <v>1383</v>
      </c>
      <c r="AP126" s="53" t="s">
        <v>1383</v>
      </c>
      <c r="AQ126" s="53" t="s">
        <v>1383</v>
      </c>
      <c r="AR126" s="97" t="str">
        <f t="shared" ca="1" si="39"/>
        <v>-</v>
      </c>
      <c r="AS126" s="116">
        <v>125</v>
      </c>
      <c r="AT126" s="569">
        <v>120</v>
      </c>
      <c r="AU126" s="509" t="s">
        <v>1185</v>
      </c>
      <c r="AV126" s="510">
        <f t="shared" si="40"/>
        <v>0</v>
      </c>
      <c r="AW126" s="567"/>
      <c r="AX126" s="509" t="str">
        <f t="shared" si="41"/>
        <v/>
      </c>
    </row>
    <row r="127" spans="1:50" x14ac:dyDescent="0.25">
      <c r="D127" s="576" t="s">
        <v>396</v>
      </c>
      <c r="E127" s="583"/>
      <c r="F127" s="576"/>
      <c r="M127" s="79" t="s">
        <v>373</v>
      </c>
      <c r="N127" s="52">
        <f>$C$114</f>
        <v>0</v>
      </c>
      <c r="O127">
        <v>0</v>
      </c>
      <c r="P127" s="53">
        <v>1000</v>
      </c>
      <c r="Q127" s="53"/>
      <c r="R127" s="54">
        <f>IFERROR(VLOOKUP(N127,O127:P133,2,FALSE),1000)</f>
        <v>1000</v>
      </c>
      <c r="AT127" s="569">
        <v>121</v>
      </c>
      <c r="AU127" s="509" t="s">
        <v>1186</v>
      </c>
      <c r="AV127" s="510" t="str">
        <f t="shared" si="40"/>
        <v/>
      </c>
      <c r="AW127" s="567"/>
      <c r="AX127" s="509" t="str">
        <f t="shared" si="41"/>
        <v>Riggers Liability / Hook Coverage</v>
      </c>
    </row>
    <row r="128" spans="1:50" x14ac:dyDescent="0.25">
      <c r="D128" s="576" t="s">
        <v>398</v>
      </c>
      <c r="E128" s="583"/>
      <c r="F128" s="576"/>
      <c r="N128" s="55"/>
      <c r="O128">
        <v>500</v>
      </c>
      <c r="P128" s="53">
        <v>1000</v>
      </c>
      <c r="Q128" s="9"/>
      <c r="T128" s="2" t="s">
        <v>279</v>
      </c>
      <c r="AB128" s="29" t="s">
        <v>284</v>
      </c>
      <c r="AC128">
        <v>50000</v>
      </c>
      <c r="AD128">
        <v>100000</v>
      </c>
      <c r="AE128">
        <v>250000</v>
      </c>
      <c r="AF128">
        <v>500000</v>
      </c>
      <c r="AG128">
        <v>1000000</v>
      </c>
      <c r="AT128" s="569">
        <v>122</v>
      </c>
      <c r="AU128" s="509" t="s">
        <v>1187</v>
      </c>
      <c r="AV128" s="510" t="str">
        <f t="shared" si="40"/>
        <v/>
      </c>
      <c r="AW128" s="567"/>
      <c r="AX128" s="509" t="str">
        <f t="shared" si="41"/>
        <v>Rip and Tear</v>
      </c>
    </row>
    <row r="129" spans="4:50" x14ac:dyDescent="0.25">
      <c r="D129" s="576" t="s">
        <v>399</v>
      </c>
      <c r="E129" s="583"/>
      <c r="F129" s="576"/>
      <c r="O129">
        <v>1000</v>
      </c>
      <c r="P129" s="53">
        <v>1000</v>
      </c>
      <c r="T129" t="s">
        <v>280</v>
      </c>
      <c r="U129" s="57">
        <f>$R$232</f>
        <v>50000</v>
      </c>
      <c r="AB129" t="s">
        <v>285</v>
      </c>
      <c r="AC129">
        <v>10</v>
      </c>
      <c r="AD129">
        <v>25</v>
      </c>
      <c r="AE129">
        <v>50</v>
      </c>
      <c r="AF129">
        <v>85</v>
      </c>
      <c r="AG129">
        <v>150</v>
      </c>
      <c r="AT129" s="569">
        <v>123</v>
      </c>
      <c r="AU129" s="509" t="s">
        <v>1188</v>
      </c>
      <c r="AV129" s="510">
        <f t="shared" si="40"/>
        <v>2000000</v>
      </c>
      <c r="AW129" s="567"/>
      <c r="AX129" s="509" t="str">
        <f t="shared" si="41"/>
        <v/>
      </c>
    </row>
    <row r="130" spans="4:50" x14ac:dyDescent="0.25">
      <c r="D130" s="576" t="s">
        <v>400</v>
      </c>
      <c r="E130" s="583"/>
      <c r="F130" s="576"/>
      <c r="O130">
        <v>1500</v>
      </c>
      <c r="P130" s="53">
        <v>1000</v>
      </c>
      <c r="T130" t="s">
        <v>281</v>
      </c>
      <c r="U130" s="27">
        <v>50000</v>
      </c>
      <c r="AB130" s="31" t="s">
        <v>286</v>
      </c>
      <c r="AC130" s="32">
        <v>15</v>
      </c>
      <c r="AD130">
        <v>35</v>
      </c>
      <c r="AE130">
        <v>60</v>
      </c>
      <c r="AF130">
        <v>95</v>
      </c>
      <c r="AG130">
        <v>165</v>
      </c>
      <c r="AT130" s="569">
        <v>124</v>
      </c>
      <c r="AU130" s="509" t="s">
        <v>1189</v>
      </c>
      <c r="AV130" s="510">
        <f t="shared" si="40"/>
        <v>100000</v>
      </c>
      <c r="AW130" s="567"/>
      <c r="AX130" s="509" t="str">
        <f t="shared" si="41"/>
        <v/>
      </c>
    </row>
    <row r="131" spans="4:50" x14ac:dyDescent="0.25">
      <c r="D131" s="576" t="s">
        <v>401</v>
      </c>
      <c r="E131" s="583"/>
      <c r="F131" s="576"/>
      <c r="O131">
        <v>2500</v>
      </c>
      <c r="P131" s="53">
        <v>2500</v>
      </c>
      <c r="T131" t="s">
        <v>282</v>
      </c>
      <c r="U131" s="27">
        <f>MAX(U129:U130)</f>
        <v>50000</v>
      </c>
      <c r="AB131" s="32" t="s">
        <v>287</v>
      </c>
      <c r="AC131" s="32">
        <v>20</v>
      </c>
      <c r="AD131">
        <v>45</v>
      </c>
      <c r="AE131">
        <v>70</v>
      </c>
      <c r="AF131">
        <v>105</v>
      </c>
      <c r="AG131">
        <v>175</v>
      </c>
      <c r="AT131" s="569">
        <v>125</v>
      </c>
      <c r="AU131" s="509" t="s">
        <v>1190</v>
      </c>
      <c r="AV131" s="510" t="str">
        <f t="shared" si="40"/>
        <v/>
      </c>
      <c r="AW131" s="567"/>
      <c r="AX131" s="509" t="str">
        <f t="shared" si="41"/>
        <v>Additional property damage exclusion</v>
      </c>
    </row>
    <row r="132" spans="4:50" x14ac:dyDescent="0.25">
      <c r="D132" s="576" t="s">
        <v>402</v>
      </c>
      <c r="E132" s="583"/>
      <c r="F132" s="576"/>
      <c r="O132">
        <v>5000</v>
      </c>
      <c r="P132" s="53">
        <v>5000</v>
      </c>
      <c r="T132" t="s">
        <v>204</v>
      </c>
      <c r="U132" s="74" t="str">
        <f>R248</f>
        <v>&gt;20</v>
      </c>
      <c r="AB132" t="s">
        <v>288</v>
      </c>
      <c r="AC132">
        <v>25</v>
      </c>
      <c r="AD132">
        <v>60</v>
      </c>
      <c r="AE132">
        <v>100</v>
      </c>
      <c r="AF132" t="s">
        <v>213</v>
      </c>
      <c r="AG132" t="s">
        <v>213</v>
      </c>
      <c r="AT132" s="569">
        <v>126</v>
      </c>
      <c r="AU132" s="509" t="s">
        <v>552</v>
      </c>
      <c r="AV132" s="510" t="str">
        <f t="shared" si="40"/>
        <v/>
      </c>
      <c r="AW132" s="567"/>
      <c r="AX132" s="509" t="str">
        <f t="shared" si="41"/>
        <v>Extra expense</v>
      </c>
    </row>
    <row r="133" spans="4:50" x14ac:dyDescent="0.25">
      <c r="D133" s="576" t="s">
        <v>403</v>
      </c>
      <c r="E133" s="583"/>
      <c r="F133" s="576"/>
      <c r="O133">
        <v>10000</v>
      </c>
      <c r="P133" s="53">
        <v>5000</v>
      </c>
      <c r="T133" t="s">
        <v>283</v>
      </c>
      <c r="U133" s="22">
        <f>IF(U131=50000,VLOOKUP(U132,$AB$128:$AG$132,2,FALSE),IF(U131=100000,VLOOKUP(U132,$AB$128:$AG$132,3,FALSE),IF(U131=250000,VLOOKUP(U132,$AB$128:$AG$132,4,FALSE),IF(U131=500000,VLOOKUP(U132,$AB$128:$AG$132,5,FALSE),VLOOKUP(U132,$AB$128:$AG$132,6,FALSE)))))</f>
        <v>25</v>
      </c>
      <c r="AT133" s="569">
        <v>127</v>
      </c>
      <c r="AU133" s="509" t="s">
        <v>1191</v>
      </c>
      <c r="AV133" s="510" t="str">
        <f t="shared" si="40"/>
        <v/>
      </c>
      <c r="AW133" s="567"/>
      <c r="AX133" s="509" t="str">
        <f t="shared" si="41"/>
        <v>Contingent loss of income</v>
      </c>
    </row>
    <row r="134" spans="4:50" x14ac:dyDescent="0.25">
      <c r="D134" s="576" t="s">
        <v>404</v>
      </c>
      <c r="E134" s="583"/>
      <c r="F134" s="576"/>
      <c r="P134" s="9"/>
      <c r="AT134" s="569">
        <v>128</v>
      </c>
      <c r="AU134" s="509" t="s">
        <v>1192</v>
      </c>
      <c r="AV134" s="510" t="str">
        <f t="shared" si="40"/>
        <v/>
      </c>
      <c r="AW134" s="567"/>
      <c r="AX134" s="509" t="str">
        <f t="shared" si="41"/>
        <v>Basic Rental income</v>
      </c>
    </row>
    <row r="135" spans="4:50" x14ac:dyDescent="0.25">
      <c r="D135" s="576" t="s">
        <v>405</v>
      </c>
      <c r="E135" s="583"/>
      <c r="F135" s="576"/>
      <c r="P135" s="9"/>
      <c r="T135" s="14" t="s">
        <v>1356</v>
      </c>
      <c r="U135" s="25" t="e">
        <f>SUM(Y64,U71,U77,U82,U93,U98,U106,U110,U118,U126,U133)</f>
        <v>#DIV/0!</v>
      </c>
      <c r="AT135" s="569">
        <v>129</v>
      </c>
      <c r="AU135" s="509" t="s">
        <v>1193</v>
      </c>
      <c r="AV135" s="510" t="str">
        <f t="shared" ref="AV135:AV198" si="45">IFERROR(VLOOKUP(AU135,$AK$3:$AR$785,7,FALSE),"")</f>
        <v/>
      </c>
      <c r="AW135" s="567"/>
      <c r="AX135" s="509" t="str">
        <f t="shared" si="41"/>
        <v>Gross rents</v>
      </c>
    </row>
    <row r="136" spans="4:50" x14ac:dyDescent="0.25">
      <c r="D136" s="576" t="s">
        <v>406</v>
      </c>
      <c r="E136" s="583"/>
      <c r="F136" s="576"/>
      <c r="AT136" s="569">
        <v>130</v>
      </c>
      <c r="AU136" s="509" t="s">
        <v>1194</v>
      </c>
      <c r="AV136" s="510" t="str">
        <f t="shared" si="45"/>
        <v/>
      </c>
      <c r="AW136" s="567"/>
      <c r="AX136" s="509" t="str">
        <f t="shared" ref="AX136:AX199" si="46">IF(ISERROR(VLOOKUP(AU136,$AK$1:$AK$1001,1,FALSE))=TRUE,AU136,"")</f>
        <v>Loss of earnings</v>
      </c>
    </row>
    <row r="137" spans="4:50" ht="17.25" x14ac:dyDescent="0.3">
      <c r="D137" s="576" t="s">
        <v>407</v>
      </c>
      <c r="E137" s="583"/>
      <c r="F137" s="576"/>
      <c r="M137" s="77" t="s">
        <v>369</v>
      </c>
      <c r="O137" s="9"/>
      <c r="Q137" s="9"/>
      <c r="T137" s="2" t="s">
        <v>761</v>
      </c>
      <c r="AT137" s="569">
        <v>131</v>
      </c>
      <c r="AU137" s="509" t="s">
        <v>1195</v>
      </c>
      <c r="AV137" s="510" t="str">
        <f t="shared" si="45"/>
        <v/>
      </c>
      <c r="AW137" s="567"/>
      <c r="AX137" s="509" t="str">
        <f t="shared" si="46"/>
        <v>Profits</v>
      </c>
    </row>
    <row r="138" spans="4:50" x14ac:dyDescent="0.25">
      <c r="D138" s="576" t="s">
        <v>1318</v>
      </c>
      <c r="E138" s="583"/>
      <c r="F138" s="576"/>
      <c r="M138" s="80" t="s">
        <v>343</v>
      </c>
      <c r="N138" s="41" t="s">
        <v>344</v>
      </c>
      <c r="O138" s="42" t="s">
        <v>345</v>
      </c>
      <c r="P138" s="42" t="s">
        <v>346</v>
      </c>
      <c r="Q138" s="42"/>
      <c r="R138" s="40" t="s">
        <v>338</v>
      </c>
      <c r="T138" s="578" t="s">
        <v>1357</v>
      </c>
      <c r="U138" s="38" t="str">
        <f>R285</f>
        <v>Ontario</v>
      </c>
      <c r="AB138" s="29" t="s">
        <v>1358</v>
      </c>
      <c r="AE138" s="29" t="s">
        <v>1362</v>
      </c>
      <c r="AT138" s="569">
        <v>132</v>
      </c>
      <c r="AU138" s="509" t="s">
        <v>1196</v>
      </c>
      <c r="AV138" s="510" t="str">
        <f t="shared" si="45"/>
        <v>-</v>
      </c>
      <c r="AW138" s="567"/>
      <c r="AX138" s="509" t="str">
        <f t="shared" si="46"/>
        <v/>
      </c>
    </row>
    <row r="139" spans="4:50" x14ac:dyDescent="0.25">
      <c r="D139" s="576" t="s">
        <v>207</v>
      </c>
      <c r="E139" s="583" t="s">
        <v>276</v>
      </c>
      <c r="F139" s="576"/>
      <c r="M139" s="79" t="s">
        <v>369</v>
      </c>
      <c r="N139" s="52">
        <f>C118</f>
        <v>0</v>
      </c>
      <c r="O139">
        <v>0</v>
      </c>
      <c r="P139" s="53">
        <v>0</v>
      </c>
      <c r="Q139" s="53"/>
      <c r="R139" s="54">
        <f>IFERROR(VLOOKUP(N139,O139:P145,2,FALSE),1000)</f>
        <v>0</v>
      </c>
      <c r="T139" s="578" t="s">
        <v>1364</v>
      </c>
      <c r="U139" s="579">
        <f>IFERROR(VLOOKUP(U138,$AB$139:$AC$142,2,FALSE),0)</f>
        <v>0</v>
      </c>
      <c r="AB139" t="s">
        <v>585</v>
      </c>
      <c r="AC139" s="18">
        <v>0</v>
      </c>
      <c r="AE139" t="s">
        <v>276</v>
      </c>
      <c r="AF139" s="18">
        <v>0.1</v>
      </c>
      <c r="AT139" s="569">
        <v>133</v>
      </c>
      <c r="AU139" s="509" t="s">
        <v>1197</v>
      </c>
      <c r="AV139" s="510">
        <f t="shared" si="45"/>
        <v>100000</v>
      </c>
      <c r="AW139" s="567"/>
      <c r="AX139" s="509" t="str">
        <f t="shared" si="46"/>
        <v/>
      </c>
    </row>
    <row r="140" spans="4:50" x14ac:dyDescent="0.25">
      <c r="D140" s="576" t="s">
        <v>309</v>
      </c>
      <c r="E140" s="583"/>
      <c r="F140" s="576"/>
      <c r="N140" s="55"/>
      <c r="O140">
        <v>500</v>
      </c>
      <c r="P140" s="53">
        <v>1000</v>
      </c>
      <c r="Q140" s="9"/>
      <c r="T140" s="578" t="s">
        <v>1360</v>
      </c>
      <c r="U140" s="25" t="e">
        <f>U135-U135*U139</f>
        <v>#DIV/0!</v>
      </c>
      <c r="AB140" t="s">
        <v>929</v>
      </c>
      <c r="AC140" s="18">
        <v>0.25</v>
      </c>
      <c r="AE140" t="s">
        <v>176</v>
      </c>
      <c r="AF140" s="18">
        <v>0</v>
      </c>
      <c r="AT140" s="569">
        <v>134</v>
      </c>
      <c r="AU140" s="509" t="s">
        <v>540</v>
      </c>
      <c r="AV140" s="510">
        <f t="shared" si="45"/>
        <v>10000</v>
      </c>
      <c r="AW140" s="567"/>
      <c r="AX140" s="509" t="str">
        <f t="shared" si="46"/>
        <v/>
      </c>
    </row>
    <row r="141" spans="4:50" x14ac:dyDescent="0.25">
      <c r="D141" s="576" t="s">
        <v>577</v>
      </c>
      <c r="E141" s="583"/>
      <c r="F141" s="576"/>
      <c r="O141">
        <v>1000</v>
      </c>
      <c r="P141" s="53">
        <v>1000</v>
      </c>
      <c r="T141" s="578" t="s">
        <v>1361</v>
      </c>
      <c r="U141" s="38">
        <f>C120</f>
        <v>0</v>
      </c>
      <c r="AB141" t="s">
        <v>1359</v>
      </c>
      <c r="AC141" s="18">
        <v>0.35</v>
      </c>
      <c r="AT141" s="569">
        <v>135</v>
      </c>
      <c r="AU141" s="509" t="s">
        <v>1198</v>
      </c>
      <c r="AV141" s="510">
        <f t="shared" si="45"/>
        <v>10000</v>
      </c>
      <c r="AW141" s="567"/>
      <c r="AX141" s="509" t="str">
        <f t="shared" si="46"/>
        <v/>
      </c>
    </row>
    <row r="142" spans="4:50" x14ac:dyDescent="0.25">
      <c r="D142" s="576" t="s">
        <v>211</v>
      </c>
      <c r="E142" s="583"/>
      <c r="F142" s="576"/>
      <c r="O142">
        <v>1500</v>
      </c>
      <c r="P142" s="53">
        <v>1000</v>
      </c>
      <c r="T142" s="578" t="s">
        <v>1363</v>
      </c>
      <c r="U142" s="579">
        <f>IFERROR(VLOOKUP(U141,$AE$139:$AF$140,2,FALSE),0)</f>
        <v>0</v>
      </c>
      <c r="AB142" t="s">
        <v>935</v>
      </c>
      <c r="AC142" s="18">
        <v>0.25</v>
      </c>
      <c r="AT142" s="569">
        <v>136</v>
      </c>
      <c r="AU142" s="509" t="s">
        <v>1199</v>
      </c>
      <c r="AV142" s="510">
        <f t="shared" si="45"/>
        <v>25000</v>
      </c>
      <c r="AW142" s="567"/>
      <c r="AX142" s="509" t="str">
        <f t="shared" si="46"/>
        <v/>
      </c>
    </row>
    <row r="143" spans="4:50" x14ac:dyDescent="0.25">
      <c r="D143" s="576" t="s">
        <v>372</v>
      </c>
      <c r="E143" s="583" t="s">
        <v>276</v>
      </c>
      <c r="F143" s="576"/>
      <c r="O143">
        <v>2500</v>
      </c>
      <c r="P143" s="53">
        <v>2500</v>
      </c>
      <c r="T143" s="578" t="s">
        <v>1365</v>
      </c>
      <c r="U143" s="25" t="e">
        <f>U140-U140*U142</f>
        <v>#DIV/0!</v>
      </c>
      <c r="AT143" s="569">
        <v>137</v>
      </c>
      <c r="AU143" s="509" t="s">
        <v>1200</v>
      </c>
      <c r="AV143" s="510" t="str">
        <f t="shared" si="45"/>
        <v/>
      </c>
      <c r="AW143" s="567"/>
      <c r="AX143" s="509" t="str">
        <f t="shared" si="46"/>
        <v>Forgery or Alteration</v>
      </c>
    </row>
    <row r="144" spans="4:50" x14ac:dyDescent="0.25">
      <c r="D144" s="576" t="s">
        <v>443</v>
      </c>
      <c r="E144" s="583" t="s">
        <v>276</v>
      </c>
      <c r="F144" s="576"/>
      <c r="O144">
        <v>5000</v>
      </c>
      <c r="P144" s="53">
        <v>5000</v>
      </c>
      <c r="T144" s="578"/>
      <c r="AT144" s="569">
        <v>138</v>
      </c>
      <c r="AU144" s="509" t="s">
        <v>1201</v>
      </c>
      <c r="AV144" s="510">
        <f t="shared" si="45"/>
        <v>100000</v>
      </c>
      <c r="AW144" s="567"/>
      <c r="AX144" s="509" t="str">
        <f t="shared" si="46"/>
        <v/>
      </c>
    </row>
    <row r="145" spans="4:50" x14ac:dyDescent="0.25">
      <c r="D145" s="576" t="s">
        <v>630</v>
      </c>
      <c r="E145" s="583" t="s">
        <v>629</v>
      </c>
      <c r="F145" s="576"/>
      <c r="O145">
        <v>10000</v>
      </c>
      <c r="P145" s="53">
        <v>5000</v>
      </c>
      <c r="T145" s="580" t="s">
        <v>1366</v>
      </c>
      <c r="U145" s="25" t="e">
        <f>U143</f>
        <v>#DIV/0!</v>
      </c>
      <c r="AT145" s="569">
        <v>139</v>
      </c>
      <c r="AU145" s="509" t="s">
        <v>1202</v>
      </c>
      <c r="AV145" s="510" t="str">
        <f t="shared" si="45"/>
        <v/>
      </c>
      <c r="AW145" s="567"/>
      <c r="AX145" s="509" t="str">
        <f t="shared" si="46"/>
        <v>Identity Theft</v>
      </c>
    </row>
    <row r="146" spans="4:50" x14ac:dyDescent="0.25">
      <c r="D146" s="576" t="s">
        <v>628</v>
      </c>
      <c r="E146" s="583">
        <v>10000</v>
      </c>
      <c r="F146" s="576"/>
      <c r="P146" s="9"/>
      <c r="AT146" s="569">
        <v>140</v>
      </c>
      <c r="AU146" s="509" t="s">
        <v>1203</v>
      </c>
      <c r="AV146" s="510" t="str">
        <f t="shared" si="45"/>
        <v/>
      </c>
      <c r="AW146" s="567"/>
      <c r="AX146" s="509" t="str">
        <f t="shared" si="46"/>
        <v>Incoming cheque forgery</v>
      </c>
    </row>
    <row r="147" spans="4:50" x14ac:dyDescent="0.25">
      <c r="D147" s="576" t="s">
        <v>419</v>
      </c>
      <c r="E147" s="583">
        <v>0</v>
      </c>
      <c r="F147" s="576"/>
      <c r="P147" s="9"/>
      <c r="AT147" s="569">
        <v>141</v>
      </c>
      <c r="AU147" s="509" t="s">
        <v>1204</v>
      </c>
      <c r="AV147" s="510" t="str">
        <f t="shared" si="45"/>
        <v/>
      </c>
      <c r="AW147" s="567"/>
      <c r="AX147" s="509" t="str">
        <f t="shared" si="46"/>
        <v>Kidnap and ransom</v>
      </c>
    </row>
    <row r="148" spans="4:50" ht="17.25" x14ac:dyDescent="0.3">
      <c r="D148" s="576" t="s">
        <v>420</v>
      </c>
      <c r="E148" s="583">
        <v>0</v>
      </c>
      <c r="F148" s="576"/>
      <c r="T148" s="26" t="s">
        <v>241</v>
      </c>
      <c r="AB148" s="29" t="s">
        <v>268</v>
      </c>
      <c r="AC148" t="s">
        <v>220</v>
      </c>
      <c r="AD148" t="s">
        <v>221</v>
      </c>
      <c r="AE148" t="s">
        <v>229</v>
      </c>
      <c r="AF148" t="s">
        <v>222</v>
      </c>
      <c r="AG148" t="s">
        <v>223</v>
      </c>
      <c r="AH148" t="s">
        <v>224</v>
      </c>
      <c r="AT148" s="569">
        <v>142</v>
      </c>
      <c r="AU148" s="509" t="s">
        <v>536</v>
      </c>
      <c r="AV148" s="510">
        <f t="shared" si="45"/>
        <v>10000</v>
      </c>
      <c r="AW148" s="567"/>
      <c r="AX148" s="509" t="str">
        <f t="shared" si="46"/>
        <v/>
      </c>
    </row>
    <row r="149" spans="4:50" x14ac:dyDescent="0.25">
      <c r="D149" s="576" t="s">
        <v>421</v>
      </c>
      <c r="E149" s="583">
        <v>0</v>
      </c>
      <c r="F149" s="576"/>
      <c r="T149" t="s">
        <v>128</v>
      </c>
      <c r="U149" s="50" t="str">
        <f>$R$73</f>
        <v>Frame</v>
      </c>
      <c r="AT149" s="569">
        <v>143</v>
      </c>
      <c r="AU149" s="509" t="s">
        <v>537</v>
      </c>
      <c r="AV149" s="510">
        <f t="shared" si="45"/>
        <v>10000</v>
      </c>
      <c r="AW149" s="567"/>
      <c r="AX149" s="509" t="str">
        <f t="shared" si="46"/>
        <v/>
      </c>
    </row>
    <row r="150" spans="4:50" x14ac:dyDescent="0.25">
      <c r="D150" s="576" t="s">
        <v>422</v>
      </c>
      <c r="E150" s="583">
        <v>0</v>
      </c>
      <c r="F150" s="576"/>
      <c r="T150" t="s">
        <v>225</v>
      </c>
      <c r="U150" s="50">
        <f>$R$111</f>
        <v>0</v>
      </c>
      <c r="AB150" t="s">
        <v>216</v>
      </c>
      <c r="AC150">
        <v>0.30299999999999999</v>
      </c>
      <c r="AD150">
        <v>0.378</v>
      </c>
      <c r="AE150">
        <v>0.439</v>
      </c>
      <c r="AF150">
        <v>0.22</v>
      </c>
      <c r="AG150">
        <v>72</v>
      </c>
      <c r="AH150">
        <v>55</v>
      </c>
      <c r="AT150" s="569">
        <v>144</v>
      </c>
      <c r="AU150" s="509" t="s">
        <v>1205</v>
      </c>
      <c r="AV150" s="510" t="str">
        <f t="shared" si="45"/>
        <v/>
      </c>
      <c r="AW150" s="567"/>
      <c r="AX150" s="509" t="str">
        <f t="shared" si="46"/>
        <v>Medical expense from robbery</v>
      </c>
    </row>
    <row r="151" spans="4:50" x14ac:dyDescent="0.25">
      <c r="D151" s="576" t="s">
        <v>423</v>
      </c>
      <c r="E151" s="583">
        <v>0</v>
      </c>
      <c r="F151" s="576"/>
      <c r="T151" t="s">
        <v>252</v>
      </c>
      <c r="U151" s="51">
        <f>$C$96</f>
        <v>0</v>
      </c>
      <c r="AB151" t="s">
        <v>217</v>
      </c>
      <c r="AC151">
        <v>0.30299999999999999</v>
      </c>
      <c r="AD151">
        <v>0.378</v>
      </c>
      <c r="AE151">
        <v>0.439</v>
      </c>
      <c r="AF151">
        <v>0.22</v>
      </c>
      <c r="AG151">
        <v>72</v>
      </c>
      <c r="AH151">
        <v>55</v>
      </c>
      <c r="AT151" s="569">
        <v>145</v>
      </c>
      <c r="AU151" s="509" t="s">
        <v>1206</v>
      </c>
      <c r="AV151" s="510" t="str">
        <f t="shared" si="45"/>
        <v/>
      </c>
      <c r="AW151" s="567"/>
      <c r="AX151" s="509" t="str">
        <f t="shared" si="46"/>
        <v>Money &amp; Securities</v>
      </c>
    </row>
    <row r="152" spans="4:50" ht="17.25" x14ac:dyDescent="0.3">
      <c r="D152" s="576" t="s">
        <v>424</v>
      </c>
      <c r="E152" s="583">
        <v>0</v>
      </c>
      <c r="F152" s="576"/>
      <c r="M152" s="77" t="s">
        <v>380</v>
      </c>
      <c r="O152" s="9"/>
      <c r="P152" s="56"/>
      <c r="Q152" s="9"/>
      <c r="T152" t="s">
        <v>134</v>
      </c>
      <c r="U152" s="121" t="str">
        <f>$R$120</f>
        <v>Error</v>
      </c>
      <c r="AB152" t="s">
        <v>218</v>
      </c>
      <c r="AC152">
        <v>0.378</v>
      </c>
      <c r="AD152">
        <v>0.47199999999999998</v>
      </c>
      <c r="AE152">
        <v>0.52800000000000002</v>
      </c>
      <c r="AF152">
        <v>0.23499999999999999</v>
      </c>
      <c r="AG152">
        <v>72</v>
      </c>
      <c r="AH152">
        <v>55</v>
      </c>
      <c r="AT152" s="569">
        <v>146</v>
      </c>
      <c r="AU152" s="509" t="s">
        <v>1207</v>
      </c>
      <c r="AV152" s="510">
        <f t="shared" si="45"/>
        <v>10000</v>
      </c>
      <c r="AW152" s="567"/>
      <c r="AX152" s="509" t="str">
        <f t="shared" si="46"/>
        <v/>
      </c>
    </row>
    <row r="153" spans="4:50" x14ac:dyDescent="0.25">
      <c r="D153" s="576" t="s">
        <v>425</v>
      </c>
      <c r="E153" s="583">
        <v>0</v>
      </c>
      <c r="F153" s="576"/>
      <c r="M153" s="80" t="s">
        <v>343</v>
      </c>
      <c r="N153" s="41" t="s">
        <v>344</v>
      </c>
      <c r="O153" s="42" t="s">
        <v>189</v>
      </c>
      <c r="P153" s="42" t="s">
        <v>375</v>
      </c>
      <c r="Q153" s="42"/>
      <c r="R153" s="40" t="s">
        <v>338</v>
      </c>
      <c r="T153" t="s">
        <v>678</v>
      </c>
      <c r="U153" s="50" t="str">
        <f ca="1">I7</f>
        <v>Decline</v>
      </c>
      <c r="AB153" t="s">
        <v>219</v>
      </c>
      <c r="AC153">
        <v>0.58399999999999996</v>
      </c>
      <c r="AD153">
        <v>0.72</v>
      </c>
      <c r="AE153">
        <v>0.79</v>
      </c>
      <c r="AF153">
        <v>0.35099999999999998</v>
      </c>
      <c r="AG153">
        <v>72</v>
      </c>
      <c r="AH153">
        <v>55</v>
      </c>
      <c r="AT153" s="569">
        <v>147</v>
      </c>
      <c r="AU153" s="509" t="s">
        <v>1208</v>
      </c>
      <c r="AV153" s="510" t="str">
        <f t="shared" si="45"/>
        <v/>
      </c>
      <c r="AW153" s="567"/>
      <c r="AX153" s="509" t="str">
        <f t="shared" si="46"/>
        <v>Theft from custodian's home</v>
      </c>
    </row>
    <row r="154" spans="4:50" x14ac:dyDescent="0.25">
      <c r="D154" s="576" t="s">
        <v>426</v>
      </c>
      <c r="E154" s="583">
        <v>0</v>
      </c>
      <c r="F154" s="576"/>
      <c r="M154" s="79" t="s">
        <v>374</v>
      </c>
      <c r="N154" s="52">
        <f>C105</f>
        <v>0</v>
      </c>
      <c r="O154">
        <v>0</v>
      </c>
      <c r="P154" s="53"/>
      <c r="Q154" s="53"/>
      <c r="R154" s="54">
        <f>N154</f>
        <v>0</v>
      </c>
      <c r="AT154" s="569">
        <v>148</v>
      </c>
      <c r="AU154" s="509" t="s">
        <v>1209</v>
      </c>
      <c r="AV154" s="510" t="str">
        <f t="shared" si="45"/>
        <v/>
      </c>
      <c r="AW154" s="567"/>
      <c r="AX154" s="509" t="str">
        <f t="shared" si="46"/>
        <v>Third Party Bond</v>
      </c>
    </row>
    <row r="155" spans="4:50" x14ac:dyDescent="0.25">
      <c r="D155" s="576" t="s">
        <v>427</v>
      </c>
      <c r="E155" s="583">
        <v>0</v>
      </c>
      <c r="F155" s="576"/>
      <c r="M155" s="79" t="s">
        <v>130</v>
      </c>
      <c r="N155" s="52">
        <f>C106</f>
        <v>0</v>
      </c>
      <c r="O155">
        <v>0</v>
      </c>
      <c r="R155" s="54">
        <f t="shared" ref="R155:R161" si="47">N155</f>
        <v>0</v>
      </c>
      <c r="T155" t="s">
        <v>191</v>
      </c>
      <c r="U155" s="57">
        <f>$R$154</f>
        <v>0</v>
      </c>
      <c r="AT155" s="569">
        <v>149</v>
      </c>
      <c r="AU155" s="509" t="s">
        <v>1210</v>
      </c>
      <c r="AV155" s="510" t="str">
        <f t="shared" si="45"/>
        <v/>
      </c>
      <c r="AW155" s="567"/>
      <c r="AX155" s="509" t="str">
        <f t="shared" si="46"/>
        <v>Incident response costs</v>
      </c>
    </row>
    <row r="156" spans="4:50" x14ac:dyDescent="0.25">
      <c r="D156" s="576" t="s">
        <v>428</v>
      </c>
      <c r="E156" s="583">
        <v>0</v>
      </c>
      <c r="F156" s="576"/>
      <c r="M156" s="79" t="s">
        <v>131</v>
      </c>
      <c r="N156" s="52">
        <f>C107</f>
        <v>0</v>
      </c>
      <c r="O156">
        <v>0</v>
      </c>
      <c r="R156" s="54">
        <f t="shared" si="47"/>
        <v>0</v>
      </c>
      <c r="T156" t="s">
        <v>134</v>
      </c>
      <c r="U156" s="57" t="str">
        <f>U152</f>
        <v>Error</v>
      </c>
      <c r="AT156" s="569">
        <v>150</v>
      </c>
      <c r="AU156" s="509" t="s">
        <v>1211</v>
      </c>
      <c r="AV156" s="510" t="str">
        <f t="shared" si="45"/>
        <v/>
      </c>
      <c r="AW156" s="567"/>
      <c r="AX156" s="509" t="str">
        <f t="shared" si="46"/>
        <v>Legal and regulatory costs</v>
      </c>
    </row>
    <row r="157" spans="4:50" x14ac:dyDescent="0.25">
      <c r="D157" s="576" t="s">
        <v>429</v>
      </c>
      <c r="E157" s="583">
        <v>0</v>
      </c>
      <c r="F157" s="576"/>
      <c r="M157" s="79" t="s">
        <v>132</v>
      </c>
      <c r="N157" s="52">
        <f>C108</f>
        <v>0</v>
      </c>
      <c r="O157">
        <v>0</v>
      </c>
      <c r="R157" s="54">
        <f t="shared" si="47"/>
        <v>0</v>
      </c>
      <c r="T157" t="s">
        <v>668</v>
      </c>
      <c r="U157" s="108">
        <f>IF(U156="Own",U155,0)</f>
        <v>0</v>
      </c>
      <c r="AT157" s="569">
        <v>151</v>
      </c>
      <c r="AU157" s="509" t="s">
        <v>1212</v>
      </c>
      <c r="AV157" s="510" t="str">
        <f t="shared" si="45"/>
        <v/>
      </c>
      <c r="AW157" s="567"/>
      <c r="AX157" s="509" t="str">
        <f t="shared" si="46"/>
        <v>IT Security and Forensic Costs</v>
      </c>
    </row>
    <row r="158" spans="4:50" x14ac:dyDescent="0.25">
      <c r="D158" s="576" t="s">
        <v>430</v>
      </c>
      <c r="E158" s="583">
        <v>0</v>
      </c>
      <c r="F158" s="576"/>
      <c r="M158" s="79" t="s">
        <v>196</v>
      </c>
      <c r="N158" s="52">
        <v>0</v>
      </c>
      <c r="O158">
        <v>0</v>
      </c>
      <c r="R158" s="54">
        <f t="shared" si="47"/>
        <v>0</v>
      </c>
      <c r="T158" t="s">
        <v>233</v>
      </c>
      <c r="U158">
        <f>VLOOKUP(U149,$AB$150:$AH$153,2,FALSE)</f>
        <v>0.58399999999999996</v>
      </c>
      <c r="AT158" s="569">
        <v>152</v>
      </c>
      <c r="AU158" s="509" t="s">
        <v>1213</v>
      </c>
      <c r="AV158" s="510" t="str">
        <f t="shared" si="45"/>
        <v/>
      </c>
      <c r="AW158" s="567"/>
      <c r="AX158" s="509" t="str">
        <f t="shared" si="46"/>
        <v>Crisis communication costs</v>
      </c>
    </row>
    <row r="159" spans="4:50" x14ac:dyDescent="0.25">
      <c r="D159" s="576" t="s">
        <v>431</v>
      </c>
      <c r="E159" s="583">
        <v>0</v>
      </c>
      <c r="F159" s="576"/>
      <c r="M159" s="79" t="s">
        <v>133</v>
      </c>
      <c r="N159" s="52">
        <f>C110</f>
        <v>0</v>
      </c>
      <c r="O159">
        <v>0</v>
      </c>
      <c r="R159" s="54">
        <f t="shared" si="47"/>
        <v>0</v>
      </c>
      <c r="T159" t="s">
        <v>234</v>
      </c>
      <c r="U159" s="28">
        <f>ROUNDUP(U157*U158/100,0)</f>
        <v>0</v>
      </c>
      <c r="AT159" s="569">
        <v>153</v>
      </c>
      <c r="AU159" s="509" t="s">
        <v>1214</v>
      </c>
      <c r="AV159" s="510" t="str">
        <f t="shared" si="45"/>
        <v/>
      </c>
      <c r="AW159" s="567"/>
      <c r="AX159" s="509" t="str">
        <f t="shared" si="46"/>
        <v>Privacy breach management costs</v>
      </c>
    </row>
    <row r="160" spans="4:50" x14ac:dyDescent="0.25">
      <c r="D160" s="576" t="s">
        <v>370</v>
      </c>
      <c r="E160" s="583">
        <v>1</v>
      </c>
      <c r="F160" s="576"/>
      <c r="M160" s="79" t="s">
        <v>135</v>
      </c>
      <c r="N160" s="52">
        <f>C111</f>
        <v>0</v>
      </c>
      <c r="O160">
        <v>0</v>
      </c>
      <c r="R160" s="54">
        <f t="shared" si="47"/>
        <v>0</v>
      </c>
      <c r="AB160" s="29" t="s">
        <v>225</v>
      </c>
      <c r="AC160" t="s">
        <v>228</v>
      </c>
      <c r="AT160" s="569">
        <v>154</v>
      </c>
      <c r="AU160" s="509" t="s">
        <v>1215</v>
      </c>
      <c r="AV160" s="510" t="str">
        <f t="shared" si="45"/>
        <v/>
      </c>
      <c r="AW160" s="567"/>
      <c r="AX160" s="509" t="str">
        <f t="shared" si="46"/>
        <v>Third party privacy breach management costs</v>
      </c>
    </row>
    <row r="161" spans="4:50" x14ac:dyDescent="0.25">
      <c r="D161" s="576" t="s">
        <v>206</v>
      </c>
      <c r="E161" s="583" t="s">
        <v>176</v>
      </c>
      <c r="F161" s="576"/>
      <c r="M161" s="79" t="s">
        <v>376</v>
      </c>
      <c r="N161" s="52">
        <f>C112</f>
        <v>0</v>
      </c>
      <c r="O161">
        <v>0</v>
      </c>
      <c r="R161" s="54">
        <f t="shared" si="47"/>
        <v>0</v>
      </c>
      <c r="T161" t="s">
        <v>235</v>
      </c>
      <c r="U161" s="57">
        <f>$R$155</f>
        <v>0</v>
      </c>
      <c r="AB161" s="49" t="s">
        <v>360</v>
      </c>
      <c r="AC161">
        <v>1</v>
      </c>
      <c r="AT161" s="569">
        <v>155</v>
      </c>
      <c r="AU161" s="509" t="s">
        <v>1216</v>
      </c>
      <c r="AV161" s="510" t="str">
        <f t="shared" si="45"/>
        <v/>
      </c>
      <c r="AW161" s="567"/>
      <c r="AX161" s="509" t="str">
        <f t="shared" si="46"/>
        <v>Post breach remediation costs</v>
      </c>
    </row>
    <row r="162" spans="4:50" x14ac:dyDescent="0.25">
      <c r="D162" s="576" t="s">
        <v>371</v>
      </c>
      <c r="E162" s="583" t="s">
        <v>276</v>
      </c>
      <c r="F162" s="576"/>
      <c r="M162" s="79" t="s">
        <v>381</v>
      </c>
      <c r="N162" s="52">
        <f>C113</f>
        <v>0</v>
      </c>
      <c r="O162">
        <v>0</v>
      </c>
      <c r="R162" s="54">
        <f t="shared" ref="R162:R163" si="48">N162</f>
        <v>0</v>
      </c>
      <c r="T162" t="s">
        <v>238</v>
      </c>
      <c r="U162" s="57">
        <f>$R$156</f>
        <v>0</v>
      </c>
      <c r="AB162" s="49" t="s">
        <v>751</v>
      </c>
      <c r="AC162">
        <v>1.25</v>
      </c>
      <c r="AT162" s="569">
        <v>156</v>
      </c>
      <c r="AU162" s="509" t="s">
        <v>1217</v>
      </c>
      <c r="AV162" s="510" t="str">
        <f t="shared" si="45"/>
        <v/>
      </c>
      <c r="AW162" s="567"/>
      <c r="AX162" s="509" t="str">
        <f t="shared" si="46"/>
        <v>Funds transfer fraud &amp; Social Engineering</v>
      </c>
    </row>
    <row r="163" spans="4:50" x14ac:dyDescent="0.25">
      <c r="D163" s="576" t="s">
        <v>134</v>
      </c>
      <c r="E163" s="583" t="s">
        <v>696</v>
      </c>
      <c r="F163" s="576"/>
      <c r="M163" s="79" t="s">
        <v>625</v>
      </c>
      <c r="N163" s="52">
        <f>P69</f>
        <v>0</v>
      </c>
      <c r="O163">
        <v>0</v>
      </c>
      <c r="R163" s="54">
        <f t="shared" si="48"/>
        <v>0</v>
      </c>
      <c r="T163" t="s">
        <v>239</v>
      </c>
      <c r="U163" s="57">
        <f>$R$160</f>
        <v>0</v>
      </c>
      <c r="AB163" s="49" t="s">
        <v>752</v>
      </c>
      <c r="AC163">
        <v>1.5</v>
      </c>
      <c r="AT163" s="569">
        <v>157</v>
      </c>
      <c r="AU163" s="509" t="s">
        <v>1218</v>
      </c>
      <c r="AV163" s="510" t="str">
        <f t="shared" si="45"/>
        <v/>
      </c>
      <c r="AW163" s="567"/>
      <c r="AX163" s="509" t="str">
        <f t="shared" si="46"/>
        <v>Theft of funds held in escrow</v>
      </c>
    </row>
    <row r="164" spans="4:50" x14ac:dyDescent="0.25">
      <c r="D164" s="576" t="s">
        <v>1349</v>
      </c>
      <c r="E164" s="583"/>
      <c r="F164" s="576"/>
      <c r="T164" t="s">
        <v>240</v>
      </c>
      <c r="U164" s="57">
        <f>$R$157</f>
        <v>0</v>
      </c>
      <c r="AB164" s="49" t="s">
        <v>361</v>
      </c>
      <c r="AC164">
        <v>0</v>
      </c>
      <c r="AT164" s="569">
        <v>158</v>
      </c>
      <c r="AU164" s="509" t="s">
        <v>1219</v>
      </c>
      <c r="AV164" s="510" t="str">
        <f t="shared" si="45"/>
        <v/>
      </c>
      <c r="AW164" s="567"/>
      <c r="AX164" s="509" t="str">
        <f t="shared" si="46"/>
        <v>Theft of personal funds</v>
      </c>
    </row>
    <row r="165" spans="4:50" x14ac:dyDescent="0.25">
      <c r="D165" s="576" t="s">
        <v>643</v>
      </c>
      <c r="E165" s="583" t="s">
        <v>320</v>
      </c>
      <c r="F165" s="576"/>
      <c r="M165" s="79" t="s">
        <v>626</v>
      </c>
      <c r="N165" s="69">
        <f>SUM(N154:N163)</f>
        <v>0</v>
      </c>
      <c r="R165" s="54">
        <f>N165</f>
        <v>0</v>
      </c>
      <c r="T165" t="s">
        <v>377</v>
      </c>
      <c r="U165" s="57">
        <f>$R$161</f>
        <v>0</v>
      </c>
      <c r="AB165" s="49"/>
      <c r="AT165" s="569">
        <v>159</v>
      </c>
      <c r="AU165" s="509" t="s">
        <v>1220</v>
      </c>
      <c r="AV165" s="510" t="str">
        <f t="shared" si="45"/>
        <v/>
      </c>
      <c r="AW165" s="567"/>
      <c r="AX165" s="509" t="str">
        <f t="shared" si="46"/>
        <v>Cyber extortion</v>
      </c>
    </row>
    <row r="166" spans="4:50" x14ac:dyDescent="0.25">
      <c r="D166" s="576" t="s">
        <v>321</v>
      </c>
      <c r="E166" s="583">
        <v>60</v>
      </c>
      <c r="F166" s="576"/>
      <c r="T166" t="s">
        <v>379</v>
      </c>
      <c r="U166" s="27">
        <f>SUM(U161:U165)</f>
        <v>0</v>
      </c>
      <c r="AT166" s="569">
        <v>160</v>
      </c>
      <c r="AU166" s="509" t="s">
        <v>1221</v>
      </c>
      <c r="AV166" s="510" t="str">
        <f t="shared" si="45"/>
        <v/>
      </c>
      <c r="AW166" s="567"/>
      <c r="AX166" s="509" t="str">
        <f t="shared" si="46"/>
        <v>Corporate Identity theft</v>
      </c>
    </row>
    <row r="167" spans="4:50" ht="17.25" x14ac:dyDescent="0.3">
      <c r="D167" s="576" t="s">
        <v>322</v>
      </c>
      <c r="E167" s="583">
        <v>600</v>
      </c>
      <c r="F167" s="576"/>
      <c r="M167" s="77" t="s">
        <v>578</v>
      </c>
      <c r="O167" s="99" t="s">
        <v>225</v>
      </c>
      <c r="P167" s="99" t="s">
        <v>580</v>
      </c>
      <c r="Q167" s="99" t="s">
        <v>581</v>
      </c>
      <c r="R167" s="99" t="s">
        <v>582</v>
      </c>
      <c r="T167" t="s">
        <v>236</v>
      </c>
      <c r="U167">
        <f>VLOOKUP($U$149,$AB$150:$AH$153,3,FALSE)</f>
        <v>0.72</v>
      </c>
      <c r="AT167" s="569">
        <v>161</v>
      </c>
      <c r="AU167" s="509" t="s">
        <v>1222</v>
      </c>
      <c r="AV167" s="510" t="str">
        <f t="shared" si="45"/>
        <v/>
      </c>
      <c r="AW167" s="567"/>
      <c r="AX167" s="509" t="str">
        <f t="shared" si="46"/>
        <v>Telephone hacking</v>
      </c>
    </row>
    <row r="168" spans="4:50" x14ac:dyDescent="0.25">
      <c r="D168" s="576" t="s">
        <v>128</v>
      </c>
      <c r="E168" s="583" t="s">
        <v>708</v>
      </c>
      <c r="F168" s="576"/>
      <c r="M168" s="79" t="s">
        <v>627</v>
      </c>
      <c r="N168" s="55">
        <f>N165</f>
        <v>0</v>
      </c>
      <c r="O168" s="53" t="s">
        <v>1055</v>
      </c>
      <c r="P168" s="53">
        <v>5000000</v>
      </c>
      <c r="Q168" s="53">
        <f>IFERROR(VLOOKUP(N171,$O$168:$P$183,2,FALSE),0)</f>
        <v>0</v>
      </c>
      <c r="R168" s="45" t="str">
        <f>IF(Q168=0,"Decline",IF(N168&lt;=Q168,"OK","Decline"))</f>
        <v>Decline</v>
      </c>
      <c r="T168" t="s">
        <v>237</v>
      </c>
      <c r="U168" s="28">
        <f>ROUNDUP(U166*U167/100,0)</f>
        <v>0</v>
      </c>
      <c r="AT168" s="569">
        <v>162</v>
      </c>
      <c r="AU168" s="509" t="s">
        <v>1223</v>
      </c>
      <c r="AV168" s="510" t="str">
        <f t="shared" si="45"/>
        <v/>
      </c>
      <c r="AW168" s="567"/>
      <c r="AX168" s="509" t="str">
        <f t="shared" si="46"/>
        <v>Push payment fraud</v>
      </c>
    </row>
    <row r="169" spans="4:50" x14ac:dyDescent="0.25">
      <c r="D169" s="576" t="s">
        <v>366</v>
      </c>
      <c r="E169" s="583">
        <v>2005</v>
      </c>
      <c r="F169" s="576"/>
      <c r="M169" s="79" t="s">
        <v>579</v>
      </c>
      <c r="N169" s="9">
        <f>R111</f>
        <v>0</v>
      </c>
      <c r="O169" s="9" t="s">
        <v>1056</v>
      </c>
      <c r="P169" s="53">
        <v>5000000</v>
      </c>
      <c r="Q169" s="53"/>
      <c r="R169" s="9"/>
      <c r="AT169" s="569">
        <v>163</v>
      </c>
      <c r="AU169" s="509" t="s">
        <v>1224</v>
      </c>
      <c r="AV169" s="510" t="str">
        <f t="shared" si="45"/>
        <v/>
      </c>
      <c r="AW169" s="567"/>
      <c r="AX169" s="509" t="str">
        <f t="shared" si="46"/>
        <v>Unauthorized use of computer resources</v>
      </c>
    </row>
    <row r="170" spans="4:50" x14ac:dyDescent="0.25">
      <c r="D170" s="576" t="s">
        <v>200</v>
      </c>
      <c r="E170" s="583"/>
      <c r="F170" s="576"/>
      <c r="M170" s="79" t="s">
        <v>315</v>
      </c>
      <c r="N170" t="str">
        <f>R73</f>
        <v>Frame</v>
      </c>
      <c r="O170" s="9" t="s">
        <v>1057</v>
      </c>
      <c r="P170" s="53">
        <v>1000000</v>
      </c>
      <c r="Q170" s="53"/>
      <c r="R170" s="9"/>
      <c r="T170" t="s">
        <v>242</v>
      </c>
      <c r="U170" s="57">
        <f>$P$69</f>
        <v>0</v>
      </c>
      <c r="AT170" s="569">
        <v>164</v>
      </c>
      <c r="AU170" s="509" t="s">
        <v>1225</v>
      </c>
      <c r="AV170" s="510" t="str">
        <f t="shared" si="45"/>
        <v/>
      </c>
      <c r="AW170" s="567"/>
      <c r="AX170" s="509" t="str">
        <f t="shared" si="46"/>
        <v>System or data damage and rectification costs</v>
      </c>
    </row>
    <row r="171" spans="4:50" x14ac:dyDescent="0.25">
      <c r="D171" s="576" t="s">
        <v>202</v>
      </c>
      <c r="E171" s="583"/>
      <c r="F171" s="576"/>
      <c r="M171" s="79" t="s">
        <v>1054</v>
      </c>
      <c r="N171" t="str">
        <f>N170&amp; " " &amp;N169</f>
        <v>Frame 0</v>
      </c>
      <c r="O171" s="9" t="s">
        <v>1058</v>
      </c>
      <c r="P171" s="53">
        <v>1000000</v>
      </c>
      <c r="Q171" s="53"/>
      <c r="R171" s="9"/>
      <c r="T171" t="s">
        <v>243</v>
      </c>
      <c r="U171" s="57">
        <f>$R$162</f>
        <v>0</v>
      </c>
      <c r="AT171" s="569">
        <v>165</v>
      </c>
      <c r="AU171" s="509" t="s">
        <v>1226</v>
      </c>
      <c r="AV171" s="510" t="str">
        <f t="shared" si="45"/>
        <v/>
      </c>
      <c r="AW171" s="567"/>
      <c r="AX171" s="509" t="str">
        <f t="shared" si="46"/>
        <v>Income loss and extra expense</v>
      </c>
    </row>
    <row r="172" spans="4:50" x14ac:dyDescent="0.25">
      <c r="D172" s="576" t="s">
        <v>201</v>
      </c>
      <c r="E172" s="583"/>
      <c r="F172" s="576"/>
      <c r="O172" s="53" t="s">
        <v>1059</v>
      </c>
      <c r="P172" s="53">
        <v>5000000</v>
      </c>
      <c r="T172" t="s">
        <v>134</v>
      </c>
      <c r="U172" s="57" t="str">
        <f>U152</f>
        <v>Error</v>
      </c>
      <c r="AT172" s="569">
        <v>166</v>
      </c>
      <c r="AU172" s="509" t="s">
        <v>1227</v>
      </c>
      <c r="AV172" s="510" t="str">
        <f t="shared" si="45"/>
        <v/>
      </c>
      <c r="AW172" s="567"/>
      <c r="AX172" s="509" t="str">
        <f t="shared" si="46"/>
        <v>Additional extra expense</v>
      </c>
    </row>
    <row r="173" spans="4:50" x14ac:dyDescent="0.25">
      <c r="D173" s="576" t="s">
        <v>367</v>
      </c>
      <c r="E173" s="583"/>
      <c r="F173" s="576"/>
      <c r="O173" s="9" t="s">
        <v>1060</v>
      </c>
      <c r="P173" s="53">
        <v>5000000</v>
      </c>
      <c r="T173" t="s">
        <v>244</v>
      </c>
      <c r="U173" s="27">
        <f>SUM(U170:U171)</f>
        <v>0</v>
      </c>
      <c r="AT173" s="569">
        <v>167</v>
      </c>
      <c r="AU173" s="509" t="s">
        <v>1228</v>
      </c>
      <c r="AV173" s="510" t="str">
        <f t="shared" si="45"/>
        <v/>
      </c>
      <c r="AW173" s="567"/>
      <c r="AX173" s="509" t="str">
        <f t="shared" si="46"/>
        <v>Dependent business interruption</v>
      </c>
    </row>
    <row r="174" spans="4:50" x14ac:dyDescent="0.25">
      <c r="D174" s="576" t="s">
        <v>324</v>
      </c>
      <c r="E174" s="583" t="s">
        <v>176</v>
      </c>
      <c r="F174" s="576"/>
      <c r="O174" s="9" t="s">
        <v>1061</v>
      </c>
      <c r="P174" s="53">
        <v>1000000</v>
      </c>
      <c r="T174" t="s">
        <v>245</v>
      </c>
      <c r="U174">
        <f>VLOOKUP($U$149,$AB$150:$AH$153,5,FALSE)</f>
        <v>0.35099999999999998</v>
      </c>
      <c r="AB174" s="29" t="s">
        <v>230</v>
      </c>
      <c r="AT174" s="569">
        <v>168</v>
      </c>
      <c r="AU174" s="509" t="s">
        <v>1229</v>
      </c>
      <c r="AV174" s="510" t="str">
        <f t="shared" si="45"/>
        <v/>
      </c>
      <c r="AW174" s="567"/>
      <c r="AX174" s="509" t="str">
        <f t="shared" si="46"/>
        <v>Consequential reputation harm</v>
      </c>
    </row>
    <row r="175" spans="4:50" x14ac:dyDescent="0.25">
      <c r="D175" s="576" t="s">
        <v>326</v>
      </c>
      <c r="E175" s="583">
        <v>5</v>
      </c>
      <c r="F175" s="576"/>
      <c r="O175" s="9" t="s">
        <v>1062</v>
      </c>
      <c r="P175" s="53">
        <v>1000000</v>
      </c>
      <c r="T175" t="s">
        <v>647</v>
      </c>
      <c r="U175" s="124" t="str">
        <f>IF(OR($U$170=0,$U$172="Home"),"-","Actual Loss Sustained - 24 months")</f>
        <v>-</v>
      </c>
      <c r="AB175" t="s">
        <v>231</v>
      </c>
      <c r="AC175">
        <v>330</v>
      </c>
      <c r="AT175" s="569">
        <v>169</v>
      </c>
      <c r="AU175" s="509" t="s">
        <v>1230</v>
      </c>
      <c r="AV175" s="510" t="str">
        <f t="shared" si="45"/>
        <v/>
      </c>
      <c r="AW175" s="567"/>
      <c r="AX175" s="509" t="str">
        <f t="shared" si="46"/>
        <v>Claim preparation costs</v>
      </c>
    </row>
    <row r="176" spans="4:50" x14ac:dyDescent="0.25">
      <c r="D176" s="576" t="s">
        <v>129</v>
      </c>
      <c r="E176" s="583">
        <v>450000</v>
      </c>
      <c r="F176" s="576"/>
      <c r="O176" s="53" t="s">
        <v>1063</v>
      </c>
      <c r="P176" s="53">
        <v>5000000</v>
      </c>
      <c r="T176" t="s">
        <v>648</v>
      </c>
      <c r="U176" s="124" t="str">
        <f>IF(OR($U$170=0,$U$172="Home"),"-","Actual Loss Sustained - 4 weeks")</f>
        <v>-</v>
      </c>
      <c r="AB176" t="s">
        <v>232</v>
      </c>
      <c r="AC176">
        <v>660</v>
      </c>
      <c r="AT176" s="569">
        <v>170</v>
      </c>
      <c r="AU176" s="509" t="s">
        <v>1231</v>
      </c>
      <c r="AV176" s="510" t="str">
        <f t="shared" si="45"/>
        <v/>
      </c>
      <c r="AW176" s="567"/>
      <c r="AX176" s="509" t="str">
        <f t="shared" si="46"/>
        <v>Hardware replacement costs</v>
      </c>
    </row>
    <row r="177" spans="4:50" x14ac:dyDescent="0.25">
      <c r="D177" s="576" t="s">
        <v>130</v>
      </c>
      <c r="E177" s="583">
        <v>25000</v>
      </c>
      <c r="F177" s="576"/>
      <c r="O177" s="9" t="s">
        <v>1064</v>
      </c>
      <c r="P177" s="53">
        <v>5000000</v>
      </c>
      <c r="T177" t="s">
        <v>246</v>
      </c>
      <c r="U177" s="28">
        <f>ROUNDUP(U173*U174/100,0)</f>
        <v>0</v>
      </c>
      <c r="AT177" s="569">
        <v>171</v>
      </c>
      <c r="AU177" s="509" t="s">
        <v>1232</v>
      </c>
      <c r="AV177" s="510" t="str">
        <f t="shared" si="45"/>
        <v/>
      </c>
      <c r="AW177" s="567"/>
      <c r="AX177" s="509" t="str">
        <f t="shared" si="46"/>
        <v>Network security liability</v>
      </c>
    </row>
    <row r="178" spans="4:50" x14ac:dyDescent="0.25">
      <c r="D178" s="576" t="s">
        <v>131</v>
      </c>
      <c r="E178" s="583">
        <v>0</v>
      </c>
      <c r="F178" s="576"/>
      <c r="O178" s="9" t="s">
        <v>1065</v>
      </c>
      <c r="P178" s="53">
        <v>1000000</v>
      </c>
      <c r="AT178" s="569">
        <v>172</v>
      </c>
      <c r="AU178" s="509" t="s">
        <v>1233</v>
      </c>
      <c r="AV178" s="510" t="str">
        <f t="shared" si="45"/>
        <v/>
      </c>
      <c r="AW178" s="567"/>
      <c r="AX178" s="509" t="str">
        <f t="shared" si="46"/>
        <v>Privacy Liability</v>
      </c>
    </row>
    <row r="179" spans="4:50" x14ac:dyDescent="0.25">
      <c r="D179" s="576" t="s">
        <v>132</v>
      </c>
      <c r="E179" s="583">
        <v>0</v>
      </c>
      <c r="F179" s="576"/>
      <c r="O179" s="9" t="s">
        <v>1066</v>
      </c>
      <c r="P179" s="53">
        <v>1000000</v>
      </c>
      <c r="T179" t="s">
        <v>247</v>
      </c>
      <c r="U179" s="57">
        <f>$R$158</f>
        <v>0</v>
      </c>
      <c r="AB179" s="29" t="s">
        <v>269</v>
      </c>
      <c r="AC179" t="s">
        <v>228</v>
      </c>
      <c r="AT179" s="569">
        <v>173</v>
      </c>
      <c r="AU179" s="509" t="s">
        <v>1234</v>
      </c>
      <c r="AV179" s="510" t="str">
        <f t="shared" si="45"/>
        <v/>
      </c>
      <c r="AW179" s="567"/>
      <c r="AX179" s="509" t="str">
        <f t="shared" si="46"/>
        <v>Management liability</v>
      </c>
    </row>
    <row r="180" spans="4:50" x14ac:dyDescent="0.25">
      <c r="D180" s="576" t="s">
        <v>196</v>
      </c>
      <c r="E180" s="583">
        <v>0</v>
      </c>
      <c r="F180" s="576"/>
      <c r="O180" s="53" t="s">
        <v>1067</v>
      </c>
      <c r="P180" s="53">
        <v>5000000</v>
      </c>
      <c r="T180" t="s">
        <v>248</v>
      </c>
      <c r="U180">
        <f>VLOOKUP($U$149,$AB$150:$AH$153,4,FALSE)</f>
        <v>0.79</v>
      </c>
      <c r="AB180">
        <v>1000</v>
      </c>
      <c r="AC180">
        <v>1</v>
      </c>
      <c r="AT180" s="569">
        <v>174</v>
      </c>
      <c r="AU180" s="509" t="s">
        <v>1235</v>
      </c>
      <c r="AV180" s="510" t="str">
        <f t="shared" si="45"/>
        <v/>
      </c>
      <c r="AW180" s="567"/>
      <c r="AX180" s="509" t="str">
        <f t="shared" si="46"/>
        <v>Regulatory fines &amp; penalties</v>
      </c>
    </row>
    <row r="181" spans="4:50" x14ac:dyDescent="0.25">
      <c r="D181" s="576" t="s">
        <v>133</v>
      </c>
      <c r="E181" s="583">
        <v>0</v>
      </c>
      <c r="F181" s="576"/>
      <c r="O181" s="9" t="s">
        <v>1068</v>
      </c>
      <c r="P181" s="53">
        <v>3000000</v>
      </c>
      <c r="T181" t="s">
        <v>249</v>
      </c>
      <c r="U181" s="28">
        <f>ROUNDUP(U179*U180/100,0)</f>
        <v>0</v>
      </c>
      <c r="AB181">
        <v>2500</v>
      </c>
      <c r="AC181">
        <v>0.93</v>
      </c>
      <c r="AT181" s="569">
        <v>175</v>
      </c>
      <c r="AU181" s="509" t="s">
        <v>1236</v>
      </c>
      <c r="AV181" s="510" t="str">
        <f t="shared" si="45"/>
        <v/>
      </c>
      <c r="AW181" s="567"/>
      <c r="AX181" s="509" t="str">
        <f t="shared" si="46"/>
        <v>PCI Fines, penalties and assessments</v>
      </c>
    </row>
    <row r="182" spans="4:50" x14ac:dyDescent="0.25">
      <c r="D182" s="576" t="s">
        <v>135</v>
      </c>
      <c r="E182" s="583">
        <v>0</v>
      </c>
      <c r="F182" s="576"/>
      <c r="O182" s="9" t="s">
        <v>1069</v>
      </c>
      <c r="P182" s="53">
        <v>1000000</v>
      </c>
      <c r="AB182">
        <v>5000</v>
      </c>
      <c r="AC182">
        <v>0.92</v>
      </c>
      <c r="AT182" s="569">
        <v>176</v>
      </c>
      <c r="AU182" s="509" t="s">
        <v>1237</v>
      </c>
      <c r="AV182" s="510" t="str">
        <f t="shared" si="45"/>
        <v/>
      </c>
      <c r="AW182" s="567"/>
      <c r="AX182" s="509" t="str">
        <f t="shared" si="46"/>
        <v>Defamation</v>
      </c>
    </row>
    <row r="183" spans="4:50" x14ac:dyDescent="0.25">
      <c r="D183" s="576" t="s">
        <v>378</v>
      </c>
      <c r="E183" s="583">
        <v>0</v>
      </c>
      <c r="F183" s="576"/>
      <c r="O183" s="9" t="s">
        <v>1070</v>
      </c>
      <c r="P183" s="53">
        <v>1000000</v>
      </c>
      <c r="T183" t="s">
        <v>250</v>
      </c>
      <c r="U183" s="57">
        <f>$R$159</f>
        <v>0</v>
      </c>
      <c r="W183" t="s">
        <v>667</v>
      </c>
      <c r="AT183" s="569">
        <v>177</v>
      </c>
      <c r="AU183" s="509" t="s">
        <v>1238</v>
      </c>
      <c r="AV183" s="510" t="str">
        <f t="shared" si="45"/>
        <v/>
      </c>
      <c r="AW183" s="567"/>
      <c r="AX183" s="509" t="str">
        <f t="shared" si="46"/>
        <v>Intellectual property rights infringement</v>
      </c>
    </row>
    <row r="184" spans="4:50" x14ac:dyDescent="0.25">
      <c r="D184" s="576" t="s">
        <v>203</v>
      </c>
      <c r="E184" s="583">
        <v>0</v>
      </c>
      <c r="F184" s="576"/>
      <c r="O184" s="49"/>
      <c r="T184" t="s">
        <v>666</v>
      </c>
      <c r="U184" s="57" t="str">
        <f>U152</f>
        <v>Error</v>
      </c>
      <c r="W184" t="s">
        <v>261</v>
      </c>
      <c r="AT184" s="569">
        <v>178</v>
      </c>
      <c r="AU184" s="509" t="s">
        <v>1239</v>
      </c>
      <c r="AV184" s="510" t="str">
        <f t="shared" si="45"/>
        <v/>
      </c>
      <c r="AW184" s="567"/>
      <c r="AX184" s="509" t="str">
        <f t="shared" si="46"/>
        <v>Court attendance costs</v>
      </c>
    </row>
    <row r="185" spans="4:50" ht="17.25" x14ac:dyDescent="0.3">
      <c r="D185" s="576" t="s">
        <v>136</v>
      </c>
      <c r="E185" s="583">
        <v>5000</v>
      </c>
      <c r="F185" s="576"/>
      <c r="M185" s="77" t="s">
        <v>277</v>
      </c>
      <c r="O185" s="9"/>
      <c r="Q185" s="9"/>
      <c r="T185" t="s">
        <v>251</v>
      </c>
      <c r="U185" s="27">
        <f>IF(U184="Rent / Lease",U151*35,0)</f>
        <v>0</v>
      </c>
      <c r="W185" t="s">
        <v>260</v>
      </c>
      <c r="AT185" s="569">
        <v>179</v>
      </c>
      <c r="AU185" s="509" t="s">
        <v>1240</v>
      </c>
      <c r="AV185" s="510" t="str">
        <f t="shared" si="45"/>
        <v/>
      </c>
      <c r="AW185" s="567"/>
      <c r="AX185" s="509" t="str">
        <f t="shared" si="46"/>
        <v>Bodily injury</v>
      </c>
    </row>
    <row r="186" spans="4:50" x14ac:dyDescent="0.25">
      <c r="D186" s="576" t="s">
        <v>137</v>
      </c>
      <c r="E186" s="583" t="s">
        <v>329</v>
      </c>
      <c r="F186" s="576"/>
      <c r="M186" s="80" t="s">
        <v>343</v>
      </c>
      <c r="N186" s="41" t="s">
        <v>344</v>
      </c>
      <c r="O186" s="42" t="s">
        <v>345</v>
      </c>
      <c r="P186" s="42" t="s">
        <v>346</v>
      </c>
      <c r="Q186" s="42"/>
      <c r="R186" s="40" t="s">
        <v>338</v>
      </c>
      <c r="T186" t="s">
        <v>253</v>
      </c>
      <c r="U186" s="27">
        <f>MAX(U183:U185)</f>
        <v>0</v>
      </c>
      <c r="W186" t="s">
        <v>262</v>
      </c>
      <c r="AT186" s="569">
        <v>180</v>
      </c>
      <c r="AU186" s="509" t="s">
        <v>1241</v>
      </c>
      <c r="AV186" s="510" t="str">
        <f t="shared" si="45"/>
        <v/>
      </c>
      <c r="AW186" s="567"/>
      <c r="AX186" s="509" t="str">
        <f t="shared" si="46"/>
        <v>Contract disputes and debt recovery</v>
      </c>
    </row>
    <row r="187" spans="4:50" x14ac:dyDescent="0.25">
      <c r="D187" s="576" t="s">
        <v>140</v>
      </c>
      <c r="E187" s="583">
        <v>2000000</v>
      </c>
      <c r="F187" s="576"/>
      <c r="M187" s="79" t="s">
        <v>383</v>
      </c>
      <c r="N187" s="52">
        <f>C115</f>
        <v>0</v>
      </c>
      <c r="O187" t="s">
        <v>328</v>
      </c>
      <c r="P187" s="53" t="s">
        <v>176</v>
      </c>
      <c r="Q187" s="53"/>
      <c r="R187" s="54" t="str">
        <f>IFERROR(VLOOKUP(N187,$O$187:$P$191,2,FALSE),"No")</f>
        <v>No</v>
      </c>
      <c r="T187" t="s">
        <v>254</v>
      </c>
      <c r="U187">
        <f>VLOOKUP($U$149,$AB$150:$AH$153,3,FALSE)</f>
        <v>0.72</v>
      </c>
      <c r="AB187" s="29" t="s">
        <v>277</v>
      </c>
      <c r="AT187" s="569">
        <v>181</v>
      </c>
      <c r="AU187" s="509" t="s">
        <v>1242</v>
      </c>
      <c r="AV187" s="510" t="str">
        <f t="shared" si="45"/>
        <v/>
      </c>
      <c r="AW187" s="567"/>
      <c r="AX187" s="509" t="str">
        <f t="shared" si="46"/>
        <v>Employment disputes</v>
      </c>
    </row>
    <row r="188" spans="4:50" x14ac:dyDescent="0.25">
      <c r="D188" s="576" t="s">
        <v>694</v>
      </c>
      <c r="E188" s="583"/>
      <c r="F188" s="576"/>
      <c r="N188" s="55"/>
      <c r="O188" t="s">
        <v>329</v>
      </c>
      <c r="P188" s="9" t="s">
        <v>176</v>
      </c>
      <c r="Q188" s="9"/>
      <c r="T188" t="s">
        <v>255</v>
      </c>
      <c r="U188" s="28">
        <f>ROUNDUP(U186*U187/100,0)</f>
        <v>0</v>
      </c>
      <c r="AB188" t="s">
        <v>176</v>
      </c>
      <c r="AC188">
        <v>0.95</v>
      </c>
      <c r="AT188" s="569">
        <v>182</v>
      </c>
      <c r="AU188" s="509" t="s">
        <v>1243</v>
      </c>
      <c r="AV188" s="510" t="str">
        <f t="shared" si="45"/>
        <v/>
      </c>
      <c r="AW188" s="567"/>
      <c r="AX188" s="509" t="str">
        <f t="shared" si="46"/>
        <v>Legal defence</v>
      </c>
    </row>
    <row r="189" spans="4:50" x14ac:dyDescent="0.25">
      <c r="D189" s="576" t="s">
        <v>369</v>
      </c>
      <c r="E189" s="583">
        <v>2500</v>
      </c>
      <c r="F189" s="576"/>
      <c r="O189" t="s">
        <v>330</v>
      </c>
      <c r="P189" s="9" t="s">
        <v>276</v>
      </c>
      <c r="AB189" t="s">
        <v>276</v>
      </c>
      <c r="AC189">
        <v>1</v>
      </c>
      <c r="AT189" s="569">
        <v>183</v>
      </c>
      <c r="AU189" s="509" t="s">
        <v>1244</v>
      </c>
      <c r="AV189" s="510" t="str">
        <f t="shared" si="45"/>
        <v/>
      </c>
      <c r="AW189" s="567"/>
      <c r="AX189" s="509" t="str">
        <f t="shared" si="46"/>
        <v>Property protection</v>
      </c>
    </row>
    <row r="190" spans="4:50" x14ac:dyDescent="0.25">
      <c r="D190" s="576" t="s">
        <v>141</v>
      </c>
      <c r="E190" s="583">
        <v>0</v>
      </c>
      <c r="F190" s="576"/>
      <c r="O190" t="s">
        <v>333</v>
      </c>
      <c r="P190" s="9" t="s">
        <v>276</v>
      </c>
      <c r="T190" t="s">
        <v>263</v>
      </c>
      <c r="U190" s="15">
        <f>SUM(U159,U168,U177,U181,U188)</f>
        <v>0</v>
      </c>
      <c r="AT190" s="569">
        <v>184</v>
      </c>
      <c r="AU190" s="509" t="s">
        <v>1245</v>
      </c>
      <c r="AV190" s="510" t="str">
        <f t="shared" si="45"/>
        <v/>
      </c>
      <c r="AW190" s="567"/>
      <c r="AX190" s="509" t="str">
        <f t="shared" si="46"/>
        <v>Statutory license protection</v>
      </c>
    </row>
    <row r="191" spans="4:50" x14ac:dyDescent="0.25">
      <c r="D191" s="576" t="s">
        <v>192</v>
      </c>
      <c r="E191" s="583" t="s">
        <v>1334</v>
      </c>
      <c r="F191" s="576"/>
      <c r="O191" t="s">
        <v>331</v>
      </c>
      <c r="P191" s="9" t="s">
        <v>276</v>
      </c>
      <c r="T191" t="s">
        <v>264</v>
      </c>
      <c r="U191" t="e">
        <f>VLOOKUP($U$150,$AB$161:$AC$164,2,FALSE)</f>
        <v>#N/A</v>
      </c>
      <c r="AT191" s="569">
        <v>185</v>
      </c>
      <c r="AU191" s="509" t="s">
        <v>1246</v>
      </c>
      <c r="AV191" s="510" t="str">
        <f t="shared" si="45"/>
        <v/>
      </c>
      <c r="AW191" s="567"/>
      <c r="AX191" s="509" t="str">
        <f t="shared" si="46"/>
        <v>Tax protection</v>
      </c>
    </row>
    <row r="192" spans="4:50" x14ac:dyDescent="0.25">
      <c r="D192" s="576" t="s">
        <v>193</v>
      </c>
      <c r="E192" s="583" t="s">
        <v>1334</v>
      </c>
      <c r="F192" s="576"/>
      <c r="P192" s="9"/>
      <c r="T192" t="s">
        <v>265</v>
      </c>
      <c r="U192" s="25" t="e">
        <f>U190*U191</f>
        <v>#N/A</v>
      </c>
      <c r="AT192" s="569">
        <v>186</v>
      </c>
      <c r="AU192" s="509" t="s">
        <v>1247</v>
      </c>
      <c r="AV192" s="510" t="str">
        <f t="shared" si="45"/>
        <v/>
      </c>
      <c r="AW192" s="567"/>
      <c r="AX192" s="509" t="str">
        <f t="shared" si="46"/>
        <v>Unlimited legal assistance (helpline)</v>
      </c>
    </row>
    <row r="193" spans="4:50" x14ac:dyDescent="0.25">
      <c r="D193" s="576" t="s">
        <v>742</v>
      </c>
      <c r="E193" s="583" t="s">
        <v>743</v>
      </c>
      <c r="F193" s="576"/>
      <c r="P193" s="9"/>
      <c r="AT193" s="569">
        <v>187</v>
      </c>
      <c r="AU193" s="509" t="s">
        <v>1248</v>
      </c>
      <c r="AV193" s="510" t="str">
        <f t="shared" si="45"/>
        <v/>
      </c>
      <c r="AW193" s="567"/>
      <c r="AX193" s="509" t="str">
        <f t="shared" si="46"/>
        <v>Free antivirus software</v>
      </c>
    </row>
    <row r="194" spans="4:50" x14ac:dyDescent="0.25">
      <c r="D194" s="576" t="s">
        <v>1332</v>
      </c>
      <c r="E194" s="583" t="s">
        <v>276</v>
      </c>
      <c r="F194" s="576"/>
      <c r="P194" s="9"/>
      <c r="T194" t="s">
        <v>270</v>
      </c>
      <c r="U194" s="59">
        <f>$R$127</f>
        <v>1000</v>
      </c>
      <c r="AT194" s="569">
        <v>188</v>
      </c>
      <c r="AU194" s="509" t="s">
        <v>1249</v>
      </c>
      <c r="AV194" s="510" t="str">
        <f t="shared" si="45"/>
        <v/>
      </c>
      <c r="AW194" s="567"/>
      <c r="AX194" s="509" t="str">
        <f t="shared" si="46"/>
        <v>Errors &amp; Omissions (E&amp;O)</v>
      </c>
    </row>
    <row r="195" spans="4:50" x14ac:dyDescent="0.25">
      <c r="F195" s="576"/>
      <c r="P195" s="9"/>
      <c r="T195" t="s">
        <v>274</v>
      </c>
      <c r="U195">
        <f>VLOOKUP(U194,$AB$180:$AC$182,2,FALSE)</f>
        <v>1</v>
      </c>
      <c r="AT195" s="569">
        <v>189</v>
      </c>
      <c r="AU195" s="509" t="s">
        <v>1250</v>
      </c>
      <c r="AV195" s="510" t="str">
        <f t="shared" si="45"/>
        <v>Shared with CGL aggregate</v>
      </c>
      <c r="AW195" s="567"/>
      <c r="AX195" s="509" t="str">
        <f t="shared" si="46"/>
        <v/>
      </c>
    </row>
    <row r="196" spans="4:50" ht="17.25" x14ac:dyDescent="0.3">
      <c r="F196" s="576"/>
      <c r="M196" s="77" t="s">
        <v>408</v>
      </c>
      <c r="O196" s="9"/>
      <c r="Q196" s="9"/>
      <c r="T196" t="s">
        <v>271</v>
      </c>
      <c r="U196" s="25" t="e">
        <f>ROUNDUP(U192*U195,0)</f>
        <v>#N/A</v>
      </c>
      <c r="AT196" s="569">
        <v>190</v>
      </c>
      <c r="AU196" s="509" t="s">
        <v>1251</v>
      </c>
      <c r="AV196" s="510" t="str">
        <f t="shared" si="45"/>
        <v>Occurrence</v>
      </c>
      <c r="AW196" s="567"/>
      <c r="AX196" s="509" t="str">
        <f t="shared" si="46"/>
        <v/>
      </c>
    </row>
    <row r="197" spans="4:50" x14ac:dyDescent="0.25">
      <c r="F197" s="576"/>
      <c r="M197" s="80" t="s">
        <v>343</v>
      </c>
      <c r="N197" s="41" t="s">
        <v>344</v>
      </c>
      <c r="O197" s="42" t="s">
        <v>345</v>
      </c>
      <c r="P197" s="42" t="s">
        <v>346</v>
      </c>
      <c r="Q197" s="40"/>
      <c r="R197" s="40" t="s">
        <v>338</v>
      </c>
      <c r="AT197" s="569">
        <v>191</v>
      </c>
      <c r="AU197" s="509" t="s">
        <v>1252</v>
      </c>
      <c r="AV197" s="510">
        <f t="shared" si="45"/>
        <v>0</v>
      </c>
      <c r="AW197" s="567"/>
      <c r="AX197" s="509" t="str">
        <f t="shared" si="46"/>
        <v/>
      </c>
    </row>
    <row r="198" spans="4:50" x14ac:dyDescent="0.25">
      <c r="M198" s="79" t="s">
        <v>409</v>
      </c>
      <c r="N198" s="67">
        <f>C116</f>
        <v>0</v>
      </c>
      <c r="O198" s="9" t="s">
        <v>410</v>
      </c>
      <c r="P198" s="53">
        <v>2000000</v>
      </c>
      <c r="R198" s="68">
        <f>IFERROR(VLOOKUP($N$204,$O$198:$P$208,2,FALSE),2000000)</f>
        <v>2000000</v>
      </c>
      <c r="T198" t="s">
        <v>272</v>
      </c>
      <c r="U198" s="59" t="str">
        <f>$R$187</f>
        <v>No</v>
      </c>
      <c r="AT198" s="569">
        <v>192</v>
      </c>
      <c r="AU198" s="509" t="s">
        <v>1253</v>
      </c>
      <c r="AV198" s="510" t="str">
        <f t="shared" si="45"/>
        <v>-</v>
      </c>
      <c r="AW198" s="567"/>
      <c r="AX198" s="509" t="str">
        <f t="shared" si="46"/>
        <v/>
      </c>
    </row>
    <row r="199" spans="4:50" x14ac:dyDescent="0.25">
      <c r="M199" s="79" t="s">
        <v>411</v>
      </c>
      <c r="N199" s="67"/>
      <c r="O199" s="53">
        <v>1</v>
      </c>
      <c r="P199" s="53">
        <v>2000000</v>
      </c>
      <c r="Q199" s="69"/>
      <c r="T199" t="s">
        <v>273</v>
      </c>
      <c r="U199">
        <f>VLOOKUP(U198,$AB$188:$AC$189,2,FALSE)</f>
        <v>1</v>
      </c>
      <c r="AT199" s="569">
        <v>193</v>
      </c>
      <c r="AU199" s="509" t="s">
        <v>1254</v>
      </c>
      <c r="AV199" s="510" t="str">
        <f t="shared" ref="AV199:AV243" si="49">IFERROR(VLOOKUP(AU199,$AK$3:$AR$785,7,FALSE),"")</f>
        <v>-</v>
      </c>
      <c r="AW199" s="567"/>
      <c r="AX199" s="509" t="str">
        <f t="shared" si="46"/>
        <v/>
      </c>
    </row>
    <row r="200" spans="4:50" x14ac:dyDescent="0.25">
      <c r="M200" s="79" t="s">
        <v>412</v>
      </c>
      <c r="N200" s="67">
        <f>IF(N198="Other",N199,N198)</f>
        <v>0</v>
      </c>
      <c r="O200" s="53">
        <v>250000</v>
      </c>
      <c r="P200" s="53">
        <v>2000000</v>
      </c>
      <c r="Q200" s="69"/>
      <c r="T200" t="s">
        <v>275</v>
      </c>
      <c r="U200" s="25" t="e">
        <f>ROUNDUP(U196*U199,0)</f>
        <v>#N/A</v>
      </c>
      <c r="AT200" s="569">
        <v>194</v>
      </c>
      <c r="AU200" s="509" t="s">
        <v>1255</v>
      </c>
      <c r="AV200" s="510" t="str">
        <f t="shared" si="49"/>
        <v>By endorsement</v>
      </c>
      <c r="AW200" s="567"/>
      <c r="AX200" s="509" t="str">
        <f t="shared" ref="AX200:AX243" si="50">IF(ISERROR(VLOOKUP(AU200,$AK$1:$AK$1001,1,FALSE))=TRUE,AU200,"")</f>
        <v/>
      </c>
    </row>
    <row r="201" spans="4:50" x14ac:dyDescent="0.25">
      <c r="M201" s="79" t="s">
        <v>413</v>
      </c>
      <c r="N201" s="70" t="str">
        <f>IFERROR(VLOOKUP(N200,O198:O208,1,FALSE),"No match")</f>
        <v>No match</v>
      </c>
      <c r="O201" s="53">
        <v>500000</v>
      </c>
      <c r="P201" s="53">
        <v>2000000</v>
      </c>
      <c r="Q201" s="69"/>
      <c r="AT201" s="569">
        <v>195</v>
      </c>
      <c r="AU201" s="509" t="s">
        <v>1256</v>
      </c>
      <c r="AV201" s="510">
        <f t="shared" si="49"/>
        <v>0</v>
      </c>
      <c r="AW201" s="567"/>
      <c r="AX201" s="509" t="str">
        <f t="shared" si="50"/>
        <v/>
      </c>
    </row>
    <row r="202" spans="4:50" x14ac:dyDescent="0.25">
      <c r="M202" s="79" t="s">
        <v>414</v>
      </c>
      <c r="N202" s="71" t="e">
        <f>MATCH(VLOOKUP(N200,O198:O208,1,TRUE),O198:O208,0)</f>
        <v>#N/A</v>
      </c>
      <c r="O202" s="53">
        <v>1000000</v>
      </c>
      <c r="P202" s="53">
        <v>2000000</v>
      </c>
      <c r="Q202" s="69"/>
      <c r="T202" t="s">
        <v>266</v>
      </c>
      <c r="U202">
        <f>IF(U152="Home",AC175,AC176)</f>
        <v>660</v>
      </c>
      <c r="AT202" s="569">
        <v>196</v>
      </c>
      <c r="AU202" s="509" t="s">
        <v>1257</v>
      </c>
      <c r="AV202" s="510" t="str">
        <f t="shared" si="49"/>
        <v>Canada only</v>
      </c>
      <c r="AW202" s="567"/>
      <c r="AX202" s="509" t="str">
        <f t="shared" si="50"/>
        <v/>
      </c>
    </row>
    <row r="203" spans="4:50" x14ac:dyDescent="0.25">
      <c r="M203" s="79" t="s">
        <v>415</v>
      </c>
      <c r="N203" s="71" t="e" cm="1">
        <f t="array" ref="N203">INDEX(O198:O208,N202+1)</f>
        <v>#N/A</v>
      </c>
      <c r="O203" s="53">
        <v>2000000</v>
      </c>
      <c r="P203" s="53">
        <v>2000000</v>
      </c>
      <c r="Q203" s="69"/>
      <c r="T203" t="s">
        <v>267</v>
      </c>
      <c r="U203" s="25" t="e">
        <f>ROUNDUP(MAX(U200,U202),0)</f>
        <v>#N/A</v>
      </c>
      <c r="AT203" s="569">
        <v>197</v>
      </c>
      <c r="AU203" s="509" t="s">
        <v>1258</v>
      </c>
      <c r="AV203" s="510" t="str">
        <f t="shared" si="49"/>
        <v>Canada only</v>
      </c>
      <c r="AW203" s="567"/>
      <c r="AX203" s="509" t="str">
        <f t="shared" si="50"/>
        <v/>
      </c>
    </row>
    <row r="204" spans="4:50" x14ac:dyDescent="0.25">
      <c r="M204" s="79" t="s">
        <v>416</v>
      </c>
      <c r="N204" s="71" t="e">
        <f>IF(N201="No match",N203,N201)</f>
        <v>#N/A</v>
      </c>
      <c r="O204" s="53">
        <v>3000000</v>
      </c>
      <c r="P204" s="53">
        <v>3000000</v>
      </c>
      <c r="Q204" s="69"/>
      <c r="AT204" s="569">
        <v>198</v>
      </c>
      <c r="AU204" s="509" t="s">
        <v>1259</v>
      </c>
      <c r="AV204" s="510" t="str">
        <f t="shared" si="49"/>
        <v/>
      </c>
      <c r="AW204" s="567"/>
      <c r="AX204" s="509" t="str">
        <f t="shared" si="50"/>
        <v>Loss of documents</v>
      </c>
    </row>
    <row r="205" spans="4:50" x14ac:dyDescent="0.25">
      <c r="O205" s="53">
        <v>4000000</v>
      </c>
      <c r="P205" s="53">
        <v>4000000</v>
      </c>
      <c r="Q205" s="69"/>
      <c r="T205" t="s">
        <v>256</v>
      </c>
      <c r="U205" s="60"/>
      <c r="AT205" s="569">
        <v>199</v>
      </c>
      <c r="AU205" s="509" t="s">
        <v>1260</v>
      </c>
      <c r="AV205" s="510" t="str">
        <f t="shared" si="49"/>
        <v/>
      </c>
      <c r="AW205" s="567"/>
      <c r="AX205" s="509" t="str">
        <f t="shared" si="50"/>
        <v>Libel &amp; slander</v>
      </c>
    </row>
    <row r="206" spans="4:50" x14ac:dyDescent="0.25">
      <c r="O206" s="53">
        <v>5000000</v>
      </c>
      <c r="P206" s="53">
        <v>5000000</v>
      </c>
      <c r="Q206" s="69"/>
      <c r="T206" t="s">
        <v>257</v>
      </c>
      <c r="U206" t="str">
        <f>$U$152</f>
        <v>Error</v>
      </c>
      <c r="AT206" s="569">
        <v>200</v>
      </c>
      <c r="AU206" s="509" t="s">
        <v>1261</v>
      </c>
      <c r="AV206" s="510" t="str">
        <f t="shared" si="49"/>
        <v/>
      </c>
      <c r="AW206" s="567"/>
      <c r="AX206" s="509" t="str">
        <f t="shared" si="50"/>
        <v>Breach of copyright</v>
      </c>
    </row>
    <row r="207" spans="4:50" x14ac:dyDescent="0.25">
      <c r="O207" s="53" t="s">
        <v>417</v>
      </c>
      <c r="P207" s="53">
        <v>5000000</v>
      </c>
      <c r="T207" t="s">
        <v>258</v>
      </c>
      <c r="U207" s="28">
        <f>IF(U206="Home",0,72)</f>
        <v>72</v>
      </c>
      <c r="W207" t="s">
        <v>1052</v>
      </c>
      <c r="AT207" s="569">
        <v>201</v>
      </c>
      <c r="AU207" s="509" t="s">
        <v>1262</v>
      </c>
      <c r="AV207" s="510" t="str">
        <f t="shared" si="49"/>
        <v/>
      </c>
      <c r="AW207" s="567"/>
      <c r="AX207" s="509" t="str">
        <f t="shared" si="50"/>
        <v>Breach of confidence</v>
      </c>
    </row>
    <row r="208" spans="4:50" x14ac:dyDescent="0.25">
      <c r="O208" s="53" t="s">
        <v>418</v>
      </c>
      <c r="P208" s="53">
        <v>2000000</v>
      </c>
      <c r="T208" s="14" t="s">
        <v>649</v>
      </c>
      <c r="U208" s="104"/>
      <c r="AT208" s="569">
        <v>202</v>
      </c>
      <c r="AU208" s="509" t="s">
        <v>1263</v>
      </c>
      <c r="AV208" s="510" t="str">
        <f t="shared" si="49"/>
        <v/>
      </c>
      <c r="AW208" s="567"/>
      <c r="AX208" s="509" t="str">
        <f t="shared" si="50"/>
        <v>Medical expenses - each occurrence</v>
      </c>
    </row>
    <row r="209" spans="13:50" x14ac:dyDescent="0.25">
      <c r="T209" s="79" t="s">
        <v>535</v>
      </c>
      <c r="U209" s="108">
        <f t="shared" ref="U209:U216" si="51">IF($U$207=0,"-",W209)</f>
        <v>5000</v>
      </c>
      <c r="W209" s="53">
        <v>5000</v>
      </c>
      <c r="X209" s="53"/>
      <c r="AT209" s="569">
        <v>203</v>
      </c>
      <c r="AU209" s="509" t="s">
        <v>1264</v>
      </c>
      <c r="AV209" s="510" t="str">
        <f t="shared" si="49"/>
        <v>-</v>
      </c>
      <c r="AW209" s="567"/>
      <c r="AX209" s="509" t="str">
        <f t="shared" si="50"/>
        <v/>
      </c>
    </row>
    <row r="210" spans="13:50" x14ac:dyDescent="0.25">
      <c r="T210" s="79" t="s">
        <v>536</v>
      </c>
      <c r="U210" s="108">
        <f t="shared" si="51"/>
        <v>5000</v>
      </c>
      <c r="W210" s="53">
        <v>5000</v>
      </c>
      <c r="X210" s="53"/>
      <c r="AT210" s="569">
        <v>204</v>
      </c>
      <c r="AU210" s="509" t="s">
        <v>589</v>
      </c>
      <c r="AV210" s="510" t="str">
        <f t="shared" si="49"/>
        <v>10% of claim or $25,000</v>
      </c>
      <c r="AW210" s="567"/>
      <c r="AX210" s="509" t="str">
        <f t="shared" si="50"/>
        <v/>
      </c>
    </row>
    <row r="211" spans="13:50" x14ac:dyDescent="0.25">
      <c r="T211" s="79" t="s">
        <v>537</v>
      </c>
      <c r="U211" s="108">
        <f t="shared" si="51"/>
        <v>5000</v>
      </c>
      <c r="W211" s="53">
        <v>5000</v>
      </c>
      <c r="X211" s="53"/>
      <c r="AT211" s="569">
        <v>205</v>
      </c>
      <c r="AU211" s="509" t="s">
        <v>1265</v>
      </c>
      <c r="AV211" s="510">
        <f t="shared" si="49"/>
        <v>0</v>
      </c>
      <c r="AW211" s="567"/>
      <c r="AX211" s="509" t="str">
        <f t="shared" si="50"/>
        <v/>
      </c>
    </row>
    <row r="212" spans="13:50" x14ac:dyDescent="0.25">
      <c r="T212" s="79" t="s">
        <v>538</v>
      </c>
      <c r="U212" s="108">
        <f t="shared" si="51"/>
        <v>5000</v>
      </c>
      <c r="W212" s="53">
        <v>5000</v>
      </c>
      <c r="X212" s="53"/>
      <c r="AT212" s="569">
        <v>206</v>
      </c>
      <c r="AU212" s="509" t="s">
        <v>465</v>
      </c>
      <c r="AV212" s="510" t="str">
        <f t="shared" ca="1" si="49"/>
        <v/>
      </c>
      <c r="AW212" s="567"/>
      <c r="AX212" s="509" t="str">
        <f t="shared" si="50"/>
        <v/>
      </c>
    </row>
    <row r="213" spans="13:50" ht="17.25" x14ac:dyDescent="0.3">
      <c r="M213" s="77" t="s">
        <v>432</v>
      </c>
      <c r="O213" s="9"/>
      <c r="Q213" s="9"/>
      <c r="T213" s="79" t="s">
        <v>539</v>
      </c>
      <c r="U213" s="108">
        <f t="shared" si="51"/>
        <v>5000</v>
      </c>
      <c r="W213" s="53">
        <v>5000</v>
      </c>
      <c r="X213" s="53"/>
      <c r="AT213" s="569">
        <v>207</v>
      </c>
      <c r="AU213" s="509" t="s">
        <v>1266</v>
      </c>
      <c r="AV213" s="510" t="str">
        <f t="shared" si="49"/>
        <v/>
      </c>
      <c r="AW213" s="567"/>
      <c r="AX213" s="509" t="str">
        <f t="shared" si="50"/>
        <v>Broker fees</v>
      </c>
    </row>
    <row r="214" spans="13:50" x14ac:dyDescent="0.25">
      <c r="M214" s="80" t="s">
        <v>343</v>
      </c>
      <c r="N214" s="41" t="s">
        <v>344</v>
      </c>
      <c r="O214" s="42"/>
      <c r="P214" s="42"/>
      <c r="Q214" s="40"/>
      <c r="R214" s="40" t="s">
        <v>338</v>
      </c>
      <c r="T214" s="79" t="s">
        <v>540</v>
      </c>
      <c r="U214" s="108">
        <f t="shared" si="51"/>
        <v>5000</v>
      </c>
      <c r="W214" s="53">
        <v>5000</v>
      </c>
      <c r="X214" s="53"/>
      <c r="AT214" s="569">
        <v>208</v>
      </c>
      <c r="AU214" s="509" t="s">
        <v>1267</v>
      </c>
      <c r="AV214" s="510">
        <f t="shared" si="49"/>
        <v>0.17499999999999999</v>
      </c>
      <c r="AW214" s="567"/>
      <c r="AX214" s="509" t="str">
        <f t="shared" si="50"/>
        <v/>
      </c>
    </row>
    <row r="215" spans="13:50" x14ac:dyDescent="0.25">
      <c r="M215" s="79" t="s">
        <v>419</v>
      </c>
      <c r="N215" s="67">
        <f t="shared" ref="N215:N227" si="52">C76</f>
        <v>0</v>
      </c>
      <c r="O215" s="9"/>
      <c r="P215" s="9"/>
      <c r="Q215" t="s">
        <v>433</v>
      </c>
      <c r="R215" s="72">
        <f>SUM(N217,N221:N223)</f>
        <v>0</v>
      </c>
      <c r="T215" s="79" t="s">
        <v>541</v>
      </c>
      <c r="U215" s="108">
        <f t="shared" si="51"/>
        <v>5000</v>
      </c>
      <c r="W215" s="53">
        <v>5000</v>
      </c>
      <c r="X215" s="53"/>
      <c r="AT215" s="569">
        <v>209</v>
      </c>
      <c r="AU215" s="509" t="s">
        <v>1268</v>
      </c>
      <c r="AV215" s="510">
        <f t="shared" si="49"/>
        <v>100</v>
      </c>
      <c r="AW215" s="567"/>
      <c r="AX215" s="509" t="str">
        <f t="shared" si="50"/>
        <v/>
      </c>
    </row>
    <row r="216" spans="13:50" x14ac:dyDescent="0.25">
      <c r="M216" s="79" t="s">
        <v>420</v>
      </c>
      <c r="N216" s="67">
        <f t="shared" si="52"/>
        <v>0</v>
      </c>
      <c r="Q216" t="s">
        <v>434</v>
      </c>
      <c r="R216" s="72">
        <f>SUM(N224:N227)</f>
        <v>0</v>
      </c>
      <c r="T216" s="79" t="s">
        <v>542</v>
      </c>
      <c r="U216" s="108">
        <f t="shared" si="51"/>
        <v>5000</v>
      </c>
      <c r="W216" s="53">
        <v>5000</v>
      </c>
      <c r="X216" s="53"/>
      <c r="AT216" s="569">
        <v>210</v>
      </c>
      <c r="AU216" s="509" t="s">
        <v>1269</v>
      </c>
      <c r="AV216" s="584">
        <f t="shared" ca="1" si="49"/>
        <v>44879</v>
      </c>
      <c r="AW216" s="567"/>
      <c r="AX216" s="509" t="str">
        <f t="shared" si="50"/>
        <v/>
      </c>
    </row>
    <row r="217" spans="13:50" x14ac:dyDescent="0.25">
      <c r="M217" s="79" t="s">
        <v>421</v>
      </c>
      <c r="N217" s="67">
        <f t="shared" si="52"/>
        <v>0</v>
      </c>
      <c r="Q217" t="s">
        <v>435</v>
      </c>
      <c r="R217" s="72">
        <f>SUM(N215:N216,N218:N220)</f>
        <v>0</v>
      </c>
      <c r="T217" s="110" t="s">
        <v>650</v>
      </c>
      <c r="U217" s="21"/>
      <c r="AT217" s="569">
        <v>211</v>
      </c>
      <c r="AU217" s="509" t="s">
        <v>1270</v>
      </c>
      <c r="AV217" s="510" t="str">
        <f t="shared" si="49"/>
        <v/>
      </c>
      <c r="AW217" s="567"/>
      <c r="AX217" s="509" t="str">
        <f t="shared" si="50"/>
        <v>Quote reference</v>
      </c>
    </row>
    <row r="218" spans="13:50" x14ac:dyDescent="0.25">
      <c r="M218" s="79" t="s">
        <v>422</v>
      </c>
      <c r="N218" s="67">
        <f t="shared" si="52"/>
        <v>0</v>
      </c>
      <c r="Q218" t="s">
        <v>183</v>
      </c>
      <c r="R218" s="68">
        <f>0</f>
        <v>0</v>
      </c>
      <c r="T218" s="79" t="s">
        <v>535</v>
      </c>
      <c r="U218" s="108">
        <f t="shared" ref="U218:U225" si="53">IF($U$207=0,"-",W218)</f>
        <v>25000</v>
      </c>
      <c r="W218" s="53">
        <v>25000</v>
      </c>
      <c r="AT218" s="569">
        <v>212</v>
      </c>
      <c r="AU218" s="509" t="s">
        <v>1271</v>
      </c>
      <c r="AV218" s="510" t="str">
        <f t="shared" si="49"/>
        <v/>
      </c>
      <c r="AW218" s="567"/>
      <c r="AX218" s="509" t="str">
        <f t="shared" si="50"/>
        <v>Contents Replacement Cost</v>
      </c>
    </row>
    <row r="219" spans="13:50" x14ac:dyDescent="0.25">
      <c r="M219" s="79" t="s">
        <v>423</v>
      </c>
      <c r="N219" s="67">
        <f t="shared" si="52"/>
        <v>0</v>
      </c>
      <c r="T219" s="79" t="s">
        <v>536</v>
      </c>
      <c r="U219" s="108">
        <f t="shared" si="53"/>
        <v>10000</v>
      </c>
      <c r="W219" s="53">
        <v>10000</v>
      </c>
      <c r="AT219" s="569">
        <v>213</v>
      </c>
      <c r="AU219" s="509" t="s">
        <v>1272</v>
      </c>
      <c r="AV219" s="510" t="str">
        <f t="shared" si="49"/>
        <v/>
      </c>
      <c r="AW219" s="567"/>
      <c r="AX219" s="509" t="str">
        <f t="shared" si="50"/>
        <v>Contractor's Equipment Schedule Required</v>
      </c>
    </row>
    <row r="220" spans="13:50" x14ac:dyDescent="0.25">
      <c r="M220" s="79" t="s">
        <v>424</v>
      </c>
      <c r="N220" s="67">
        <f t="shared" si="52"/>
        <v>0</v>
      </c>
      <c r="T220" s="79" t="s">
        <v>537</v>
      </c>
      <c r="U220" s="108">
        <f t="shared" si="53"/>
        <v>10000</v>
      </c>
      <c r="W220" s="53">
        <v>10000</v>
      </c>
      <c r="AT220" s="569">
        <v>214</v>
      </c>
      <c r="AU220" s="509" t="s">
        <v>1273</v>
      </c>
      <c r="AV220" s="510" t="str">
        <f t="shared" si="49"/>
        <v/>
      </c>
      <c r="AW220" s="567"/>
      <c r="AX220" s="509" t="str">
        <f t="shared" si="50"/>
        <v>Locked Vehicle Warranty</v>
      </c>
    </row>
    <row r="221" spans="13:50" x14ac:dyDescent="0.25">
      <c r="M221" s="79" t="s">
        <v>425</v>
      </c>
      <c r="N221" s="67">
        <f t="shared" si="52"/>
        <v>0</v>
      </c>
      <c r="T221" s="79" t="s">
        <v>538</v>
      </c>
      <c r="U221" s="108">
        <f t="shared" si="53"/>
        <v>10000</v>
      </c>
      <c r="W221" s="53">
        <v>10000</v>
      </c>
      <c r="AT221" s="569">
        <v>215</v>
      </c>
      <c r="AU221" s="509" t="s">
        <v>1274</v>
      </c>
      <c r="AV221" s="510" t="str">
        <f t="shared" si="49"/>
        <v/>
      </c>
      <c r="AW221" s="567"/>
      <c r="AX221" s="509" t="str">
        <f t="shared" si="50"/>
        <v>Welding Warranty</v>
      </c>
    </row>
    <row r="222" spans="13:50" x14ac:dyDescent="0.25">
      <c r="M222" s="79" t="s">
        <v>426</v>
      </c>
      <c r="N222" s="67">
        <f t="shared" si="52"/>
        <v>0</v>
      </c>
      <c r="T222" s="79" t="s">
        <v>539</v>
      </c>
      <c r="U222" s="108">
        <f t="shared" si="53"/>
        <v>10000</v>
      </c>
      <c r="W222" s="53">
        <v>10000</v>
      </c>
      <c r="AT222" s="569">
        <v>216</v>
      </c>
      <c r="AU222" s="511" t="s">
        <v>1275</v>
      </c>
      <c r="AV222" s="510" t="str">
        <f t="shared" si="49"/>
        <v/>
      </c>
      <c r="AW222" s="567"/>
      <c r="AX222" s="509" t="str">
        <f t="shared" si="50"/>
        <v>Subcontractors Warranty</v>
      </c>
    </row>
    <row r="223" spans="13:50" x14ac:dyDescent="0.25">
      <c r="M223" s="79" t="s">
        <v>427</v>
      </c>
      <c r="N223" s="67">
        <f t="shared" si="52"/>
        <v>0</v>
      </c>
      <c r="T223" s="79" t="s">
        <v>540</v>
      </c>
      <c r="U223" s="108">
        <f t="shared" si="53"/>
        <v>10000</v>
      </c>
      <c r="W223" s="53">
        <v>10000</v>
      </c>
      <c r="AT223" s="569">
        <v>217</v>
      </c>
      <c r="AU223" s="511" t="s">
        <v>1276</v>
      </c>
      <c r="AV223" s="510" t="str">
        <f t="shared" si="49"/>
        <v/>
      </c>
      <c r="AW223" s="567"/>
      <c r="AX223" s="509" t="str">
        <f t="shared" si="50"/>
        <v>USA Sales and Operations Exclusion</v>
      </c>
    </row>
    <row r="224" spans="13:50" x14ac:dyDescent="0.25">
      <c r="M224" s="79" t="s">
        <v>428</v>
      </c>
      <c r="N224" s="67">
        <f t="shared" si="52"/>
        <v>0</v>
      </c>
      <c r="T224" s="79" t="s">
        <v>541</v>
      </c>
      <c r="U224" s="108">
        <f t="shared" si="53"/>
        <v>100000</v>
      </c>
      <c r="W224" s="53">
        <v>100000</v>
      </c>
      <c r="AT224" s="569">
        <v>218</v>
      </c>
      <c r="AU224" s="511" t="s">
        <v>1277</v>
      </c>
      <c r="AV224" s="510" t="str">
        <f t="shared" si="49"/>
        <v/>
      </c>
      <c r="AW224" s="567"/>
      <c r="AX224" s="509" t="str">
        <f t="shared" si="50"/>
        <v>Exclusion of Snow Removal activities</v>
      </c>
    </row>
    <row r="225" spans="13:50" x14ac:dyDescent="0.25">
      <c r="M225" s="79" t="s">
        <v>429</v>
      </c>
      <c r="N225" s="67">
        <f t="shared" si="52"/>
        <v>0</v>
      </c>
      <c r="T225" s="79" t="s">
        <v>542</v>
      </c>
      <c r="U225" s="108">
        <f t="shared" si="53"/>
        <v>100000</v>
      </c>
      <c r="W225" s="53">
        <v>100000</v>
      </c>
      <c r="AT225" s="569">
        <v>219</v>
      </c>
      <c r="AU225" s="509" t="s">
        <v>1298</v>
      </c>
      <c r="AV225" s="510">
        <f t="shared" si="49"/>
        <v>5000</v>
      </c>
      <c r="AW225" s="567"/>
      <c r="AX225" s="509" t="str">
        <f t="shared" si="50"/>
        <v/>
      </c>
    </row>
    <row r="226" spans="13:50" x14ac:dyDescent="0.25">
      <c r="M226" s="79" t="s">
        <v>430</v>
      </c>
      <c r="N226" s="67">
        <f t="shared" si="52"/>
        <v>0</v>
      </c>
      <c r="T226" s="109"/>
      <c r="AT226" s="569">
        <v>220</v>
      </c>
      <c r="AU226" s="509" t="s">
        <v>1278</v>
      </c>
      <c r="AV226" s="510">
        <f t="shared" si="49"/>
        <v>5000</v>
      </c>
      <c r="AW226" s="567"/>
      <c r="AX226" s="509" t="str">
        <f t="shared" si="50"/>
        <v/>
      </c>
    </row>
    <row r="227" spans="13:50" x14ac:dyDescent="0.25">
      <c r="M227" s="79" t="s">
        <v>431</v>
      </c>
      <c r="N227" s="67">
        <f t="shared" si="52"/>
        <v>0</v>
      </c>
      <c r="T227" s="109"/>
      <c r="AT227" s="569">
        <v>221</v>
      </c>
      <c r="AU227" s="509" t="s">
        <v>1279</v>
      </c>
      <c r="AV227" s="510" t="str">
        <f t="shared" si="49"/>
        <v/>
      </c>
      <c r="AW227" s="567"/>
      <c r="AX227" s="509" t="str">
        <f t="shared" si="50"/>
        <v>Vandalism by Tenants</v>
      </c>
    </row>
    <row r="228" spans="13:50" x14ac:dyDescent="0.25">
      <c r="T228" t="s">
        <v>197</v>
      </c>
      <c r="U228" s="60"/>
      <c r="AT228" s="569">
        <v>222</v>
      </c>
      <c r="AU228" s="509" t="s">
        <v>1280</v>
      </c>
      <c r="AV228" s="510" t="str">
        <f t="shared" si="49"/>
        <v/>
      </c>
      <c r="AW228" s="567"/>
      <c r="AX228" s="509" t="str">
        <f t="shared" si="50"/>
        <v>Vandalism by Tenants Deductible</v>
      </c>
    </row>
    <row r="229" spans="13:50" x14ac:dyDescent="0.25">
      <c r="T229" t="s">
        <v>257</v>
      </c>
      <c r="U229" t="str">
        <f>$U$152</f>
        <v>Error</v>
      </c>
      <c r="AT229" s="569">
        <v>223</v>
      </c>
      <c r="AU229" s="509" t="s">
        <v>1281</v>
      </c>
      <c r="AV229" s="510" t="str">
        <f t="shared" si="49"/>
        <v/>
      </c>
      <c r="AW229" s="567"/>
      <c r="AX229" s="509" t="str">
        <f t="shared" si="50"/>
        <v>Cooking in rooms exclusion</v>
      </c>
    </row>
    <row r="230" spans="13:50" ht="17.25" x14ac:dyDescent="0.3">
      <c r="M230" s="77" t="s">
        <v>437</v>
      </c>
      <c r="O230" s="9"/>
      <c r="Q230" s="9"/>
      <c r="T230" t="s">
        <v>621</v>
      </c>
      <c r="U230" s="28">
        <f>IF(U229="Home",0,55)</f>
        <v>55</v>
      </c>
      <c r="W230" t="s">
        <v>259</v>
      </c>
      <c r="AT230" s="569">
        <v>224</v>
      </c>
      <c r="AU230" s="509" t="s">
        <v>1282</v>
      </c>
      <c r="AV230" s="510" t="str">
        <f t="shared" si="49"/>
        <v/>
      </c>
      <c r="AW230" s="567"/>
      <c r="AX230" s="509" t="str">
        <f t="shared" si="50"/>
        <v>Smoke Detector Warranty</v>
      </c>
    </row>
    <row r="231" spans="13:50" x14ac:dyDescent="0.25">
      <c r="M231" s="80" t="s">
        <v>343</v>
      </c>
      <c r="N231" s="41" t="s">
        <v>344</v>
      </c>
      <c r="O231" s="42" t="s">
        <v>345</v>
      </c>
      <c r="P231" s="42" t="s">
        <v>346</v>
      </c>
      <c r="Q231" s="40"/>
      <c r="R231" s="40" t="s">
        <v>338</v>
      </c>
      <c r="T231" s="79" t="s">
        <v>549</v>
      </c>
      <c r="U231" s="107" t="str">
        <f t="shared" ref="U231:U244" si="54">IF($U$230=0,"-",W231)</f>
        <v>Unlimited</v>
      </c>
      <c r="W231" s="53" t="s">
        <v>573</v>
      </c>
      <c r="AT231" s="569">
        <v>225</v>
      </c>
      <c r="AU231" s="509" t="s">
        <v>1283</v>
      </c>
      <c r="AV231" s="510" t="str">
        <f t="shared" si="49"/>
        <v/>
      </c>
      <c r="AW231" s="567"/>
      <c r="AX231" s="509" t="str">
        <f t="shared" si="50"/>
        <v>Cyber deductible</v>
      </c>
    </row>
    <row r="232" spans="13:50" x14ac:dyDescent="0.25">
      <c r="M232" s="79" t="s">
        <v>438</v>
      </c>
      <c r="N232" s="67">
        <f>$C$119</f>
        <v>0</v>
      </c>
      <c r="O232" s="9" t="s">
        <v>410</v>
      </c>
      <c r="P232" s="9">
        <v>0</v>
      </c>
      <c r="R232" s="72">
        <f>VLOOKUP($N$238,$O$232:$P$244,2,FALSE)</f>
        <v>50000</v>
      </c>
      <c r="T232" s="79" t="s">
        <v>551</v>
      </c>
      <c r="U232" s="107" t="str">
        <f t="shared" si="54"/>
        <v>Unlimited</v>
      </c>
      <c r="W232" s="53" t="s">
        <v>573</v>
      </c>
      <c r="AT232" s="569">
        <v>226</v>
      </c>
      <c r="AU232" s="509" t="s">
        <v>1284</v>
      </c>
      <c r="AV232" s="510" t="str">
        <f t="shared" si="49"/>
        <v/>
      </c>
      <c r="AW232" s="567"/>
      <c r="AX232" s="509" t="str">
        <f t="shared" si="50"/>
        <v>Waiting period</v>
      </c>
    </row>
    <row r="233" spans="13:50" x14ac:dyDescent="0.25">
      <c r="M233" s="79" t="s">
        <v>439</v>
      </c>
      <c r="N233" s="67"/>
      <c r="O233" s="9">
        <v>0</v>
      </c>
      <c r="P233" s="9">
        <v>50000</v>
      </c>
      <c r="Q233" s="69"/>
      <c r="T233" s="79" t="s">
        <v>552</v>
      </c>
      <c r="U233" s="107" t="str">
        <f t="shared" si="54"/>
        <v>Unlimited</v>
      </c>
      <c r="W233" s="53" t="s">
        <v>573</v>
      </c>
      <c r="AT233" s="569">
        <v>227</v>
      </c>
      <c r="AU233" s="509" t="s">
        <v>1285</v>
      </c>
      <c r="AV233" s="510" t="str">
        <f t="shared" si="49"/>
        <v/>
      </c>
      <c r="AW233" s="567"/>
      <c r="AX233" s="509" t="str">
        <f t="shared" si="50"/>
        <v>RenoRun</v>
      </c>
    </row>
    <row r="234" spans="13:50" x14ac:dyDescent="0.25">
      <c r="M234" s="79" t="s">
        <v>440</v>
      </c>
      <c r="N234" s="67">
        <f>IF(N232="Other",N233,N232)</f>
        <v>0</v>
      </c>
      <c r="O234" s="53">
        <v>1</v>
      </c>
      <c r="P234" s="53">
        <v>50000</v>
      </c>
      <c r="Q234" s="69"/>
      <c r="T234" s="79" t="s">
        <v>523</v>
      </c>
      <c r="U234" s="107" t="str">
        <f t="shared" si="54"/>
        <v>Unlimited</v>
      </c>
      <c r="W234" s="53" t="s">
        <v>573</v>
      </c>
      <c r="AT234" s="569">
        <v>228</v>
      </c>
      <c r="AU234" s="509" t="s">
        <v>1286</v>
      </c>
      <c r="AV234" s="510" t="str">
        <f t="shared" si="49"/>
        <v/>
      </c>
      <c r="AW234" s="567"/>
      <c r="AX234" s="509" t="str">
        <f t="shared" si="50"/>
        <v>Exclusion of activities or work performed prior to the risk effective date of the policy</v>
      </c>
    </row>
    <row r="235" spans="13:50" x14ac:dyDescent="0.25">
      <c r="M235" s="79" t="s">
        <v>413</v>
      </c>
      <c r="N235" s="70">
        <f>IFERROR(VLOOKUP(N234,O232:O244,1,FALSE),"No match")</f>
        <v>0</v>
      </c>
      <c r="O235" s="9">
        <v>50000</v>
      </c>
      <c r="P235" s="9">
        <v>50000</v>
      </c>
      <c r="Q235" s="69"/>
      <c r="T235" s="79" t="s">
        <v>553</v>
      </c>
      <c r="U235" s="107" t="str">
        <f t="shared" si="54"/>
        <v>Unlimited</v>
      </c>
      <c r="W235" s="53" t="s">
        <v>573</v>
      </c>
      <c r="AT235" s="569">
        <v>229</v>
      </c>
      <c r="AU235" s="509" t="s">
        <v>1287</v>
      </c>
      <c r="AV235" s="510" t="str">
        <f t="shared" si="49"/>
        <v/>
      </c>
      <c r="AW235" s="567"/>
      <c r="AX235" s="509" t="str">
        <f t="shared" si="50"/>
        <v>Specified Operation Exclusion:Plumbing, electricity, roofing work done by the insured themselves</v>
      </c>
    </row>
    <row r="236" spans="13:50" x14ac:dyDescent="0.25">
      <c r="M236" s="79" t="s">
        <v>414</v>
      </c>
      <c r="N236" s="71">
        <f>MATCH(VLOOKUP(N234,O232:O244,1,TRUE),O232:O244,0)</f>
        <v>2</v>
      </c>
      <c r="O236" s="53">
        <v>100000</v>
      </c>
      <c r="P236" s="53">
        <v>100000</v>
      </c>
      <c r="Q236" s="69"/>
      <c r="T236" s="79" t="s">
        <v>554</v>
      </c>
      <c r="U236" s="107">
        <f t="shared" si="54"/>
        <v>100000</v>
      </c>
      <c r="W236" s="53">
        <v>100000</v>
      </c>
      <c r="AT236" s="569">
        <v>230</v>
      </c>
      <c r="AU236" s="509" t="s">
        <v>1288</v>
      </c>
      <c r="AV236" s="510" t="str">
        <f t="shared" si="49"/>
        <v/>
      </c>
      <c r="AW236" s="567"/>
      <c r="AX236" s="509" t="str">
        <f t="shared" si="50"/>
        <v>Specified Operation Exclusion:Plumbing, roofing work done by the insured themselves</v>
      </c>
    </row>
    <row r="237" spans="13:50" x14ac:dyDescent="0.25">
      <c r="M237" s="79" t="s">
        <v>415</v>
      </c>
      <c r="N237" s="71" cm="1">
        <f t="array" ref="N237">INDEX(O232:O244,N236+1)</f>
        <v>1</v>
      </c>
      <c r="O237" s="53">
        <v>250000</v>
      </c>
      <c r="P237" s="53">
        <v>250000</v>
      </c>
      <c r="Q237" s="69"/>
      <c r="T237" s="79" t="s">
        <v>555</v>
      </c>
      <c r="U237" s="107">
        <f t="shared" si="54"/>
        <v>100000</v>
      </c>
      <c r="W237" s="53">
        <v>100000</v>
      </c>
      <c r="AT237" s="569">
        <v>231</v>
      </c>
      <c r="AU237" s="509" t="s">
        <v>1289</v>
      </c>
      <c r="AV237" s="510" t="str">
        <f t="shared" si="49"/>
        <v/>
      </c>
      <c r="AW237" s="567"/>
      <c r="AX237" s="509" t="str">
        <f t="shared" si="50"/>
        <v>Blasting, Pile Driving, Weakness of Support exclusion</v>
      </c>
    </row>
    <row r="238" spans="13:50" x14ac:dyDescent="0.25">
      <c r="M238" s="79" t="s">
        <v>416</v>
      </c>
      <c r="N238" s="71">
        <f>IF(N235="No match",N237,N235)</f>
        <v>0</v>
      </c>
      <c r="O238" s="53">
        <v>500000</v>
      </c>
      <c r="P238" s="53">
        <v>500000</v>
      </c>
      <c r="Q238" s="69"/>
      <c r="T238" s="79" t="s">
        <v>556</v>
      </c>
      <c r="U238" s="107">
        <f t="shared" si="54"/>
        <v>25000</v>
      </c>
      <c r="W238" s="53">
        <v>25000</v>
      </c>
      <c r="AT238" s="569">
        <v>232</v>
      </c>
      <c r="AU238" s="509" t="s">
        <v>1290</v>
      </c>
      <c r="AV238" s="510" t="str">
        <f t="shared" si="49"/>
        <v/>
      </c>
      <c r="AW238" s="567"/>
      <c r="AX238" s="509" t="str">
        <f t="shared" si="50"/>
        <v>Underground Working conditions</v>
      </c>
    </row>
    <row r="239" spans="13:50" x14ac:dyDescent="0.25">
      <c r="O239" s="53">
        <v>1000000</v>
      </c>
      <c r="P239" s="53">
        <v>1000000</v>
      </c>
      <c r="Q239" s="69"/>
      <c r="T239" s="79" t="s">
        <v>557</v>
      </c>
      <c r="U239" s="107" t="str">
        <f t="shared" si="54"/>
        <v>Unlimited</v>
      </c>
      <c r="W239" s="53" t="s">
        <v>573</v>
      </c>
      <c r="AT239" s="569">
        <v>233</v>
      </c>
      <c r="AU239" s="509" t="s">
        <v>1291</v>
      </c>
      <c r="AV239" s="510" t="str">
        <f t="shared" si="49"/>
        <v/>
      </c>
      <c r="AW239" s="567"/>
      <c r="AX239" s="509" t="str">
        <f t="shared" si="50"/>
        <v>Removal and repair of products exclusion</v>
      </c>
    </row>
    <row r="240" spans="13:50" x14ac:dyDescent="0.25">
      <c r="O240" s="53">
        <v>2000000</v>
      </c>
      <c r="P240" s="53">
        <v>1000000</v>
      </c>
      <c r="Q240" s="69"/>
      <c r="T240" s="79" t="s">
        <v>558</v>
      </c>
      <c r="U240" s="107">
        <f t="shared" si="54"/>
        <v>25000</v>
      </c>
      <c r="W240" s="53">
        <v>25000</v>
      </c>
      <c r="AT240" s="569">
        <v>234</v>
      </c>
      <c r="AU240" s="509" t="s">
        <v>1292</v>
      </c>
      <c r="AV240" s="510" t="str">
        <f t="shared" si="49"/>
        <v/>
      </c>
      <c r="AW240" s="567"/>
      <c r="AX240" s="509" t="str">
        <f t="shared" si="50"/>
        <v>License required for application of pesticides</v>
      </c>
    </row>
    <row r="241" spans="13:50" x14ac:dyDescent="0.25">
      <c r="O241" s="53">
        <v>3000000</v>
      </c>
      <c r="P241" s="53">
        <v>1000000</v>
      </c>
      <c r="T241" s="79" t="s">
        <v>559</v>
      </c>
      <c r="U241" s="107">
        <f t="shared" si="54"/>
        <v>10000</v>
      </c>
      <c r="W241" s="53">
        <v>10000</v>
      </c>
      <c r="AT241" s="569">
        <v>235</v>
      </c>
      <c r="AU241" s="509" t="s">
        <v>1293</v>
      </c>
      <c r="AV241" s="510" t="str">
        <f t="shared" si="49"/>
        <v/>
      </c>
      <c r="AW241" s="567"/>
      <c r="AX241" s="509" t="str">
        <f t="shared" si="50"/>
        <v>Anti-theft precautions</v>
      </c>
    </row>
    <row r="242" spans="13:50" x14ac:dyDescent="0.25">
      <c r="O242" s="53">
        <v>4000000</v>
      </c>
      <c r="P242" s="53">
        <v>1000000</v>
      </c>
      <c r="T242" s="79" t="s">
        <v>560</v>
      </c>
      <c r="U242" s="107">
        <f t="shared" si="54"/>
        <v>5000</v>
      </c>
      <c r="W242" s="53">
        <v>5000</v>
      </c>
      <c r="AT242" s="569">
        <v>236</v>
      </c>
      <c r="AU242" s="509" t="s">
        <v>1294</v>
      </c>
      <c r="AV242" s="510" t="str">
        <f t="shared" si="49"/>
        <v/>
      </c>
      <c r="AW242" s="567"/>
      <c r="AX242" s="509" t="str">
        <f t="shared" si="50"/>
        <v>Pesticide / Weed Spraying exclusion</v>
      </c>
    </row>
    <row r="243" spans="13:50" x14ac:dyDescent="0.25">
      <c r="O243" s="53">
        <v>5000000</v>
      </c>
      <c r="P243" s="53">
        <v>1000000</v>
      </c>
      <c r="T243" s="79" t="s">
        <v>561</v>
      </c>
      <c r="U243" s="107">
        <f t="shared" si="54"/>
        <v>100000</v>
      </c>
      <c r="W243" s="53">
        <v>100000</v>
      </c>
      <c r="AT243" s="569">
        <v>237</v>
      </c>
      <c r="AU243" s="509" t="s">
        <v>1295</v>
      </c>
      <c r="AV243" s="510" t="str">
        <f t="shared" si="49"/>
        <v/>
      </c>
      <c r="AW243" s="567"/>
      <c r="AX243" s="509" t="str">
        <f t="shared" si="50"/>
        <v>Liability for water damage deductible</v>
      </c>
    </row>
    <row r="244" spans="13:50" x14ac:dyDescent="0.25">
      <c r="O244" s="53" t="s">
        <v>418</v>
      </c>
      <c r="P244" s="53">
        <v>0</v>
      </c>
      <c r="T244" s="79" t="s">
        <v>562</v>
      </c>
      <c r="U244" s="107">
        <f t="shared" si="54"/>
        <v>25000</v>
      </c>
      <c r="W244" s="53">
        <v>25000</v>
      </c>
      <c r="AT244" s="79">
        <v>238</v>
      </c>
      <c r="AU244" t="s">
        <v>1335</v>
      </c>
      <c r="AV244" s="510">
        <f t="shared" ref="AV244:AV260" si="55">IFERROR(VLOOKUP(AU244,$AK$3:$AR$785,7,FALSE),"")</f>
        <v>100000</v>
      </c>
      <c r="AW244" s="567"/>
      <c r="AX244" s="509" t="str">
        <f t="shared" ref="AX244:AX260" si="56">IF(ISERROR(VLOOKUP(AU244,$AK$1:$AK$1001,1,FALSE))=TRUE,AU244,"")</f>
        <v/>
      </c>
    </row>
    <row r="245" spans="13:50" x14ac:dyDescent="0.25">
      <c r="U245" s="105"/>
      <c r="AT245" s="79">
        <v>239</v>
      </c>
      <c r="AU245" t="s">
        <v>1336</v>
      </c>
      <c r="AV245" s="510">
        <f t="shared" si="55"/>
        <v>100000</v>
      </c>
      <c r="AW245" s="567"/>
      <c r="AX245" s="509" t="str">
        <f t="shared" si="56"/>
        <v/>
      </c>
    </row>
    <row r="246" spans="13:50" ht="17.25" x14ac:dyDescent="0.3">
      <c r="M246" s="77" t="s">
        <v>441</v>
      </c>
      <c r="O246" s="9"/>
      <c r="Q246" s="9"/>
      <c r="U246" s="105"/>
      <c r="AT246" s="79">
        <v>240</v>
      </c>
      <c r="AU246" t="s">
        <v>1337</v>
      </c>
      <c r="AV246" s="510">
        <f t="shared" si="55"/>
        <v>100000</v>
      </c>
      <c r="AW246" s="567"/>
      <c r="AX246" s="509" t="str">
        <f t="shared" si="56"/>
        <v/>
      </c>
    </row>
    <row r="247" spans="13:50" x14ac:dyDescent="0.25">
      <c r="M247" s="80" t="s">
        <v>343</v>
      </c>
      <c r="N247" s="41" t="s">
        <v>344</v>
      </c>
      <c r="O247" s="42" t="s">
        <v>345</v>
      </c>
      <c r="P247" s="42" t="s">
        <v>346</v>
      </c>
      <c r="Q247" s="40"/>
      <c r="R247" s="40" t="s">
        <v>338</v>
      </c>
      <c r="U247" s="105"/>
      <c r="AT247" s="79">
        <v>241</v>
      </c>
      <c r="AU247" t="s">
        <v>1338</v>
      </c>
      <c r="AV247" s="510">
        <f t="shared" si="55"/>
        <v>100000</v>
      </c>
      <c r="AW247" s="567"/>
      <c r="AX247" s="509" t="str">
        <f t="shared" si="56"/>
        <v/>
      </c>
    </row>
    <row r="248" spans="13:50" x14ac:dyDescent="0.25">
      <c r="M248" s="79" t="s">
        <v>442</v>
      </c>
      <c r="N248" s="67">
        <f>$C$89</f>
        <v>0</v>
      </c>
      <c r="O248" s="9">
        <v>1</v>
      </c>
      <c r="P248" t="s">
        <v>285</v>
      </c>
      <c r="R248" s="72" t="str">
        <f>IFERROR(VLOOKUP(N248,$O$248:$P$268,2,FALSE),"&gt;20")</f>
        <v>&gt;20</v>
      </c>
      <c r="U248" s="105"/>
      <c r="AT248" s="79">
        <v>242</v>
      </c>
      <c r="AU248" t="s">
        <v>1339</v>
      </c>
      <c r="AV248" s="510">
        <f t="shared" si="55"/>
        <v>5000</v>
      </c>
      <c r="AW248" s="567"/>
      <c r="AX248" s="509" t="str">
        <f t="shared" si="56"/>
        <v/>
      </c>
    </row>
    <row r="249" spans="13:50" x14ac:dyDescent="0.25">
      <c r="N249" s="73"/>
      <c r="O249" s="9">
        <v>2</v>
      </c>
      <c r="P249" t="s">
        <v>285</v>
      </c>
      <c r="Q249" s="69"/>
      <c r="U249" s="105"/>
      <c r="AT249" s="79">
        <v>243</v>
      </c>
      <c r="AU249" t="s">
        <v>1340</v>
      </c>
      <c r="AV249" s="510">
        <f t="shared" si="55"/>
        <v>50000</v>
      </c>
      <c r="AW249" s="567"/>
      <c r="AX249" s="509" t="str">
        <f t="shared" si="56"/>
        <v/>
      </c>
    </row>
    <row r="250" spans="13:50" x14ac:dyDescent="0.25">
      <c r="N250" s="73"/>
      <c r="O250" s="53">
        <v>3</v>
      </c>
      <c r="P250" t="s">
        <v>285</v>
      </c>
      <c r="Q250" s="69"/>
      <c r="U250" s="105"/>
      <c r="AT250" s="79">
        <v>244</v>
      </c>
      <c r="AU250" t="s">
        <v>1341</v>
      </c>
      <c r="AV250" s="510" t="str">
        <f t="shared" si="55"/>
        <v>$10,000 / $250,000 aggregate</v>
      </c>
      <c r="AW250" s="567"/>
      <c r="AX250" s="509" t="str">
        <f t="shared" si="56"/>
        <v/>
      </c>
    </row>
    <row r="251" spans="13:50" x14ac:dyDescent="0.25">
      <c r="N251" s="73"/>
      <c r="O251" s="53">
        <v>4</v>
      </c>
      <c r="P251" t="s">
        <v>285</v>
      </c>
      <c r="Q251" s="69"/>
      <c r="AT251" s="79">
        <v>245</v>
      </c>
      <c r="AU251" t="s">
        <v>1342</v>
      </c>
      <c r="AV251" s="510" t="str">
        <f t="shared" si="55"/>
        <v>Included</v>
      </c>
      <c r="AW251" s="567"/>
      <c r="AX251" s="509" t="str">
        <f t="shared" si="56"/>
        <v/>
      </c>
    </row>
    <row r="252" spans="13:50" x14ac:dyDescent="0.25">
      <c r="O252" s="9">
        <v>5</v>
      </c>
      <c r="P252" s="31" t="s">
        <v>286</v>
      </c>
      <c r="T252" t="s">
        <v>278</v>
      </c>
      <c r="U252" s="25" t="e">
        <f>SUM(U203,U207,U230)</f>
        <v>#N/A</v>
      </c>
      <c r="AT252" s="79">
        <v>246</v>
      </c>
      <c r="AU252" t="s">
        <v>494</v>
      </c>
      <c r="AV252" s="510" t="str">
        <f t="shared" si="55"/>
        <v>Included</v>
      </c>
      <c r="AW252" s="567"/>
      <c r="AX252" s="509" t="str">
        <f t="shared" si="56"/>
        <v/>
      </c>
    </row>
    <row r="253" spans="13:50" x14ac:dyDescent="0.25">
      <c r="O253" s="9">
        <v>6</v>
      </c>
      <c r="P253" s="31" t="s">
        <v>286</v>
      </c>
      <c r="AT253" s="79">
        <v>247</v>
      </c>
      <c r="AU253" t="s">
        <v>196</v>
      </c>
      <c r="AV253" s="510">
        <f t="shared" si="55"/>
        <v>0</v>
      </c>
      <c r="AW253" s="567"/>
      <c r="AX253" s="509" t="str">
        <f t="shared" si="56"/>
        <v/>
      </c>
    </row>
    <row r="254" spans="13:50" x14ac:dyDescent="0.25">
      <c r="O254" s="9">
        <v>7</v>
      </c>
      <c r="P254" s="31" t="s">
        <v>286</v>
      </c>
      <c r="AT254" s="79">
        <v>248</v>
      </c>
      <c r="AU254" t="s">
        <v>1343</v>
      </c>
      <c r="AV254" s="510">
        <f t="shared" si="55"/>
        <v>0</v>
      </c>
      <c r="AW254" s="567"/>
      <c r="AX254" s="509" t="str">
        <f t="shared" si="56"/>
        <v/>
      </c>
    </row>
    <row r="255" spans="13:50" x14ac:dyDescent="0.25">
      <c r="O255" s="9">
        <v>8</v>
      </c>
      <c r="P255" s="31" t="s">
        <v>286</v>
      </c>
      <c r="T255" s="36" t="s">
        <v>294</v>
      </c>
      <c r="U255" s="37" t="e">
        <f ca="1">IF(E7="Bld Decline",U145,SUM(U252,U145))</f>
        <v>#N/A</v>
      </c>
      <c r="AT255" s="79">
        <v>249</v>
      </c>
      <c r="AU255" t="s">
        <v>490</v>
      </c>
      <c r="AV255" s="510" t="str">
        <f t="shared" si="55"/>
        <v>Included</v>
      </c>
      <c r="AW255" s="567"/>
      <c r="AX255" s="509" t="str">
        <f t="shared" si="56"/>
        <v/>
      </c>
    </row>
    <row r="256" spans="13:50" x14ac:dyDescent="0.25">
      <c r="O256" s="9">
        <v>9</v>
      </c>
      <c r="P256" s="31" t="s">
        <v>286</v>
      </c>
      <c r="AT256" s="79">
        <v>250</v>
      </c>
      <c r="AU256" t="s">
        <v>492</v>
      </c>
      <c r="AV256" s="510" t="str">
        <f t="shared" si="55"/>
        <v>Included</v>
      </c>
      <c r="AW256" s="567"/>
      <c r="AX256" s="509" t="str">
        <f t="shared" si="56"/>
        <v/>
      </c>
    </row>
    <row r="257" spans="13:50" x14ac:dyDescent="0.25">
      <c r="O257" s="9">
        <v>10</v>
      </c>
      <c r="P257" s="31" t="s">
        <v>286</v>
      </c>
      <c r="AT257" s="79">
        <v>251</v>
      </c>
      <c r="AU257" t="s">
        <v>1348</v>
      </c>
      <c r="AV257" s="510" t="str">
        <f t="shared" si="55"/>
        <v>Included</v>
      </c>
      <c r="AW257" s="567"/>
      <c r="AX257" s="509" t="str">
        <f t="shared" si="56"/>
        <v/>
      </c>
    </row>
    <row r="258" spans="13:50" x14ac:dyDescent="0.25">
      <c r="O258" s="9">
        <v>11</v>
      </c>
      <c r="P258" s="32" t="s">
        <v>287</v>
      </c>
      <c r="AT258" s="79">
        <v>252</v>
      </c>
      <c r="AU258" t="s">
        <v>1346</v>
      </c>
      <c r="AV258" s="510">
        <f t="shared" si="55"/>
        <v>2000000</v>
      </c>
      <c r="AW258" s="567"/>
      <c r="AX258" s="509" t="str">
        <f t="shared" si="56"/>
        <v/>
      </c>
    </row>
    <row r="259" spans="13:50" x14ac:dyDescent="0.25">
      <c r="O259" s="9">
        <v>12</v>
      </c>
      <c r="P259" s="32" t="s">
        <v>287</v>
      </c>
      <c r="AT259" s="79">
        <v>253</v>
      </c>
      <c r="AU259" t="s">
        <v>1347</v>
      </c>
      <c r="AV259" s="510">
        <f t="shared" si="55"/>
        <v>50000</v>
      </c>
      <c r="AW259" s="567"/>
      <c r="AX259" s="509" t="str">
        <f t="shared" si="56"/>
        <v/>
      </c>
    </row>
    <row r="260" spans="13:50" x14ac:dyDescent="0.25">
      <c r="O260" s="9">
        <v>13</v>
      </c>
      <c r="P260" s="32" t="s">
        <v>287</v>
      </c>
      <c r="AT260" s="79">
        <v>254</v>
      </c>
      <c r="AU260" t="s">
        <v>498</v>
      </c>
      <c r="AV260" s="510">
        <f t="shared" si="55"/>
        <v>10000</v>
      </c>
      <c r="AW260" s="567"/>
      <c r="AX260" s="509" t="str">
        <f t="shared" si="56"/>
        <v/>
      </c>
    </row>
    <row r="261" spans="13:50" x14ac:dyDescent="0.25">
      <c r="O261" s="9">
        <v>14</v>
      </c>
      <c r="P261" s="32" t="s">
        <v>287</v>
      </c>
    </row>
    <row r="262" spans="13:50" x14ac:dyDescent="0.25">
      <c r="O262" s="9">
        <v>15</v>
      </c>
      <c r="P262" s="32" t="s">
        <v>287</v>
      </c>
    </row>
    <row r="263" spans="13:50" x14ac:dyDescent="0.25">
      <c r="O263" s="9">
        <v>16</v>
      </c>
      <c r="P263" s="32" t="s">
        <v>287</v>
      </c>
    </row>
    <row r="264" spans="13:50" x14ac:dyDescent="0.25">
      <c r="O264" s="9">
        <v>17</v>
      </c>
      <c r="P264" s="32" t="s">
        <v>287</v>
      </c>
    </row>
    <row r="265" spans="13:50" x14ac:dyDescent="0.25">
      <c r="O265" s="9">
        <v>18</v>
      </c>
      <c r="P265" s="32" t="s">
        <v>287</v>
      </c>
    </row>
    <row r="266" spans="13:50" x14ac:dyDescent="0.25">
      <c r="O266" s="9">
        <v>19</v>
      </c>
      <c r="P266" s="32" t="s">
        <v>287</v>
      </c>
    </row>
    <row r="267" spans="13:50" x14ac:dyDescent="0.25">
      <c r="O267" s="9">
        <v>20</v>
      </c>
      <c r="P267" s="32" t="s">
        <v>287</v>
      </c>
    </row>
    <row r="268" spans="13:50" x14ac:dyDescent="0.25">
      <c r="O268" s="9">
        <v>21</v>
      </c>
      <c r="P268" t="s">
        <v>288</v>
      </c>
    </row>
    <row r="269" spans="13:50" x14ac:dyDescent="0.25">
      <c r="O269" s="9"/>
    </row>
    <row r="270" spans="13:50" ht="17.25" x14ac:dyDescent="0.3">
      <c r="M270" s="77" t="s">
        <v>444</v>
      </c>
      <c r="O270" s="9"/>
      <c r="Q270" s="9"/>
    </row>
    <row r="271" spans="13:50" x14ac:dyDescent="0.25">
      <c r="M271" s="80" t="s">
        <v>343</v>
      </c>
      <c r="N271" s="41" t="s">
        <v>344</v>
      </c>
      <c r="O271" s="42" t="s">
        <v>345</v>
      </c>
      <c r="P271" s="42" t="s">
        <v>346</v>
      </c>
      <c r="Q271" s="40"/>
      <c r="R271" s="40" t="s">
        <v>338</v>
      </c>
    </row>
    <row r="272" spans="13:50" x14ac:dyDescent="0.25">
      <c r="M272" s="79" t="s">
        <v>445</v>
      </c>
      <c r="N272" s="67">
        <f>C73</f>
        <v>0</v>
      </c>
      <c r="O272" s="9" t="s">
        <v>176</v>
      </c>
      <c r="P272" t="s">
        <v>176</v>
      </c>
      <c r="R272" s="72" t="str">
        <f>IFERROR(VLOOKUP(N272,$O$272:$P$273,2,FALSE),"Yes")</f>
        <v>Yes</v>
      </c>
    </row>
    <row r="273" spans="13:18" x14ac:dyDescent="0.25">
      <c r="N273" s="73"/>
      <c r="O273" s="9" t="s">
        <v>276</v>
      </c>
      <c r="P273" t="s">
        <v>276</v>
      </c>
      <c r="Q273" s="69"/>
    </row>
    <row r="274" spans="13:18" x14ac:dyDescent="0.25">
      <c r="N274" s="73"/>
      <c r="O274" s="53"/>
      <c r="Q274" s="69"/>
    </row>
    <row r="275" spans="13:18" ht="17.25" x14ac:dyDescent="0.3">
      <c r="M275" s="77"/>
      <c r="O275" s="9"/>
      <c r="Q275" s="9"/>
    </row>
    <row r="276" spans="13:18" x14ac:dyDescent="0.25">
      <c r="M276" s="80"/>
      <c r="N276" s="41"/>
      <c r="O276" s="42" t="s">
        <v>345</v>
      </c>
      <c r="P276" s="42" t="s">
        <v>346</v>
      </c>
      <c r="Q276" s="40"/>
      <c r="R276" s="40" t="s">
        <v>338</v>
      </c>
    </row>
    <row r="277" spans="13:18" x14ac:dyDescent="0.25">
      <c r="M277" s="79" t="s">
        <v>633</v>
      </c>
      <c r="N277" s="67">
        <f>C74</f>
        <v>0</v>
      </c>
      <c r="O277" s="9" t="s">
        <v>629</v>
      </c>
      <c r="P277" t="s">
        <v>629</v>
      </c>
      <c r="R277" s="72" t="str">
        <f>IFERROR(VLOOKUP(N277,$O$277:$P$278,2,FALSE),"Sold")</f>
        <v>Sold</v>
      </c>
    </row>
    <row r="278" spans="13:18" x14ac:dyDescent="0.25">
      <c r="M278" s="79" t="s">
        <v>634</v>
      </c>
      <c r="N278" s="67">
        <f>C75</f>
        <v>0</v>
      </c>
      <c r="O278" s="9" t="s">
        <v>635</v>
      </c>
      <c r="P278" t="s">
        <v>635</v>
      </c>
      <c r="Q278" s="69"/>
      <c r="R278" s="103">
        <f>N278</f>
        <v>0</v>
      </c>
    </row>
    <row r="281" spans="13:18" ht="17.25" x14ac:dyDescent="0.3">
      <c r="M281" s="77" t="s">
        <v>589</v>
      </c>
      <c r="O281" s="9"/>
      <c r="Q281" s="9"/>
    </row>
    <row r="282" spans="13:18" x14ac:dyDescent="0.25">
      <c r="M282" s="80" t="s">
        <v>343</v>
      </c>
      <c r="N282" s="41" t="s">
        <v>344</v>
      </c>
      <c r="O282" s="42" t="s">
        <v>345</v>
      </c>
      <c r="P282" s="42" t="s">
        <v>346</v>
      </c>
      <c r="Q282" s="40" t="s">
        <v>1355</v>
      </c>
      <c r="R282" s="40" t="s">
        <v>338</v>
      </c>
    </row>
    <row r="283" spans="13:18" x14ac:dyDescent="0.25">
      <c r="M283" s="79" t="s">
        <v>590</v>
      </c>
      <c r="N283" s="67">
        <f>$C$3</f>
        <v>0</v>
      </c>
      <c r="O283" s="9" t="s">
        <v>585</v>
      </c>
      <c r="P283" s="18">
        <v>0.03</v>
      </c>
      <c r="Q283" t="s">
        <v>585</v>
      </c>
      <c r="R283" s="100">
        <f>IFERROR(VLOOKUP(N285,$O$283:$P$307,2,FALSE),10%)</f>
        <v>0.1</v>
      </c>
    </row>
    <row r="284" spans="13:18" x14ac:dyDescent="0.25">
      <c r="M284" s="79" t="s">
        <v>591</v>
      </c>
      <c r="N284" s="67">
        <f>$C$5</f>
        <v>0</v>
      </c>
      <c r="O284" s="9" t="s">
        <v>592</v>
      </c>
      <c r="P284" s="18">
        <v>0.03</v>
      </c>
      <c r="Q284" s="69" t="s">
        <v>929</v>
      </c>
      <c r="R284" s="12" t="str">
        <f>R283*100 &amp; "% of claim or $25,000"</f>
        <v>10% of claim or $25,000</v>
      </c>
    </row>
    <row r="285" spans="13:18" x14ac:dyDescent="0.25">
      <c r="M285" s="79" t="s">
        <v>604</v>
      </c>
      <c r="N285">
        <f>IF(N284="",N283,IF(N284=0,N283,N284))</f>
        <v>0</v>
      </c>
      <c r="O285" s="9" t="s">
        <v>593</v>
      </c>
      <c r="P285" s="18">
        <v>0.03</v>
      </c>
      <c r="Q285" t="s">
        <v>929</v>
      </c>
      <c r="R285" t="str">
        <f>IFERROR(VLOOKUP(N285,$O$283:$Q$307,3,FALSE),"Ontario")</f>
        <v>Ontario</v>
      </c>
    </row>
    <row r="286" spans="13:18" x14ac:dyDescent="0.25">
      <c r="O286" s="9" t="s">
        <v>594</v>
      </c>
      <c r="P286" s="18">
        <v>0.05</v>
      </c>
      <c r="Q286" t="s">
        <v>585</v>
      </c>
    </row>
    <row r="287" spans="13:18" x14ac:dyDescent="0.25">
      <c r="O287" s="9" t="s">
        <v>595</v>
      </c>
      <c r="P287" s="18">
        <v>0.1</v>
      </c>
      <c r="Q287" t="s">
        <v>935</v>
      </c>
    </row>
    <row r="288" spans="13:18" x14ac:dyDescent="0.25">
      <c r="O288" s="9" t="s">
        <v>603</v>
      </c>
      <c r="P288" s="18">
        <v>0.03</v>
      </c>
      <c r="Q288" t="s">
        <v>1359</v>
      </c>
    </row>
    <row r="289" spans="14:17" x14ac:dyDescent="0.25">
      <c r="O289" s="9" t="s">
        <v>596</v>
      </c>
      <c r="P289" s="18">
        <v>0.03</v>
      </c>
      <c r="Q289" t="s">
        <v>1359</v>
      </c>
    </row>
    <row r="290" spans="14:17" x14ac:dyDescent="0.25">
      <c r="O290" s="9" t="s">
        <v>597</v>
      </c>
      <c r="P290" s="18">
        <v>0.03</v>
      </c>
      <c r="Q290" t="s">
        <v>1359</v>
      </c>
    </row>
    <row r="291" spans="14:17" x14ac:dyDescent="0.25">
      <c r="O291" s="9" t="s">
        <v>598</v>
      </c>
      <c r="P291" s="18">
        <v>0.03</v>
      </c>
      <c r="Q291" t="s">
        <v>929</v>
      </c>
    </row>
    <row r="292" spans="14:17" x14ac:dyDescent="0.25">
      <c r="N292" s="73"/>
      <c r="O292" s="9" t="s">
        <v>599</v>
      </c>
      <c r="P292" s="18">
        <v>0.03</v>
      </c>
      <c r="Q292" t="s">
        <v>929</v>
      </c>
    </row>
    <row r="293" spans="14:17" x14ac:dyDescent="0.25">
      <c r="N293" s="73"/>
      <c r="O293" s="9" t="s">
        <v>600</v>
      </c>
      <c r="P293" s="18">
        <v>0.03</v>
      </c>
      <c r="Q293" t="s">
        <v>585</v>
      </c>
    </row>
    <row r="294" spans="14:17" x14ac:dyDescent="0.25">
      <c r="N294" s="21"/>
      <c r="O294" s="9" t="s">
        <v>616</v>
      </c>
      <c r="P294" s="18">
        <v>0.03</v>
      </c>
      <c r="Q294" t="s">
        <v>585</v>
      </c>
    </row>
    <row r="295" spans="14:17" x14ac:dyDescent="0.25">
      <c r="O295" s="9" t="s">
        <v>602</v>
      </c>
      <c r="P295" s="18">
        <v>0.03</v>
      </c>
      <c r="Q295" t="s">
        <v>585</v>
      </c>
    </row>
    <row r="296" spans="14:17" x14ac:dyDescent="0.25">
      <c r="O296" s="9" t="s">
        <v>605</v>
      </c>
      <c r="P296" s="18">
        <v>0.03</v>
      </c>
      <c r="Q296" t="s">
        <v>585</v>
      </c>
    </row>
    <row r="297" spans="14:17" x14ac:dyDescent="0.25">
      <c r="O297" s="9" t="s">
        <v>606</v>
      </c>
      <c r="P297" s="18">
        <v>0.03</v>
      </c>
      <c r="Q297" s="69" t="s">
        <v>929</v>
      </c>
    </row>
    <row r="298" spans="14:17" x14ac:dyDescent="0.25">
      <c r="O298" s="9" t="s">
        <v>607</v>
      </c>
      <c r="P298" s="18">
        <v>0.03</v>
      </c>
      <c r="Q298" t="s">
        <v>929</v>
      </c>
    </row>
    <row r="299" spans="14:17" x14ac:dyDescent="0.25">
      <c r="O299" s="9" t="s">
        <v>608</v>
      </c>
      <c r="P299" s="18">
        <v>0.05</v>
      </c>
      <c r="Q299" t="s">
        <v>585</v>
      </c>
    </row>
    <row r="300" spans="14:17" x14ac:dyDescent="0.25">
      <c r="O300" s="9" t="s">
        <v>609</v>
      </c>
      <c r="P300" s="18">
        <v>0.1</v>
      </c>
      <c r="Q300" t="s">
        <v>935</v>
      </c>
    </row>
    <row r="301" spans="14:17" x14ac:dyDescent="0.25">
      <c r="O301" s="9" t="s">
        <v>610</v>
      </c>
      <c r="P301" s="18">
        <v>0.03</v>
      </c>
      <c r="Q301" t="s">
        <v>1359</v>
      </c>
    </row>
    <row r="302" spans="14:17" x14ac:dyDescent="0.25">
      <c r="O302" s="9" t="s">
        <v>611</v>
      </c>
      <c r="P302" s="18">
        <v>0.03</v>
      </c>
      <c r="Q302" t="s">
        <v>1359</v>
      </c>
    </row>
    <row r="303" spans="14:17" x14ac:dyDescent="0.25">
      <c r="O303" s="9" t="s">
        <v>612</v>
      </c>
      <c r="P303" s="18">
        <v>0.03</v>
      </c>
      <c r="Q303" t="s">
        <v>1359</v>
      </c>
    </row>
    <row r="304" spans="14:17" x14ac:dyDescent="0.25">
      <c r="O304" s="9" t="s">
        <v>613</v>
      </c>
      <c r="P304" s="18">
        <v>0.03</v>
      </c>
      <c r="Q304" t="s">
        <v>929</v>
      </c>
    </row>
    <row r="305" spans="15:17" x14ac:dyDescent="0.25">
      <c r="O305" s="9" t="s">
        <v>614</v>
      </c>
      <c r="P305" s="18">
        <v>0.03</v>
      </c>
      <c r="Q305" t="s">
        <v>929</v>
      </c>
    </row>
    <row r="306" spans="15:17" x14ac:dyDescent="0.25">
      <c r="O306" s="9" t="s">
        <v>615</v>
      </c>
      <c r="P306" s="18">
        <v>0.03</v>
      </c>
      <c r="Q306" t="s">
        <v>585</v>
      </c>
    </row>
    <row r="307" spans="15:17" x14ac:dyDescent="0.25">
      <c r="O307" s="9" t="s">
        <v>601</v>
      </c>
      <c r="P307" s="18">
        <v>0.03</v>
      </c>
      <c r="Q307" t="s">
        <v>585</v>
      </c>
    </row>
  </sheetData>
  <mergeCells count="1">
    <mergeCell ref="AT2:AW2"/>
  </mergeCells>
  <conditionalFormatting sqref="F11:F48">
    <cfRule type="containsBlanks" dxfId="2" priority="1">
      <formula>LEN(TRIM(F11))=0</formula>
    </cfRule>
    <cfRule type="cellIs" dxfId="1" priority="2" operator="equal">
      <formula>1</formula>
    </cfRule>
    <cfRule type="cellIs" dxfId="0" priority="3" operator="equal">
      <formula>0</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A905C-E89F-47F1-9C66-677EDF94F7DA}">
  <sheetPr codeName="Sheet4">
    <pageSetUpPr fitToPage="1"/>
  </sheetPr>
  <dimension ref="A1:M225"/>
  <sheetViews>
    <sheetView zoomScale="130" zoomScaleNormal="130" zoomScaleSheetLayoutView="100" zoomScalePageLayoutView="50" workbookViewId="0">
      <selection activeCell="F176" sqref="F176"/>
    </sheetView>
  </sheetViews>
  <sheetFormatPr defaultRowHeight="12.75" x14ac:dyDescent="0.2"/>
  <cols>
    <col min="1" max="1" width="27.28515625" style="126" customWidth="1"/>
    <col min="2" max="2" width="23" style="126" customWidth="1"/>
    <col min="3" max="3" width="23.5703125" style="128" customWidth="1"/>
    <col min="4" max="4" width="19.42578125" style="128" customWidth="1"/>
    <col min="5" max="5" width="17.140625" style="129" customWidth="1"/>
    <col min="6" max="6" width="15.85546875" style="130" customWidth="1"/>
    <col min="7" max="7" width="18.28515625" style="128" customWidth="1"/>
    <col min="8" max="8" width="15.5703125" style="126" customWidth="1"/>
    <col min="9" max="13" width="9.140625" style="126"/>
    <col min="14" max="16384" width="9.140625" style="131"/>
  </cols>
  <sheetData>
    <row r="1" spans="1:13" x14ac:dyDescent="0.2">
      <c r="C1" s="127" t="s">
        <v>754</v>
      </c>
    </row>
    <row r="2" spans="1:13" ht="13.5" thickBot="1" x14ac:dyDescent="0.25"/>
    <row r="3" spans="1:13" s="139" customFormat="1" x14ac:dyDescent="0.2">
      <c r="A3" s="132"/>
      <c r="B3" s="133"/>
      <c r="C3" s="134" t="s">
        <v>755</v>
      </c>
      <c r="D3" s="133"/>
      <c r="E3" s="135"/>
      <c r="F3" s="136"/>
      <c r="G3" s="137"/>
      <c r="H3" s="138"/>
      <c r="I3" s="138"/>
      <c r="J3" s="138"/>
      <c r="K3" s="138"/>
      <c r="L3" s="138"/>
      <c r="M3" s="138"/>
    </row>
    <row r="4" spans="1:13" s="139" customFormat="1" ht="13.5" thickBot="1" x14ac:dyDescent="0.25">
      <c r="A4" s="133"/>
      <c r="B4" s="133"/>
      <c r="C4" s="134" t="s">
        <v>756</v>
      </c>
      <c r="D4" s="133"/>
      <c r="E4" s="135"/>
      <c r="F4" s="140"/>
      <c r="G4" s="141"/>
      <c r="H4" s="138"/>
      <c r="I4" s="138"/>
      <c r="J4" s="138"/>
      <c r="K4" s="138"/>
      <c r="L4" s="138"/>
      <c r="M4" s="138"/>
    </row>
    <row r="5" spans="1:13" s="139" customFormat="1" ht="13.5" thickBot="1" x14ac:dyDescent="0.25">
      <c r="A5" s="138"/>
      <c r="B5" s="138"/>
      <c r="C5" s="127"/>
      <c r="D5" s="127"/>
      <c r="E5" s="142"/>
      <c r="F5" s="143"/>
      <c r="G5" s="127"/>
      <c r="H5" s="138"/>
      <c r="I5" s="138"/>
      <c r="J5" s="138"/>
      <c r="K5" s="138"/>
      <c r="L5" s="138"/>
      <c r="M5" s="138"/>
    </row>
    <row r="6" spans="1:13" s="149" customFormat="1" ht="15" customHeight="1" thickBot="1" x14ac:dyDescent="0.25">
      <c r="A6" s="144" t="s">
        <v>757</v>
      </c>
      <c r="B6" s="144" t="s">
        <v>758</v>
      </c>
      <c r="C6" s="144" t="s">
        <v>759</v>
      </c>
      <c r="D6" s="145" t="s">
        <v>760</v>
      </c>
      <c r="E6" s="146" t="s">
        <v>165</v>
      </c>
      <c r="F6" s="147" t="s">
        <v>266</v>
      </c>
      <c r="G6" s="148" t="s">
        <v>761</v>
      </c>
      <c r="H6" s="127"/>
      <c r="I6" s="127"/>
      <c r="J6" s="127"/>
      <c r="K6" s="127"/>
      <c r="L6" s="127"/>
      <c r="M6" s="127"/>
    </row>
    <row r="7" spans="1:13" ht="12.75" customHeight="1" thickBot="1" x14ac:dyDescent="0.25">
      <c r="A7" s="150"/>
      <c r="B7" s="150"/>
      <c r="C7" s="151"/>
      <c r="D7" s="151"/>
      <c r="E7" s="152"/>
      <c r="F7" s="153"/>
      <c r="G7" s="151"/>
    </row>
    <row r="8" spans="1:13" ht="13.5" thickBot="1" x14ac:dyDescent="0.25">
      <c r="A8" s="154" t="s">
        <v>762</v>
      </c>
      <c r="B8" s="155"/>
      <c r="C8" s="156" t="s">
        <v>449</v>
      </c>
      <c r="D8" s="156" t="s">
        <v>763</v>
      </c>
      <c r="E8" s="157">
        <f xml:space="preserve"> (2.17 * 25%)+ 2.17</f>
        <v>2.7124999999999999</v>
      </c>
      <c r="F8" s="158">
        <f>660*1.1</f>
        <v>726.00000000000011</v>
      </c>
      <c r="G8" s="159"/>
    </row>
    <row r="9" spans="1:13" x14ac:dyDescent="0.2">
      <c r="A9" s="160" t="s">
        <v>764</v>
      </c>
      <c r="B9" s="150" t="s">
        <v>765</v>
      </c>
      <c r="C9" s="151" t="s">
        <v>449</v>
      </c>
      <c r="D9" s="151" t="s">
        <v>763</v>
      </c>
      <c r="E9" s="157">
        <f xml:space="preserve"> (2.17 * 25%)+ 2.17</f>
        <v>2.7124999999999999</v>
      </c>
      <c r="F9" s="158">
        <f>500*1.1</f>
        <v>550</v>
      </c>
      <c r="G9" s="161"/>
    </row>
    <row r="10" spans="1:13" x14ac:dyDescent="0.2">
      <c r="A10" s="162" t="s">
        <v>766</v>
      </c>
      <c r="B10" s="163"/>
      <c r="C10" s="164" t="s">
        <v>449</v>
      </c>
      <c r="D10" s="164" t="s">
        <v>763</v>
      </c>
      <c r="E10" s="165">
        <f xml:space="preserve"> (8.8*25%) + 8.8</f>
        <v>11</v>
      </c>
      <c r="F10" s="166"/>
      <c r="G10" s="167"/>
    </row>
    <row r="11" spans="1:13" ht="13.5" thickBot="1" x14ac:dyDescent="0.25">
      <c r="A11" s="168" t="s">
        <v>1</v>
      </c>
      <c r="B11" s="169"/>
      <c r="C11" s="170" t="s">
        <v>449</v>
      </c>
      <c r="D11" s="170" t="s">
        <v>763</v>
      </c>
      <c r="E11" s="171">
        <f xml:space="preserve"> (3*25%) + 3</f>
        <v>3.75</v>
      </c>
      <c r="F11" s="172"/>
      <c r="G11" s="173"/>
    </row>
    <row r="12" spans="1:13" ht="13.5" thickBot="1" x14ac:dyDescent="0.25">
      <c r="A12" s="174"/>
    </row>
    <row r="13" spans="1:13" ht="13.5" thickBot="1" x14ac:dyDescent="0.25">
      <c r="A13" s="175" t="s">
        <v>767</v>
      </c>
      <c r="B13" s="176"/>
      <c r="C13" s="177"/>
      <c r="D13" s="178"/>
    </row>
    <row r="14" spans="1:13" x14ac:dyDescent="0.2">
      <c r="A14" s="179" t="s">
        <v>768</v>
      </c>
      <c r="B14" s="180" t="s">
        <v>769</v>
      </c>
      <c r="C14" s="180" t="s">
        <v>768</v>
      </c>
      <c r="D14" s="181" t="s">
        <v>770</v>
      </c>
    </row>
    <row r="15" spans="1:13" x14ac:dyDescent="0.2">
      <c r="A15" s="182" t="s">
        <v>2</v>
      </c>
      <c r="B15" s="183">
        <f>115*1.1</f>
        <v>126.50000000000001</v>
      </c>
      <c r="C15" s="184" t="s">
        <v>771</v>
      </c>
      <c r="D15" s="185" t="s">
        <v>772</v>
      </c>
    </row>
    <row r="16" spans="1:13" x14ac:dyDescent="0.2">
      <c r="A16" s="182" t="s">
        <v>3</v>
      </c>
      <c r="B16" s="183">
        <f>30*1.1</f>
        <v>33</v>
      </c>
      <c r="C16" s="184" t="s">
        <v>773</v>
      </c>
      <c r="D16" s="185" t="s">
        <v>774</v>
      </c>
    </row>
    <row r="17" spans="1:13" x14ac:dyDescent="0.2">
      <c r="A17" s="182" t="s">
        <v>775</v>
      </c>
      <c r="B17" s="183">
        <f>60*1.1</f>
        <v>66</v>
      </c>
      <c r="C17" s="184" t="s">
        <v>10</v>
      </c>
      <c r="D17" s="185" t="s">
        <v>776</v>
      </c>
    </row>
    <row r="18" spans="1:13" x14ac:dyDescent="0.2">
      <c r="A18" s="182" t="s">
        <v>777</v>
      </c>
      <c r="B18" s="186" t="s">
        <v>778</v>
      </c>
      <c r="C18" s="184" t="s">
        <v>11</v>
      </c>
      <c r="D18" s="185" t="s">
        <v>779</v>
      </c>
    </row>
    <row r="19" spans="1:13" x14ac:dyDescent="0.2">
      <c r="A19" s="182" t="s">
        <v>780</v>
      </c>
      <c r="B19" s="183">
        <f>60*1.1</f>
        <v>66</v>
      </c>
      <c r="C19" s="184" t="s">
        <v>781</v>
      </c>
      <c r="D19" s="187" t="s">
        <v>782</v>
      </c>
    </row>
    <row r="20" spans="1:13" ht="13.5" thickBot="1" x14ac:dyDescent="0.25">
      <c r="A20" s="188" t="s">
        <v>783</v>
      </c>
      <c r="B20" s="189">
        <f>145*1.1</f>
        <v>159.5</v>
      </c>
      <c r="C20" s="190" t="s">
        <v>784</v>
      </c>
      <c r="D20" s="191" t="s">
        <v>785</v>
      </c>
    </row>
    <row r="21" spans="1:13" ht="13.5" thickBot="1" x14ac:dyDescent="0.25"/>
    <row r="22" spans="1:13" s="149" customFormat="1" ht="15" customHeight="1" thickBot="1" x14ac:dyDescent="0.25">
      <c r="A22" s="144" t="s">
        <v>757</v>
      </c>
      <c r="B22" s="144" t="s">
        <v>758</v>
      </c>
      <c r="C22" s="144" t="s">
        <v>759</v>
      </c>
      <c r="D22" s="145" t="s">
        <v>760</v>
      </c>
      <c r="E22" s="146" t="s">
        <v>165</v>
      </c>
      <c r="F22" s="147" t="s">
        <v>266</v>
      </c>
      <c r="G22" s="148" t="s">
        <v>761</v>
      </c>
      <c r="H22" s="127"/>
      <c r="I22" s="127"/>
      <c r="J22" s="127"/>
      <c r="K22" s="127"/>
      <c r="L22" s="127"/>
      <c r="M22" s="127"/>
    </row>
    <row r="23" spans="1:13" ht="13.5" thickBot="1" x14ac:dyDescent="0.25"/>
    <row r="24" spans="1:13" x14ac:dyDescent="0.2">
      <c r="A24" s="154" t="s">
        <v>786</v>
      </c>
      <c r="B24" s="155"/>
      <c r="C24" s="156" t="s">
        <v>787</v>
      </c>
      <c r="D24" s="192" t="s">
        <v>788</v>
      </c>
      <c r="E24" s="193">
        <f>1265*1.1</f>
        <v>1391.5</v>
      </c>
      <c r="F24" s="158">
        <f>825*1.1</f>
        <v>907.50000000000011</v>
      </c>
      <c r="G24" s="159" t="s">
        <v>789</v>
      </c>
    </row>
    <row r="25" spans="1:13" x14ac:dyDescent="0.2">
      <c r="A25" s="162"/>
      <c r="B25" s="163"/>
      <c r="C25" s="164" t="s">
        <v>787</v>
      </c>
      <c r="D25" s="194" t="s">
        <v>790</v>
      </c>
      <c r="E25" s="195">
        <f>190*1.1</f>
        <v>209.00000000000003</v>
      </c>
      <c r="F25" s="196">
        <f>125*1.1</f>
        <v>137.5</v>
      </c>
      <c r="G25" s="167" t="s">
        <v>789</v>
      </c>
    </row>
    <row r="26" spans="1:13" x14ac:dyDescent="0.2">
      <c r="A26" s="162"/>
      <c r="B26" s="163"/>
      <c r="C26" s="164" t="s">
        <v>787</v>
      </c>
      <c r="D26" s="164" t="s">
        <v>791</v>
      </c>
      <c r="E26" s="195">
        <f>130*1.1</f>
        <v>143</v>
      </c>
      <c r="F26" s="196">
        <f>85*1.1</f>
        <v>93.500000000000014</v>
      </c>
      <c r="G26" s="167" t="s">
        <v>789</v>
      </c>
    </row>
    <row r="27" spans="1:13" ht="13.5" thickBot="1" x14ac:dyDescent="0.25">
      <c r="A27" s="168" t="s">
        <v>792</v>
      </c>
      <c r="B27" s="169"/>
      <c r="C27" s="170"/>
      <c r="D27" s="170"/>
      <c r="E27" s="197"/>
      <c r="F27" s="172"/>
      <c r="G27" s="198"/>
    </row>
    <row r="28" spans="1:13" ht="13.5" thickBot="1" x14ac:dyDescent="0.25"/>
    <row r="29" spans="1:13" ht="13.5" thickBot="1" x14ac:dyDescent="0.25">
      <c r="A29" s="175" t="s">
        <v>767</v>
      </c>
      <c r="B29" s="176"/>
      <c r="C29" s="177"/>
      <c r="D29" s="178"/>
    </row>
    <row r="30" spans="1:13" x14ac:dyDescent="0.2">
      <c r="A30" s="179" t="s">
        <v>768</v>
      </c>
      <c r="B30" s="180" t="s">
        <v>769</v>
      </c>
      <c r="C30" s="180" t="s">
        <v>768</v>
      </c>
      <c r="D30" s="181" t="s">
        <v>770</v>
      </c>
    </row>
    <row r="31" spans="1:13" x14ac:dyDescent="0.2">
      <c r="A31" s="182" t="s">
        <v>15</v>
      </c>
      <c r="B31" s="186" t="s">
        <v>793</v>
      </c>
      <c r="C31" s="184" t="s">
        <v>794</v>
      </c>
      <c r="D31" s="185" t="s">
        <v>778</v>
      </c>
    </row>
    <row r="32" spans="1:13" x14ac:dyDescent="0.2">
      <c r="A32" s="182" t="s">
        <v>795</v>
      </c>
      <c r="B32" s="186" t="s">
        <v>796</v>
      </c>
      <c r="C32" s="184" t="s">
        <v>773</v>
      </c>
      <c r="D32" s="185" t="s">
        <v>774</v>
      </c>
    </row>
    <row r="33" spans="1:13" ht="13.5" thickBot="1" x14ac:dyDescent="0.25">
      <c r="A33" s="188" t="s">
        <v>775</v>
      </c>
      <c r="B33" s="189">
        <v>66</v>
      </c>
      <c r="C33" s="199"/>
      <c r="D33" s="200"/>
    </row>
    <row r="34" spans="1:13" ht="13.5" thickBot="1" x14ac:dyDescent="0.25"/>
    <row r="35" spans="1:13" s="149" customFormat="1" ht="15" customHeight="1" thickBot="1" x14ac:dyDescent="0.25">
      <c r="A35" s="144" t="s">
        <v>757</v>
      </c>
      <c r="B35" s="144" t="s">
        <v>758</v>
      </c>
      <c r="C35" s="144" t="s">
        <v>759</v>
      </c>
      <c r="D35" s="145" t="s">
        <v>760</v>
      </c>
      <c r="E35" s="146" t="s">
        <v>165</v>
      </c>
      <c r="F35" s="147" t="s">
        <v>266</v>
      </c>
      <c r="G35" s="148" t="s">
        <v>761</v>
      </c>
      <c r="H35" s="127"/>
      <c r="I35" s="127"/>
      <c r="J35" s="127"/>
      <c r="K35" s="127"/>
      <c r="L35" s="127"/>
      <c r="M35" s="127"/>
    </row>
    <row r="36" spans="1:13" ht="13.5" thickBot="1" x14ac:dyDescent="0.25">
      <c r="A36" s="150"/>
      <c r="B36" s="150"/>
      <c r="C36" s="151"/>
      <c r="D36" s="151"/>
      <c r="E36" s="152"/>
      <c r="F36" s="153"/>
      <c r="G36" s="151"/>
    </row>
    <row r="37" spans="1:13" x14ac:dyDescent="0.2">
      <c r="A37" s="201" t="s">
        <v>797</v>
      </c>
      <c r="B37" s="202"/>
      <c r="C37" s="203" t="s">
        <v>798</v>
      </c>
      <c r="D37" s="203"/>
      <c r="E37" s="204">
        <f>(1.86* 15%) + 1.86</f>
        <v>2.1390000000000002</v>
      </c>
      <c r="F37" s="205">
        <f>440*1.1</f>
        <v>484.00000000000006</v>
      </c>
      <c r="G37" s="206"/>
    </row>
    <row r="38" spans="1:13" ht="13.5" thickBot="1" x14ac:dyDescent="0.25">
      <c r="A38" s="207" t="s">
        <v>799</v>
      </c>
      <c r="B38" s="208"/>
      <c r="C38" s="199" t="s">
        <v>800</v>
      </c>
      <c r="D38" s="199"/>
      <c r="E38" s="209"/>
      <c r="F38" s="210">
        <f>175*1.1</f>
        <v>192.50000000000003</v>
      </c>
      <c r="G38" s="200"/>
    </row>
    <row r="39" spans="1:13" ht="13.5" thickBot="1" x14ac:dyDescent="0.25"/>
    <row r="40" spans="1:13" ht="13.5" thickBot="1" x14ac:dyDescent="0.25">
      <c r="A40" s="211" t="s">
        <v>767</v>
      </c>
      <c r="B40" s="212"/>
      <c r="C40" s="213"/>
      <c r="D40" s="214"/>
    </row>
    <row r="41" spans="1:13" x14ac:dyDescent="0.2">
      <c r="A41" s="215" t="s">
        <v>768</v>
      </c>
      <c r="B41" s="216" t="s">
        <v>769</v>
      </c>
      <c r="C41" s="216" t="s">
        <v>768</v>
      </c>
      <c r="D41" s="217" t="s">
        <v>770</v>
      </c>
      <c r="E41" s="216" t="s">
        <v>768</v>
      </c>
      <c r="F41" s="217" t="s">
        <v>770</v>
      </c>
    </row>
    <row r="42" spans="1:13" ht="13.5" thickBot="1" x14ac:dyDescent="0.25">
      <c r="A42" s="218" t="s">
        <v>20</v>
      </c>
      <c r="B42" s="219" t="s">
        <v>801</v>
      </c>
      <c r="C42" s="220" t="s">
        <v>21</v>
      </c>
      <c r="D42" s="221">
        <v>143</v>
      </c>
      <c r="E42" s="220" t="s">
        <v>22</v>
      </c>
      <c r="F42" s="221" t="s">
        <v>802</v>
      </c>
    </row>
    <row r="43" spans="1:13" ht="13.5" thickBot="1" x14ac:dyDescent="0.25"/>
    <row r="44" spans="1:13" ht="13.5" thickBot="1" x14ac:dyDescent="0.25">
      <c r="A44" s="222"/>
      <c r="B44" s="222"/>
      <c r="C44" s="223"/>
      <c r="D44" s="223"/>
      <c r="E44" s="224"/>
      <c r="F44" s="225"/>
      <c r="G44" s="226"/>
    </row>
    <row r="45" spans="1:13" x14ac:dyDescent="0.2">
      <c r="A45" s="132"/>
      <c r="B45" s="133"/>
      <c r="C45" s="134" t="s">
        <v>755</v>
      </c>
      <c r="D45" s="133"/>
      <c r="E45" s="135"/>
      <c r="F45" s="136"/>
      <c r="G45" s="137"/>
    </row>
    <row r="46" spans="1:13" ht="13.5" thickBot="1" x14ac:dyDescent="0.25">
      <c r="A46" s="133"/>
      <c r="B46" s="133"/>
      <c r="C46" s="134" t="s">
        <v>756</v>
      </c>
      <c r="D46" s="133"/>
      <c r="E46" s="135"/>
      <c r="F46" s="140"/>
      <c r="G46" s="141"/>
    </row>
    <row r="47" spans="1:13" s="149" customFormat="1" ht="15" customHeight="1" thickBot="1" x14ac:dyDescent="0.25">
      <c r="A47" s="144" t="s">
        <v>757</v>
      </c>
      <c r="B47" s="144" t="s">
        <v>758</v>
      </c>
      <c r="C47" s="144" t="s">
        <v>759</v>
      </c>
      <c r="D47" s="145" t="s">
        <v>760</v>
      </c>
      <c r="E47" s="146" t="s">
        <v>165</v>
      </c>
      <c r="F47" s="227" t="s">
        <v>266</v>
      </c>
      <c r="G47" s="148" t="s">
        <v>761</v>
      </c>
      <c r="H47" s="127"/>
      <c r="I47" s="127"/>
      <c r="J47" s="127"/>
      <c r="K47" s="127"/>
      <c r="L47" s="127"/>
      <c r="M47" s="127"/>
    </row>
    <row r="48" spans="1:13" ht="13.5" thickBot="1" x14ac:dyDescent="0.25"/>
    <row r="49" spans="1:13" ht="13.5" thickBot="1" x14ac:dyDescent="0.25">
      <c r="A49" s="228" t="s">
        <v>803</v>
      </c>
      <c r="B49" s="156"/>
      <c r="C49" s="156" t="s">
        <v>798</v>
      </c>
      <c r="D49" s="192" t="s">
        <v>804</v>
      </c>
      <c r="E49" s="229">
        <f>(2.2* 25%) + 2.2</f>
        <v>2.75</v>
      </c>
      <c r="F49" s="158">
        <f>350*1.1</f>
        <v>385.00000000000006</v>
      </c>
      <c r="G49" s="159"/>
    </row>
    <row r="50" spans="1:13" x14ac:dyDescent="0.2">
      <c r="A50" s="162"/>
      <c r="B50" s="164"/>
      <c r="C50" s="164" t="s">
        <v>798</v>
      </c>
      <c r="D50" s="164" t="s">
        <v>805</v>
      </c>
      <c r="E50" s="230">
        <f>(2.2* 25%) + 2.2</f>
        <v>2.75</v>
      </c>
      <c r="F50" s="196">
        <f>450*1.1</f>
        <v>495.00000000000006</v>
      </c>
      <c r="G50" s="167"/>
    </row>
    <row r="51" spans="1:13" x14ac:dyDescent="0.2">
      <c r="A51" s="231"/>
      <c r="B51" s="232"/>
      <c r="C51" s="232" t="s">
        <v>798</v>
      </c>
      <c r="D51" s="232" t="s">
        <v>806</v>
      </c>
      <c r="E51" s="233">
        <f>(2.2* 25%) + 2.2</f>
        <v>2.75</v>
      </c>
      <c r="F51" s="234">
        <f>545*1.1</f>
        <v>599.5</v>
      </c>
      <c r="G51" s="235"/>
    </row>
    <row r="52" spans="1:13" x14ac:dyDescent="0.2">
      <c r="A52" s="160"/>
      <c r="B52" s="151"/>
      <c r="C52" s="151" t="s">
        <v>24</v>
      </c>
      <c r="D52" s="151" t="s">
        <v>807</v>
      </c>
      <c r="E52" s="236">
        <v>127</v>
      </c>
      <c r="F52" s="237">
        <f>115*1.1</f>
        <v>126.50000000000001</v>
      </c>
      <c r="G52" s="238"/>
    </row>
    <row r="53" spans="1:13" ht="13.5" thickBot="1" x14ac:dyDescent="0.25">
      <c r="A53" s="239"/>
      <c r="B53" s="240"/>
      <c r="C53" s="241"/>
      <c r="D53" s="241"/>
      <c r="E53" s="242"/>
      <c r="F53" s="243"/>
      <c r="G53" s="244"/>
    </row>
    <row r="54" spans="1:13" ht="13.5" thickBot="1" x14ac:dyDescent="0.25"/>
    <row r="55" spans="1:13" ht="13.5" thickBot="1" x14ac:dyDescent="0.25">
      <c r="A55" s="211" t="s">
        <v>767</v>
      </c>
      <c r="B55" s="212"/>
      <c r="C55" s="213"/>
      <c r="D55" s="214"/>
    </row>
    <row r="56" spans="1:13" x14ac:dyDescent="0.2">
      <c r="A56" s="215" t="s">
        <v>768</v>
      </c>
      <c r="B56" s="216" t="s">
        <v>808</v>
      </c>
      <c r="C56" s="216" t="s">
        <v>768</v>
      </c>
      <c r="D56" s="217" t="s">
        <v>809</v>
      </c>
      <c r="G56" s="245"/>
    </row>
    <row r="57" spans="1:13" ht="13.5" thickBot="1" x14ac:dyDescent="0.25">
      <c r="A57" s="218" t="s">
        <v>21</v>
      </c>
      <c r="B57" s="246">
        <v>143</v>
      </c>
      <c r="C57" s="220" t="s">
        <v>810</v>
      </c>
      <c r="D57" s="247" t="s">
        <v>811</v>
      </c>
    </row>
    <row r="58" spans="1:13" x14ac:dyDescent="0.2">
      <c r="A58" s="248"/>
      <c r="B58" s="249"/>
      <c r="C58" s="248"/>
      <c r="D58" s="130"/>
    </row>
    <row r="59" spans="1:13" x14ac:dyDescent="0.2">
      <c r="A59" s="248"/>
      <c r="B59" s="249"/>
      <c r="C59" s="248"/>
      <c r="D59" s="130"/>
    </row>
    <row r="60" spans="1:13" ht="13.5" thickBot="1" x14ac:dyDescent="0.25">
      <c r="A60" s="248"/>
      <c r="B60" s="130"/>
    </row>
    <row r="61" spans="1:13" s="149" customFormat="1" ht="15" customHeight="1" thickBot="1" x14ac:dyDescent="0.25">
      <c r="A61" s="144" t="s">
        <v>757</v>
      </c>
      <c r="B61" s="144" t="s">
        <v>758</v>
      </c>
      <c r="C61" s="144" t="s">
        <v>759</v>
      </c>
      <c r="D61" s="145" t="s">
        <v>760</v>
      </c>
      <c r="E61" s="146" t="s">
        <v>165</v>
      </c>
      <c r="F61" s="147" t="s">
        <v>266</v>
      </c>
      <c r="G61" s="148" t="s">
        <v>761</v>
      </c>
      <c r="H61" s="127"/>
      <c r="I61" s="127"/>
      <c r="J61" s="127"/>
      <c r="K61" s="127"/>
      <c r="L61" s="127"/>
      <c r="M61" s="127"/>
    </row>
    <row r="62" spans="1:13" ht="13.5" thickBot="1" x14ac:dyDescent="0.25"/>
    <row r="63" spans="1:13" x14ac:dyDescent="0.2">
      <c r="A63" s="154" t="s">
        <v>812</v>
      </c>
      <c r="B63" s="155"/>
      <c r="C63" s="156" t="s">
        <v>813</v>
      </c>
      <c r="D63" s="250" t="s">
        <v>814</v>
      </c>
      <c r="E63" s="251"/>
      <c r="F63" s="158" t="s">
        <v>815</v>
      </c>
      <c r="G63" s="159"/>
    </row>
    <row r="64" spans="1:13" x14ac:dyDescent="0.2">
      <c r="A64" s="162"/>
      <c r="B64" s="163"/>
      <c r="C64" s="164" t="s">
        <v>816</v>
      </c>
      <c r="D64" s="252" t="s">
        <v>817</v>
      </c>
      <c r="E64" s="253"/>
      <c r="F64" s="196">
        <f>190*1.1</f>
        <v>209.00000000000003</v>
      </c>
      <c r="G64" s="167"/>
    </row>
    <row r="65" spans="1:7" x14ac:dyDescent="0.2">
      <c r="A65" s="162"/>
      <c r="B65" s="163" t="s">
        <v>818</v>
      </c>
      <c r="C65" s="164" t="s">
        <v>819</v>
      </c>
      <c r="D65" s="252" t="s">
        <v>817</v>
      </c>
      <c r="E65" s="253"/>
      <c r="F65" s="196">
        <f>85*1.1</f>
        <v>93.500000000000014</v>
      </c>
      <c r="G65" s="167"/>
    </row>
    <row r="66" spans="1:7" ht="22.5" x14ac:dyDescent="0.2">
      <c r="A66" s="162"/>
      <c r="B66" s="254" t="s">
        <v>820</v>
      </c>
      <c r="C66" s="164" t="s">
        <v>821</v>
      </c>
      <c r="D66" s="164" t="s">
        <v>822</v>
      </c>
      <c r="E66" s="255">
        <f>60*1.1</f>
        <v>66</v>
      </c>
      <c r="F66" s="166"/>
      <c r="G66" s="167"/>
    </row>
    <row r="67" spans="1:7" ht="13.5" thickBot="1" x14ac:dyDescent="0.25">
      <c r="A67" s="168" t="s">
        <v>823</v>
      </c>
      <c r="B67" s="169"/>
      <c r="C67" s="170"/>
      <c r="D67" s="170"/>
      <c r="E67" s="256"/>
      <c r="F67" s="172"/>
      <c r="G67" s="173"/>
    </row>
    <row r="68" spans="1:7" ht="13.5" thickBot="1" x14ac:dyDescent="0.25"/>
    <row r="69" spans="1:7" ht="13.5" thickBot="1" x14ac:dyDescent="0.25">
      <c r="A69" s="175" t="s">
        <v>767</v>
      </c>
      <c r="B69" s="176"/>
      <c r="C69" s="177"/>
      <c r="D69" s="178"/>
    </row>
    <row r="70" spans="1:7" x14ac:dyDescent="0.2">
      <c r="A70" s="257" t="s">
        <v>768</v>
      </c>
      <c r="B70" s="258" t="s">
        <v>769</v>
      </c>
      <c r="C70" s="258" t="s">
        <v>768</v>
      </c>
      <c r="D70" s="259" t="s">
        <v>770</v>
      </c>
    </row>
    <row r="71" spans="1:7" x14ac:dyDescent="0.2">
      <c r="A71" s="260" t="s">
        <v>2</v>
      </c>
      <c r="B71" s="261">
        <f>115*1.1</f>
        <v>126.50000000000001</v>
      </c>
      <c r="C71" s="262" t="s">
        <v>771</v>
      </c>
      <c r="D71" s="263" t="s">
        <v>772</v>
      </c>
    </row>
    <row r="72" spans="1:7" x14ac:dyDescent="0.2">
      <c r="A72" s="260" t="s">
        <v>3</v>
      </c>
      <c r="B72" s="261">
        <f>30*1.1</f>
        <v>33</v>
      </c>
      <c r="C72" s="262" t="s">
        <v>773</v>
      </c>
      <c r="D72" s="264" t="s">
        <v>774</v>
      </c>
    </row>
    <row r="73" spans="1:7" x14ac:dyDescent="0.2">
      <c r="A73" s="260" t="s">
        <v>775</v>
      </c>
      <c r="B73" s="261">
        <f>60*1.1</f>
        <v>66</v>
      </c>
      <c r="C73" s="262" t="s">
        <v>794</v>
      </c>
      <c r="D73" s="264" t="s">
        <v>778</v>
      </c>
    </row>
    <row r="74" spans="1:7" x14ac:dyDescent="0.2">
      <c r="A74" s="260" t="s">
        <v>824</v>
      </c>
      <c r="B74" s="261">
        <v>290</v>
      </c>
      <c r="C74" s="262" t="s">
        <v>10</v>
      </c>
      <c r="D74" s="264" t="s">
        <v>776</v>
      </c>
    </row>
    <row r="75" spans="1:7" x14ac:dyDescent="0.2">
      <c r="A75" s="260" t="s">
        <v>780</v>
      </c>
      <c r="B75" s="261">
        <f>60*1.1</f>
        <v>66</v>
      </c>
      <c r="C75" s="262" t="s">
        <v>11</v>
      </c>
      <c r="D75" s="264" t="s">
        <v>779</v>
      </c>
    </row>
    <row r="76" spans="1:7" ht="13.5" thickBot="1" x14ac:dyDescent="0.25">
      <c r="A76" s="218" t="s">
        <v>783</v>
      </c>
      <c r="B76" s="246">
        <f>145*1.1</f>
        <v>159.5</v>
      </c>
      <c r="C76" s="265"/>
      <c r="D76" s="266"/>
    </row>
    <row r="78" spans="1:7" ht="13.5" thickBot="1" x14ac:dyDescent="0.25">
      <c r="E78" s="267"/>
    </row>
    <row r="79" spans="1:7" x14ac:dyDescent="0.2">
      <c r="A79" s="132"/>
      <c r="B79" s="133"/>
      <c r="C79" s="134" t="s">
        <v>755</v>
      </c>
      <c r="D79" s="133"/>
      <c r="E79" s="135"/>
      <c r="F79" s="136"/>
      <c r="G79" s="137"/>
    </row>
    <row r="80" spans="1:7" ht="13.5" thickBot="1" x14ac:dyDescent="0.25">
      <c r="A80" s="133"/>
      <c r="B80" s="133"/>
      <c r="C80" s="134" t="s">
        <v>756</v>
      </c>
      <c r="D80" s="133"/>
      <c r="E80" s="135"/>
      <c r="F80" s="140"/>
      <c r="G80" s="141"/>
    </row>
    <row r="81" spans="1:13" s="149" customFormat="1" ht="15" customHeight="1" thickBot="1" x14ac:dyDescent="0.25">
      <c r="A81" s="144" t="s">
        <v>757</v>
      </c>
      <c r="B81" s="144" t="s">
        <v>758</v>
      </c>
      <c r="C81" s="144" t="s">
        <v>759</v>
      </c>
      <c r="D81" s="145" t="s">
        <v>760</v>
      </c>
      <c r="E81" s="146" t="s">
        <v>165</v>
      </c>
      <c r="F81" s="147" t="s">
        <v>266</v>
      </c>
      <c r="G81" s="148" t="s">
        <v>761</v>
      </c>
      <c r="H81" s="127"/>
      <c r="I81" s="127"/>
      <c r="J81" s="127"/>
      <c r="K81" s="127"/>
      <c r="L81" s="127"/>
      <c r="M81" s="127"/>
    </row>
    <row r="82" spans="1:13" ht="13.5" thickBot="1" x14ac:dyDescent="0.25"/>
    <row r="83" spans="1:13" x14ac:dyDescent="0.2">
      <c r="A83" s="154" t="s">
        <v>825</v>
      </c>
      <c r="B83" s="155"/>
      <c r="C83" s="156"/>
      <c r="D83" s="156"/>
      <c r="E83" s="251"/>
      <c r="F83" s="268">
        <v>200</v>
      </c>
      <c r="G83" s="159"/>
    </row>
    <row r="84" spans="1:13" x14ac:dyDescent="0.2">
      <c r="A84" s="160" t="s">
        <v>826</v>
      </c>
      <c r="B84" s="150"/>
      <c r="C84" s="151"/>
      <c r="D84" s="151"/>
      <c r="E84" s="152"/>
      <c r="F84" s="153">
        <v>170</v>
      </c>
      <c r="G84" s="238"/>
    </row>
    <row r="85" spans="1:13" x14ac:dyDescent="0.2">
      <c r="A85" s="160" t="s">
        <v>827</v>
      </c>
      <c r="B85" s="150"/>
      <c r="C85" s="151"/>
      <c r="D85" s="151"/>
      <c r="E85" s="152"/>
      <c r="F85" s="153">
        <v>145</v>
      </c>
      <c r="G85" s="238"/>
    </row>
    <row r="86" spans="1:13" x14ac:dyDescent="0.2">
      <c r="A86" s="160" t="s">
        <v>828</v>
      </c>
      <c r="B86" s="150"/>
      <c r="C86" s="151"/>
      <c r="D86" s="151"/>
      <c r="E86" s="152"/>
      <c r="F86" s="153">
        <v>125</v>
      </c>
      <c r="G86" s="238"/>
    </row>
    <row r="87" spans="1:13" ht="13.5" thickBot="1" x14ac:dyDescent="0.25">
      <c r="A87" s="168"/>
      <c r="B87" s="169"/>
      <c r="C87" s="170"/>
      <c r="D87" s="170"/>
      <c r="E87" s="269"/>
      <c r="F87" s="172"/>
      <c r="G87" s="173"/>
    </row>
    <row r="88" spans="1:13" ht="13.5" thickBot="1" x14ac:dyDescent="0.25"/>
    <row r="89" spans="1:13" ht="13.5" thickBot="1" x14ac:dyDescent="0.25">
      <c r="A89" s="211" t="s">
        <v>767</v>
      </c>
      <c r="B89" s="212"/>
      <c r="C89" s="213"/>
      <c r="D89" s="214"/>
    </row>
    <row r="90" spans="1:13" x14ac:dyDescent="0.2">
      <c r="A90" s="215" t="s">
        <v>768</v>
      </c>
      <c r="B90" s="216" t="s">
        <v>808</v>
      </c>
      <c r="C90" s="216" t="s">
        <v>768</v>
      </c>
      <c r="D90" s="217" t="s">
        <v>809</v>
      </c>
    </row>
    <row r="91" spans="1:13" x14ac:dyDescent="0.2">
      <c r="A91" s="260" t="s">
        <v>829</v>
      </c>
      <c r="B91" s="270">
        <v>50</v>
      </c>
      <c r="C91" s="262" t="s">
        <v>830</v>
      </c>
      <c r="D91" s="271">
        <v>100</v>
      </c>
    </row>
    <row r="92" spans="1:13" ht="13.5" thickBot="1" x14ac:dyDescent="0.25">
      <c r="A92" s="218" t="s">
        <v>8</v>
      </c>
      <c r="B92" s="272">
        <v>50</v>
      </c>
      <c r="C92" s="273" t="s">
        <v>831</v>
      </c>
      <c r="D92" s="274">
        <v>50</v>
      </c>
    </row>
    <row r="94" spans="1:13" x14ac:dyDescent="0.2">
      <c r="A94" s="128"/>
      <c r="B94" s="248"/>
    </row>
    <row r="95" spans="1:13" x14ac:dyDescent="0.2">
      <c r="A95" s="132"/>
      <c r="B95" s="133"/>
      <c r="C95" s="134" t="s">
        <v>755</v>
      </c>
      <c r="D95" s="133"/>
      <c r="E95" s="135"/>
      <c r="F95" s="275"/>
      <c r="G95" s="134"/>
    </row>
    <row r="96" spans="1:13" s="139" customFormat="1" ht="13.5" thickBot="1" x14ac:dyDescent="0.25">
      <c r="A96" s="133"/>
      <c r="B96" s="133"/>
      <c r="C96" s="134" t="s">
        <v>756</v>
      </c>
      <c r="D96" s="133"/>
      <c r="E96" s="135"/>
      <c r="F96" s="275"/>
      <c r="G96" s="134"/>
      <c r="H96" s="138"/>
      <c r="I96" s="138"/>
      <c r="J96" s="138"/>
      <c r="K96" s="138"/>
      <c r="L96" s="138"/>
      <c r="M96" s="138"/>
    </row>
    <row r="97" spans="1:7" ht="13.5" thickBot="1" x14ac:dyDescent="0.25">
      <c r="A97" s="144" t="s">
        <v>757</v>
      </c>
      <c r="B97" s="144" t="s">
        <v>758</v>
      </c>
      <c r="C97" s="144" t="s">
        <v>759</v>
      </c>
      <c r="D97" s="145" t="s">
        <v>760</v>
      </c>
      <c r="E97" s="146" t="s">
        <v>165</v>
      </c>
      <c r="F97" s="147" t="s">
        <v>266</v>
      </c>
      <c r="G97" s="148" t="s">
        <v>761</v>
      </c>
    </row>
    <row r="98" spans="1:7" ht="13.5" thickBot="1" x14ac:dyDescent="0.25">
      <c r="A98" s="276"/>
      <c r="B98" s="277"/>
      <c r="C98" s="277"/>
      <c r="D98" s="277"/>
      <c r="E98" s="278"/>
      <c r="F98" s="279"/>
      <c r="G98" s="277"/>
    </row>
    <row r="99" spans="1:7" x14ac:dyDescent="0.2">
      <c r="A99" s="280" t="s">
        <v>832</v>
      </c>
      <c r="B99" s="281"/>
      <c r="C99" s="277"/>
      <c r="D99" s="277"/>
      <c r="E99" s="282"/>
      <c r="F99" s="279"/>
      <c r="G99" s="283"/>
    </row>
    <row r="100" spans="1:7" ht="13.5" thickBot="1" x14ac:dyDescent="0.25">
      <c r="A100" s="284"/>
      <c r="B100" s="285"/>
      <c r="C100" s="286"/>
      <c r="D100" s="286"/>
      <c r="E100" s="287"/>
      <c r="F100" s="288"/>
      <c r="G100" s="289"/>
    </row>
    <row r="101" spans="1:7" ht="13.5" thickBot="1" x14ac:dyDescent="0.25">
      <c r="A101" s="290"/>
    </row>
    <row r="102" spans="1:7" x14ac:dyDescent="0.2">
      <c r="A102" s="291" t="s">
        <v>833</v>
      </c>
      <c r="B102" s="292" t="s">
        <v>834</v>
      </c>
      <c r="C102" s="293" t="s">
        <v>835</v>
      </c>
      <c r="D102" s="293" t="s">
        <v>835</v>
      </c>
      <c r="E102" s="293" t="s">
        <v>836</v>
      </c>
      <c r="F102" s="293" t="s">
        <v>837</v>
      </c>
      <c r="G102" s="293" t="s">
        <v>838</v>
      </c>
    </row>
    <row r="103" spans="1:7" ht="22.5" x14ac:dyDescent="0.2">
      <c r="A103" s="294"/>
      <c r="B103" s="295"/>
      <c r="C103" s="295" t="s">
        <v>839</v>
      </c>
      <c r="D103" s="295" t="s">
        <v>840</v>
      </c>
      <c r="E103" s="295" t="s">
        <v>841</v>
      </c>
      <c r="F103" s="296" t="s">
        <v>842</v>
      </c>
      <c r="G103" s="295" t="s">
        <v>843</v>
      </c>
    </row>
    <row r="104" spans="1:7" ht="13.5" thickBot="1" x14ac:dyDescent="0.25">
      <c r="A104" s="297" t="s">
        <v>844</v>
      </c>
      <c r="B104" s="298">
        <v>1</v>
      </c>
      <c r="C104" s="298">
        <v>0.9</v>
      </c>
      <c r="D104" s="298">
        <v>1.35</v>
      </c>
      <c r="E104" s="298" t="s">
        <v>845</v>
      </c>
      <c r="F104" s="298" t="s">
        <v>846</v>
      </c>
      <c r="G104" s="298">
        <v>300</v>
      </c>
    </row>
    <row r="105" spans="1:7" ht="13.5" thickBot="1" x14ac:dyDescent="0.25">
      <c r="A105" s="297" t="s">
        <v>847</v>
      </c>
      <c r="B105" s="298">
        <v>1</v>
      </c>
      <c r="C105" s="298">
        <v>0.9</v>
      </c>
      <c r="D105" s="298">
        <v>1.35</v>
      </c>
      <c r="E105" s="298" t="s">
        <v>845</v>
      </c>
      <c r="F105" s="298" t="s">
        <v>846</v>
      </c>
      <c r="G105" s="298">
        <v>300</v>
      </c>
    </row>
    <row r="106" spans="1:7" ht="13.5" thickBot="1" x14ac:dyDescent="0.25">
      <c r="A106" s="297" t="s">
        <v>848</v>
      </c>
      <c r="B106" s="298">
        <v>1</v>
      </c>
      <c r="C106" s="298">
        <v>0.9</v>
      </c>
      <c r="D106" s="298">
        <v>1.35</v>
      </c>
      <c r="E106" s="298" t="s">
        <v>845</v>
      </c>
      <c r="F106" s="298" t="s">
        <v>846</v>
      </c>
      <c r="G106" s="298">
        <v>300</v>
      </c>
    </row>
    <row r="107" spans="1:7" ht="13.5" thickBot="1" x14ac:dyDescent="0.25">
      <c r="A107" s="297" t="s">
        <v>849</v>
      </c>
      <c r="B107" s="298">
        <v>1</v>
      </c>
      <c r="C107" s="298">
        <v>0.9</v>
      </c>
      <c r="D107" s="298">
        <v>1.35</v>
      </c>
      <c r="E107" s="298" t="s">
        <v>845</v>
      </c>
      <c r="F107" s="298" t="s">
        <v>846</v>
      </c>
      <c r="G107" s="298">
        <v>300</v>
      </c>
    </row>
    <row r="108" spans="1:7" ht="13.5" thickBot="1" x14ac:dyDescent="0.25">
      <c r="A108" s="297" t="s">
        <v>850</v>
      </c>
      <c r="B108" s="298">
        <v>1</v>
      </c>
      <c r="C108" s="298">
        <v>0.9</v>
      </c>
      <c r="D108" s="298">
        <v>1.35</v>
      </c>
      <c r="E108" s="298" t="s">
        <v>845</v>
      </c>
      <c r="F108" s="298" t="s">
        <v>846</v>
      </c>
      <c r="G108" s="298">
        <v>300</v>
      </c>
    </row>
    <row r="109" spans="1:7" ht="13.5" thickBot="1" x14ac:dyDescent="0.25">
      <c r="A109" s="297" t="s">
        <v>851</v>
      </c>
      <c r="B109" s="298">
        <v>1</v>
      </c>
      <c r="C109" s="298">
        <v>0.9</v>
      </c>
      <c r="D109" s="298">
        <v>1.35</v>
      </c>
      <c r="E109" s="298" t="s">
        <v>845</v>
      </c>
      <c r="F109" s="298" t="s">
        <v>846</v>
      </c>
      <c r="G109" s="298">
        <v>300</v>
      </c>
    </row>
    <row r="110" spans="1:7" ht="13.5" thickBot="1" x14ac:dyDescent="0.25">
      <c r="A110" s="297" t="s">
        <v>852</v>
      </c>
      <c r="B110" s="298">
        <v>1</v>
      </c>
      <c r="C110" s="298">
        <v>0.9</v>
      </c>
      <c r="D110" s="298">
        <v>1.35</v>
      </c>
      <c r="E110" s="298" t="s">
        <v>845</v>
      </c>
      <c r="F110" s="298" t="s">
        <v>846</v>
      </c>
      <c r="G110" s="298">
        <v>300</v>
      </c>
    </row>
    <row r="111" spans="1:7" ht="13.5" thickBot="1" x14ac:dyDescent="0.25">
      <c r="A111" s="297" t="s">
        <v>853</v>
      </c>
      <c r="B111" s="298">
        <v>1</v>
      </c>
      <c r="C111" s="298">
        <v>0.9</v>
      </c>
      <c r="D111" s="298">
        <v>1.35</v>
      </c>
      <c r="E111" s="298" t="s">
        <v>845</v>
      </c>
      <c r="F111" s="298" t="s">
        <v>846</v>
      </c>
      <c r="G111" s="298">
        <v>300</v>
      </c>
    </row>
    <row r="112" spans="1:7" ht="13.5" thickBot="1" x14ac:dyDescent="0.25">
      <c r="A112" s="297" t="s">
        <v>854</v>
      </c>
      <c r="B112" s="298">
        <v>1</v>
      </c>
      <c r="C112" s="298">
        <v>0.9</v>
      </c>
      <c r="D112" s="298">
        <v>1.35</v>
      </c>
      <c r="E112" s="298" t="s">
        <v>845</v>
      </c>
      <c r="F112" s="298" t="s">
        <v>846</v>
      </c>
      <c r="G112" s="298">
        <v>300</v>
      </c>
    </row>
    <row r="113" spans="1:13" s="139" customFormat="1" ht="13.5" thickBot="1" x14ac:dyDescent="0.25">
      <c r="A113" s="297" t="s">
        <v>855</v>
      </c>
      <c r="B113" s="298">
        <v>1</v>
      </c>
      <c r="C113" s="298">
        <v>0.9</v>
      </c>
      <c r="D113" s="298">
        <v>1.35</v>
      </c>
      <c r="E113" s="298" t="s">
        <v>845</v>
      </c>
      <c r="F113" s="298" t="s">
        <v>846</v>
      </c>
      <c r="G113" s="298">
        <v>300</v>
      </c>
      <c r="H113" s="126"/>
      <c r="I113" s="126"/>
      <c r="J113" s="138"/>
      <c r="K113" s="138"/>
      <c r="L113" s="138"/>
      <c r="M113" s="138"/>
    </row>
    <row r="114" spans="1:13" ht="13.5" thickBot="1" x14ac:dyDescent="0.25">
      <c r="A114" s="297" t="s">
        <v>856</v>
      </c>
      <c r="B114" s="298">
        <v>1</v>
      </c>
      <c r="C114" s="298">
        <v>0.9</v>
      </c>
      <c r="D114" s="298">
        <v>1.35</v>
      </c>
      <c r="E114" s="298" t="s">
        <v>845</v>
      </c>
      <c r="F114" s="298" t="s">
        <v>846</v>
      </c>
      <c r="G114" s="298">
        <v>300</v>
      </c>
    </row>
    <row r="115" spans="1:13" s="149" customFormat="1" ht="15" customHeight="1" thickBot="1" x14ac:dyDescent="0.25">
      <c r="A115" s="297" t="s">
        <v>857</v>
      </c>
      <c r="B115" s="298">
        <v>1</v>
      </c>
      <c r="C115" s="298">
        <v>0.9</v>
      </c>
      <c r="D115" s="298">
        <v>1.35</v>
      </c>
      <c r="E115" s="298" t="s">
        <v>845</v>
      </c>
      <c r="F115" s="298" t="s">
        <v>846</v>
      </c>
      <c r="G115" s="298">
        <v>300</v>
      </c>
      <c r="H115" s="126"/>
      <c r="I115" s="126"/>
      <c r="J115" s="127"/>
      <c r="K115" s="127"/>
      <c r="L115" s="127"/>
      <c r="M115" s="127"/>
    </row>
    <row r="116" spans="1:13" ht="13.5" thickBot="1" x14ac:dyDescent="0.25">
      <c r="A116" s="297" t="s">
        <v>858</v>
      </c>
      <c r="B116" s="298">
        <v>1</v>
      </c>
      <c r="C116" s="298">
        <v>0.9</v>
      </c>
      <c r="D116" s="298">
        <v>1.35</v>
      </c>
      <c r="E116" s="298" t="s">
        <v>845</v>
      </c>
      <c r="F116" s="298" t="s">
        <v>846</v>
      </c>
      <c r="G116" s="298">
        <v>300</v>
      </c>
    </row>
    <row r="117" spans="1:13" ht="13.5" thickBot="1" x14ac:dyDescent="0.25">
      <c r="A117" s="297" t="s">
        <v>859</v>
      </c>
      <c r="B117" s="298">
        <v>2</v>
      </c>
      <c r="C117" s="298">
        <v>1.25</v>
      </c>
      <c r="D117" s="298">
        <v>1.9</v>
      </c>
      <c r="E117" s="298" t="s">
        <v>845</v>
      </c>
      <c r="F117" s="298" t="s">
        <v>846</v>
      </c>
      <c r="G117" s="298">
        <v>300</v>
      </c>
    </row>
    <row r="118" spans="1:13" ht="13.5" thickBot="1" x14ac:dyDescent="0.25">
      <c r="A118" s="297" t="s">
        <v>860</v>
      </c>
      <c r="B118" s="298">
        <v>2</v>
      </c>
      <c r="C118" s="298">
        <v>1.25</v>
      </c>
      <c r="D118" s="298">
        <v>1.9</v>
      </c>
      <c r="E118" s="298" t="s">
        <v>845</v>
      </c>
      <c r="F118" s="298" t="s">
        <v>846</v>
      </c>
      <c r="G118" s="298">
        <v>300</v>
      </c>
    </row>
    <row r="119" spans="1:13" ht="13.5" thickBot="1" x14ac:dyDescent="0.25">
      <c r="A119" s="297" t="s">
        <v>861</v>
      </c>
      <c r="B119" s="298">
        <v>2</v>
      </c>
      <c r="C119" s="298">
        <v>1.25</v>
      </c>
      <c r="D119" s="298">
        <v>1.9</v>
      </c>
      <c r="E119" s="298" t="s">
        <v>845</v>
      </c>
      <c r="F119" s="298" t="s">
        <v>846</v>
      </c>
      <c r="G119" s="298">
        <v>300</v>
      </c>
    </row>
    <row r="120" spans="1:13" ht="13.5" thickBot="1" x14ac:dyDescent="0.25">
      <c r="A120" s="297" t="s">
        <v>862</v>
      </c>
      <c r="B120" s="298">
        <v>2</v>
      </c>
      <c r="C120" s="298">
        <v>1.25</v>
      </c>
      <c r="D120" s="298">
        <v>1.9</v>
      </c>
      <c r="E120" s="298" t="s">
        <v>845</v>
      </c>
      <c r="F120" s="298" t="s">
        <v>846</v>
      </c>
      <c r="G120" s="298">
        <v>300</v>
      </c>
      <c r="H120" s="131"/>
      <c r="I120" s="131"/>
    </row>
    <row r="121" spans="1:13" s="139" customFormat="1" ht="13.5" thickBot="1" x14ac:dyDescent="0.25">
      <c r="A121" s="297" t="s">
        <v>863</v>
      </c>
      <c r="B121" s="298">
        <v>2</v>
      </c>
      <c r="C121" s="298">
        <v>1.25</v>
      </c>
      <c r="D121" s="298">
        <v>1.9</v>
      </c>
      <c r="E121" s="298" t="s">
        <v>845</v>
      </c>
      <c r="F121" s="298" t="s">
        <v>846</v>
      </c>
      <c r="G121" s="298">
        <v>300</v>
      </c>
      <c r="H121" s="131"/>
      <c r="I121" s="131"/>
      <c r="J121" s="138"/>
      <c r="K121" s="138"/>
      <c r="L121" s="138"/>
      <c r="M121" s="138"/>
    </row>
    <row r="122" spans="1:13" s="139" customFormat="1" ht="13.5" thickBot="1" x14ac:dyDescent="0.25">
      <c r="A122" s="297" t="s">
        <v>864</v>
      </c>
      <c r="B122" s="298">
        <v>2</v>
      </c>
      <c r="C122" s="298">
        <v>1.25</v>
      </c>
      <c r="D122" s="298">
        <v>1.9</v>
      </c>
      <c r="E122" s="298" t="s">
        <v>845</v>
      </c>
      <c r="F122" s="298" t="s">
        <v>846</v>
      </c>
      <c r="G122" s="298">
        <v>300</v>
      </c>
      <c r="H122" s="131"/>
      <c r="I122" s="131"/>
      <c r="J122" s="138"/>
      <c r="K122" s="138"/>
      <c r="L122" s="138"/>
      <c r="M122" s="138"/>
    </row>
    <row r="123" spans="1:13" ht="13.5" thickBot="1" x14ac:dyDescent="0.25">
      <c r="A123" s="297" t="s">
        <v>865</v>
      </c>
      <c r="B123" s="298">
        <v>2</v>
      </c>
      <c r="C123" s="298">
        <v>1.25</v>
      </c>
      <c r="D123" s="298">
        <v>1.9</v>
      </c>
      <c r="E123" s="298" t="s">
        <v>845</v>
      </c>
      <c r="F123" s="298" t="s">
        <v>846</v>
      </c>
      <c r="G123" s="298">
        <v>300</v>
      </c>
      <c r="H123" s="131"/>
      <c r="I123" s="131"/>
    </row>
    <row r="124" spans="1:13" s="149" customFormat="1" ht="13.5" thickBot="1" x14ac:dyDescent="0.25">
      <c r="A124" s="297" t="s">
        <v>866</v>
      </c>
      <c r="B124" s="298">
        <v>2</v>
      </c>
      <c r="C124" s="298">
        <v>1.25</v>
      </c>
      <c r="D124" s="298">
        <v>1.9</v>
      </c>
      <c r="E124" s="298" t="s">
        <v>845</v>
      </c>
      <c r="F124" s="298" t="s">
        <v>846</v>
      </c>
      <c r="G124" s="298">
        <v>300</v>
      </c>
      <c r="H124" s="131"/>
      <c r="I124" s="131"/>
      <c r="J124" s="127"/>
      <c r="K124" s="127"/>
      <c r="L124" s="127"/>
      <c r="M124" s="127"/>
    </row>
    <row r="125" spans="1:13" s="149" customFormat="1" ht="13.5" thickBot="1" x14ac:dyDescent="0.25">
      <c r="A125" s="297" t="s">
        <v>867</v>
      </c>
      <c r="B125" s="298">
        <v>3</v>
      </c>
      <c r="C125" s="298">
        <v>1.75</v>
      </c>
      <c r="D125" s="298">
        <v>2.75</v>
      </c>
      <c r="E125" s="298" t="s">
        <v>845</v>
      </c>
      <c r="F125" s="298" t="s">
        <v>846</v>
      </c>
      <c r="G125" s="298">
        <v>300</v>
      </c>
      <c r="H125" s="127"/>
      <c r="I125" s="127"/>
      <c r="J125" s="127"/>
      <c r="K125" s="127"/>
    </row>
    <row r="126" spans="1:13" s="149" customFormat="1" ht="13.5" thickBot="1" x14ac:dyDescent="0.25">
      <c r="A126" s="297" t="s">
        <v>868</v>
      </c>
      <c r="B126" s="298">
        <v>3</v>
      </c>
      <c r="C126" s="298">
        <v>1.75</v>
      </c>
      <c r="D126" s="298">
        <v>2.75</v>
      </c>
      <c r="E126" s="298" t="s">
        <v>845</v>
      </c>
      <c r="F126" s="298" t="s">
        <v>846</v>
      </c>
      <c r="G126" s="298">
        <v>300</v>
      </c>
      <c r="H126" s="127"/>
      <c r="I126" s="127"/>
      <c r="J126" s="127"/>
      <c r="K126" s="127"/>
    </row>
    <row r="127" spans="1:13" ht="13.5" thickBot="1" x14ac:dyDescent="0.25">
      <c r="A127" s="297" t="s">
        <v>869</v>
      </c>
      <c r="B127" s="298">
        <v>3</v>
      </c>
      <c r="C127" s="298">
        <v>1.75</v>
      </c>
      <c r="D127" s="298">
        <v>2.75</v>
      </c>
      <c r="E127" s="298" t="s">
        <v>845</v>
      </c>
      <c r="F127" s="298" t="s">
        <v>846</v>
      </c>
      <c r="G127" s="298">
        <v>300</v>
      </c>
      <c r="L127" s="131"/>
      <c r="M127" s="131"/>
    </row>
    <row r="128" spans="1:13" ht="13.5" thickBot="1" x14ac:dyDescent="0.25">
      <c r="A128" s="299" t="s">
        <v>870</v>
      </c>
      <c r="B128" s="300">
        <v>3</v>
      </c>
      <c r="C128" s="300">
        <v>1.75</v>
      </c>
      <c r="D128" s="300">
        <v>2.75</v>
      </c>
      <c r="E128" s="298" t="s">
        <v>845</v>
      </c>
      <c r="F128" s="298" t="s">
        <v>846</v>
      </c>
      <c r="G128" s="298">
        <v>300</v>
      </c>
      <c r="L128" s="131"/>
      <c r="M128" s="131"/>
    </row>
    <row r="129" spans="1:13" ht="13.5" thickBot="1" x14ac:dyDescent="0.25">
      <c r="A129" s="301" t="s">
        <v>871</v>
      </c>
      <c r="B129" s="302">
        <v>3</v>
      </c>
      <c r="C129" s="302">
        <v>1.75</v>
      </c>
      <c r="D129" s="302">
        <v>2.75</v>
      </c>
      <c r="E129" s="298" t="s">
        <v>845</v>
      </c>
      <c r="F129" s="298" t="s">
        <v>846</v>
      </c>
      <c r="G129" s="298">
        <v>300</v>
      </c>
      <c r="L129" s="131"/>
      <c r="M129" s="131"/>
    </row>
    <row r="130" spans="1:13" ht="13.5" thickBot="1" x14ac:dyDescent="0.25">
      <c r="A130" s="297" t="s">
        <v>872</v>
      </c>
      <c r="B130" s="298">
        <v>3</v>
      </c>
      <c r="C130" s="298">
        <v>1.75</v>
      </c>
      <c r="D130" s="298">
        <v>2.75</v>
      </c>
      <c r="E130" s="298" t="s">
        <v>845</v>
      </c>
      <c r="F130" s="298" t="s">
        <v>846</v>
      </c>
      <c r="G130" s="298">
        <v>300</v>
      </c>
      <c r="L130" s="131"/>
      <c r="M130" s="131"/>
    </row>
    <row r="131" spans="1:13" ht="13.5" thickBot="1" x14ac:dyDescent="0.25">
      <c r="A131" s="297" t="s">
        <v>873</v>
      </c>
      <c r="B131" s="298">
        <v>3</v>
      </c>
      <c r="C131" s="298">
        <v>1.75</v>
      </c>
      <c r="D131" s="298">
        <v>2.75</v>
      </c>
      <c r="E131" s="298" t="s">
        <v>845</v>
      </c>
      <c r="F131" s="298" t="s">
        <v>846</v>
      </c>
      <c r="G131" s="298">
        <v>300</v>
      </c>
      <c r="L131" s="131"/>
      <c r="M131" s="131"/>
    </row>
    <row r="132" spans="1:13" ht="13.5" thickBot="1" x14ac:dyDescent="0.25">
      <c r="A132" s="297" t="s">
        <v>874</v>
      </c>
      <c r="B132" s="298">
        <v>4</v>
      </c>
      <c r="C132" s="298">
        <v>2.75</v>
      </c>
      <c r="D132" s="298">
        <v>4</v>
      </c>
      <c r="E132" s="298" t="s">
        <v>845</v>
      </c>
      <c r="F132" s="298" t="s">
        <v>846</v>
      </c>
      <c r="G132" s="298">
        <v>450</v>
      </c>
      <c r="L132" s="131"/>
      <c r="M132" s="131"/>
    </row>
    <row r="133" spans="1:13" ht="13.5" thickBot="1" x14ac:dyDescent="0.25">
      <c r="A133" s="297" t="s">
        <v>875</v>
      </c>
      <c r="B133" s="298">
        <v>4</v>
      </c>
      <c r="C133" s="298">
        <v>2.75</v>
      </c>
      <c r="D133" s="298">
        <v>4</v>
      </c>
      <c r="E133" s="298" t="s">
        <v>845</v>
      </c>
      <c r="F133" s="298" t="s">
        <v>846</v>
      </c>
      <c r="G133" s="298">
        <v>450</v>
      </c>
      <c r="L133" s="131"/>
      <c r="M133" s="131"/>
    </row>
    <row r="134" spans="1:13" ht="13.5" thickBot="1" x14ac:dyDescent="0.25">
      <c r="A134" s="297" t="s">
        <v>876</v>
      </c>
      <c r="B134" s="298">
        <v>4</v>
      </c>
      <c r="C134" s="298">
        <v>2.75</v>
      </c>
      <c r="D134" s="298">
        <v>4</v>
      </c>
      <c r="E134" s="298" t="s">
        <v>845</v>
      </c>
      <c r="F134" s="298" t="s">
        <v>846</v>
      </c>
      <c r="G134" s="298">
        <v>450</v>
      </c>
      <c r="L134" s="131"/>
      <c r="M134" s="131"/>
    </row>
    <row r="135" spans="1:13" ht="13.5" thickBot="1" x14ac:dyDescent="0.25">
      <c r="A135" s="297" t="s">
        <v>877</v>
      </c>
      <c r="B135" s="298">
        <v>4</v>
      </c>
      <c r="C135" s="298">
        <v>2.75</v>
      </c>
      <c r="D135" s="298">
        <v>4</v>
      </c>
      <c r="E135" s="298" t="s">
        <v>845</v>
      </c>
      <c r="F135" s="298" t="s">
        <v>846</v>
      </c>
      <c r="G135" s="298">
        <v>450</v>
      </c>
      <c r="L135" s="131"/>
      <c r="M135" s="131"/>
    </row>
    <row r="136" spans="1:13" ht="13.5" thickBot="1" x14ac:dyDescent="0.25">
      <c r="A136" s="297" t="s">
        <v>878</v>
      </c>
      <c r="B136" s="298">
        <v>4</v>
      </c>
      <c r="C136" s="298">
        <v>2.75</v>
      </c>
      <c r="D136" s="298">
        <v>4</v>
      </c>
      <c r="E136" s="298" t="s">
        <v>845</v>
      </c>
      <c r="F136" s="298" t="s">
        <v>846</v>
      </c>
      <c r="G136" s="298">
        <v>450</v>
      </c>
      <c r="L136" s="131"/>
      <c r="M136" s="131"/>
    </row>
    <row r="137" spans="1:13" ht="13.5" thickBot="1" x14ac:dyDescent="0.25">
      <c r="A137" s="297" t="s">
        <v>879</v>
      </c>
      <c r="B137" s="298">
        <v>4</v>
      </c>
      <c r="C137" s="298">
        <v>2.75</v>
      </c>
      <c r="D137" s="298">
        <v>4</v>
      </c>
      <c r="E137" s="298" t="s">
        <v>845</v>
      </c>
      <c r="F137" s="298" t="s">
        <v>846</v>
      </c>
      <c r="G137" s="298">
        <v>450</v>
      </c>
      <c r="L137" s="131"/>
      <c r="M137" s="131"/>
    </row>
    <row r="138" spans="1:13" ht="13.5" thickBot="1" x14ac:dyDescent="0.25">
      <c r="A138" s="297" t="s">
        <v>880</v>
      </c>
      <c r="B138" s="298">
        <v>4</v>
      </c>
      <c r="C138" s="298">
        <v>2.75</v>
      </c>
      <c r="D138" s="298">
        <v>4</v>
      </c>
      <c r="E138" s="298" t="s">
        <v>845</v>
      </c>
      <c r="F138" s="298" t="s">
        <v>846</v>
      </c>
      <c r="G138" s="298">
        <v>450</v>
      </c>
      <c r="L138" s="131"/>
      <c r="M138" s="131"/>
    </row>
    <row r="139" spans="1:13" ht="13.5" thickBot="1" x14ac:dyDescent="0.25">
      <c r="A139" s="297" t="s">
        <v>881</v>
      </c>
      <c r="B139" s="298">
        <v>4</v>
      </c>
      <c r="C139" s="298">
        <v>2.75</v>
      </c>
      <c r="D139" s="298">
        <v>4</v>
      </c>
      <c r="E139" s="298" t="s">
        <v>845</v>
      </c>
      <c r="F139" s="298" t="s">
        <v>846</v>
      </c>
      <c r="G139" s="298">
        <v>450</v>
      </c>
      <c r="L139" s="131"/>
      <c r="M139" s="131"/>
    </row>
    <row r="140" spans="1:13" ht="13.5" thickBot="1" x14ac:dyDescent="0.25">
      <c r="A140" s="297" t="s">
        <v>882</v>
      </c>
      <c r="B140" s="298">
        <v>4</v>
      </c>
      <c r="C140" s="298">
        <v>2.75</v>
      </c>
      <c r="D140" s="298">
        <v>4</v>
      </c>
      <c r="E140" s="298" t="s">
        <v>845</v>
      </c>
      <c r="F140" s="298" t="s">
        <v>846</v>
      </c>
      <c r="G140" s="298">
        <v>450</v>
      </c>
      <c r="L140" s="131"/>
      <c r="M140" s="131"/>
    </row>
    <row r="141" spans="1:13" ht="13.5" thickBot="1" x14ac:dyDescent="0.25">
      <c r="A141" s="297" t="s">
        <v>883</v>
      </c>
      <c r="B141" s="298" t="s">
        <v>884</v>
      </c>
      <c r="C141" s="298">
        <v>4</v>
      </c>
      <c r="D141" s="298">
        <v>5</v>
      </c>
      <c r="E141" s="298" t="s">
        <v>845</v>
      </c>
      <c r="F141" s="298" t="s">
        <v>885</v>
      </c>
      <c r="G141" s="298">
        <v>550</v>
      </c>
      <c r="L141" s="131"/>
      <c r="M141" s="131"/>
    </row>
    <row r="142" spans="1:13" ht="13.5" thickBot="1" x14ac:dyDescent="0.25">
      <c r="A142" s="297" t="s">
        <v>886</v>
      </c>
      <c r="B142" s="298" t="s">
        <v>884</v>
      </c>
      <c r="C142" s="298">
        <v>4</v>
      </c>
      <c r="D142" s="298">
        <v>5</v>
      </c>
      <c r="E142" s="298" t="s">
        <v>845</v>
      </c>
      <c r="F142" s="298" t="s">
        <v>846</v>
      </c>
      <c r="G142" s="298">
        <v>550</v>
      </c>
      <c r="L142" s="131"/>
      <c r="M142" s="131"/>
    </row>
    <row r="143" spans="1:13" ht="13.5" thickBot="1" x14ac:dyDescent="0.25">
      <c r="A143" s="297" t="s">
        <v>887</v>
      </c>
      <c r="B143" s="298" t="s">
        <v>884</v>
      </c>
      <c r="C143" s="298">
        <v>4</v>
      </c>
      <c r="D143" s="298">
        <v>5</v>
      </c>
      <c r="E143" s="298" t="s">
        <v>845</v>
      </c>
      <c r="F143" s="298" t="s">
        <v>846</v>
      </c>
      <c r="G143" s="298">
        <v>550</v>
      </c>
      <c r="L143" s="131"/>
      <c r="M143" s="131"/>
    </row>
    <row r="144" spans="1:13" x14ac:dyDescent="0.2">
      <c r="L144" s="131"/>
      <c r="M144" s="131"/>
    </row>
    <row r="145" spans="1:13" ht="13.5" thickBot="1" x14ac:dyDescent="0.25">
      <c r="L145" s="131"/>
      <c r="M145" s="131"/>
    </row>
    <row r="146" spans="1:13" x14ac:dyDescent="0.2">
      <c r="A146" s="132"/>
      <c r="B146" s="133"/>
      <c r="C146" s="134" t="s">
        <v>755</v>
      </c>
      <c r="D146" s="133"/>
      <c r="E146" s="135"/>
      <c r="F146" s="136"/>
      <c r="G146" s="137"/>
      <c r="L146" s="131"/>
      <c r="M146" s="131"/>
    </row>
    <row r="147" spans="1:13" ht="13.5" thickBot="1" x14ac:dyDescent="0.25">
      <c r="A147" s="133"/>
      <c r="B147" s="133"/>
      <c r="C147" s="134" t="s">
        <v>756</v>
      </c>
      <c r="D147" s="133"/>
      <c r="E147" s="135"/>
      <c r="F147" s="140"/>
      <c r="G147" s="141"/>
      <c r="L147" s="131"/>
      <c r="M147" s="131"/>
    </row>
    <row r="148" spans="1:13" ht="13.5" thickBot="1" x14ac:dyDescent="0.25">
      <c r="A148" s="222"/>
      <c r="B148" s="222"/>
      <c r="C148" s="223"/>
      <c r="D148" s="223"/>
      <c r="E148" s="224"/>
      <c r="F148" s="303"/>
      <c r="G148" s="304"/>
      <c r="L148" s="131"/>
      <c r="M148" s="131"/>
    </row>
    <row r="149" spans="1:13" ht="13.5" thickBot="1" x14ac:dyDescent="0.25">
      <c r="A149" s="144" t="s">
        <v>757</v>
      </c>
      <c r="B149" s="144" t="s">
        <v>758</v>
      </c>
      <c r="C149" s="144" t="s">
        <v>759</v>
      </c>
      <c r="D149" s="145" t="s">
        <v>760</v>
      </c>
      <c r="E149" s="146" t="s">
        <v>165</v>
      </c>
      <c r="F149" s="147" t="s">
        <v>266</v>
      </c>
      <c r="G149" s="148" t="s">
        <v>761</v>
      </c>
      <c r="L149" s="131"/>
      <c r="M149" s="131"/>
    </row>
    <row r="150" spans="1:13" ht="13.5" thickBot="1" x14ac:dyDescent="0.25">
      <c r="L150" s="131"/>
      <c r="M150" s="131"/>
    </row>
    <row r="151" spans="1:13" x14ac:dyDescent="0.2">
      <c r="A151" s="154" t="s">
        <v>888</v>
      </c>
      <c r="B151" s="305" t="s">
        <v>889</v>
      </c>
      <c r="C151" s="156" t="s">
        <v>449</v>
      </c>
      <c r="D151" s="156" t="s">
        <v>763</v>
      </c>
      <c r="E151" s="229">
        <f>(1* 25%) + 1</f>
        <v>1.25</v>
      </c>
      <c r="F151" s="158">
        <f>350*1.1</f>
        <v>385.00000000000006</v>
      </c>
      <c r="G151" s="306" t="s">
        <v>890</v>
      </c>
      <c r="L151" s="131"/>
      <c r="M151" s="131"/>
    </row>
    <row r="152" spans="1:13" x14ac:dyDescent="0.2">
      <c r="A152" s="162"/>
      <c r="B152" s="163" t="s">
        <v>147</v>
      </c>
      <c r="C152" s="164"/>
      <c r="D152" s="164"/>
      <c r="E152" s="253"/>
      <c r="F152" s="166"/>
      <c r="G152" s="307" t="s">
        <v>891</v>
      </c>
      <c r="L152" s="131"/>
      <c r="M152" s="131"/>
    </row>
    <row r="153" spans="1:13" x14ac:dyDescent="0.2">
      <c r="A153" s="162"/>
      <c r="B153" s="163" t="s">
        <v>82</v>
      </c>
      <c r="C153" s="164"/>
      <c r="D153" s="164"/>
      <c r="E153" s="253"/>
      <c r="F153" s="166"/>
      <c r="G153" s="307" t="s">
        <v>892</v>
      </c>
      <c r="L153" s="131"/>
      <c r="M153" s="131"/>
    </row>
    <row r="154" spans="1:13" x14ac:dyDescent="0.2">
      <c r="A154" s="162"/>
      <c r="B154" s="163" t="s">
        <v>295</v>
      </c>
      <c r="C154" s="164"/>
      <c r="D154" s="164"/>
      <c r="E154" s="253"/>
      <c r="F154" s="166"/>
      <c r="G154" s="167"/>
      <c r="L154" s="131"/>
      <c r="M154" s="131"/>
    </row>
    <row r="155" spans="1:13" x14ac:dyDescent="0.2">
      <c r="A155" s="162"/>
      <c r="B155" s="163" t="s">
        <v>84</v>
      </c>
      <c r="C155" s="164"/>
      <c r="D155" s="164"/>
      <c r="E155" s="253"/>
      <c r="F155" s="166"/>
      <c r="G155" s="167"/>
      <c r="L155" s="131"/>
      <c r="M155" s="131"/>
    </row>
    <row r="156" spans="1:13" x14ac:dyDescent="0.2">
      <c r="A156" s="162"/>
      <c r="B156" s="163" t="s">
        <v>150</v>
      </c>
      <c r="C156" s="164"/>
      <c r="D156" s="164"/>
      <c r="E156" s="253"/>
      <c r="F156" s="166"/>
      <c r="G156" s="167"/>
      <c r="L156" s="131"/>
      <c r="M156" s="131"/>
    </row>
    <row r="157" spans="1:13" x14ac:dyDescent="0.2">
      <c r="A157" s="162"/>
      <c r="B157" s="163" t="s">
        <v>86</v>
      </c>
      <c r="C157" s="164"/>
      <c r="D157" s="164"/>
      <c r="E157" s="253"/>
      <c r="F157" s="166"/>
      <c r="G157" s="167"/>
      <c r="L157" s="131"/>
      <c r="M157" s="131"/>
    </row>
    <row r="158" spans="1:13" x14ac:dyDescent="0.2">
      <c r="A158" s="162"/>
      <c r="B158" s="163" t="s">
        <v>87</v>
      </c>
      <c r="C158" s="164"/>
      <c r="D158" s="164"/>
      <c r="E158" s="253"/>
      <c r="F158" s="166"/>
      <c r="G158" s="167"/>
      <c r="L158" s="131"/>
      <c r="M158" s="131"/>
    </row>
    <row r="159" spans="1:13" x14ac:dyDescent="0.2">
      <c r="A159" s="162"/>
      <c r="B159" s="163" t="s">
        <v>384</v>
      </c>
      <c r="C159" s="164"/>
      <c r="D159" s="164"/>
      <c r="E159" s="253"/>
      <c r="F159" s="166"/>
      <c r="G159" s="167"/>
      <c r="L159" s="131"/>
      <c r="M159" s="131"/>
    </row>
    <row r="160" spans="1:13" s="139" customFormat="1" x14ac:dyDescent="0.2">
      <c r="A160" s="162"/>
      <c r="B160" s="163" t="s">
        <v>154</v>
      </c>
      <c r="C160" s="164"/>
      <c r="D160" s="164"/>
      <c r="E160" s="253"/>
      <c r="F160" s="166"/>
      <c r="G160" s="167"/>
      <c r="H160" s="138"/>
      <c r="I160" s="138"/>
      <c r="J160" s="138"/>
      <c r="K160" s="138"/>
    </row>
    <row r="161" spans="1:13" ht="13.5" thickBot="1" x14ac:dyDescent="0.25">
      <c r="A161" s="168"/>
      <c r="B161" s="169" t="s">
        <v>151</v>
      </c>
      <c r="C161" s="170"/>
      <c r="D161" s="170"/>
      <c r="E161" s="269"/>
      <c r="F161" s="172"/>
      <c r="G161" s="173"/>
      <c r="L161" s="131"/>
      <c r="M161" s="131"/>
    </row>
    <row r="162" spans="1:13" ht="13.5" thickBot="1" x14ac:dyDescent="0.25">
      <c r="A162" s="154" t="s">
        <v>893</v>
      </c>
      <c r="B162" s="155"/>
      <c r="C162" s="156"/>
      <c r="D162" s="156"/>
      <c r="E162" s="251"/>
      <c r="F162" s="268"/>
      <c r="G162" s="159"/>
      <c r="L162" s="131"/>
      <c r="M162" s="131"/>
    </row>
    <row r="163" spans="1:13" ht="22.5" x14ac:dyDescent="0.2">
      <c r="A163" s="308" t="s">
        <v>894</v>
      </c>
      <c r="B163" s="309" t="s">
        <v>895</v>
      </c>
      <c r="C163" s="164" t="s">
        <v>449</v>
      </c>
      <c r="D163" s="164" t="s">
        <v>763</v>
      </c>
      <c r="E163" s="229">
        <f>(1* 25%) + 1</f>
        <v>1.25</v>
      </c>
      <c r="F163" s="196">
        <f>475*1.1</f>
        <v>522.5</v>
      </c>
      <c r="G163" s="167"/>
      <c r="L163" s="131"/>
      <c r="M163" s="131"/>
    </row>
    <row r="164" spans="1:13" x14ac:dyDescent="0.2">
      <c r="A164" s="308"/>
      <c r="B164" s="310" t="s">
        <v>297</v>
      </c>
      <c r="C164" s="164"/>
      <c r="D164" s="164"/>
      <c r="E164" s="253"/>
      <c r="F164" s="166"/>
      <c r="G164" s="167"/>
      <c r="L164" s="131"/>
      <c r="M164" s="131"/>
    </row>
    <row r="165" spans="1:13" x14ac:dyDescent="0.2">
      <c r="A165" s="308"/>
      <c r="B165" s="310" t="s">
        <v>298</v>
      </c>
      <c r="C165" s="164"/>
      <c r="D165" s="164"/>
      <c r="E165" s="253"/>
      <c r="F165" s="166"/>
      <c r="G165" s="167"/>
      <c r="L165" s="131"/>
      <c r="M165" s="131"/>
    </row>
    <row r="166" spans="1:13" x14ac:dyDescent="0.2">
      <c r="A166" s="308"/>
      <c r="B166" s="310" t="s">
        <v>299</v>
      </c>
      <c r="C166" s="164"/>
      <c r="D166" s="164"/>
      <c r="E166" s="253"/>
      <c r="F166" s="166"/>
      <c r="G166" s="167"/>
      <c r="L166" s="131"/>
      <c r="M166" s="131"/>
    </row>
    <row r="167" spans="1:13" x14ac:dyDescent="0.2">
      <c r="A167" s="308"/>
      <c r="B167" s="310" t="s">
        <v>300</v>
      </c>
      <c r="C167" s="164"/>
      <c r="D167" s="164"/>
      <c r="E167" s="253"/>
      <c r="F167" s="166"/>
      <c r="G167" s="167"/>
    </row>
    <row r="168" spans="1:13" ht="13.5" customHeight="1" thickBot="1" x14ac:dyDescent="0.25">
      <c r="A168" s="311"/>
      <c r="B168" s="312" t="s">
        <v>15</v>
      </c>
      <c r="C168" s="170"/>
      <c r="D168" s="170"/>
      <c r="E168" s="269"/>
      <c r="F168" s="172"/>
      <c r="G168" s="173"/>
    </row>
    <row r="169" spans="1:13" ht="22.5" x14ac:dyDescent="0.2">
      <c r="A169" s="313" t="s">
        <v>896</v>
      </c>
      <c r="B169" s="314" t="s">
        <v>897</v>
      </c>
      <c r="C169" s="156" t="s">
        <v>449</v>
      </c>
      <c r="D169" s="156" t="s">
        <v>763</v>
      </c>
      <c r="E169" s="229">
        <f>(2* 25%) + 2</f>
        <v>2.5</v>
      </c>
      <c r="F169" s="158">
        <f>475*1.1</f>
        <v>522.5</v>
      </c>
      <c r="G169" s="159"/>
    </row>
    <row r="170" spans="1:13" ht="14.25" customHeight="1" x14ac:dyDescent="0.2">
      <c r="A170" s="308"/>
      <c r="B170" s="309" t="s">
        <v>385</v>
      </c>
      <c r="C170" s="164"/>
      <c r="D170" s="164"/>
      <c r="E170" s="253"/>
      <c r="F170" s="166"/>
      <c r="G170" s="167"/>
      <c r="H170" s="138"/>
      <c r="I170" s="138"/>
    </row>
    <row r="171" spans="1:13" x14ac:dyDescent="0.2">
      <c r="A171" s="308"/>
      <c r="B171" s="310" t="s">
        <v>301</v>
      </c>
      <c r="C171" s="164"/>
      <c r="D171" s="164"/>
      <c r="E171" s="253"/>
      <c r="F171" s="166"/>
      <c r="G171" s="167"/>
    </row>
    <row r="172" spans="1:13" x14ac:dyDescent="0.2">
      <c r="A172" s="308"/>
      <c r="B172" s="310" t="s">
        <v>302</v>
      </c>
      <c r="C172" s="164"/>
      <c r="D172" s="164"/>
      <c r="E172" s="253"/>
      <c r="F172" s="166"/>
      <c r="G172" s="167"/>
      <c r="H172" s="127"/>
      <c r="I172" s="127"/>
    </row>
    <row r="173" spans="1:13" x14ac:dyDescent="0.2">
      <c r="A173" s="308"/>
      <c r="B173" s="310" t="s">
        <v>303</v>
      </c>
      <c r="C173" s="164"/>
      <c r="D173" s="164"/>
      <c r="E173" s="253"/>
      <c r="F173" s="166"/>
      <c r="G173" s="167"/>
    </row>
    <row r="174" spans="1:13" x14ac:dyDescent="0.2">
      <c r="A174" s="308"/>
      <c r="B174" s="310" t="s">
        <v>304</v>
      </c>
      <c r="C174" s="164"/>
      <c r="D174" s="164"/>
      <c r="E174" s="253"/>
      <c r="F174" s="166"/>
      <c r="G174" s="167"/>
    </row>
    <row r="175" spans="1:13" ht="13.5" thickBot="1" x14ac:dyDescent="0.25">
      <c r="A175" s="311"/>
      <c r="B175" s="312" t="s">
        <v>305</v>
      </c>
      <c r="C175" s="170"/>
      <c r="D175" s="170"/>
      <c r="E175" s="269"/>
      <c r="F175" s="172"/>
      <c r="G175" s="173"/>
    </row>
    <row r="176" spans="1:13" ht="33.75" x14ac:dyDescent="0.2">
      <c r="A176" s="313" t="s">
        <v>898</v>
      </c>
      <c r="B176" s="314" t="s">
        <v>899</v>
      </c>
      <c r="C176" s="156" t="s">
        <v>449</v>
      </c>
      <c r="D176" s="156" t="s">
        <v>763</v>
      </c>
      <c r="E176" s="229">
        <f>(3* 25%) + 3</f>
        <v>3.75</v>
      </c>
      <c r="F176" s="158">
        <f>475*1.1</f>
        <v>522.5</v>
      </c>
      <c r="G176" s="159"/>
    </row>
    <row r="177" spans="1:9" x14ac:dyDescent="0.2">
      <c r="A177" s="315"/>
      <c r="B177" s="316" t="s">
        <v>900</v>
      </c>
      <c r="C177" s="232"/>
      <c r="D177" s="232"/>
      <c r="E177" s="317"/>
      <c r="F177" s="234">
        <f>850*1.1</f>
        <v>935.00000000000011</v>
      </c>
      <c r="G177" s="318"/>
    </row>
    <row r="178" spans="1:9" x14ac:dyDescent="0.2">
      <c r="A178" s="319"/>
      <c r="B178" s="320" t="s">
        <v>306</v>
      </c>
      <c r="C178" s="321"/>
      <c r="D178" s="321"/>
      <c r="E178" s="322"/>
      <c r="F178" s="186">
        <f>1350*1.1</f>
        <v>1485.0000000000002</v>
      </c>
      <c r="G178" s="318"/>
      <c r="H178" s="138"/>
      <c r="I178" s="138"/>
    </row>
    <row r="179" spans="1:9" x14ac:dyDescent="0.2">
      <c r="A179" s="319"/>
      <c r="B179" s="320" t="s">
        <v>307</v>
      </c>
      <c r="C179" s="323"/>
      <c r="D179" s="321"/>
      <c r="E179" s="322"/>
      <c r="F179" s="186">
        <f>1200*1.1</f>
        <v>1320</v>
      </c>
      <c r="G179" s="318"/>
      <c r="H179" s="138"/>
      <c r="I179" s="138"/>
    </row>
    <row r="180" spans="1:9" ht="13.5" thickBot="1" x14ac:dyDescent="0.25">
      <c r="A180" s="207"/>
      <c r="B180" s="324" t="s">
        <v>308</v>
      </c>
      <c r="C180" s="199"/>
      <c r="D180" s="199"/>
      <c r="E180" s="209"/>
      <c r="F180" s="210">
        <f>1350*1.1</f>
        <v>1485.0000000000002</v>
      </c>
      <c r="G180" s="200"/>
    </row>
    <row r="181" spans="1:9" ht="13.5" thickBot="1" x14ac:dyDescent="0.25">
      <c r="H181" s="127"/>
      <c r="I181" s="127"/>
    </row>
    <row r="182" spans="1:9" ht="13.5" thickBot="1" x14ac:dyDescent="0.25">
      <c r="A182" s="175" t="s">
        <v>767</v>
      </c>
      <c r="B182" s="176"/>
      <c r="C182" s="177"/>
      <c r="D182" s="178"/>
      <c r="H182" s="127"/>
      <c r="I182" s="127"/>
    </row>
    <row r="183" spans="1:9" x14ac:dyDescent="0.2">
      <c r="A183" s="215" t="s">
        <v>768</v>
      </c>
      <c r="B183" s="216" t="s">
        <v>808</v>
      </c>
      <c r="C183" s="216" t="s">
        <v>768</v>
      </c>
      <c r="D183" s="217" t="s">
        <v>809</v>
      </c>
      <c r="H183" s="127"/>
      <c r="I183" s="127"/>
    </row>
    <row r="184" spans="1:9" x14ac:dyDescent="0.2">
      <c r="A184" s="260" t="s">
        <v>775</v>
      </c>
      <c r="B184" s="261">
        <f>60*1.1</f>
        <v>66</v>
      </c>
      <c r="C184" s="325" t="s">
        <v>901</v>
      </c>
      <c r="D184" s="326" t="s">
        <v>778</v>
      </c>
    </row>
    <row r="185" spans="1:9" x14ac:dyDescent="0.2">
      <c r="A185" s="260" t="s">
        <v>824</v>
      </c>
      <c r="B185" s="327">
        <f>290*1.1</f>
        <v>319</v>
      </c>
      <c r="C185" s="328" t="s">
        <v>902</v>
      </c>
      <c r="D185" s="326" t="s">
        <v>903</v>
      </c>
    </row>
    <row r="186" spans="1:9" x14ac:dyDescent="0.2">
      <c r="A186" s="260" t="s">
        <v>780</v>
      </c>
      <c r="B186" s="329" t="s">
        <v>904</v>
      </c>
      <c r="C186" s="330" t="s">
        <v>905</v>
      </c>
      <c r="D186" s="326" t="s">
        <v>903</v>
      </c>
    </row>
    <row r="187" spans="1:9" x14ac:dyDescent="0.2">
      <c r="A187" s="260" t="s">
        <v>178</v>
      </c>
      <c r="B187" s="329" t="s">
        <v>904</v>
      </c>
      <c r="C187" s="331" t="s">
        <v>906</v>
      </c>
      <c r="D187" s="326" t="s">
        <v>907</v>
      </c>
    </row>
    <row r="188" spans="1:9" x14ac:dyDescent="0.2">
      <c r="A188" s="290" t="s">
        <v>908</v>
      </c>
      <c r="B188" s="329" t="s">
        <v>904</v>
      </c>
      <c r="C188" s="262" t="s">
        <v>184</v>
      </c>
      <c r="D188" s="264" t="s">
        <v>909</v>
      </c>
    </row>
    <row r="189" spans="1:9" x14ac:dyDescent="0.2">
      <c r="A189" s="332" t="s">
        <v>152</v>
      </c>
      <c r="B189" s="333" t="s">
        <v>910</v>
      </c>
      <c r="C189" s="262" t="s">
        <v>80</v>
      </c>
      <c r="D189" s="264" t="s">
        <v>911</v>
      </c>
      <c r="F189" s="162"/>
    </row>
    <row r="190" spans="1:9" ht="13.5" thickBot="1" x14ac:dyDescent="0.25">
      <c r="A190" s="334" t="s">
        <v>912</v>
      </c>
      <c r="B190" s="335" t="s">
        <v>913</v>
      </c>
      <c r="C190" s="336"/>
      <c r="D190" s="266"/>
    </row>
    <row r="193" spans="1:7" ht="13.5" thickBot="1" x14ac:dyDescent="0.25"/>
    <row r="194" spans="1:7" x14ac:dyDescent="0.2">
      <c r="A194" s="132"/>
      <c r="B194" s="133"/>
      <c r="C194" s="134" t="s">
        <v>755</v>
      </c>
      <c r="D194" s="133"/>
      <c r="E194" s="135"/>
      <c r="F194" s="136"/>
      <c r="G194" s="137"/>
    </row>
    <row r="195" spans="1:7" ht="13.5" thickBot="1" x14ac:dyDescent="0.25">
      <c r="A195" s="133"/>
      <c r="B195" s="133"/>
      <c r="C195" s="134" t="s">
        <v>756</v>
      </c>
      <c r="D195" s="133"/>
      <c r="E195" s="135"/>
      <c r="F195" s="140"/>
      <c r="G195" s="141"/>
    </row>
    <row r="196" spans="1:7" ht="13.5" thickBot="1" x14ac:dyDescent="0.25"/>
    <row r="197" spans="1:7" x14ac:dyDescent="0.2">
      <c r="A197" s="280" t="s">
        <v>914</v>
      </c>
      <c r="B197" s="283" t="s">
        <v>915</v>
      </c>
      <c r="D197" s="276" t="s">
        <v>916</v>
      </c>
      <c r="E197" s="337" t="s">
        <v>915</v>
      </c>
    </row>
    <row r="198" spans="1:7" x14ac:dyDescent="0.2">
      <c r="A198" s="290" t="s">
        <v>917</v>
      </c>
      <c r="B198" s="338">
        <v>-0.1</v>
      </c>
      <c r="D198" s="339">
        <v>1000</v>
      </c>
      <c r="E198" s="338">
        <v>-0.05</v>
      </c>
      <c r="F198" s="130" t="s">
        <v>918</v>
      </c>
    </row>
    <row r="199" spans="1:7" x14ac:dyDescent="0.2">
      <c r="A199" s="290" t="s">
        <v>919</v>
      </c>
      <c r="B199" s="338">
        <v>0.1</v>
      </c>
      <c r="D199" s="339">
        <v>2500</v>
      </c>
      <c r="E199" s="338">
        <v>-7.0000000000000007E-2</v>
      </c>
      <c r="F199" s="130" t="s">
        <v>918</v>
      </c>
    </row>
    <row r="200" spans="1:7" ht="13.5" thickBot="1" x14ac:dyDescent="0.25">
      <c r="A200" s="290" t="s">
        <v>920</v>
      </c>
      <c r="B200" s="338">
        <v>0.2</v>
      </c>
      <c r="D200" s="340">
        <v>5000</v>
      </c>
      <c r="E200" s="341">
        <v>-0.08</v>
      </c>
      <c r="F200" s="130" t="s">
        <v>918</v>
      </c>
    </row>
    <row r="201" spans="1:7" ht="13.5" thickBot="1" x14ac:dyDescent="0.25">
      <c r="A201" s="284" t="s">
        <v>921</v>
      </c>
      <c r="B201" s="341">
        <v>0.25</v>
      </c>
      <c r="D201" s="130"/>
      <c r="E201" s="342"/>
    </row>
    <row r="202" spans="1:7" ht="13.5" thickBot="1" x14ac:dyDescent="0.25"/>
    <row r="203" spans="1:7" ht="23.25" thickBot="1" x14ac:dyDescent="0.25">
      <c r="A203" s="343" t="s">
        <v>922</v>
      </c>
      <c r="B203" s="283" t="s">
        <v>923</v>
      </c>
      <c r="D203" s="344" t="s">
        <v>924</v>
      </c>
      <c r="E203" s="345" t="s">
        <v>925</v>
      </c>
      <c r="F203" s="346" t="s">
        <v>926</v>
      </c>
    </row>
    <row r="204" spans="1:7" x14ac:dyDescent="0.2">
      <c r="A204" s="290" t="s">
        <v>927</v>
      </c>
      <c r="B204" s="347" t="s">
        <v>928</v>
      </c>
      <c r="D204" s="348"/>
      <c r="E204" s="349"/>
      <c r="F204" s="214"/>
    </row>
    <row r="205" spans="1:7" ht="22.5" x14ac:dyDescent="0.2">
      <c r="A205" s="290" t="s">
        <v>929</v>
      </c>
      <c r="B205" s="338">
        <v>-0.25</v>
      </c>
      <c r="D205" s="339" t="s">
        <v>930</v>
      </c>
      <c r="E205" s="350" t="s">
        <v>931</v>
      </c>
      <c r="F205" s="351" t="s">
        <v>568</v>
      </c>
    </row>
    <row r="206" spans="1:7" x14ac:dyDescent="0.2">
      <c r="A206" s="290" t="s">
        <v>932</v>
      </c>
      <c r="B206" s="338">
        <v>-0.35</v>
      </c>
      <c r="D206" s="593" t="s">
        <v>933</v>
      </c>
      <c r="E206" s="129" t="s">
        <v>934</v>
      </c>
      <c r="F206" s="352"/>
    </row>
    <row r="207" spans="1:7" ht="13.5" thickBot="1" x14ac:dyDescent="0.25">
      <c r="A207" s="284" t="s">
        <v>935</v>
      </c>
      <c r="B207" s="341">
        <v>-0.25</v>
      </c>
      <c r="D207" s="594"/>
      <c r="E207" s="353"/>
      <c r="F207" s="354"/>
    </row>
    <row r="208" spans="1:7" ht="13.5" thickBot="1" x14ac:dyDescent="0.25">
      <c r="D208" s="248"/>
      <c r="E208" s="130"/>
    </row>
    <row r="209" spans="1:9" x14ac:dyDescent="0.2">
      <c r="A209" s="355"/>
      <c r="B209" s="283" t="s">
        <v>936</v>
      </c>
      <c r="D209" s="248"/>
      <c r="E209" s="130"/>
    </row>
    <row r="210" spans="1:9" x14ac:dyDescent="0.2">
      <c r="A210" s="290" t="s">
        <v>937</v>
      </c>
      <c r="B210" s="338">
        <v>-0.1</v>
      </c>
      <c r="D210" s="248"/>
      <c r="E210" s="130"/>
    </row>
    <row r="211" spans="1:9" x14ac:dyDescent="0.2">
      <c r="A211" s="290" t="s">
        <v>938</v>
      </c>
      <c r="B211" s="338">
        <v>-0.1</v>
      </c>
      <c r="D211" s="248"/>
      <c r="E211" s="130"/>
    </row>
    <row r="212" spans="1:9" x14ac:dyDescent="0.2">
      <c r="A212" s="290" t="s">
        <v>939</v>
      </c>
      <c r="B212" s="338">
        <v>-0.05</v>
      </c>
      <c r="D212" s="248"/>
      <c r="E212" s="130"/>
    </row>
    <row r="213" spans="1:9" x14ac:dyDescent="0.2">
      <c r="A213" s="290" t="s">
        <v>940</v>
      </c>
      <c r="B213" s="356" t="s">
        <v>941</v>
      </c>
      <c r="D213" s="248"/>
      <c r="E213" s="130"/>
    </row>
    <row r="214" spans="1:9" x14ac:dyDescent="0.2">
      <c r="A214" s="290" t="s">
        <v>942</v>
      </c>
      <c r="B214" s="338">
        <v>-0.05</v>
      </c>
      <c r="D214" s="248"/>
      <c r="E214" s="130"/>
    </row>
    <row r="215" spans="1:9" ht="13.5" thickBot="1" x14ac:dyDescent="0.25">
      <c r="A215" s="357" t="s">
        <v>943</v>
      </c>
      <c r="B215" s="358"/>
      <c r="D215" s="248"/>
      <c r="E215" s="130"/>
    </row>
    <row r="216" spans="1:9" ht="13.5" thickBot="1" x14ac:dyDescent="0.25">
      <c r="A216" s="138"/>
      <c r="D216" s="248"/>
      <c r="E216" s="130"/>
    </row>
    <row r="217" spans="1:9" ht="13.5" thickBot="1" x14ac:dyDescent="0.25">
      <c r="A217" s="359"/>
      <c r="B217" s="360" t="s">
        <v>944</v>
      </c>
      <c r="C217" s="361"/>
      <c r="D217" s="362"/>
      <c r="E217" s="128"/>
      <c r="H217" s="138"/>
      <c r="I217" s="138"/>
    </row>
    <row r="218" spans="1:9" x14ac:dyDescent="0.2">
      <c r="A218" s="276" t="s">
        <v>945</v>
      </c>
      <c r="B218" s="363">
        <v>-0.15</v>
      </c>
      <c r="C218" s="364" t="s">
        <v>946</v>
      </c>
      <c r="D218" s="365"/>
      <c r="E218" s="128"/>
    </row>
    <row r="219" spans="1:9" x14ac:dyDescent="0.2">
      <c r="A219" s="366"/>
      <c r="B219" s="128"/>
      <c r="C219" s="367" t="s">
        <v>947</v>
      </c>
      <c r="D219" s="352"/>
      <c r="E219" s="128"/>
    </row>
    <row r="220" spans="1:9" x14ac:dyDescent="0.2">
      <c r="A220" s="366"/>
      <c r="B220" s="128"/>
      <c r="C220" s="129" t="s">
        <v>948</v>
      </c>
      <c r="D220" s="352"/>
      <c r="E220" s="128"/>
    </row>
    <row r="221" spans="1:9" x14ac:dyDescent="0.2">
      <c r="A221" s="366"/>
      <c r="B221" s="128"/>
      <c r="C221" s="129"/>
      <c r="D221" s="352"/>
      <c r="E221" s="128"/>
    </row>
    <row r="222" spans="1:9" x14ac:dyDescent="0.2">
      <c r="A222" s="368" t="s">
        <v>949</v>
      </c>
      <c r="B222" s="342">
        <v>0.25</v>
      </c>
      <c r="C222" s="129" t="s">
        <v>950</v>
      </c>
      <c r="D222" s="352"/>
      <c r="E222" s="128"/>
    </row>
    <row r="223" spans="1:9" ht="13.5" thickBot="1" x14ac:dyDescent="0.25">
      <c r="A223" s="369"/>
      <c r="B223" s="286"/>
      <c r="C223" s="287" t="s">
        <v>951</v>
      </c>
      <c r="D223" s="354"/>
      <c r="E223" s="128"/>
    </row>
    <row r="225" spans="1:1" x14ac:dyDescent="0.2">
      <c r="A225" s="126" t="s">
        <v>952</v>
      </c>
    </row>
  </sheetData>
  <mergeCells count="1">
    <mergeCell ref="D206:D207"/>
  </mergeCells>
  <pageMargins left="0.75" right="0.75" top="0.5" bottom="0.25" header="0.5" footer="0.5"/>
  <pageSetup scale="84" fitToHeight="0" orientation="landscape" r:id="rId1"/>
  <headerFooter alignWithMargins="0"/>
  <rowBreaks count="4" manualBreakCount="4">
    <brk id="43" max="6" man="1"/>
    <brk id="77" max="6" man="1"/>
    <brk id="144" max="6" man="1"/>
    <brk id="190" max="6"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0EA52-D5E9-4A86-9F2A-FA6293DA7D9F}">
  <sheetPr codeName="Sheet5">
    <pageSetUpPr fitToPage="1"/>
  </sheetPr>
  <dimension ref="A1:M102"/>
  <sheetViews>
    <sheetView topLeftCell="A33" zoomScale="145" zoomScaleNormal="145" zoomScaleSheetLayoutView="110" workbookViewId="0">
      <selection activeCell="E55" sqref="E55"/>
    </sheetView>
  </sheetViews>
  <sheetFormatPr defaultRowHeight="12.75" x14ac:dyDescent="0.2"/>
  <cols>
    <col min="1" max="1" width="20.28515625" style="126" customWidth="1"/>
    <col min="2" max="2" width="13" style="128" customWidth="1"/>
    <col min="3" max="3" width="13.42578125" style="128" customWidth="1"/>
    <col min="4" max="4" width="15" style="128" customWidth="1"/>
    <col min="5" max="5" width="13.28515625" style="128" customWidth="1"/>
    <col min="6" max="6" width="22.140625" style="130" customWidth="1"/>
    <col min="7" max="7" width="20" style="130" customWidth="1"/>
    <col min="8" max="8" width="21.7109375" style="130" customWidth="1"/>
    <col min="9" max="13" width="9.140625" style="126"/>
    <col min="14" max="16384" width="9.140625" style="131"/>
  </cols>
  <sheetData>
    <row r="1" spans="1:13" ht="13.5" thickBot="1" x14ac:dyDescent="0.25">
      <c r="C1" s="127"/>
      <c r="D1" s="128" t="s">
        <v>754</v>
      </c>
      <c r="E1" s="129"/>
      <c r="G1" s="128"/>
      <c r="H1" s="126"/>
    </row>
    <row r="2" spans="1:13" s="373" customFormat="1" x14ac:dyDescent="0.2">
      <c r="A2" s="370"/>
      <c r="B2" s="371"/>
      <c r="C2" s="134"/>
      <c r="D2" s="134" t="s">
        <v>953</v>
      </c>
      <c r="E2" s="134"/>
      <c r="F2" s="372"/>
      <c r="G2" s="136"/>
      <c r="H2" s="137"/>
    </row>
    <row r="3" spans="1:13" ht="13.5" thickBot="1" x14ac:dyDescent="0.25">
      <c r="G3" s="140"/>
      <c r="H3" s="141"/>
    </row>
    <row r="4" spans="1:13" s="126" customFormat="1" ht="12" thickBot="1" x14ac:dyDescent="0.25">
      <c r="A4" s="228" t="s">
        <v>954</v>
      </c>
      <c r="B4" s="155"/>
      <c r="C4" s="156"/>
      <c r="D4" s="374"/>
      <c r="E4" s="128"/>
      <c r="F4" s="130"/>
      <c r="G4" s="130"/>
      <c r="H4" s="130"/>
    </row>
    <row r="5" spans="1:13" s="138" customFormat="1" ht="12.75" customHeight="1" x14ac:dyDescent="0.2">
      <c r="A5" s="375" t="s">
        <v>315</v>
      </c>
      <c r="B5" s="376" t="s">
        <v>955</v>
      </c>
      <c r="C5" s="377" t="s">
        <v>956</v>
      </c>
      <c r="D5" s="378" t="s">
        <v>957</v>
      </c>
      <c r="F5" s="379" t="s">
        <v>958</v>
      </c>
      <c r="G5" s="349"/>
      <c r="H5" s="380" t="s">
        <v>959</v>
      </c>
    </row>
    <row r="6" spans="1:13" s="126" customFormat="1" ht="11.25" x14ac:dyDescent="0.2">
      <c r="A6" s="308" t="s">
        <v>960</v>
      </c>
      <c r="B6" s="166">
        <v>5000000</v>
      </c>
      <c r="C6" s="166">
        <v>5000000</v>
      </c>
      <c r="D6" s="381">
        <v>1000000</v>
      </c>
      <c r="F6" s="382" t="s">
        <v>961</v>
      </c>
      <c r="H6" s="383">
        <v>0.25</v>
      </c>
    </row>
    <row r="7" spans="1:13" s="126" customFormat="1" ht="12" thickBot="1" x14ac:dyDescent="0.25">
      <c r="A7" s="308" t="s">
        <v>962</v>
      </c>
      <c r="B7" s="166">
        <v>5000000</v>
      </c>
      <c r="C7" s="166">
        <v>5000000</v>
      </c>
      <c r="D7" s="381">
        <v>1000000</v>
      </c>
      <c r="F7" s="384" t="s">
        <v>963</v>
      </c>
      <c r="G7" s="285"/>
      <c r="H7" s="385">
        <v>0.5</v>
      </c>
    </row>
    <row r="8" spans="1:13" s="126" customFormat="1" ht="12" thickBot="1" x14ac:dyDescent="0.25">
      <c r="A8" s="311" t="s">
        <v>964</v>
      </c>
      <c r="B8" s="172">
        <v>5000000</v>
      </c>
      <c r="C8" s="386">
        <v>3000000</v>
      </c>
      <c r="D8" s="387">
        <v>1000000</v>
      </c>
    </row>
    <row r="9" spans="1:13" s="126" customFormat="1" ht="11.25" x14ac:dyDescent="0.2">
      <c r="A9" s="128"/>
      <c r="B9" s="130"/>
      <c r="C9" s="130"/>
      <c r="D9" s="130"/>
    </row>
    <row r="10" spans="1:13" s="126" customFormat="1" ht="11.25" x14ac:dyDescent="0.2">
      <c r="A10" s="388"/>
      <c r="B10" s="389"/>
      <c r="C10" s="389"/>
      <c r="D10" s="389"/>
      <c r="E10" s="390"/>
    </row>
    <row r="11" spans="1:13" s="126" customFormat="1" ht="11.25" x14ac:dyDescent="0.2">
      <c r="A11" s="388"/>
      <c r="B11" s="389"/>
      <c r="C11" s="389"/>
      <c r="D11" s="389"/>
      <c r="E11" s="390"/>
      <c r="F11" s="389"/>
      <c r="G11" s="389"/>
      <c r="H11" s="130"/>
    </row>
    <row r="12" spans="1:13" ht="13.5" thickBot="1" x14ac:dyDescent="0.25">
      <c r="A12" s="138"/>
    </row>
    <row r="13" spans="1:13" s="139" customFormat="1" ht="13.5" thickBot="1" x14ac:dyDescent="0.25">
      <c r="A13" s="391" t="s">
        <v>757</v>
      </c>
      <c r="B13" s="344" t="s">
        <v>315</v>
      </c>
      <c r="C13" s="344" t="s">
        <v>965</v>
      </c>
      <c r="D13" s="344" t="s">
        <v>966</v>
      </c>
      <c r="E13" s="392" t="s">
        <v>222</v>
      </c>
      <c r="F13" s="393" t="s">
        <v>967</v>
      </c>
      <c r="G13" s="394" t="s">
        <v>223</v>
      </c>
      <c r="H13" s="395" t="s">
        <v>968</v>
      </c>
      <c r="I13" s="138"/>
      <c r="J13" s="138"/>
      <c r="K13" s="138"/>
      <c r="L13" s="138"/>
      <c r="M13" s="138"/>
    </row>
    <row r="14" spans="1:13" x14ac:dyDescent="0.2">
      <c r="A14" s="154" t="s">
        <v>762</v>
      </c>
      <c r="B14" s="156"/>
      <c r="C14" s="156"/>
      <c r="D14" s="156"/>
      <c r="E14" s="156"/>
      <c r="F14" s="158">
        <f>600*1.1</f>
        <v>660</v>
      </c>
      <c r="G14" s="158">
        <f>65*1.1</f>
        <v>71.5</v>
      </c>
      <c r="H14" s="396" t="s">
        <v>969</v>
      </c>
    </row>
    <row r="15" spans="1:13" x14ac:dyDescent="0.2">
      <c r="A15" s="162" t="s">
        <v>970</v>
      </c>
      <c r="B15" s="164" t="s">
        <v>971</v>
      </c>
      <c r="C15" s="397">
        <f xml:space="preserve"> (0.107* 30%) + 0.107</f>
        <v>0.1391</v>
      </c>
      <c r="D15" s="397">
        <f>(0.182*30%)+0.182</f>
        <v>0.23659999999999998</v>
      </c>
      <c r="E15" s="397">
        <f>(0.091*30%)+0.091</f>
        <v>0.11829999999999999</v>
      </c>
      <c r="F15" s="166"/>
      <c r="G15" s="166"/>
      <c r="H15" s="398" t="s">
        <v>972</v>
      </c>
    </row>
    <row r="16" spans="1:13" x14ac:dyDescent="0.2">
      <c r="A16" s="162" t="s">
        <v>973</v>
      </c>
      <c r="B16" s="164" t="s">
        <v>218</v>
      </c>
      <c r="C16" s="397">
        <f xml:space="preserve"> (0.26*30%) +0.26</f>
        <v>0.33800000000000002</v>
      </c>
      <c r="D16" s="397">
        <f xml:space="preserve"> (0.377*30%)+0.377</f>
        <v>0.49009999999999998</v>
      </c>
      <c r="E16" s="397">
        <f xml:space="preserve"> (0.182*30%)+0.182</f>
        <v>0.23659999999999998</v>
      </c>
      <c r="F16" s="166"/>
      <c r="G16" s="166"/>
      <c r="H16" s="398" t="s">
        <v>974</v>
      </c>
    </row>
    <row r="17" spans="1:8" ht="13.5" thickBot="1" x14ac:dyDescent="0.25">
      <c r="A17" s="168" t="s">
        <v>975</v>
      </c>
      <c r="B17" s="170" t="s">
        <v>219</v>
      </c>
      <c r="C17" s="399">
        <f xml:space="preserve"> (0.377*30%)+0.377</f>
        <v>0.49009999999999998</v>
      </c>
      <c r="D17" s="399">
        <f>(0.455*30%)+0.455</f>
        <v>0.59150000000000003</v>
      </c>
      <c r="E17" s="399">
        <f xml:space="preserve"> (0.228*30%)+0.228</f>
        <v>0.2964</v>
      </c>
      <c r="F17" s="172"/>
      <c r="G17" s="172"/>
      <c r="H17" s="400" t="s">
        <v>976</v>
      </c>
    </row>
    <row r="18" spans="1:8" ht="13.5" thickBot="1" x14ac:dyDescent="0.25">
      <c r="C18" s="401"/>
      <c r="D18" s="401"/>
      <c r="E18" s="401"/>
    </row>
    <row r="19" spans="1:8" x14ac:dyDescent="0.2">
      <c r="A19" s="154" t="s">
        <v>977</v>
      </c>
      <c r="B19" s="156"/>
      <c r="C19" s="156"/>
      <c r="D19" s="156"/>
      <c r="E19" s="156"/>
      <c r="F19" s="158">
        <f>1000*1.1</f>
        <v>1100</v>
      </c>
      <c r="G19" s="158">
        <f>65*1.1</f>
        <v>71.5</v>
      </c>
      <c r="H19" s="402">
        <v>55</v>
      </c>
    </row>
    <row r="20" spans="1:8" x14ac:dyDescent="0.2">
      <c r="A20" s="162"/>
      <c r="B20" s="164" t="s">
        <v>971</v>
      </c>
      <c r="C20" s="403">
        <f>(0.32*30%)+0.32</f>
        <v>0.41600000000000004</v>
      </c>
      <c r="D20" s="403">
        <f>(0.549*30%)+0.549</f>
        <v>0.7137</v>
      </c>
      <c r="E20" s="403">
        <f>(0.275*30%)+0.275</f>
        <v>0.35750000000000004</v>
      </c>
      <c r="F20" s="166"/>
      <c r="G20" s="166"/>
      <c r="H20" s="404"/>
    </row>
    <row r="21" spans="1:8" x14ac:dyDescent="0.2">
      <c r="A21" s="162" t="s">
        <v>978</v>
      </c>
      <c r="B21" s="164" t="s">
        <v>218</v>
      </c>
      <c r="C21" s="403">
        <f>(0.549*30%)+0.549</f>
        <v>0.7137</v>
      </c>
      <c r="D21" s="403">
        <f>(0.616*30%)+0.616</f>
        <v>0.80079999999999996</v>
      </c>
      <c r="E21" s="403">
        <f>(0.309*30%)+0.309</f>
        <v>0.4017</v>
      </c>
      <c r="F21" s="166"/>
      <c r="G21" s="166"/>
      <c r="H21" s="404"/>
    </row>
    <row r="22" spans="1:8" ht="13.5" thickBot="1" x14ac:dyDescent="0.25">
      <c r="A22" s="168"/>
      <c r="B22" s="170" t="s">
        <v>219</v>
      </c>
      <c r="C22" s="405">
        <f>(0.814*30%)+0.814</f>
        <v>1.0581999999999998</v>
      </c>
      <c r="D22" s="405">
        <f>(0.824*30%)+0.824</f>
        <v>1.0711999999999999</v>
      </c>
      <c r="E22" s="405">
        <f>(0.411*30%)+0.411</f>
        <v>0.5343</v>
      </c>
      <c r="F22" s="172"/>
      <c r="G22" s="172"/>
      <c r="H22" s="406"/>
    </row>
    <row r="23" spans="1:8" ht="13.5" thickBot="1" x14ac:dyDescent="0.25">
      <c r="C23" s="407"/>
      <c r="D23" s="407"/>
      <c r="E23" s="401"/>
    </row>
    <row r="24" spans="1:8" x14ac:dyDescent="0.2">
      <c r="A24" s="154" t="s">
        <v>979</v>
      </c>
      <c r="B24" s="156"/>
      <c r="C24" s="156"/>
      <c r="D24" s="156"/>
      <c r="E24" s="156"/>
      <c r="F24" s="158">
        <f>600*1.1</f>
        <v>660</v>
      </c>
      <c r="G24" s="158">
        <f>65*1.1</f>
        <v>71.5</v>
      </c>
      <c r="H24" s="268">
        <f>50*1.1</f>
        <v>55.000000000000007</v>
      </c>
    </row>
    <row r="25" spans="1:8" x14ac:dyDescent="0.2">
      <c r="A25" s="162"/>
      <c r="B25" s="164" t="s">
        <v>971</v>
      </c>
      <c r="C25" s="403">
        <f>(0.229*30%)+0.229</f>
        <v>0.29770000000000002</v>
      </c>
      <c r="D25" s="403">
        <f>(0.458*30%)+0.458</f>
        <v>0.59540000000000004</v>
      </c>
      <c r="E25" s="403">
        <f>(0.304*30%)+0.304</f>
        <v>0.3952</v>
      </c>
      <c r="F25" s="166"/>
      <c r="G25" s="166"/>
      <c r="H25" s="404"/>
    </row>
    <row r="26" spans="1:8" x14ac:dyDescent="0.2">
      <c r="A26" s="162" t="s">
        <v>980</v>
      </c>
      <c r="B26" s="164" t="s">
        <v>218</v>
      </c>
      <c r="C26" s="403">
        <f>(0.304*30%)+0.304</f>
        <v>0.3952</v>
      </c>
      <c r="D26" s="403">
        <f>(0.62*30%)+0.62</f>
        <v>0.80600000000000005</v>
      </c>
      <c r="E26" s="403">
        <f>(0.377*30%)+0.377</f>
        <v>0.49009999999999998</v>
      </c>
      <c r="F26" s="166"/>
      <c r="G26" s="166"/>
      <c r="H26" s="404"/>
    </row>
    <row r="27" spans="1:8" ht="13.5" thickBot="1" x14ac:dyDescent="0.25">
      <c r="A27" s="168" t="s">
        <v>981</v>
      </c>
      <c r="B27" s="170" t="s">
        <v>219</v>
      </c>
      <c r="C27" s="405">
        <f>(0.458*30%)+0.458</f>
        <v>0.59540000000000004</v>
      </c>
      <c r="D27" s="405">
        <f>(0.762*30%)+0.762</f>
        <v>0.99060000000000004</v>
      </c>
      <c r="E27" s="405">
        <f>(0.62*30%)+0.62</f>
        <v>0.80600000000000005</v>
      </c>
      <c r="F27" s="172"/>
      <c r="G27" s="172"/>
      <c r="H27" s="406"/>
    </row>
    <row r="28" spans="1:8" ht="13.5" thickBot="1" x14ac:dyDescent="0.25">
      <c r="C28" s="408"/>
      <c r="D28" s="408"/>
      <c r="E28" s="408"/>
    </row>
    <row r="29" spans="1:8" x14ac:dyDescent="0.2">
      <c r="A29" s="409" t="s">
        <v>982</v>
      </c>
      <c r="B29" s="349" t="s">
        <v>823</v>
      </c>
      <c r="C29" s="410"/>
      <c r="D29" s="156"/>
      <c r="E29" s="156"/>
      <c r="F29" s="268"/>
      <c r="G29" s="411"/>
      <c r="H29" s="402">
        <f>50*1.1</f>
        <v>55.000000000000007</v>
      </c>
    </row>
    <row r="30" spans="1:8" ht="13.5" thickBot="1" x14ac:dyDescent="0.25">
      <c r="A30" s="412" t="s">
        <v>983</v>
      </c>
      <c r="B30" s="321"/>
      <c r="C30" s="413"/>
      <c r="D30" s="414"/>
      <c r="E30" s="414"/>
      <c r="F30" s="415">
        <f>300*1.1</f>
        <v>330</v>
      </c>
      <c r="G30" s="186">
        <f>65*1.1</f>
        <v>71.5</v>
      </c>
      <c r="H30" s="416"/>
    </row>
    <row r="31" spans="1:8" x14ac:dyDescent="0.2">
      <c r="A31" s="417" t="s">
        <v>984</v>
      </c>
      <c r="B31" s="414"/>
      <c r="C31" s="414"/>
      <c r="D31" s="414"/>
      <c r="E31" s="414"/>
      <c r="F31" s="158">
        <f>600*1.1</f>
        <v>660</v>
      </c>
      <c r="G31" s="158">
        <f>65*1.1</f>
        <v>71.5</v>
      </c>
      <c r="H31" s="416"/>
    </row>
    <row r="32" spans="1:8" x14ac:dyDescent="0.2">
      <c r="A32" s="162"/>
      <c r="B32" s="164" t="s">
        <v>971</v>
      </c>
      <c r="C32" s="403">
        <f>(0.229*30%)+0.229</f>
        <v>0.29770000000000002</v>
      </c>
      <c r="D32" s="403">
        <f>(0.458*30%)+0.458</f>
        <v>0.59540000000000004</v>
      </c>
      <c r="E32" s="403">
        <f>(0.304*30%)+0.304</f>
        <v>0.3952</v>
      </c>
      <c r="F32" s="166"/>
      <c r="G32" s="418"/>
      <c r="H32" s="404"/>
    </row>
    <row r="33" spans="1:8" x14ac:dyDescent="0.2">
      <c r="A33" s="162" t="s">
        <v>985</v>
      </c>
      <c r="B33" s="164" t="s">
        <v>218</v>
      </c>
      <c r="C33" s="403">
        <f>(0.304*30%)+0.304</f>
        <v>0.3952</v>
      </c>
      <c r="D33" s="403">
        <f>(0.62*30%)+0.62</f>
        <v>0.80600000000000005</v>
      </c>
      <c r="E33" s="403">
        <f>(0.377*30%)+0.377</f>
        <v>0.49009999999999998</v>
      </c>
      <c r="F33" s="166"/>
      <c r="G33" s="166"/>
      <c r="H33" s="404"/>
    </row>
    <row r="34" spans="1:8" ht="13.5" thickBot="1" x14ac:dyDescent="0.25">
      <c r="A34" s="168" t="s">
        <v>986</v>
      </c>
      <c r="B34" s="170" t="s">
        <v>219</v>
      </c>
      <c r="C34" s="405">
        <f>(0.458*30%)+0.458</f>
        <v>0.59540000000000004</v>
      </c>
      <c r="D34" s="405">
        <f>(0.762*30%)+0.762</f>
        <v>0.99060000000000004</v>
      </c>
      <c r="E34" s="405">
        <f>(0.62*30%)+0.62</f>
        <v>0.80600000000000005</v>
      </c>
      <c r="F34" s="172"/>
      <c r="G34" s="172"/>
      <c r="H34" s="406"/>
    </row>
    <row r="35" spans="1:8" ht="13.5" thickBot="1" x14ac:dyDescent="0.25">
      <c r="C35" s="401"/>
      <c r="D35" s="401"/>
      <c r="E35" s="401"/>
    </row>
    <row r="36" spans="1:8" x14ac:dyDescent="0.2">
      <c r="A36" s="154" t="s">
        <v>987</v>
      </c>
      <c r="B36" s="156"/>
      <c r="C36" s="419"/>
      <c r="D36" s="419"/>
      <c r="E36" s="419"/>
      <c r="F36" s="158">
        <f>600*1.1</f>
        <v>660</v>
      </c>
      <c r="G36" s="158">
        <f>65*1.1</f>
        <v>71.5</v>
      </c>
      <c r="H36" s="268">
        <f>50*1.1</f>
        <v>55.000000000000007</v>
      </c>
    </row>
    <row r="37" spans="1:8" x14ac:dyDescent="0.2">
      <c r="A37" s="162"/>
      <c r="B37" s="164" t="s">
        <v>971</v>
      </c>
      <c r="C37" s="403">
        <f>(0.229*30%)+0.229</f>
        <v>0.29770000000000002</v>
      </c>
      <c r="D37" s="403">
        <f>(0.458*30%)+0.458</f>
        <v>0.59540000000000004</v>
      </c>
      <c r="E37" s="403">
        <f>(0.304*30%)+0.304</f>
        <v>0.3952</v>
      </c>
      <c r="F37" s="166"/>
      <c r="G37" s="420"/>
      <c r="H37" s="404"/>
    </row>
    <row r="38" spans="1:8" x14ac:dyDescent="0.2">
      <c r="A38" s="162" t="s">
        <v>980</v>
      </c>
      <c r="B38" s="164" t="s">
        <v>218</v>
      </c>
      <c r="C38" s="403">
        <f>(0.304*30%)+0.304</f>
        <v>0.3952</v>
      </c>
      <c r="D38" s="403">
        <f>(0.62*30%)+0.62</f>
        <v>0.80600000000000005</v>
      </c>
      <c r="E38" s="403">
        <f>(0.377*30%)+0.377</f>
        <v>0.49009999999999998</v>
      </c>
      <c r="F38" s="166"/>
      <c r="G38" s="166"/>
      <c r="H38" s="404"/>
    </row>
    <row r="39" spans="1:8" ht="13.5" thickBot="1" x14ac:dyDescent="0.25">
      <c r="A39" s="168" t="s">
        <v>988</v>
      </c>
      <c r="B39" s="170" t="s">
        <v>219</v>
      </c>
      <c r="C39" s="405">
        <f>(0.458*30%)+0.458</f>
        <v>0.59540000000000004</v>
      </c>
      <c r="D39" s="405">
        <f>(0.762*30%)+0.762</f>
        <v>0.99060000000000004</v>
      </c>
      <c r="E39" s="405">
        <f>(0.62*30%)+0.62</f>
        <v>0.80600000000000005</v>
      </c>
      <c r="F39" s="172"/>
      <c r="G39" s="172"/>
      <c r="H39" s="406"/>
    </row>
    <row r="40" spans="1:8" ht="13.5" thickBot="1" x14ac:dyDescent="0.25">
      <c r="C40" s="401"/>
      <c r="D40" s="407"/>
      <c r="E40" s="407"/>
    </row>
    <row r="41" spans="1:8" s="126" customFormat="1" x14ac:dyDescent="0.2">
      <c r="A41" s="370"/>
      <c r="B41" s="371"/>
      <c r="C41" s="134"/>
      <c r="D41" s="134" t="s">
        <v>953</v>
      </c>
      <c r="E41" s="134"/>
      <c r="F41" s="372"/>
      <c r="G41" s="136"/>
      <c r="H41" s="137"/>
    </row>
    <row r="42" spans="1:8" s="126" customFormat="1" ht="12" thickBot="1" x14ac:dyDescent="0.25">
      <c r="B42" s="128"/>
      <c r="C42" s="128"/>
      <c r="D42" s="128"/>
      <c r="E42" s="128"/>
      <c r="F42" s="130"/>
      <c r="G42" s="140"/>
      <c r="H42" s="141"/>
    </row>
    <row r="43" spans="1:8" s="126" customFormat="1" ht="12" thickBot="1" x14ac:dyDescent="0.25">
      <c r="A43" s="228" t="s">
        <v>954</v>
      </c>
      <c r="B43" s="155"/>
      <c r="C43" s="156"/>
      <c r="D43" s="374"/>
      <c r="E43" s="128"/>
      <c r="F43" s="130"/>
      <c r="G43" s="130"/>
      <c r="H43" s="130"/>
    </row>
    <row r="44" spans="1:8" s="138" customFormat="1" ht="12.75" customHeight="1" x14ac:dyDescent="0.2">
      <c r="A44" s="375" t="s">
        <v>315</v>
      </c>
      <c r="B44" s="376" t="s">
        <v>955</v>
      </c>
      <c r="C44" s="377" t="s">
        <v>956</v>
      </c>
      <c r="D44" s="378" t="s">
        <v>957</v>
      </c>
      <c r="F44" s="379" t="s">
        <v>958</v>
      </c>
      <c r="G44" s="349"/>
      <c r="H44" s="380" t="s">
        <v>959</v>
      </c>
    </row>
    <row r="45" spans="1:8" s="126" customFormat="1" ht="11.25" x14ac:dyDescent="0.2">
      <c r="A45" s="308" t="s">
        <v>960</v>
      </c>
      <c r="B45" s="166">
        <v>5000000</v>
      </c>
      <c r="C45" s="166">
        <v>5000000</v>
      </c>
      <c r="D45" s="381">
        <v>1000000</v>
      </c>
      <c r="F45" s="382" t="s">
        <v>961</v>
      </c>
      <c r="H45" s="383">
        <v>0.25</v>
      </c>
    </row>
    <row r="46" spans="1:8" s="126" customFormat="1" ht="12" thickBot="1" x14ac:dyDescent="0.25">
      <c r="A46" s="308" t="s">
        <v>962</v>
      </c>
      <c r="B46" s="166">
        <v>5000000</v>
      </c>
      <c r="C46" s="166">
        <v>5000000</v>
      </c>
      <c r="D46" s="381">
        <v>1000000</v>
      </c>
      <c r="F46" s="384" t="s">
        <v>963</v>
      </c>
      <c r="G46" s="285"/>
      <c r="H46" s="385">
        <v>0.5</v>
      </c>
    </row>
    <row r="47" spans="1:8" s="126" customFormat="1" ht="12" thickBot="1" x14ac:dyDescent="0.25">
      <c r="A47" s="311" t="s">
        <v>964</v>
      </c>
      <c r="B47" s="172">
        <v>5000000</v>
      </c>
      <c r="C47" s="386">
        <v>3000000</v>
      </c>
      <c r="D47" s="387">
        <v>1000000</v>
      </c>
    </row>
    <row r="48" spans="1:8" s="126" customFormat="1" ht="11.25" x14ac:dyDescent="0.2">
      <c r="A48" s="128"/>
      <c r="B48" s="130"/>
      <c r="C48" s="130"/>
      <c r="D48" s="130"/>
    </row>
    <row r="49" spans="1:13" s="126" customFormat="1" ht="11.25" x14ac:dyDescent="0.2">
      <c r="A49" s="388"/>
      <c r="B49" s="389"/>
      <c r="C49" s="389"/>
      <c r="D49" s="389"/>
    </row>
    <row r="50" spans="1:13" s="126" customFormat="1" ht="11.25" x14ac:dyDescent="0.2">
      <c r="A50" s="388"/>
      <c r="B50" s="389"/>
      <c r="C50" s="389"/>
      <c r="D50" s="389"/>
      <c r="F50" s="130"/>
      <c r="G50" s="130"/>
      <c r="H50" s="130"/>
    </row>
    <row r="51" spans="1:13" s="126" customFormat="1" ht="11.25" x14ac:dyDescent="0.2">
      <c r="A51" s="388"/>
      <c r="B51" s="389"/>
      <c r="C51" s="389"/>
      <c r="D51" s="389"/>
      <c r="F51" s="130"/>
      <c r="G51" s="130"/>
      <c r="H51" s="130"/>
    </row>
    <row r="52" spans="1:13" s="126" customFormat="1" ht="12" thickBot="1" x14ac:dyDescent="0.25">
      <c r="A52" s="128"/>
      <c r="B52" s="130"/>
      <c r="C52" s="130"/>
      <c r="D52" s="130"/>
      <c r="F52" s="130"/>
      <c r="G52" s="130"/>
      <c r="H52" s="130"/>
    </row>
    <row r="53" spans="1:13" s="139" customFormat="1" ht="13.5" thickBot="1" x14ac:dyDescent="0.25">
      <c r="A53" s="391" t="s">
        <v>757</v>
      </c>
      <c r="B53" s="344" t="s">
        <v>315</v>
      </c>
      <c r="C53" s="344" t="s">
        <v>965</v>
      </c>
      <c r="D53" s="344" t="s">
        <v>966</v>
      </c>
      <c r="E53" s="392" t="s">
        <v>222</v>
      </c>
      <c r="F53" s="393" t="s">
        <v>967</v>
      </c>
      <c r="G53" s="393" t="s">
        <v>223</v>
      </c>
      <c r="H53" s="393" t="s">
        <v>532</v>
      </c>
      <c r="I53" s="138"/>
      <c r="J53" s="138"/>
      <c r="K53" s="138"/>
      <c r="L53" s="138"/>
      <c r="M53" s="138"/>
    </row>
    <row r="54" spans="1:13" x14ac:dyDescent="0.2">
      <c r="A54" s="154" t="s">
        <v>888</v>
      </c>
      <c r="B54" s="156"/>
      <c r="C54" s="156"/>
      <c r="D54" s="156"/>
      <c r="E54" s="156"/>
      <c r="F54" s="268"/>
      <c r="G54" s="268"/>
      <c r="H54" s="268">
        <f>50*1.1</f>
        <v>55.000000000000007</v>
      </c>
    </row>
    <row r="55" spans="1:13" x14ac:dyDescent="0.2">
      <c r="A55" s="417" t="s">
        <v>989</v>
      </c>
      <c r="B55" s="414"/>
      <c r="C55" s="414"/>
      <c r="D55" s="414"/>
      <c r="E55" s="414"/>
      <c r="F55" s="421">
        <f>300*1.1</f>
        <v>330</v>
      </c>
      <c r="G55" s="186">
        <f>65*1.1</f>
        <v>71.5</v>
      </c>
      <c r="H55" s="422"/>
    </row>
    <row r="56" spans="1:13" x14ac:dyDescent="0.2">
      <c r="A56" s="417" t="s">
        <v>990</v>
      </c>
      <c r="B56" s="414"/>
      <c r="C56" s="414"/>
      <c r="D56" s="414"/>
      <c r="E56" s="414"/>
      <c r="F56" s="421">
        <f>600*1.1</f>
        <v>660</v>
      </c>
      <c r="G56" s="186">
        <f>65*1.1</f>
        <v>71.5</v>
      </c>
    </row>
    <row r="57" spans="1:13" x14ac:dyDescent="0.2">
      <c r="A57" s="162"/>
      <c r="B57" s="164" t="s">
        <v>971</v>
      </c>
      <c r="C57" s="403">
        <f>(0.233*30%)+0.233</f>
        <v>0.3029</v>
      </c>
      <c r="D57" s="403">
        <f>(0.291*30%)+0.291</f>
        <v>0.37829999999999997</v>
      </c>
      <c r="E57" s="423">
        <f>(0.169*30%)+0.169</f>
        <v>0.21970000000000001</v>
      </c>
      <c r="F57" s="166"/>
      <c r="G57" s="166"/>
      <c r="H57" s="404"/>
    </row>
    <row r="58" spans="1:13" x14ac:dyDescent="0.2">
      <c r="A58" s="162" t="s">
        <v>991</v>
      </c>
      <c r="B58" s="164" t="s">
        <v>218</v>
      </c>
      <c r="C58" s="403">
        <f>(0.291*30%)+0.291</f>
        <v>0.37829999999999997</v>
      </c>
      <c r="D58" s="403">
        <f>(0.363*30%)+0.363</f>
        <v>0.47189999999999999</v>
      </c>
      <c r="E58" s="423">
        <f>(0.181*30%)+0.181</f>
        <v>0.23529999999999998</v>
      </c>
      <c r="F58" s="166"/>
      <c r="G58" s="166"/>
      <c r="H58" s="404"/>
    </row>
    <row r="59" spans="1:13" ht="13.5" thickBot="1" x14ac:dyDescent="0.25">
      <c r="A59" s="168"/>
      <c r="B59" s="170" t="s">
        <v>219</v>
      </c>
      <c r="C59" s="424">
        <f>(0.449*30%)+0.449</f>
        <v>0.5837</v>
      </c>
      <c r="D59" s="424">
        <f>(0.554*30%)+0.554</f>
        <v>0.72020000000000006</v>
      </c>
      <c r="E59" s="425">
        <f>(0.27*30%)+0.27</f>
        <v>0.35100000000000003</v>
      </c>
      <c r="F59" s="172"/>
      <c r="G59" s="172"/>
      <c r="H59" s="406"/>
    </row>
    <row r="60" spans="1:13" ht="13.5" thickBot="1" x14ac:dyDescent="0.25">
      <c r="C60" s="408"/>
      <c r="D60" s="408"/>
      <c r="E60" s="408"/>
    </row>
    <row r="61" spans="1:13" x14ac:dyDescent="0.2">
      <c r="A61" s="154" t="s">
        <v>992</v>
      </c>
      <c r="B61" s="156"/>
      <c r="C61" s="156"/>
      <c r="D61" s="156"/>
      <c r="E61" s="156"/>
      <c r="F61" s="268"/>
      <c r="G61" s="268"/>
      <c r="H61" s="268">
        <f>50*1.1</f>
        <v>55.000000000000007</v>
      </c>
    </row>
    <row r="62" spans="1:13" x14ac:dyDescent="0.2">
      <c r="A62" s="417" t="s">
        <v>989</v>
      </c>
      <c r="B62" s="414"/>
      <c r="C62" s="414"/>
      <c r="D62" s="414"/>
      <c r="E62" s="414"/>
      <c r="F62" s="421">
        <f>300*1.1</f>
        <v>330</v>
      </c>
      <c r="G62" s="186">
        <f>65*1.1</f>
        <v>71.5</v>
      </c>
      <c r="H62" s="422"/>
    </row>
    <row r="63" spans="1:13" x14ac:dyDescent="0.2">
      <c r="A63" s="417" t="s">
        <v>993</v>
      </c>
      <c r="B63" s="414"/>
      <c r="C63" s="414"/>
      <c r="D63" s="414"/>
      <c r="E63" s="414"/>
      <c r="F63" s="421">
        <f>600*1.1</f>
        <v>660</v>
      </c>
      <c r="G63" s="186">
        <f>65*1.1</f>
        <v>71.5</v>
      </c>
    </row>
    <row r="64" spans="1:13" x14ac:dyDescent="0.2">
      <c r="A64" s="162"/>
      <c r="B64" s="164" t="s">
        <v>971</v>
      </c>
      <c r="C64" s="403">
        <f>(0.233*30%)+0.233</f>
        <v>0.3029</v>
      </c>
      <c r="D64" s="403">
        <f>(0.291*30%)+0.291</f>
        <v>0.37829999999999997</v>
      </c>
      <c r="E64" s="423">
        <f>(0.169*30%)+0.169</f>
        <v>0.21970000000000001</v>
      </c>
      <c r="F64" s="166"/>
      <c r="G64" s="166"/>
      <c r="H64" s="404"/>
    </row>
    <row r="65" spans="1:13" x14ac:dyDescent="0.2">
      <c r="A65" s="162" t="s">
        <v>991</v>
      </c>
      <c r="B65" s="164" t="s">
        <v>218</v>
      </c>
      <c r="C65" s="403">
        <f>(0.291*30%)+0.291</f>
        <v>0.37829999999999997</v>
      </c>
      <c r="D65" s="403">
        <f>(0.363*30%)+0.363</f>
        <v>0.47189999999999999</v>
      </c>
      <c r="E65" s="423">
        <f>(0.181*30%)+0.181</f>
        <v>0.23529999999999998</v>
      </c>
      <c r="F65" s="166"/>
      <c r="G65" s="166"/>
      <c r="H65" s="404"/>
    </row>
    <row r="66" spans="1:13" ht="13.5" thickBot="1" x14ac:dyDescent="0.25">
      <c r="A66" s="168"/>
      <c r="B66" s="170" t="s">
        <v>219</v>
      </c>
      <c r="C66" s="424">
        <f>(0.449*30%)+0.449</f>
        <v>0.5837</v>
      </c>
      <c r="D66" s="424">
        <f>(0.554*30%)+0.554</f>
        <v>0.72020000000000006</v>
      </c>
      <c r="E66" s="425">
        <f>(0.27*30%)+0.27</f>
        <v>0.35100000000000003</v>
      </c>
      <c r="F66" s="172"/>
      <c r="G66" s="172"/>
      <c r="H66" s="406"/>
    </row>
    <row r="67" spans="1:13" ht="13.5" thickBot="1" x14ac:dyDescent="0.25"/>
    <row r="68" spans="1:13" x14ac:dyDescent="0.2">
      <c r="A68" s="154" t="s">
        <v>994</v>
      </c>
      <c r="B68" s="156"/>
      <c r="C68" s="156"/>
      <c r="D68" s="156"/>
      <c r="E68" s="156"/>
      <c r="F68" s="158">
        <f>600*1.1</f>
        <v>660</v>
      </c>
      <c r="G68" s="158">
        <f>65*1.1</f>
        <v>71.5</v>
      </c>
      <c r="H68" s="268">
        <f>50*1.1</f>
        <v>55.000000000000007</v>
      </c>
    </row>
    <row r="69" spans="1:13" x14ac:dyDescent="0.2">
      <c r="A69" s="162"/>
      <c r="B69" s="164" t="s">
        <v>971</v>
      </c>
      <c r="C69" s="403">
        <f>(0.233*30%)+0.233</f>
        <v>0.3029</v>
      </c>
      <c r="D69" s="403">
        <f>(0.291*30%)+0.291</f>
        <v>0.37829999999999997</v>
      </c>
      <c r="E69" s="423">
        <f>(0.169*30%)+0.169</f>
        <v>0.21970000000000001</v>
      </c>
      <c r="F69" s="166"/>
      <c r="G69" s="166"/>
      <c r="H69" s="404"/>
      <c r="I69" s="131"/>
      <c r="J69" s="131"/>
      <c r="K69" s="131"/>
      <c r="L69" s="131"/>
      <c r="M69" s="131"/>
    </row>
    <row r="70" spans="1:13" x14ac:dyDescent="0.2">
      <c r="A70" s="162" t="s">
        <v>991</v>
      </c>
      <c r="B70" s="164" t="s">
        <v>218</v>
      </c>
      <c r="C70" s="403">
        <f>(0.291*30%)+0.291</f>
        <v>0.37829999999999997</v>
      </c>
      <c r="D70" s="403">
        <f>(0.363*30%)+0.363</f>
        <v>0.47189999999999999</v>
      </c>
      <c r="E70" s="423">
        <f>(0.181*30%)+0.181</f>
        <v>0.23529999999999998</v>
      </c>
      <c r="F70" s="166"/>
      <c r="G70" s="166"/>
      <c r="H70" s="404"/>
      <c r="I70" s="131"/>
      <c r="J70" s="131"/>
      <c r="K70" s="131"/>
      <c r="L70" s="131"/>
      <c r="M70" s="131"/>
    </row>
    <row r="71" spans="1:13" x14ac:dyDescent="0.2">
      <c r="A71" s="231"/>
      <c r="B71" s="232" t="s">
        <v>219</v>
      </c>
      <c r="C71" s="424">
        <f>(0.449*30%)+0.449</f>
        <v>0.5837</v>
      </c>
      <c r="D71" s="424">
        <f>(0.554*30%)+0.554</f>
        <v>0.72020000000000006</v>
      </c>
      <c r="E71" s="425">
        <f>(0.27*30%)+0.27</f>
        <v>0.35100000000000003</v>
      </c>
      <c r="F71" s="426"/>
      <c r="G71" s="426"/>
      <c r="H71" s="427"/>
      <c r="I71" s="131"/>
      <c r="J71" s="131"/>
      <c r="K71" s="131"/>
      <c r="L71" s="131"/>
      <c r="M71" s="131"/>
    </row>
    <row r="72" spans="1:13" x14ac:dyDescent="0.2">
      <c r="A72" s="428" t="s">
        <v>995</v>
      </c>
      <c r="B72" s="429" t="s">
        <v>971</v>
      </c>
      <c r="C72" s="430"/>
      <c r="D72" s="431">
        <f>(0.338*30%)+0.338</f>
        <v>0.43940000000000001</v>
      </c>
      <c r="E72" s="430"/>
      <c r="F72" s="432"/>
      <c r="G72" s="432"/>
      <c r="H72" s="433"/>
      <c r="I72" s="131"/>
      <c r="J72" s="131"/>
      <c r="K72" s="131"/>
      <c r="L72" s="131"/>
      <c r="M72" s="131"/>
    </row>
    <row r="73" spans="1:13" x14ac:dyDescent="0.2">
      <c r="A73" s="231"/>
      <c r="B73" s="164" t="s">
        <v>218</v>
      </c>
      <c r="C73" s="434"/>
      <c r="D73" s="403">
        <f>(0.406*30%)+0.406</f>
        <v>0.52780000000000005</v>
      </c>
      <c r="E73" s="434"/>
      <c r="F73" s="426"/>
      <c r="G73" s="426"/>
      <c r="H73" s="427"/>
      <c r="I73" s="131"/>
      <c r="J73" s="131"/>
      <c r="K73" s="131"/>
      <c r="L73" s="131"/>
      <c r="M73" s="131"/>
    </row>
    <row r="74" spans="1:13" ht="13.5" thickBot="1" x14ac:dyDescent="0.25">
      <c r="A74" s="168"/>
      <c r="B74" s="170" t="s">
        <v>219</v>
      </c>
      <c r="C74" s="435"/>
      <c r="D74" s="405">
        <f>(0.608*30%)+0.608</f>
        <v>0.79039999999999999</v>
      </c>
      <c r="E74" s="435"/>
      <c r="F74" s="172"/>
      <c r="G74" s="172"/>
      <c r="H74" s="406"/>
      <c r="I74" s="131"/>
      <c r="J74" s="131"/>
      <c r="K74" s="131"/>
      <c r="L74" s="131"/>
      <c r="M74" s="131"/>
    </row>
    <row r="75" spans="1:13" x14ac:dyDescent="0.2">
      <c r="I75" s="131"/>
      <c r="J75" s="131"/>
      <c r="K75" s="131"/>
      <c r="L75" s="131"/>
      <c r="M75" s="131"/>
    </row>
    <row r="76" spans="1:13" x14ac:dyDescent="0.2">
      <c r="B76" s="126"/>
      <c r="C76" s="126"/>
      <c r="D76" s="126"/>
      <c r="E76" s="126"/>
      <c r="I76" s="131"/>
      <c r="J76" s="131"/>
      <c r="K76" s="131"/>
      <c r="L76" s="131"/>
      <c r="M76" s="131"/>
    </row>
    <row r="77" spans="1:13" x14ac:dyDescent="0.2">
      <c r="B77" s="126"/>
      <c r="C77" s="126"/>
      <c r="D77" s="126"/>
      <c r="E77" s="126"/>
      <c r="I77" s="131"/>
      <c r="J77" s="131"/>
      <c r="K77" s="131"/>
      <c r="L77" s="131"/>
      <c r="M77" s="131"/>
    </row>
    <row r="78" spans="1:13" ht="13.5" thickBot="1" x14ac:dyDescent="0.25">
      <c r="B78" s="126"/>
      <c r="C78" s="126"/>
      <c r="D78" s="126"/>
      <c r="E78" s="126"/>
      <c r="I78" s="131"/>
      <c r="J78" s="131"/>
      <c r="K78" s="131"/>
      <c r="L78" s="131"/>
      <c r="M78" s="131"/>
    </row>
    <row r="79" spans="1:13" x14ac:dyDescent="0.2">
      <c r="A79" s="370"/>
      <c r="B79" s="371"/>
      <c r="C79" s="134"/>
      <c r="D79" s="134" t="s">
        <v>953</v>
      </c>
      <c r="E79" s="134"/>
      <c r="F79" s="372"/>
      <c r="G79" s="136"/>
      <c r="H79" s="137"/>
      <c r="I79" s="131"/>
      <c r="J79" s="131"/>
      <c r="K79" s="131"/>
      <c r="L79" s="131"/>
      <c r="M79" s="131"/>
    </row>
    <row r="80" spans="1:13" ht="13.5" thickBot="1" x14ac:dyDescent="0.25">
      <c r="B80" s="126"/>
      <c r="C80" s="126"/>
      <c r="D80" s="126"/>
      <c r="E80" s="126"/>
      <c r="G80" s="140"/>
      <c r="H80" s="141"/>
      <c r="I80" s="131"/>
      <c r="J80" s="131"/>
      <c r="K80" s="131"/>
      <c r="L80" s="131"/>
      <c r="M80" s="131"/>
    </row>
    <row r="81" spans="1:13" x14ac:dyDescent="0.2">
      <c r="A81" s="436" t="s">
        <v>916</v>
      </c>
      <c r="B81" s="437" t="s">
        <v>915</v>
      </c>
      <c r="D81" s="436" t="s">
        <v>768</v>
      </c>
      <c r="E81" s="374" t="s">
        <v>769</v>
      </c>
      <c r="F81" s="128"/>
      <c r="H81" s="126"/>
      <c r="I81" s="131"/>
      <c r="J81" s="131"/>
      <c r="K81" s="131"/>
      <c r="L81" s="131"/>
      <c r="M81" s="131"/>
    </row>
    <row r="82" spans="1:13" x14ac:dyDescent="0.2">
      <c r="A82" s="438">
        <v>1000</v>
      </c>
      <c r="B82" s="439" t="s">
        <v>928</v>
      </c>
      <c r="D82" s="440" t="s">
        <v>996</v>
      </c>
      <c r="E82" s="404" t="s">
        <v>997</v>
      </c>
      <c r="F82" s="128"/>
      <c r="H82" s="126"/>
      <c r="I82" s="131"/>
      <c r="J82" s="131"/>
      <c r="K82" s="131"/>
      <c r="L82" s="131"/>
      <c r="M82" s="131"/>
    </row>
    <row r="83" spans="1:13" s="126" customFormat="1" ht="12" thickBot="1" x14ac:dyDescent="0.25">
      <c r="A83" s="438">
        <v>2500</v>
      </c>
      <c r="B83" s="439">
        <v>7.0000000000000007E-2</v>
      </c>
      <c r="C83" s="128"/>
      <c r="D83" s="441" t="s">
        <v>522</v>
      </c>
      <c r="E83" s="173" t="s">
        <v>998</v>
      </c>
      <c r="F83" s="128"/>
      <c r="G83" s="130"/>
    </row>
    <row r="84" spans="1:13" ht="13.5" thickBot="1" x14ac:dyDescent="0.25">
      <c r="A84" s="442">
        <v>5000</v>
      </c>
      <c r="B84" s="198">
        <v>0.08</v>
      </c>
      <c r="F84" s="128"/>
      <c r="H84" s="126"/>
      <c r="I84" s="131"/>
      <c r="J84" s="131"/>
      <c r="K84" s="131"/>
      <c r="L84" s="131"/>
      <c r="M84" s="131"/>
    </row>
    <row r="85" spans="1:13" x14ac:dyDescent="0.2">
      <c r="C85" s="126"/>
    </row>
    <row r="86" spans="1:13" ht="13.5" thickBot="1" x14ac:dyDescent="0.25">
      <c r="B86" s="126"/>
      <c r="C86" s="126"/>
      <c r="E86" s="443"/>
      <c r="F86" s="129"/>
      <c r="H86" s="128"/>
    </row>
    <row r="87" spans="1:13" ht="13.5" thickBot="1" x14ac:dyDescent="0.25">
      <c r="D87" s="444"/>
      <c r="E87" s="445" t="s">
        <v>999</v>
      </c>
      <c r="F87" s="361"/>
      <c r="G87" s="446"/>
      <c r="H87" s="178"/>
    </row>
    <row r="88" spans="1:13" x14ac:dyDescent="0.2">
      <c r="A88" s="447" t="s">
        <v>1000</v>
      </c>
      <c r="B88" s="181" t="s">
        <v>1001</v>
      </c>
      <c r="C88" s="127"/>
      <c r="D88" s="436" t="s">
        <v>945</v>
      </c>
      <c r="E88" s="448">
        <v>-0.15</v>
      </c>
      <c r="F88" s="449" t="s">
        <v>946</v>
      </c>
      <c r="G88" s="450"/>
      <c r="H88" s="159"/>
    </row>
    <row r="89" spans="1:13" x14ac:dyDescent="0.2">
      <c r="A89" s="319" t="s">
        <v>1002</v>
      </c>
      <c r="B89" s="451">
        <v>-0.1</v>
      </c>
      <c r="D89" s="308"/>
      <c r="E89" s="164"/>
      <c r="F89" s="452" t="s">
        <v>947</v>
      </c>
      <c r="G89" s="166"/>
      <c r="H89" s="167"/>
      <c r="I89" s="131"/>
      <c r="J89" s="131"/>
      <c r="K89" s="131"/>
      <c r="L89" s="131"/>
      <c r="M89" s="131"/>
    </row>
    <row r="90" spans="1:13" x14ac:dyDescent="0.2">
      <c r="A90" s="319" t="s">
        <v>1003</v>
      </c>
      <c r="B90" s="451">
        <v>-0.05</v>
      </c>
      <c r="D90" s="308"/>
      <c r="E90" s="164"/>
      <c r="F90" s="253" t="s">
        <v>1004</v>
      </c>
      <c r="G90" s="166"/>
      <c r="H90" s="167"/>
      <c r="I90" s="131"/>
      <c r="J90" s="131"/>
      <c r="K90" s="131"/>
      <c r="L90" s="131"/>
      <c r="M90" s="131"/>
    </row>
    <row r="91" spans="1:13" x14ac:dyDescent="0.2">
      <c r="A91" s="319" t="s">
        <v>1005</v>
      </c>
      <c r="B91" s="451">
        <v>-0.1</v>
      </c>
      <c r="D91" s="308"/>
      <c r="E91" s="164"/>
      <c r="F91" s="253"/>
      <c r="G91" s="166"/>
      <c r="H91" s="167"/>
    </row>
    <row r="92" spans="1:13" s="139" customFormat="1" x14ac:dyDescent="0.2">
      <c r="A92" s="319" t="s">
        <v>940</v>
      </c>
      <c r="B92" s="453" t="s">
        <v>941</v>
      </c>
      <c r="C92" s="128"/>
      <c r="D92" s="454" t="s">
        <v>1006</v>
      </c>
      <c r="E92" s="455">
        <v>0.25</v>
      </c>
      <c r="F92" s="253" t="s">
        <v>1007</v>
      </c>
      <c r="G92" s="166"/>
      <c r="H92" s="167"/>
      <c r="J92" s="138"/>
      <c r="K92" s="138"/>
      <c r="L92" s="138"/>
      <c r="M92" s="138"/>
    </row>
    <row r="93" spans="1:13" ht="13.5" thickBot="1" x14ac:dyDescent="0.25">
      <c r="A93" s="207" t="s">
        <v>942</v>
      </c>
      <c r="B93" s="456">
        <v>-0.05</v>
      </c>
      <c r="D93" s="311"/>
      <c r="E93" s="170"/>
      <c r="F93" s="269" t="s">
        <v>1008</v>
      </c>
      <c r="G93" s="172"/>
      <c r="H93" s="173"/>
    </row>
    <row r="94" spans="1:13" x14ac:dyDescent="0.2">
      <c r="A94" s="138" t="s">
        <v>1009</v>
      </c>
    </row>
    <row r="95" spans="1:13" x14ac:dyDescent="0.2">
      <c r="A95" s="138" t="s">
        <v>1010</v>
      </c>
    </row>
    <row r="100" spans="1:2" x14ac:dyDescent="0.2">
      <c r="B100" s="138"/>
    </row>
    <row r="102" spans="1:2" x14ac:dyDescent="0.2">
      <c r="A102" s="126" t="s">
        <v>1011</v>
      </c>
    </row>
  </sheetData>
  <pageMargins left="0.75" right="0.75" top="0.5" bottom="0.5" header="0.5" footer="0.5"/>
  <pageSetup scale="89" fitToHeight="0" orientation="landscape" r:id="rId1"/>
  <headerFooter alignWithMargins="0"/>
  <rowBreaks count="2" manualBreakCount="2">
    <brk id="40" max="7" man="1"/>
    <brk id="77" max="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9FAFE-C4FA-4EA7-81EB-0F547D15454A}">
  <sheetPr codeName="Sheet6">
    <pageSetUpPr fitToPage="1"/>
  </sheetPr>
  <dimension ref="A1:E93"/>
  <sheetViews>
    <sheetView view="pageBreakPreview" zoomScale="145" zoomScaleNormal="100" zoomScaleSheetLayoutView="145" workbookViewId="0">
      <selection activeCell="C19" sqref="C19"/>
    </sheetView>
  </sheetViews>
  <sheetFormatPr defaultRowHeight="12.75" x14ac:dyDescent="0.2"/>
  <cols>
    <col min="1" max="1" width="15.140625" style="131" customWidth="1"/>
    <col min="2" max="2" width="19.28515625" style="131" customWidth="1"/>
    <col min="3" max="3" width="30.85546875" style="131" bestFit="1" customWidth="1"/>
    <col min="4" max="4" width="14.85546875" style="131" bestFit="1" customWidth="1"/>
    <col min="5" max="5" width="24.42578125" style="131" customWidth="1"/>
    <col min="6" max="16384" width="9.140625" style="131"/>
  </cols>
  <sheetData>
    <row r="1" spans="1:5" x14ac:dyDescent="0.2">
      <c r="A1" s="457"/>
      <c r="B1" s="458"/>
      <c r="C1" s="459" t="s">
        <v>1012</v>
      </c>
      <c r="D1" s="459"/>
      <c r="E1" s="460"/>
    </row>
    <row r="2" spans="1:5" x14ac:dyDescent="0.2">
      <c r="A2" s="461"/>
      <c r="B2" s="462"/>
      <c r="C2" s="463"/>
      <c r="D2" s="464"/>
      <c r="E2" s="465"/>
    </row>
    <row r="3" spans="1:5" x14ac:dyDescent="0.2">
      <c r="A3" s="466" t="s">
        <v>757</v>
      </c>
      <c r="B3" s="127" t="s">
        <v>1013</v>
      </c>
      <c r="C3" s="127" t="s">
        <v>1014</v>
      </c>
      <c r="D3" s="143" t="s">
        <v>926</v>
      </c>
      <c r="E3" s="467" t="s">
        <v>1015</v>
      </c>
    </row>
    <row r="4" spans="1:5" x14ac:dyDescent="0.2">
      <c r="A4" s="466"/>
      <c r="B4" s="127"/>
      <c r="C4" s="134" t="s">
        <v>756</v>
      </c>
      <c r="D4" s="143"/>
      <c r="E4" s="467"/>
    </row>
    <row r="5" spans="1:5" s="126" customFormat="1" ht="11.25" x14ac:dyDescent="0.2">
      <c r="A5" s="468" t="s">
        <v>1016</v>
      </c>
      <c r="B5" s="184" t="s">
        <v>889</v>
      </c>
      <c r="C5" s="321" t="s">
        <v>1017</v>
      </c>
      <c r="D5" s="469" t="s">
        <v>1018</v>
      </c>
      <c r="E5" s="470" t="s">
        <v>1019</v>
      </c>
    </row>
    <row r="6" spans="1:5" s="126" customFormat="1" ht="11.25" x14ac:dyDescent="0.2">
      <c r="A6" s="319"/>
      <c r="B6" s="320" t="s">
        <v>147</v>
      </c>
      <c r="C6" s="321"/>
      <c r="D6" s="471">
        <v>292</v>
      </c>
      <c r="E6" s="318"/>
    </row>
    <row r="7" spans="1:5" s="126" customFormat="1" ht="11.25" x14ac:dyDescent="0.2">
      <c r="A7" s="319"/>
      <c r="B7" s="320" t="s">
        <v>82</v>
      </c>
      <c r="C7" s="321"/>
      <c r="D7" s="471"/>
      <c r="E7" s="318" t="s">
        <v>1020</v>
      </c>
    </row>
    <row r="8" spans="1:5" s="126" customFormat="1" ht="11.25" x14ac:dyDescent="0.2">
      <c r="A8" s="319"/>
      <c r="B8" s="320" t="s">
        <v>149</v>
      </c>
      <c r="C8" s="321"/>
      <c r="D8" s="471"/>
      <c r="E8" s="318" t="s">
        <v>1021</v>
      </c>
    </row>
    <row r="9" spans="1:5" s="126" customFormat="1" ht="11.25" x14ac:dyDescent="0.2">
      <c r="A9" s="319"/>
      <c r="B9" s="320" t="s">
        <v>84</v>
      </c>
      <c r="C9" s="321"/>
      <c r="D9" s="471"/>
      <c r="E9" s="318" t="s">
        <v>1022</v>
      </c>
    </row>
    <row r="10" spans="1:5" s="126" customFormat="1" ht="11.25" x14ac:dyDescent="0.2">
      <c r="A10" s="319"/>
      <c r="B10" s="320" t="s">
        <v>150</v>
      </c>
      <c r="C10" s="321"/>
      <c r="D10" s="471"/>
      <c r="E10" s="318" t="s">
        <v>1023</v>
      </c>
    </row>
    <row r="11" spans="1:5" s="126" customFormat="1" ht="11.25" x14ac:dyDescent="0.2">
      <c r="A11" s="319"/>
      <c r="B11" s="320" t="s">
        <v>86</v>
      </c>
      <c r="C11" s="321"/>
      <c r="D11" s="471"/>
      <c r="E11" s="318" t="s">
        <v>304</v>
      </c>
    </row>
    <row r="12" spans="1:5" s="126" customFormat="1" ht="11.25" x14ac:dyDescent="0.2">
      <c r="A12" s="319"/>
      <c r="B12" s="320" t="s">
        <v>87</v>
      </c>
      <c r="C12" s="321"/>
      <c r="D12" s="471"/>
      <c r="E12" s="318" t="s">
        <v>1024</v>
      </c>
    </row>
    <row r="13" spans="1:5" s="126" customFormat="1" ht="11.25" x14ac:dyDescent="0.2">
      <c r="A13" s="319"/>
      <c r="B13" s="320" t="s">
        <v>88</v>
      </c>
      <c r="C13" s="321"/>
      <c r="D13" s="471"/>
      <c r="E13" s="318"/>
    </row>
    <row r="14" spans="1:5" s="126" customFormat="1" ht="11.25" x14ac:dyDescent="0.2">
      <c r="A14" s="319"/>
      <c r="B14" s="320" t="s">
        <v>151</v>
      </c>
      <c r="C14" s="321"/>
      <c r="D14" s="471"/>
      <c r="E14" s="318"/>
    </row>
    <row r="15" spans="1:5" s="126" customFormat="1" ht="11.25" x14ac:dyDescent="0.2">
      <c r="A15" s="319"/>
      <c r="B15" s="320" t="s">
        <v>152</v>
      </c>
      <c r="C15" s="321"/>
      <c r="D15" s="471"/>
      <c r="E15" s="318"/>
    </row>
    <row r="16" spans="1:5" s="126" customFormat="1" ht="11.25" x14ac:dyDescent="0.2">
      <c r="A16" s="319"/>
      <c r="B16" s="320" t="s">
        <v>153</v>
      </c>
      <c r="C16" s="321"/>
      <c r="D16" s="471"/>
      <c r="E16" s="318"/>
    </row>
    <row r="17" spans="1:5" s="126" customFormat="1" ht="11.25" x14ac:dyDescent="0.2">
      <c r="A17" s="319"/>
      <c r="B17" s="320" t="s">
        <v>154</v>
      </c>
      <c r="C17" s="321"/>
      <c r="D17" s="471"/>
      <c r="E17" s="318"/>
    </row>
    <row r="18" spans="1:5" s="126" customFormat="1" ht="11.25" x14ac:dyDescent="0.2">
      <c r="A18" s="472" t="s">
        <v>1025</v>
      </c>
      <c r="B18" s="320"/>
      <c r="C18" s="473"/>
      <c r="D18" s="474"/>
      <c r="E18" s="475"/>
    </row>
    <row r="19" spans="1:5" s="126" customFormat="1" ht="11.25" x14ac:dyDescent="0.2">
      <c r="A19" s="319"/>
      <c r="B19" s="321" t="s">
        <v>971</v>
      </c>
      <c r="C19" s="476" t="s">
        <v>1026</v>
      </c>
      <c r="D19" s="471">
        <v>517</v>
      </c>
      <c r="E19" s="475"/>
    </row>
    <row r="20" spans="1:5" s="126" customFormat="1" ht="11.25" x14ac:dyDescent="0.2">
      <c r="A20" s="319"/>
      <c r="B20" s="321" t="s">
        <v>218</v>
      </c>
      <c r="C20" s="477"/>
      <c r="D20" s="471"/>
      <c r="E20" s="475"/>
    </row>
    <row r="21" spans="1:5" s="126" customFormat="1" ht="11.25" x14ac:dyDescent="0.2">
      <c r="A21" s="319"/>
      <c r="B21" s="321" t="s">
        <v>219</v>
      </c>
      <c r="C21" s="477"/>
      <c r="D21" s="471"/>
      <c r="E21" s="475"/>
    </row>
    <row r="22" spans="1:5" s="126" customFormat="1" ht="11.25" x14ac:dyDescent="0.2">
      <c r="A22" s="319" t="s">
        <v>570</v>
      </c>
      <c r="B22" s="321"/>
      <c r="C22" s="477" t="s">
        <v>222</v>
      </c>
      <c r="D22" s="471">
        <v>165</v>
      </c>
      <c r="E22" s="475"/>
    </row>
    <row r="23" spans="1:5" s="126" customFormat="1" ht="11.25" x14ac:dyDescent="0.2">
      <c r="A23" s="319" t="s">
        <v>223</v>
      </c>
      <c r="B23" s="320"/>
      <c r="C23" s="478" t="s">
        <v>1027</v>
      </c>
      <c r="D23" s="471">
        <v>33</v>
      </c>
      <c r="E23" s="479"/>
    </row>
    <row r="24" spans="1:5" s="126" customFormat="1" ht="12" thickBot="1" x14ac:dyDescent="0.25">
      <c r="A24" s="207" t="s">
        <v>532</v>
      </c>
      <c r="B24" s="208"/>
      <c r="C24" s="199" t="s">
        <v>1028</v>
      </c>
      <c r="D24" s="208"/>
      <c r="E24" s="480" t="s">
        <v>1029</v>
      </c>
    </row>
    <row r="25" spans="1:5" s="126" customFormat="1" ht="11.25" x14ac:dyDescent="0.2">
      <c r="C25" s="128"/>
    </row>
    <row r="26" spans="1:5" ht="13.5" thickBot="1" x14ac:dyDescent="0.25">
      <c r="A26" s="126"/>
      <c r="B26" s="126"/>
      <c r="C26" s="128"/>
      <c r="D26" s="126"/>
      <c r="E26" s="126"/>
    </row>
    <row r="27" spans="1:5" x14ac:dyDescent="0.2">
      <c r="A27" s="457"/>
      <c r="B27" s="481"/>
      <c r="C27" s="459" t="s">
        <v>1030</v>
      </c>
      <c r="D27" s="459"/>
      <c r="E27" s="460"/>
    </row>
    <row r="28" spans="1:5" x14ac:dyDescent="0.2">
      <c r="A28" s="461"/>
      <c r="B28" s="482"/>
      <c r="C28" s="463"/>
      <c r="D28" s="464"/>
      <c r="E28" s="465"/>
    </row>
    <row r="29" spans="1:5" x14ac:dyDescent="0.2">
      <c r="A29" s="466" t="s">
        <v>757</v>
      </c>
      <c r="B29" s="127" t="s">
        <v>1013</v>
      </c>
      <c r="C29" s="127" t="s">
        <v>1014</v>
      </c>
      <c r="D29" s="143" t="s">
        <v>926</v>
      </c>
      <c r="E29" s="467" t="s">
        <v>1015</v>
      </c>
    </row>
    <row r="30" spans="1:5" s="126" customFormat="1" ht="11.25" x14ac:dyDescent="0.2">
      <c r="A30" s="466"/>
      <c r="B30" s="127"/>
      <c r="C30" s="134" t="s">
        <v>756</v>
      </c>
      <c r="D30" s="143"/>
      <c r="E30" s="467"/>
    </row>
    <row r="31" spans="1:5" s="126" customFormat="1" ht="11.25" x14ac:dyDescent="0.2">
      <c r="A31" s="468" t="s">
        <v>1016</v>
      </c>
      <c r="B31" s="184" t="s">
        <v>889</v>
      </c>
      <c r="C31" s="321" t="s">
        <v>1031</v>
      </c>
      <c r="D31" s="483">
        <v>253</v>
      </c>
      <c r="E31" s="318"/>
    </row>
    <row r="32" spans="1:5" s="126" customFormat="1" ht="11.25" x14ac:dyDescent="0.2">
      <c r="A32" s="319"/>
      <c r="B32" s="320" t="s">
        <v>147</v>
      </c>
      <c r="C32" s="321"/>
      <c r="D32" s="476"/>
      <c r="E32" s="318"/>
    </row>
    <row r="33" spans="1:5" s="126" customFormat="1" ht="12" thickBot="1" x14ac:dyDescent="0.25">
      <c r="A33" s="207"/>
      <c r="B33" s="208" t="s">
        <v>153</v>
      </c>
      <c r="C33" s="199"/>
      <c r="D33" s="484"/>
      <c r="E33" s="200"/>
    </row>
    <row r="34" spans="1:5" s="126" customFormat="1" ht="12" thickBot="1" x14ac:dyDescent="0.25">
      <c r="C34" s="128"/>
      <c r="D34" s="130"/>
      <c r="E34" s="128"/>
    </row>
    <row r="35" spans="1:5" s="126" customFormat="1" x14ac:dyDescent="0.2">
      <c r="A35" s="457"/>
      <c r="B35" s="481"/>
      <c r="C35" s="459" t="s">
        <v>1032</v>
      </c>
      <c r="D35" s="459"/>
      <c r="E35" s="460"/>
    </row>
    <row r="36" spans="1:5" s="126" customFormat="1" x14ac:dyDescent="0.2">
      <c r="A36" s="461"/>
      <c r="B36" s="482"/>
      <c r="C36" s="463"/>
      <c r="D36" s="464"/>
      <c r="E36" s="465"/>
    </row>
    <row r="37" spans="1:5" s="126" customFormat="1" ht="11.25" x14ac:dyDescent="0.2">
      <c r="A37" s="466" t="s">
        <v>757</v>
      </c>
      <c r="B37" s="127" t="s">
        <v>1013</v>
      </c>
      <c r="C37" s="127" t="s">
        <v>1014</v>
      </c>
      <c r="D37" s="143" t="s">
        <v>926</v>
      </c>
      <c r="E37" s="467" t="s">
        <v>1015</v>
      </c>
    </row>
    <row r="38" spans="1:5" s="126" customFormat="1" ht="11.25" x14ac:dyDescent="0.2">
      <c r="A38" s="466"/>
      <c r="B38" s="127"/>
      <c r="C38" s="134" t="s">
        <v>756</v>
      </c>
      <c r="D38" s="143"/>
      <c r="E38" s="467"/>
    </row>
    <row r="39" spans="1:5" s="126" customFormat="1" ht="11.25" x14ac:dyDescent="0.2">
      <c r="A39" s="468" t="s">
        <v>1016</v>
      </c>
      <c r="B39" s="184" t="s">
        <v>889</v>
      </c>
      <c r="C39" s="321" t="s">
        <v>1017</v>
      </c>
      <c r="D39" s="483">
        <v>253</v>
      </c>
      <c r="E39" s="470" t="s">
        <v>1019</v>
      </c>
    </row>
    <row r="40" spans="1:5" x14ac:dyDescent="0.2">
      <c r="A40" s="319"/>
      <c r="B40" s="320" t="s">
        <v>147</v>
      </c>
      <c r="C40" s="321"/>
      <c r="D40" s="476"/>
      <c r="E40" s="479"/>
    </row>
    <row r="41" spans="1:5" x14ac:dyDescent="0.2">
      <c r="A41" s="319"/>
      <c r="B41" s="320" t="s">
        <v>82</v>
      </c>
      <c r="C41" s="321"/>
      <c r="D41" s="476"/>
      <c r="E41" s="318" t="s">
        <v>1033</v>
      </c>
    </row>
    <row r="42" spans="1:5" s="126" customFormat="1" ht="11.25" x14ac:dyDescent="0.2">
      <c r="A42" s="319"/>
      <c r="B42" s="320" t="s">
        <v>149</v>
      </c>
      <c r="C42" s="321"/>
      <c r="D42" s="476"/>
      <c r="E42" s="318" t="s">
        <v>1020</v>
      </c>
    </row>
    <row r="43" spans="1:5" s="126" customFormat="1" ht="11.25" x14ac:dyDescent="0.2">
      <c r="A43" s="319"/>
      <c r="B43" s="320" t="s">
        <v>84</v>
      </c>
      <c r="C43" s="321"/>
      <c r="D43" s="476"/>
      <c r="E43" s="318" t="s">
        <v>1022</v>
      </c>
    </row>
    <row r="44" spans="1:5" s="126" customFormat="1" ht="11.25" x14ac:dyDescent="0.2">
      <c r="A44" s="319"/>
      <c r="B44" s="320" t="s">
        <v>150</v>
      </c>
      <c r="C44" s="321"/>
      <c r="D44" s="476"/>
      <c r="E44" s="318" t="s">
        <v>1023</v>
      </c>
    </row>
    <row r="45" spans="1:5" s="126" customFormat="1" ht="11.25" x14ac:dyDescent="0.2">
      <c r="A45" s="319"/>
      <c r="B45" s="320" t="s">
        <v>86</v>
      </c>
      <c r="C45" s="321"/>
      <c r="D45" s="476"/>
      <c r="E45" s="318" t="s">
        <v>304</v>
      </c>
    </row>
    <row r="46" spans="1:5" s="126" customFormat="1" ht="11.25" x14ac:dyDescent="0.2">
      <c r="A46" s="319"/>
      <c r="B46" s="320" t="s">
        <v>87</v>
      </c>
      <c r="C46" s="321"/>
      <c r="D46" s="476"/>
      <c r="E46" s="318"/>
    </row>
    <row r="47" spans="1:5" s="126" customFormat="1" ht="11.25" x14ac:dyDescent="0.2">
      <c r="A47" s="319"/>
      <c r="B47" s="320" t="s">
        <v>88</v>
      </c>
      <c r="C47" s="321"/>
      <c r="D47" s="476"/>
      <c r="E47" s="318"/>
    </row>
    <row r="48" spans="1:5" s="126" customFormat="1" ht="11.25" x14ac:dyDescent="0.2">
      <c r="A48" s="319"/>
      <c r="B48" s="320" t="s">
        <v>151</v>
      </c>
      <c r="C48" s="321"/>
      <c r="D48" s="476"/>
      <c r="E48" s="318"/>
    </row>
    <row r="49" spans="1:5" s="126" customFormat="1" ht="11.25" x14ac:dyDescent="0.2">
      <c r="A49" s="319"/>
      <c r="B49" s="320" t="s">
        <v>153</v>
      </c>
      <c r="C49" s="321"/>
      <c r="D49" s="476"/>
      <c r="E49" s="318"/>
    </row>
    <row r="50" spans="1:5" s="126" customFormat="1" ht="12" thickBot="1" x14ac:dyDescent="0.25">
      <c r="A50" s="207"/>
      <c r="B50" s="208" t="s">
        <v>154</v>
      </c>
      <c r="C50" s="199"/>
      <c r="D50" s="484"/>
      <c r="E50" s="200"/>
    </row>
    <row r="51" spans="1:5" s="126" customFormat="1" ht="12" thickBot="1" x14ac:dyDescent="0.25">
      <c r="A51" s="485"/>
      <c r="B51" s="485"/>
      <c r="C51" s="486"/>
      <c r="D51" s="487"/>
      <c r="E51" s="486"/>
    </row>
    <row r="52" spans="1:5" s="126" customFormat="1" x14ac:dyDescent="0.2">
      <c r="A52" s="488"/>
      <c r="B52" s="489"/>
      <c r="C52" s="490" t="s">
        <v>1034</v>
      </c>
      <c r="D52" s="459"/>
      <c r="E52" s="460"/>
    </row>
    <row r="53" spans="1:5" s="126" customFormat="1" ht="11.25" x14ac:dyDescent="0.2">
      <c r="A53" s="491"/>
      <c r="B53" s="492"/>
      <c r="C53" s="493"/>
      <c r="D53" s="464"/>
      <c r="E53" s="465"/>
    </row>
    <row r="54" spans="1:5" s="126" customFormat="1" ht="11.25" x14ac:dyDescent="0.2">
      <c r="A54" s="494" t="s">
        <v>757</v>
      </c>
      <c r="B54" s="473" t="s">
        <v>1013</v>
      </c>
      <c r="C54" s="473" t="s">
        <v>1014</v>
      </c>
      <c r="D54" s="495" t="s">
        <v>926</v>
      </c>
      <c r="E54" s="496" t="s">
        <v>1015</v>
      </c>
    </row>
    <row r="55" spans="1:5" s="126" customFormat="1" ht="11.25" x14ac:dyDescent="0.2">
      <c r="A55" s="494"/>
      <c r="B55" s="473"/>
      <c r="C55" s="497" t="s">
        <v>756</v>
      </c>
      <c r="D55" s="498" t="s">
        <v>1035</v>
      </c>
      <c r="E55" s="496"/>
    </row>
    <row r="56" spans="1:5" s="126" customFormat="1" ht="11.25" x14ac:dyDescent="0.2">
      <c r="A56" s="468" t="s">
        <v>1016</v>
      </c>
      <c r="B56" s="184" t="s">
        <v>889</v>
      </c>
      <c r="C56" s="321" t="s">
        <v>1036</v>
      </c>
      <c r="D56" s="499">
        <v>292</v>
      </c>
      <c r="E56" s="470" t="s">
        <v>1019</v>
      </c>
    </row>
    <row r="57" spans="1:5" s="126" customFormat="1" ht="11.25" x14ac:dyDescent="0.2">
      <c r="A57" s="319"/>
      <c r="B57" s="320" t="s">
        <v>1037</v>
      </c>
      <c r="C57" s="321"/>
      <c r="D57" s="499"/>
      <c r="E57" s="318"/>
    </row>
    <row r="58" spans="1:5" s="126" customFormat="1" ht="11.25" x14ac:dyDescent="0.2">
      <c r="A58" s="319"/>
      <c r="B58" s="320" t="s">
        <v>1038</v>
      </c>
      <c r="C58" s="321"/>
      <c r="D58" s="499"/>
      <c r="E58" s="318" t="s">
        <v>1039</v>
      </c>
    </row>
    <row r="59" spans="1:5" s="126" customFormat="1" ht="11.25" x14ac:dyDescent="0.2">
      <c r="A59" s="319"/>
      <c r="B59" s="320" t="s">
        <v>1040</v>
      </c>
      <c r="C59" s="321"/>
      <c r="D59" s="499"/>
      <c r="E59" s="318"/>
    </row>
    <row r="60" spans="1:5" s="126" customFormat="1" ht="11.25" x14ac:dyDescent="0.2">
      <c r="A60" s="319"/>
      <c r="B60" s="320"/>
      <c r="C60" s="321"/>
      <c r="D60" s="499"/>
      <c r="E60" s="318"/>
    </row>
    <row r="61" spans="1:5" s="126" customFormat="1" ht="11.25" x14ac:dyDescent="0.2">
      <c r="A61" s="472" t="s">
        <v>1025</v>
      </c>
      <c r="B61" s="320"/>
      <c r="C61" s="473"/>
      <c r="D61" s="499"/>
      <c r="E61" s="475"/>
    </row>
    <row r="62" spans="1:5" s="126" customFormat="1" ht="11.25" x14ac:dyDescent="0.2">
      <c r="A62" s="319"/>
      <c r="B62" s="321" t="s">
        <v>971</v>
      </c>
      <c r="C62" s="476" t="s">
        <v>1041</v>
      </c>
      <c r="D62" s="499">
        <v>357</v>
      </c>
      <c r="E62" s="475"/>
    </row>
    <row r="63" spans="1:5" s="126" customFormat="1" ht="11.25" x14ac:dyDescent="0.2">
      <c r="A63" s="319"/>
      <c r="B63" s="321" t="s">
        <v>218</v>
      </c>
      <c r="C63" s="477"/>
      <c r="D63" s="499"/>
      <c r="E63" s="475"/>
    </row>
    <row r="64" spans="1:5" s="126" customFormat="1" ht="11.25" x14ac:dyDescent="0.2">
      <c r="A64" s="319"/>
      <c r="B64" s="321" t="s">
        <v>219</v>
      </c>
      <c r="C64" s="477"/>
      <c r="D64" s="499"/>
      <c r="E64" s="475"/>
    </row>
    <row r="65" spans="1:5" s="126" customFormat="1" ht="11.25" x14ac:dyDescent="0.2">
      <c r="A65" s="319" t="s">
        <v>570</v>
      </c>
      <c r="B65" s="321"/>
      <c r="C65" s="477" t="s">
        <v>222</v>
      </c>
      <c r="D65" s="499">
        <v>165</v>
      </c>
      <c r="E65" s="475"/>
    </row>
    <row r="66" spans="1:5" s="126" customFormat="1" ht="11.25" x14ac:dyDescent="0.2">
      <c r="A66" s="319" t="s">
        <v>223</v>
      </c>
      <c r="B66" s="320"/>
      <c r="C66" s="478" t="s">
        <v>1027</v>
      </c>
      <c r="D66" s="500">
        <v>33</v>
      </c>
      <c r="E66" s="479"/>
    </row>
    <row r="67" spans="1:5" s="126" customFormat="1" ht="12" thickBot="1" x14ac:dyDescent="0.25">
      <c r="A67" s="207" t="s">
        <v>532</v>
      </c>
      <c r="B67" s="208"/>
      <c r="C67" s="199" t="s">
        <v>1028</v>
      </c>
      <c r="D67" s="208"/>
      <c r="E67" s="480" t="s">
        <v>1029</v>
      </c>
    </row>
    <row r="68" spans="1:5" s="126" customFormat="1" x14ac:dyDescent="0.2">
      <c r="A68" s="131"/>
      <c r="B68" s="131"/>
      <c r="C68" s="131"/>
      <c r="D68" s="131"/>
      <c r="E68" s="131"/>
    </row>
    <row r="69" spans="1:5" s="126" customFormat="1" x14ac:dyDescent="0.2">
      <c r="A69" s="131"/>
      <c r="B69" s="131"/>
      <c r="C69" s="131"/>
      <c r="D69" s="131"/>
      <c r="E69" s="131"/>
    </row>
    <row r="70" spans="1:5" s="126" customFormat="1" x14ac:dyDescent="0.2">
      <c r="A70" s="131"/>
      <c r="B70" s="131"/>
      <c r="C70" s="131"/>
      <c r="D70" s="131"/>
      <c r="E70" s="131"/>
    </row>
    <row r="71" spans="1:5" s="126" customFormat="1" x14ac:dyDescent="0.2">
      <c r="A71" s="131"/>
      <c r="B71" s="131"/>
      <c r="C71" s="131"/>
      <c r="D71" s="131"/>
      <c r="E71" s="131"/>
    </row>
    <row r="72" spans="1:5" s="126" customFormat="1" x14ac:dyDescent="0.2">
      <c r="A72" s="131"/>
      <c r="B72" s="131"/>
      <c r="C72" s="131"/>
      <c r="D72" s="131"/>
      <c r="E72" s="131"/>
    </row>
    <row r="73" spans="1:5" s="126" customFormat="1" x14ac:dyDescent="0.2">
      <c r="A73" s="131"/>
      <c r="B73" s="131"/>
      <c r="C73" s="131"/>
      <c r="D73" s="131"/>
      <c r="E73" s="131"/>
    </row>
    <row r="74" spans="1:5" s="126" customFormat="1" x14ac:dyDescent="0.2">
      <c r="A74" s="131"/>
      <c r="B74" s="131"/>
      <c r="C74" s="131"/>
      <c r="D74" s="131"/>
      <c r="E74" s="131"/>
    </row>
    <row r="75" spans="1:5" s="126" customFormat="1" x14ac:dyDescent="0.2">
      <c r="A75" s="131"/>
      <c r="B75" s="131"/>
      <c r="C75" s="131"/>
      <c r="D75" s="131"/>
      <c r="E75" s="131"/>
    </row>
    <row r="76" spans="1:5" s="126" customFormat="1" x14ac:dyDescent="0.2">
      <c r="A76" s="131"/>
      <c r="B76" s="131"/>
      <c r="C76" s="131"/>
      <c r="D76" s="131"/>
      <c r="E76" s="131"/>
    </row>
    <row r="77" spans="1:5" s="126" customFormat="1" x14ac:dyDescent="0.2">
      <c r="A77" s="131"/>
      <c r="B77" s="131"/>
      <c r="C77" s="131"/>
      <c r="D77" s="131"/>
      <c r="E77" s="131"/>
    </row>
    <row r="78" spans="1:5" s="126" customFormat="1" x14ac:dyDescent="0.2">
      <c r="A78" s="131"/>
      <c r="B78" s="131"/>
      <c r="C78" s="131"/>
      <c r="D78" s="131"/>
      <c r="E78" s="131"/>
    </row>
    <row r="79" spans="1:5" s="126" customFormat="1" x14ac:dyDescent="0.2">
      <c r="A79" s="131"/>
      <c r="B79" s="131"/>
      <c r="C79" s="131"/>
      <c r="D79" s="131"/>
      <c r="E79" s="131"/>
    </row>
    <row r="80" spans="1:5" s="126" customFormat="1" x14ac:dyDescent="0.2">
      <c r="A80" s="131"/>
      <c r="B80" s="131"/>
      <c r="C80" s="131"/>
      <c r="D80" s="131"/>
      <c r="E80" s="131"/>
    </row>
    <row r="81" spans="1:5" s="126" customFormat="1" x14ac:dyDescent="0.2">
      <c r="A81" s="131"/>
      <c r="B81" s="131"/>
      <c r="C81" s="131"/>
      <c r="D81" s="131"/>
      <c r="E81" s="131"/>
    </row>
    <row r="82" spans="1:5" s="126" customFormat="1" x14ac:dyDescent="0.2">
      <c r="A82" s="131"/>
      <c r="B82" s="131"/>
      <c r="C82" s="131"/>
      <c r="D82" s="131"/>
      <c r="E82" s="131"/>
    </row>
    <row r="83" spans="1:5" s="126" customFormat="1" x14ac:dyDescent="0.2">
      <c r="A83" s="131"/>
      <c r="B83" s="131"/>
      <c r="C83" s="131"/>
      <c r="D83" s="131"/>
      <c r="E83" s="131"/>
    </row>
    <row r="84" spans="1:5" s="126" customFormat="1" x14ac:dyDescent="0.2">
      <c r="A84" s="131"/>
      <c r="B84" s="131"/>
      <c r="C84" s="131"/>
      <c r="D84" s="131"/>
      <c r="E84" s="131"/>
    </row>
    <row r="85" spans="1:5" s="126" customFormat="1" x14ac:dyDescent="0.2">
      <c r="A85" s="131"/>
      <c r="B85" s="131"/>
      <c r="C85" s="131"/>
      <c r="D85" s="131"/>
      <c r="E85" s="131"/>
    </row>
    <row r="86" spans="1:5" s="126" customFormat="1" x14ac:dyDescent="0.2">
      <c r="A86" s="131"/>
      <c r="B86" s="131"/>
      <c r="C86" s="131"/>
      <c r="D86" s="131"/>
      <c r="E86" s="131"/>
    </row>
    <row r="87" spans="1:5" s="126" customFormat="1" x14ac:dyDescent="0.2">
      <c r="A87" s="131"/>
      <c r="B87" s="131"/>
      <c r="C87" s="131"/>
      <c r="D87" s="131"/>
      <c r="E87" s="131"/>
    </row>
    <row r="88" spans="1:5" s="126" customFormat="1" x14ac:dyDescent="0.2">
      <c r="A88" s="131"/>
      <c r="B88" s="131"/>
      <c r="C88" s="131"/>
      <c r="D88" s="131"/>
      <c r="E88" s="131"/>
    </row>
    <row r="89" spans="1:5" s="126" customFormat="1" x14ac:dyDescent="0.2">
      <c r="A89" s="131"/>
      <c r="B89" s="131"/>
      <c r="C89" s="131"/>
      <c r="D89" s="131"/>
      <c r="E89" s="131"/>
    </row>
    <row r="90" spans="1:5" s="126" customFormat="1" x14ac:dyDescent="0.2">
      <c r="A90" s="131"/>
      <c r="B90" s="131"/>
      <c r="C90" s="131"/>
      <c r="D90" s="131"/>
      <c r="E90" s="131"/>
    </row>
    <row r="91" spans="1:5" s="126" customFormat="1" x14ac:dyDescent="0.2">
      <c r="A91" s="131"/>
      <c r="B91" s="131"/>
      <c r="C91" s="131"/>
      <c r="D91" s="131"/>
      <c r="E91" s="131"/>
    </row>
    <row r="92" spans="1:5" s="126" customFormat="1" x14ac:dyDescent="0.2">
      <c r="A92" s="131"/>
      <c r="B92" s="131"/>
      <c r="C92" s="131"/>
      <c r="D92" s="131"/>
      <c r="E92" s="131"/>
    </row>
    <row r="93" spans="1:5" s="126" customFormat="1" x14ac:dyDescent="0.2">
      <c r="A93" s="131"/>
      <c r="B93" s="131"/>
      <c r="C93" s="131"/>
      <c r="D93" s="131"/>
      <c r="E93" s="131"/>
    </row>
  </sheetData>
  <pageMargins left="0.75" right="0.75" top="1" bottom="1" header="0.5" footer="0.5"/>
  <pageSetup scale="87" fitToHeight="0" orientation="portrait" r:id="rId1"/>
  <headerFooter alignWithMargins="0"/>
  <rowBreaks count="1" manualBreakCount="1">
    <brk id="25" max="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7F886-92BD-41B6-BD1D-4FB53D80BE70}">
  <sheetPr codeName="Sheet7"/>
  <dimension ref="B1:G7"/>
  <sheetViews>
    <sheetView workbookViewId="0">
      <selection activeCell="E217" sqref="E217"/>
    </sheetView>
  </sheetViews>
  <sheetFormatPr defaultRowHeight="12.75" x14ac:dyDescent="0.2"/>
  <cols>
    <col min="1" max="1" width="3.42578125" style="131" customWidth="1"/>
    <col min="2" max="2" width="16" style="131" bestFit="1" customWidth="1"/>
    <col min="3" max="3" width="16" style="131" customWidth="1"/>
    <col min="4" max="6" width="13.5703125" style="131" bestFit="1" customWidth="1"/>
    <col min="7" max="7" width="15.140625" style="131" bestFit="1" customWidth="1"/>
    <col min="8" max="16384" width="9.140625" style="131"/>
  </cols>
  <sheetData>
    <row r="1" spans="2:7" ht="13.5" thickBot="1" x14ac:dyDescent="0.25"/>
    <row r="2" spans="2:7" ht="12.75" customHeight="1" x14ac:dyDescent="0.2">
      <c r="B2" s="501"/>
      <c r="C2" s="595" t="s">
        <v>1042</v>
      </c>
      <c r="D2" s="596"/>
      <c r="E2" s="596"/>
      <c r="F2" s="596"/>
      <c r="G2" s="597"/>
    </row>
    <row r="3" spans="2:7" ht="15.75" thickBot="1" x14ac:dyDescent="0.25">
      <c r="B3" s="502"/>
      <c r="C3" s="503" t="s">
        <v>1043</v>
      </c>
      <c r="D3" s="504" t="s">
        <v>1044</v>
      </c>
      <c r="E3" s="504" t="s">
        <v>1045</v>
      </c>
      <c r="F3" s="504" t="s">
        <v>1046</v>
      </c>
      <c r="G3" s="504" t="s">
        <v>1047</v>
      </c>
    </row>
    <row r="4" spans="2:7" ht="15.75" thickBot="1" x14ac:dyDescent="0.25">
      <c r="B4" s="505" t="s">
        <v>1048</v>
      </c>
      <c r="C4" s="506">
        <v>10</v>
      </c>
      <c r="D4" s="507">
        <v>25</v>
      </c>
      <c r="E4" s="507">
        <v>50</v>
      </c>
      <c r="F4" s="507">
        <v>85</v>
      </c>
      <c r="G4" s="507">
        <v>150</v>
      </c>
    </row>
    <row r="5" spans="2:7" ht="15.75" thickBot="1" x14ac:dyDescent="0.25">
      <c r="B5" s="505" t="s">
        <v>1049</v>
      </c>
      <c r="C5" s="506">
        <v>15</v>
      </c>
      <c r="D5" s="507">
        <v>35</v>
      </c>
      <c r="E5" s="507">
        <v>60</v>
      </c>
      <c r="F5" s="507">
        <v>95</v>
      </c>
      <c r="G5" s="507">
        <v>165</v>
      </c>
    </row>
    <row r="6" spans="2:7" ht="15.75" thickBot="1" x14ac:dyDescent="0.25">
      <c r="B6" s="505" t="s">
        <v>1050</v>
      </c>
      <c r="C6" s="506">
        <v>20</v>
      </c>
      <c r="D6" s="507">
        <v>45</v>
      </c>
      <c r="E6" s="507">
        <v>70</v>
      </c>
      <c r="F6" s="507">
        <v>105</v>
      </c>
      <c r="G6" s="507">
        <v>175</v>
      </c>
    </row>
    <row r="7" spans="2:7" ht="15.75" thickBot="1" x14ac:dyDescent="0.25">
      <c r="B7" s="505" t="s">
        <v>1051</v>
      </c>
      <c r="C7" s="506">
        <v>25</v>
      </c>
      <c r="D7" s="507">
        <v>60</v>
      </c>
      <c r="E7" s="507">
        <v>100</v>
      </c>
      <c r="F7" s="508" t="s">
        <v>213</v>
      </c>
      <c r="G7" s="508" t="s">
        <v>213</v>
      </c>
    </row>
  </sheetData>
  <mergeCells count="1">
    <mergeCell ref="C2:G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A1:J8"/>
  <sheetViews>
    <sheetView workbookViewId="0">
      <selection activeCell="F8" sqref="F8"/>
    </sheetView>
  </sheetViews>
  <sheetFormatPr defaultRowHeight="15" x14ac:dyDescent="0.25"/>
  <cols>
    <col min="1" max="1" width="19.42578125" customWidth="1"/>
    <col min="2" max="2" width="32.28515625" customWidth="1"/>
    <col min="3" max="3" width="12" customWidth="1"/>
    <col min="4" max="4" width="18.7109375" customWidth="1"/>
    <col min="5" max="5" width="19.28515625" customWidth="1"/>
    <col min="6" max="6" width="24.42578125" customWidth="1"/>
    <col min="7" max="7" width="28.28515625" customWidth="1"/>
    <col min="8" max="8" width="25.85546875" customWidth="1"/>
  </cols>
  <sheetData>
    <row r="1" spans="1:10" s="14" customFormat="1" x14ac:dyDescent="0.25">
      <c r="A1" s="14" t="s">
        <v>312</v>
      </c>
      <c r="B1" s="14" t="s">
        <v>317</v>
      </c>
      <c r="C1" s="14" t="s">
        <v>325</v>
      </c>
      <c r="D1" s="14" t="s">
        <v>327</v>
      </c>
      <c r="E1" s="14" t="s">
        <v>332</v>
      </c>
      <c r="F1" s="14" t="s">
        <v>334</v>
      </c>
      <c r="G1" s="14" t="s">
        <v>382</v>
      </c>
      <c r="H1" s="14" t="s">
        <v>140</v>
      </c>
      <c r="I1" s="14" t="s">
        <v>631</v>
      </c>
      <c r="J1" s="14" t="s">
        <v>753</v>
      </c>
    </row>
    <row r="2" spans="1:10" x14ac:dyDescent="0.25">
      <c r="A2" t="s">
        <v>696</v>
      </c>
      <c r="B2" t="s">
        <v>318</v>
      </c>
      <c r="C2" t="s">
        <v>176</v>
      </c>
      <c r="D2" t="s">
        <v>328</v>
      </c>
      <c r="E2" t="s">
        <v>328</v>
      </c>
      <c r="F2" t="s">
        <v>704</v>
      </c>
      <c r="G2" s="27">
        <v>0</v>
      </c>
      <c r="H2">
        <v>1000000</v>
      </c>
      <c r="I2" t="s">
        <v>629</v>
      </c>
      <c r="J2" t="s">
        <v>743</v>
      </c>
    </row>
    <row r="3" spans="1:10" x14ac:dyDescent="0.25">
      <c r="A3" t="s">
        <v>697</v>
      </c>
      <c r="B3" t="s">
        <v>319</v>
      </c>
      <c r="C3" t="s">
        <v>276</v>
      </c>
      <c r="D3" t="s">
        <v>329</v>
      </c>
      <c r="E3" t="s">
        <v>329</v>
      </c>
      <c r="F3" t="s">
        <v>705</v>
      </c>
      <c r="G3" s="27">
        <v>500</v>
      </c>
      <c r="H3">
        <v>2000000</v>
      </c>
      <c r="I3" t="s">
        <v>632</v>
      </c>
      <c r="J3" t="s">
        <v>410</v>
      </c>
    </row>
    <row r="4" spans="1:10" x14ac:dyDescent="0.25">
      <c r="A4" t="s">
        <v>698</v>
      </c>
      <c r="B4" t="s">
        <v>320</v>
      </c>
      <c r="D4" t="s">
        <v>330</v>
      </c>
      <c r="E4" t="s">
        <v>330</v>
      </c>
      <c r="F4" t="s">
        <v>706</v>
      </c>
      <c r="G4" s="27">
        <v>1000</v>
      </c>
      <c r="H4">
        <v>3000000</v>
      </c>
    </row>
    <row r="5" spans="1:10" x14ac:dyDescent="0.25">
      <c r="D5" t="s">
        <v>331</v>
      </c>
      <c r="E5" t="s">
        <v>333</v>
      </c>
      <c r="F5" t="s">
        <v>707</v>
      </c>
      <c r="G5" s="27">
        <v>2500</v>
      </c>
      <c r="H5">
        <v>4000000</v>
      </c>
    </row>
    <row r="6" spans="1:10" x14ac:dyDescent="0.25">
      <c r="E6" t="s">
        <v>331</v>
      </c>
      <c r="F6" t="s">
        <v>708</v>
      </c>
      <c r="G6" s="27">
        <v>5000</v>
      </c>
      <c r="H6">
        <v>5000000</v>
      </c>
    </row>
    <row r="7" spans="1:10" x14ac:dyDescent="0.25">
      <c r="F7" t="s">
        <v>1071</v>
      </c>
      <c r="G7" s="27">
        <v>10000</v>
      </c>
      <c r="H7">
        <v>10000000</v>
      </c>
    </row>
    <row r="8" spans="1:10" x14ac:dyDescent="0.25">
      <c r="F8"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Sheet1</vt:lpstr>
      <vt:lpstr>Log</vt:lpstr>
      <vt:lpstr>Map</vt:lpstr>
      <vt:lpstr>2022 Liability Rates</vt:lpstr>
      <vt:lpstr>2022 Property Rates</vt:lpstr>
      <vt:lpstr>2022 Package Rates</vt:lpstr>
      <vt:lpstr>Increased Abuse Rates</vt:lpstr>
      <vt:lpstr>Dropdowns</vt:lpstr>
      <vt:lpstr>'2022 Liability Rates'!Print_Area</vt:lpstr>
      <vt:lpstr>'2022 Package Rates'!Print_Area</vt:lpstr>
      <vt:lpstr>'2022 Property Rates'!Print_Area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Kidd</dc:creator>
  <cp:lastModifiedBy>Nick Kidd</cp:lastModifiedBy>
  <cp:lastPrinted>2021-08-10T21:38:29Z</cp:lastPrinted>
  <dcterms:created xsi:type="dcterms:W3CDTF">2021-07-06T20:05:39Z</dcterms:created>
  <dcterms:modified xsi:type="dcterms:W3CDTF">2022-09-16T03:06:57Z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187e52db-7fe3-4ffd-8340-099857386e50</vt:lpwstr>
  </property>
</Properties>
</file>