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https://d.docs.live.net/345d1610474a9baa/Quotey McQuoteface/Rating and Covermatch/Rating 20020723/Contractors/"/>
    </mc:Choice>
  </mc:AlternateContent>
  <xr:revisionPtr revIDLastSave="112" documentId="8_{E7077493-E2A1-4878-AD14-719C1E64678B}" xr6:coauthVersionLast="47" xr6:coauthVersionMax="47" xr10:uidLastSave="{9A761679-9250-4FE2-9A6F-DAF5F56C4B62}"/>
  <bookViews>
    <workbookView xWindow="-120" yWindow="-120" windowWidth="38640" windowHeight="21240" xr2:uid="{00000000-000D-0000-FFFF-FFFF00000000}"/>
  </bookViews>
  <sheets>
    <sheet name="Map" sheetId="13" r:id="rId1"/>
    <sheet name="Calculator" sheetId="15" r:id="rId2"/>
    <sheet name="Application" sheetId="12" r:id="rId3"/>
    <sheet name="Quote" sheetId="1" r:id="rId4"/>
    <sheet name="Conditions" sheetId="11" r:id="rId5"/>
    <sheet name="Rating Worksheet" sheetId="8" r:id="rId6"/>
    <sheet name="Risk Class Chart" sheetId="10" r:id="rId7"/>
    <sheet name="Pkg Eligibility, Fire Protectio" sheetId="9" r:id="rId8"/>
  </sheets>
  <externalReferences>
    <externalReference r:id="rId9"/>
  </externalReferences>
  <definedNames>
    <definedName name="sResults">OFFSET([1]OpsSearch!$A$2,0,0,COUNTA([1]OpsSearch!$A:$A)-1,3)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3" i="13" l="1"/>
  <c r="H33" i="13" l="1"/>
  <c r="Q106" i="13"/>
  <c r="Q179" i="13" l="1"/>
  <c r="Q180" i="13"/>
  <c r="Q181" i="13"/>
  <c r="Q194" i="13" s="1"/>
  <c r="Q182" i="13"/>
  <c r="Q198" i="13"/>
  <c r="S198" i="13" s="1"/>
  <c r="U198" i="13" s="1"/>
  <c r="AL24" i="13"/>
  <c r="Q159" i="13"/>
  <c r="Q140" i="13"/>
  <c r="Q59" i="13"/>
  <c r="Q60" i="13"/>
  <c r="AL14" i="13"/>
  <c r="AL15" i="13"/>
  <c r="AL16" i="13"/>
  <c r="AL17" i="13"/>
  <c r="AL18" i="13"/>
  <c r="AL19" i="13"/>
  <c r="AL20" i="13"/>
  <c r="AL21" i="13"/>
  <c r="AL22" i="13"/>
  <c r="AL23" i="13"/>
  <c r="AL25" i="13"/>
  <c r="AL26" i="13"/>
  <c r="AL27" i="13"/>
  <c r="AL28" i="13"/>
  <c r="AL29" i="13"/>
  <c r="AL30" i="13"/>
  <c r="AL31" i="13"/>
  <c r="AL32" i="13"/>
  <c r="AL33" i="13"/>
  <c r="AL34" i="13"/>
  <c r="AL35" i="13"/>
  <c r="AL36" i="13"/>
  <c r="AL37" i="13"/>
  <c r="AL38" i="13"/>
  <c r="AL39" i="13"/>
  <c r="AL40" i="13"/>
  <c r="AL41" i="13"/>
  <c r="AL42" i="13"/>
  <c r="AL43" i="13"/>
  <c r="AL44" i="13"/>
  <c r="AL45" i="13"/>
  <c r="AL46" i="13"/>
  <c r="AL47" i="13"/>
  <c r="AL48" i="13"/>
  <c r="AL49" i="13"/>
  <c r="AL50" i="13"/>
  <c r="AL51" i="13"/>
  <c r="AL52" i="13"/>
  <c r="AL53" i="13"/>
  <c r="AL54" i="13"/>
  <c r="AL55" i="13"/>
  <c r="AL56" i="13"/>
  <c r="AL57" i="13"/>
  <c r="AL58" i="13"/>
  <c r="AL59" i="13"/>
  <c r="AL60" i="13"/>
  <c r="AL61" i="13"/>
  <c r="AL62" i="13"/>
  <c r="AL63" i="13"/>
  <c r="AL64" i="13"/>
  <c r="AL65" i="13"/>
  <c r="AL66" i="13"/>
  <c r="AL67" i="13"/>
  <c r="AL68" i="13"/>
  <c r="AL69" i="13"/>
  <c r="AL70" i="13"/>
  <c r="AL71" i="13"/>
  <c r="AL72" i="13"/>
  <c r="AL73" i="13"/>
  <c r="AL74" i="13"/>
  <c r="AL75" i="13"/>
  <c r="AL76" i="13"/>
  <c r="AL77" i="13"/>
  <c r="AL78" i="13"/>
  <c r="AL79" i="13"/>
  <c r="AL80" i="13"/>
  <c r="AL81" i="13"/>
  <c r="AL82" i="13"/>
  <c r="AL83" i="13"/>
  <c r="AL84" i="13"/>
  <c r="AL85" i="13"/>
  <c r="AL86" i="13"/>
  <c r="AL87" i="13"/>
  <c r="AL88" i="13"/>
  <c r="AL89" i="13"/>
  <c r="AL90" i="13"/>
  <c r="AL91" i="13"/>
  <c r="AL92" i="13"/>
  <c r="AL93" i="13"/>
  <c r="AL94" i="13"/>
  <c r="AL95" i="13"/>
  <c r="AL96" i="13"/>
  <c r="AL97" i="13"/>
  <c r="AL98" i="13"/>
  <c r="AL99" i="13"/>
  <c r="AL100" i="13"/>
  <c r="AL101" i="13"/>
  <c r="AL102" i="13"/>
  <c r="AL103" i="13"/>
  <c r="AL104" i="13"/>
  <c r="AL105" i="13"/>
  <c r="AL106" i="13"/>
  <c r="AL107" i="13"/>
  <c r="AL108" i="13"/>
  <c r="AL109" i="13"/>
  <c r="AL110" i="13"/>
  <c r="AL111" i="13"/>
  <c r="AL112" i="13"/>
  <c r="AL113" i="13"/>
  <c r="AL114" i="13"/>
  <c r="AL115" i="13"/>
  <c r="AL116" i="13"/>
  <c r="AL117" i="13"/>
  <c r="AL118" i="13"/>
  <c r="AL119" i="13"/>
  <c r="AL120" i="13"/>
  <c r="AL121" i="13"/>
  <c r="AL122" i="13"/>
  <c r="AL123" i="13"/>
  <c r="AL124" i="13"/>
  <c r="AL125" i="13"/>
  <c r="AL126" i="13"/>
  <c r="AL127" i="13"/>
  <c r="AL128" i="13"/>
  <c r="AL129" i="13"/>
  <c r="AL130" i="13"/>
  <c r="AL131" i="13"/>
  <c r="AL132" i="13"/>
  <c r="AL133" i="13"/>
  <c r="AL134" i="13"/>
  <c r="AL135" i="13"/>
  <c r="AL136" i="13"/>
  <c r="AL137" i="13"/>
  <c r="AL138" i="13"/>
  <c r="AL139" i="13"/>
  <c r="AL140" i="13"/>
  <c r="AL141" i="13"/>
  <c r="AL142" i="13"/>
  <c r="AL143" i="13"/>
  <c r="AL144" i="13"/>
  <c r="AL145" i="13"/>
  <c r="AL146" i="13"/>
  <c r="AL147" i="13"/>
  <c r="AL148" i="13"/>
  <c r="AL149" i="13"/>
  <c r="AL150" i="13"/>
  <c r="AL151" i="13"/>
  <c r="AL152" i="13"/>
  <c r="AL153" i="13"/>
  <c r="AL154" i="13"/>
  <c r="AL155" i="13"/>
  <c r="AL156" i="13"/>
  <c r="AL157" i="13"/>
  <c r="AL158" i="13"/>
  <c r="AL159" i="13"/>
  <c r="AL160" i="13"/>
  <c r="AL161" i="13"/>
  <c r="AL162" i="13"/>
  <c r="AL163" i="13"/>
  <c r="AL164" i="13"/>
  <c r="AL165" i="13"/>
  <c r="AL166" i="13"/>
  <c r="AL167" i="13"/>
  <c r="AL168" i="13"/>
  <c r="AL169" i="13"/>
  <c r="AL170" i="13"/>
  <c r="AL171" i="13"/>
  <c r="AL172" i="13"/>
  <c r="AL173" i="13"/>
  <c r="AL174" i="13"/>
  <c r="AL175" i="13"/>
  <c r="AL176" i="13"/>
  <c r="AL177" i="13"/>
  <c r="AL178" i="13"/>
  <c r="AL179" i="13"/>
  <c r="AL180" i="13"/>
  <c r="AL181" i="13"/>
  <c r="AL182" i="13"/>
  <c r="AL183" i="13"/>
  <c r="AL184" i="13"/>
  <c r="AL185" i="13"/>
  <c r="AL186" i="13"/>
  <c r="AL187" i="13"/>
  <c r="AL188" i="13"/>
  <c r="AL189" i="13"/>
  <c r="AL190" i="13"/>
  <c r="AL191" i="13"/>
  <c r="AL192" i="13"/>
  <c r="AL193" i="13"/>
  <c r="AL194" i="13"/>
  <c r="AL195" i="13"/>
  <c r="AL196" i="13"/>
  <c r="AL197" i="13"/>
  <c r="AL198" i="13"/>
  <c r="AL199" i="13"/>
  <c r="AL200" i="13"/>
  <c r="AL201" i="13"/>
  <c r="AL202" i="13"/>
  <c r="AL203" i="13"/>
  <c r="AL204" i="13"/>
  <c r="AL205" i="13"/>
  <c r="AL206" i="13"/>
  <c r="AL207" i="13"/>
  <c r="AL208" i="13"/>
  <c r="AL209" i="13"/>
  <c r="AL210" i="13"/>
  <c r="AL211" i="13"/>
  <c r="AL212" i="13"/>
  <c r="AL213" i="13"/>
  <c r="AL214" i="13"/>
  <c r="AL215" i="13"/>
  <c r="AL216" i="13"/>
  <c r="AL217" i="13"/>
  <c r="AL13" i="13"/>
  <c r="S199" i="13" l="1"/>
  <c r="U199" i="13" s="1"/>
  <c r="AG13" i="13"/>
  <c r="Q311" i="13"/>
  <c r="Q310" i="13"/>
  <c r="Q297" i="13"/>
  <c r="Q284" i="13"/>
  <c r="Q283" i="13"/>
  <c r="Q285" i="13" s="1"/>
  <c r="AD16" i="13"/>
  <c r="B83" i="15" s="1"/>
  <c r="AD31" i="13"/>
  <c r="Q101" i="13"/>
  <c r="U101" i="13" s="1"/>
  <c r="AD24" i="13" s="1"/>
  <c r="Q100" i="13"/>
  <c r="U100" i="13" s="1"/>
  <c r="AD23" i="13" s="1"/>
  <c r="Q99" i="13"/>
  <c r="U99" i="13" s="1"/>
  <c r="AD22" i="13" s="1"/>
  <c r="Q98" i="13"/>
  <c r="U98" i="13" s="1"/>
  <c r="AD21" i="13" s="1"/>
  <c r="F168" i="15"/>
  <c r="B175" i="15" l="1"/>
  <c r="C175" i="15" s="1"/>
  <c r="U310" i="13"/>
  <c r="AD14" i="13" s="1"/>
  <c r="U311" i="13"/>
  <c r="AD15" i="13" s="1"/>
  <c r="Q288" i="13"/>
  <c r="Q289" i="13" s="1" a="1"/>
  <c r="Q289" i="13" s="1"/>
  <c r="Q287" i="13"/>
  <c r="Q290" i="13" s="1"/>
  <c r="B48" i="1" l="1"/>
  <c r="L118" i="15"/>
  <c r="L117" i="15"/>
  <c r="L116" i="15"/>
  <c r="L115" i="15"/>
  <c r="B118" i="15"/>
  <c r="B117" i="15"/>
  <c r="B116" i="15"/>
  <c r="B115" i="15"/>
  <c r="B77" i="15"/>
  <c r="F78" i="15" s="1"/>
  <c r="B72" i="15"/>
  <c r="F73" i="15" s="1"/>
  <c r="M60" i="13"/>
  <c r="N60" i="13" s="1"/>
  <c r="L60" i="13"/>
  <c r="M57" i="13"/>
  <c r="N57" i="13" s="1"/>
  <c r="L57" i="13"/>
  <c r="I75" i="13"/>
  <c r="I77" i="13"/>
  <c r="I68" i="13"/>
  <c r="I67" i="13"/>
  <c r="I66" i="13"/>
  <c r="I65" i="13"/>
  <c r="I64" i="13"/>
  <c r="I63" i="13"/>
  <c r="I62" i="13"/>
  <c r="H64" i="13"/>
  <c r="J64" i="13" s="1"/>
  <c r="M64" i="13" s="1"/>
  <c r="N64" i="13" s="1"/>
  <c r="I69" i="13"/>
  <c r="I43" i="13"/>
  <c r="I72" i="13"/>
  <c r="I71" i="13"/>
  <c r="I70" i="13"/>
  <c r="I79" i="13"/>
  <c r="H47" i="13"/>
  <c r="I78" i="13"/>
  <c r="I76" i="13"/>
  <c r="I74" i="13"/>
  <c r="I73" i="13"/>
  <c r="I61" i="13"/>
  <c r="I58" i="13"/>
  <c r="I59" i="13"/>
  <c r="I56" i="13"/>
  <c r="I55" i="13"/>
  <c r="I54" i="13"/>
  <c r="I53" i="13"/>
  <c r="I52" i="13"/>
  <c r="I51" i="13"/>
  <c r="I50" i="13"/>
  <c r="I49" i="13"/>
  <c r="I45" i="13"/>
  <c r="I47" i="13"/>
  <c r="I40" i="13"/>
  <c r="I44" i="13"/>
  <c r="I46" i="13"/>
  <c r="I48" i="13"/>
  <c r="I42" i="13"/>
  <c r="I41" i="13"/>
  <c r="V52" i="13"/>
  <c r="U52" i="13"/>
  <c r="T52" i="13"/>
  <c r="S52" i="13"/>
  <c r="V51" i="13"/>
  <c r="U51" i="13"/>
  <c r="T51" i="13"/>
  <c r="S51" i="13"/>
  <c r="V50" i="13"/>
  <c r="U50" i="13"/>
  <c r="T50" i="13"/>
  <c r="S50" i="13"/>
  <c r="V49" i="13"/>
  <c r="U49" i="13"/>
  <c r="T49" i="13"/>
  <c r="S49" i="13"/>
  <c r="V48" i="13"/>
  <c r="U48" i="13"/>
  <c r="T48" i="13"/>
  <c r="S48" i="13"/>
  <c r="V47" i="13"/>
  <c r="U47" i="13"/>
  <c r="T47" i="13"/>
  <c r="S47" i="13"/>
  <c r="V46" i="13"/>
  <c r="U46" i="13"/>
  <c r="T46" i="13"/>
  <c r="S46" i="13"/>
  <c r="V45" i="13"/>
  <c r="U45" i="13"/>
  <c r="T45" i="13"/>
  <c r="S45" i="13"/>
  <c r="R52" i="13"/>
  <c r="R51" i="13"/>
  <c r="R50" i="13"/>
  <c r="R49" i="13"/>
  <c r="R48" i="13"/>
  <c r="R47" i="13"/>
  <c r="R46" i="13"/>
  <c r="R45" i="13"/>
  <c r="V44" i="13"/>
  <c r="U44" i="13"/>
  <c r="T44" i="13"/>
  <c r="S44" i="13"/>
  <c r="R44" i="13"/>
  <c r="V43" i="13"/>
  <c r="U43" i="13"/>
  <c r="T43" i="13"/>
  <c r="S43" i="13"/>
  <c r="R43" i="13"/>
  <c r="Q51" i="13"/>
  <c r="Q52" i="13"/>
  <c r="Q50" i="13"/>
  <c r="Q49" i="13"/>
  <c r="Q48" i="13"/>
  <c r="Q47" i="13"/>
  <c r="Q46" i="13"/>
  <c r="Q45" i="13"/>
  <c r="Q44" i="13"/>
  <c r="Q43" i="13"/>
  <c r="P52" i="13"/>
  <c r="P51" i="13"/>
  <c r="P50" i="13"/>
  <c r="P49" i="13"/>
  <c r="P48" i="13"/>
  <c r="P47" i="13"/>
  <c r="P46" i="13"/>
  <c r="P45" i="13"/>
  <c r="P44" i="13"/>
  <c r="P43" i="13"/>
  <c r="I39" i="13"/>
  <c r="I38" i="13"/>
  <c r="I37" i="13"/>
  <c r="I36" i="13"/>
  <c r="I35" i="13"/>
  <c r="H66" i="13"/>
  <c r="H35" i="13"/>
  <c r="H79" i="13"/>
  <c r="H78" i="13"/>
  <c r="J78" i="13" s="1"/>
  <c r="M78" i="13" s="1"/>
  <c r="N78" i="13" s="1"/>
  <c r="H77" i="13"/>
  <c r="H76" i="13"/>
  <c r="J76" i="13" s="1"/>
  <c r="L76" i="13" s="1"/>
  <c r="H75" i="13"/>
  <c r="H74" i="13"/>
  <c r="H73" i="13"/>
  <c r="J73" i="13" s="1"/>
  <c r="M73" i="13" s="1"/>
  <c r="N73" i="13" s="1"/>
  <c r="H72" i="13"/>
  <c r="H71" i="13"/>
  <c r="J71" i="13" s="1"/>
  <c r="M71" i="13" s="1"/>
  <c r="N71" i="13" s="1"/>
  <c r="H70" i="13"/>
  <c r="H69" i="13"/>
  <c r="J69" i="13" s="1"/>
  <c r="L69" i="13" s="1"/>
  <c r="H68" i="13"/>
  <c r="H67" i="13"/>
  <c r="J67" i="13" s="1"/>
  <c r="M67" i="13" s="1"/>
  <c r="N67" i="13" s="1"/>
  <c r="H65" i="13"/>
  <c r="H63" i="13"/>
  <c r="H62" i="13"/>
  <c r="J62" i="13" s="1"/>
  <c r="M62" i="13" s="1"/>
  <c r="N62" i="13" s="1"/>
  <c r="H61" i="13"/>
  <c r="H60" i="13"/>
  <c r="H59" i="13"/>
  <c r="H58" i="13"/>
  <c r="H57" i="13"/>
  <c r="H56" i="13"/>
  <c r="H55" i="13"/>
  <c r="H54" i="13"/>
  <c r="H53" i="13"/>
  <c r="H52" i="13"/>
  <c r="H51" i="13"/>
  <c r="H50" i="13"/>
  <c r="H49" i="13"/>
  <c r="H48" i="13"/>
  <c r="H46" i="13"/>
  <c r="H45" i="13"/>
  <c r="H44" i="13"/>
  <c r="H43" i="13"/>
  <c r="H42" i="13"/>
  <c r="H41" i="13"/>
  <c r="H40" i="13"/>
  <c r="H39" i="13"/>
  <c r="H38" i="13"/>
  <c r="H37" i="13"/>
  <c r="H36" i="13"/>
  <c r="Q113" i="13"/>
  <c r="Q112" i="13"/>
  <c r="Q111" i="13"/>
  <c r="Q110" i="13"/>
  <c r="S110" i="13" s="1"/>
  <c r="Q109" i="13"/>
  <c r="Q108" i="13"/>
  <c r="S108" i="13" s="1"/>
  <c r="Q107" i="13"/>
  <c r="S106" i="13"/>
  <c r="Q105" i="13"/>
  <c r="S105" i="13" s="1"/>
  <c r="S112" i="13"/>
  <c r="H34" i="13"/>
  <c r="J34" i="13" s="1"/>
  <c r="L34" i="13" s="1"/>
  <c r="M33" i="13"/>
  <c r="H32" i="13"/>
  <c r="J32" i="13" s="1"/>
  <c r="H26" i="13"/>
  <c r="S113" i="13" l="1"/>
  <c r="S107" i="13"/>
  <c r="S111" i="13"/>
  <c r="B119" i="15"/>
  <c r="J55" i="13"/>
  <c r="M55" i="13" s="1"/>
  <c r="L119" i="15"/>
  <c r="H78" i="15"/>
  <c r="H73" i="15"/>
  <c r="H74" i="15" s="1"/>
  <c r="L33" i="13"/>
  <c r="N33" i="13" s="1"/>
  <c r="M69" i="13"/>
  <c r="N69" i="13" s="1"/>
  <c r="M34" i="13"/>
  <c r="N34" i="13" s="1"/>
  <c r="M76" i="13"/>
  <c r="N76" i="13" s="1"/>
  <c r="L64" i="13"/>
  <c r="L67" i="13"/>
  <c r="L71" i="13"/>
  <c r="L73" i="13"/>
  <c r="L78" i="13"/>
  <c r="L62" i="13"/>
  <c r="J74" i="13"/>
  <c r="J75" i="13"/>
  <c r="J77" i="13"/>
  <c r="J65" i="13"/>
  <c r="J68" i="13"/>
  <c r="J63" i="13"/>
  <c r="J66" i="13"/>
  <c r="J72" i="13"/>
  <c r="J70" i="13"/>
  <c r="J79" i="13"/>
  <c r="J61" i="13"/>
  <c r="J59" i="13"/>
  <c r="J58" i="13"/>
  <c r="J56" i="13"/>
  <c r="J54" i="13"/>
  <c r="J53" i="13"/>
  <c r="J52" i="13"/>
  <c r="J50" i="13"/>
  <c r="J49" i="13"/>
  <c r="M49" i="13" s="1"/>
  <c r="J51" i="13"/>
  <c r="J45" i="13"/>
  <c r="J47" i="13"/>
  <c r="J46" i="13"/>
  <c r="J44" i="13"/>
  <c r="J43" i="13"/>
  <c r="J48" i="13"/>
  <c r="J42" i="13"/>
  <c r="V53" i="13"/>
  <c r="J40" i="13"/>
  <c r="J41" i="13"/>
  <c r="R53" i="13"/>
  <c r="U53" i="13"/>
  <c r="T53" i="13"/>
  <c r="S53" i="13"/>
  <c r="Q53" i="13"/>
  <c r="J37" i="13"/>
  <c r="J36" i="13"/>
  <c r="J38" i="13"/>
  <c r="J39" i="13"/>
  <c r="S109" i="13"/>
  <c r="J35" i="13"/>
  <c r="M118" i="15" l="1"/>
  <c r="M117" i="15"/>
  <c r="M116" i="15"/>
  <c r="B121" i="15"/>
  <c r="N119" i="15"/>
  <c r="M115" i="15"/>
  <c r="S115" i="13"/>
  <c r="U105" i="13" s="1"/>
  <c r="AD10" i="13"/>
  <c r="B50" i="15" s="1"/>
  <c r="B51" i="15" s="1"/>
  <c r="L55" i="13"/>
  <c r="N55" i="13" s="1"/>
  <c r="M39" i="13"/>
  <c r="N39" i="13" s="1"/>
  <c r="L39" i="13"/>
  <c r="M38" i="13"/>
  <c r="N38" i="13" s="1"/>
  <c r="L38" i="13"/>
  <c r="M54" i="13"/>
  <c r="L54" i="13"/>
  <c r="L66" i="13"/>
  <c r="M66" i="13"/>
  <c r="L46" i="13"/>
  <c r="M46" i="13"/>
  <c r="N46" i="13" s="1"/>
  <c r="M41" i="13"/>
  <c r="N41" i="13" s="1"/>
  <c r="L41" i="13"/>
  <c r="L56" i="13"/>
  <c r="M56" i="13"/>
  <c r="M63" i="13"/>
  <c r="N63" i="13" s="1"/>
  <c r="L63" i="13"/>
  <c r="M44" i="13"/>
  <c r="N44" i="13" s="1"/>
  <c r="L44" i="13"/>
  <c r="M72" i="13"/>
  <c r="N72" i="13" s="1"/>
  <c r="L72" i="13"/>
  <c r="L36" i="13"/>
  <c r="M36" i="13"/>
  <c r="N36" i="13" s="1"/>
  <c r="M47" i="13"/>
  <c r="N47" i="13" s="1"/>
  <c r="L47" i="13"/>
  <c r="M37" i="13"/>
  <c r="N37" i="13" s="1"/>
  <c r="L37" i="13"/>
  <c r="M40" i="13"/>
  <c r="N40" i="13" s="1"/>
  <c r="L40" i="13"/>
  <c r="L45" i="13"/>
  <c r="M45" i="13"/>
  <c r="N45" i="13" s="1"/>
  <c r="M58" i="13"/>
  <c r="L58" i="13"/>
  <c r="M68" i="13"/>
  <c r="N68" i="13" s="1"/>
  <c r="L68" i="13"/>
  <c r="M51" i="13"/>
  <c r="L51" i="13"/>
  <c r="L59" i="13"/>
  <c r="M59" i="13"/>
  <c r="M65" i="13"/>
  <c r="L65" i="13"/>
  <c r="L42" i="13"/>
  <c r="M42" i="13"/>
  <c r="N42" i="13" s="1"/>
  <c r="L49" i="13"/>
  <c r="M61" i="13"/>
  <c r="N61" i="13" s="1"/>
  <c r="L61" i="13"/>
  <c r="M77" i="13"/>
  <c r="L77" i="13"/>
  <c r="M35" i="13"/>
  <c r="N35" i="13" s="1"/>
  <c r="L35" i="13"/>
  <c r="M48" i="13"/>
  <c r="N48" i="13" s="1"/>
  <c r="L48" i="13"/>
  <c r="M50" i="13"/>
  <c r="L50" i="13"/>
  <c r="M79" i="13"/>
  <c r="N79" i="13" s="1"/>
  <c r="L79" i="13"/>
  <c r="M75" i="13"/>
  <c r="N75" i="13" s="1"/>
  <c r="L75" i="13"/>
  <c r="M53" i="13"/>
  <c r="L53" i="13"/>
  <c r="M43" i="13"/>
  <c r="N43" i="13" s="1"/>
  <c r="L43" i="13"/>
  <c r="M52" i="13"/>
  <c r="L52" i="13"/>
  <c r="L70" i="13"/>
  <c r="M70" i="13"/>
  <c r="N70" i="13" s="1"/>
  <c r="M74" i="13"/>
  <c r="L74" i="13"/>
  <c r="R54" i="13"/>
  <c r="T54" i="13"/>
  <c r="U54" i="13"/>
  <c r="S54" i="13"/>
  <c r="M119" i="15" l="1"/>
  <c r="N118" i="15"/>
  <c r="H129" i="15" s="1"/>
  <c r="N117" i="15"/>
  <c r="H127" i="15" s="1"/>
  <c r="N116" i="15"/>
  <c r="H128" i="15" s="1"/>
  <c r="N115" i="15"/>
  <c r="H126" i="15" s="1"/>
  <c r="N59" i="13"/>
  <c r="N74" i="13"/>
  <c r="N51" i="13"/>
  <c r="N53" i="13"/>
  <c r="N52" i="13"/>
  <c r="N66" i="13"/>
  <c r="N65" i="13"/>
  <c r="N56" i="13"/>
  <c r="N54" i="13"/>
  <c r="N50" i="13"/>
  <c r="N49" i="13"/>
  <c r="N58" i="13"/>
  <c r="N77" i="13"/>
  <c r="Q273" i="13" l="1"/>
  <c r="U273" i="13" s="1"/>
  <c r="H27" i="13" s="1"/>
  <c r="J27" i="13" s="1"/>
  <c r="Q259" i="13"/>
  <c r="U259" i="13" s="1"/>
  <c r="AD32" i="13" s="1"/>
  <c r="Q250" i="13"/>
  <c r="U250" i="13" s="1"/>
  <c r="Q241" i="13"/>
  <c r="U241" i="13" s="1"/>
  <c r="AD11" i="13" s="1"/>
  <c r="B49" i="15" s="1"/>
  <c r="Q235" i="13"/>
  <c r="Q221" i="13"/>
  <c r="Q209" i="13"/>
  <c r="Q208" i="13"/>
  <c r="Q207" i="13"/>
  <c r="Q206" i="13"/>
  <c r="Q205" i="13"/>
  <c r="U169" i="13"/>
  <c r="Q158" i="13"/>
  <c r="Q157" i="13"/>
  <c r="U157" i="13" s="1"/>
  <c r="Q128" i="13"/>
  <c r="Q127" i="13"/>
  <c r="Q129" i="13" s="1"/>
  <c r="Q131" i="13" s="1"/>
  <c r="Q134" i="13" s="1"/>
  <c r="U127" i="13" s="1"/>
  <c r="Q119" i="13"/>
  <c r="U119" i="13" s="1"/>
  <c r="Q94" i="13"/>
  <c r="U94" i="13" s="1"/>
  <c r="AD7" i="13" s="1"/>
  <c r="B38" i="15" s="1"/>
  <c r="Q93" i="13"/>
  <c r="U93" i="13" s="1"/>
  <c r="T235" i="13" s="1"/>
  <c r="Q88" i="13"/>
  <c r="Q83" i="13"/>
  <c r="U83" i="13" s="1"/>
  <c r="AD26" i="13" s="1"/>
  <c r="B142" i="15" s="1"/>
  <c r="B144" i="15" s="1"/>
  <c r="Q78" i="13"/>
  <c r="U78" i="13" s="1"/>
  <c r="AD25" i="13" s="1"/>
  <c r="B133" i="15" s="1"/>
  <c r="B135" i="15" s="1"/>
  <c r="Q68" i="13"/>
  <c r="U68" i="13" s="1"/>
  <c r="AD8" i="13" s="1"/>
  <c r="S59" i="13"/>
  <c r="S60" i="13"/>
  <c r="H31" i="13"/>
  <c r="J31" i="13" s="1"/>
  <c r="H25" i="13"/>
  <c r="J25" i="13" s="1"/>
  <c r="H24" i="13"/>
  <c r="J24" i="13" s="1"/>
  <c r="H23" i="13"/>
  <c r="J23" i="13" s="1"/>
  <c r="H20" i="13"/>
  <c r="J20" i="13" s="1"/>
  <c r="L20" i="13" s="1"/>
  <c r="H19" i="13"/>
  <c r="H18" i="13"/>
  <c r="I18" i="13" s="1"/>
  <c r="B28" i="15" s="1"/>
  <c r="C28" i="15" s="1"/>
  <c r="H17" i="13"/>
  <c r="I17" i="13" s="1"/>
  <c r="B27" i="15" s="1"/>
  <c r="C27" i="15" s="1"/>
  <c r="H16" i="13"/>
  <c r="I16" i="13" s="1"/>
  <c r="H15" i="13"/>
  <c r="I15" i="13" s="1"/>
  <c r="B25" i="15" s="1"/>
  <c r="C25" i="15" s="1"/>
  <c r="H14" i="13"/>
  <c r="I14" i="13" s="1"/>
  <c r="B24" i="15" s="1"/>
  <c r="C24" i="15" s="1"/>
  <c r="H13" i="13"/>
  <c r="I13" i="13" s="1"/>
  <c r="B23" i="15" s="1"/>
  <c r="C23" i="15" s="1"/>
  <c r="H12" i="13"/>
  <c r="I12" i="13" s="1"/>
  <c r="H11" i="13"/>
  <c r="I11" i="13" s="1"/>
  <c r="H10" i="13"/>
  <c r="H9" i="13"/>
  <c r="E15" i="8"/>
  <c r="K15" i="8" s="1"/>
  <c r="K29" i="8"/>
  <c r="K18" i="8"/>
  <c r="K66" i="8"/>
  <c r="K61" i="8"/>
  <c r="K72" i="8"/>
  <c r="K28" i="8"/>
  <c r="H16" i="15" l="1"/>
  <c r="B176" i="15"/>
  <c r="U179" i="13"/>
  <c r="U194" i="13"/>
  <c r="AD6" i="13"/>
  <c r="U235" i="13"/>
  <c r="F137" i="15"/>
  <c r="H137" i="15" s="1"/>
  <c r="F146" i="15"/>
  <c r="H146" i="15" s="1"/>
  <c r="F53" i="15"/>
  <c r="H53" i="15" s="1"/>
  <c r="H54" i="15" s="1"/>
  <c r="C176" i="15"/>
  <c r="H130" i="15"/>
  <c r="U59" i="13"/>
  <c r="AD9" i="13" s="1"/>
  <c r="B41" i="15" s="1"/>
  <c r="Q142" i="13"/>
  <c r="Q145" i="13" s="1"/>
  <c r="Q143" i="13"/>
  <c r="Q144" i="13" s="1" a="1"/>
  <c r="Q144" i="13" s="1"/>
  <c r="AD29" i="13"/>
  <c r="B8" i="15" s="1"/>
  <c r="T305" i="13"/>
  <c r="T285" i="13"/>
  <c r="T304" i="13"/>
  <c r="T292" i="13"/>
  <c r="T299" i="13"/>
  <c r="U297" i="13" s="1"/>
  <c r="AD33" i="13" s="1"/>
  <c r="B82" i="15" s="1"/>
  <c r="T303" i="13"/>
  <c r="T291" i="13"/>
  <c r="T287" i="13"/>
  <c r="T286" i="13"/>
  <c r="T302" i="13"/>
  <c r="T290" i="13"/>
  <c r="T301" i="13"/>
  <c r="T289" i="13"/>
  <c r="T300" i="13"/>
  <c r="T288" i="13"/>
  <c r="Q224" i="13"/>
  <c r="Q225" i="13" s="1" a="1"/>
  <c r="Q225" i="13" s="1"/>
  <c r="Q223" i="13"/>
  <c r="Q211" i="13"/>
  <c r="AD13" i="13"/>
  <c r="B67" i="15" s="1"/>
  <c r="F68" i="15" s="1"/>
  <c r="H68" i="15" s="1"/>
  <c r="Q89" i="13"/>
  <c r="U88" i="13" s="1"/>
  <c r="AD27" i="13" s="1"/>
  <c r="B150" i="15" s="1"/>
  <c r="B152" i="15" s="1"/>
  <c r="B40" i="15"/>
  <c r="B122" i="15"/>
  <c r="J16" i="13"/>
  <c r="M16" i="13" s="1"/>
  <c r="N16" i="13" s="1"/>
  <c r="B26" i="15"/>
  <c r="C26" i="15" s="1"/>
  <c r="J12" i="13"/>
  <c r="M12" i="13" s="1"/>
  <c r="B22" i="15"/>
  <c r="C22" i="15" s="1"/>
  <c r="J11" i="13"/>
  <c r="L11" i="13" s="1"/>
  <c r="B21" i="15"/>
  <c r="C21" i="15" s="1"/>
  <c r="I10" i="13"/>
  <c r="J10" i="13" s="1"/>
  <c r="J9" i="13"/>
  <c r="L9" i="13" s="1"/>
  <c r="I19" i="13"/>
  <c r="B29" i="15" s="1"/>
  <c r="C29" i="15" s="1"/>
  <c r="H28" i="13"/>
  <c r="J28" i="13" s="1"/>
  <c r="M28" i="13" s="1"/>
  <c r="H29" i="13"/>
  <c r="J29" i="13" s="1"/>
  <c r="L29" i="13" s="1"/>
  <c r="H30" i="13"/>
  <c r="J30" i="13" s="1"/>
  <c r="M30" i="13" s="1"/>
  <c r="M20" i="13"/>
  <c r="N20" i="13" s="1"/>
  <c r="J15" i="13"/>
  <c r="M31" i="13"/>
  <c r="N31" i="13" s="1"/>
  <c r="L31" i="13"/>
  <c r="J17" i="13"/>
  <c r="M32" i="13"/>
  <c r="N32" i="13" s="1"/>
  <c r="L32" i="13"/>
  <c r="J18" i="13"/>
  <c r="J13" i="13"/>
  <c r="M24" i="13"/>
  <c r="L24" i="13"/>
  <c r="J26" i="13"/>
  <c r="Q132" i="13"/>
  <c r="Q133" i="13" s="1" a="1"/>
  <c r="Q133" i="13" s="1"/>
  <c r="J14" i="13"/>
  <c r="M23" i="13"/>
  <c r="L23" i="13"/>
  <c r="M25" i="13"/>
  <c r="N25" i="13" s="1"/>
  <c r="L25" i="13"/>
  <c r="U164" i="13"/>
  <c r="U175" i="13" s="1"/>
  <c r="H21" i="13" s="1"/>
  <c r="J21" i="13" s="1"/>
  <c r="K114" i="8"/>
  <c r="K105" i="8"/>
  <c r="E39" i="1"/>
  <c r="E38" i="1"/>
  <c r="E41" i="1"/>
  <c r="E35" i="1"/>
  <c r="C37" i="1"/>
  <c r="C34" i="1"/>
  <c r="C31" i="1"/>
  <c r="C29" i="1"/>
  <c r="C28" i="1"/>
  <c r="C27" i="1"/>
  <c r="C26" i="1"/>
  <c r="C25" i="1"/>
  <c r="C21" i="1"/>
  <c r="C20" i="1"/>
  <c r="C19" i="1"/>
  <c r="C18" i="1"/>
  <c r="U201" i="13" l="1"/>
  <c r="H22" i="13" s="1"/>
  <c r="J22" i="13" s="1"/>
  <c r="B123" i="15"/>
  <c r="B124" i="15" s="1"/>
  <c r="B125" i="15" s="1"/>
  <c r="F126" i="15" s="1"/>
  <c r="U283" i="13"/>
  <c r="AD30" i="13" s="1"/>
  <c r="B19" i="15" s="1"/>
  <c r="F154" i="15"/>
  <c r="H154" i="15" s="1"/>
  <c r="F85" i="15"/>
  <c r="H85" i="15" s="1"/>
  <c r="N24" i="13"/>
  <c r="F11" i="15"/>
  <c r="H11" i="15"/>
  <c r="U142" i="13"/>
  <c r="AD20" i="13" s="1"/>
  <c r="B96" i="15" s="1"/>
  <c r="U141" i="13"/>
  <c r="AD19" i="13" s="1"/>
  <c r="B95" i="15" s="1"/>
  <c r="H102" i="15" s="1"/>
  <c r="U140" i="13"/>
  <c r="AD18" i="13" s="1"/>
  <c r="B94" i="15" s="1"/>
  <c r="B10" i="15"/>
  <c r="B37" i="15"/>
  <c r="B39" i="15" s="1"/>
  <c r="AD12" i="13"/>
  <c r="B58" i="15" s="1"/>
  <c r="F61" i="15" s="1"/>
  <c r="F63" i="15" s="1"/>
  <c r="Q226" i="13"/>
  <c r="U221" i="13" s="1"/>
  <c r="AD17" i="13" s="1"/>
  <c r="B89" i="15" s="1"/>
  <c r="F90" i="15" s="1"/>
  <c r="H90" i="15" s="1"/>
  <c r="L12" i="13"/>
  <c r="N12" i="13" s="1"/>
  <c r="Q214" i="13"/>
  <c r="Q215" i="13" s="1" a="1"/>
  <c r="Q215" i="13" s="1"/>
  <c r="Q213" i="13"/>
  <c r="B42" i="15"/>
  <c r="B43" i="15" s="1"/>
  <c r="L16" i="13"/>
  <c r="M10" i="13"/>
  <c r="B20" i="15"/>
  <c r="C20" i="15" s="1"/>
  <c r="C30" i="15" s="1"/>
  <c r="M11" i="13"/>
  <c r="N11" i="13" s="1"/>
  <c r="M26" i="13"/>
  <c r="N26" i="13" s="1"/>
  <c r="L26" i="13"/>
  <c r="N23" i="13"/>
  <c r="M9" i="13"/>
  <c r="N9" i="13" s="1"/>
  <c r="J19" i="13"/>
  <c r="M27" i="13"/>
  <c r="L30" i="13"/>
  <c r="N30" i="13" s="1"/>
  <c r="M29" i="13"/>
  <c r="N29" i="13" s="1"/>
  <c r="L28" i="13"/>
  <c r="N28" i="13" s="1"/>
  <c r="L27" i="13"/>
  <c r="L21" i="13"/>
  <c r="M21" i="13"/>
  <c r="M13" i="13"/>
  <c r="L13" i="13"/>
  <c r="L15" i="13"/>
  <c r="M15" i="13"/>
  <c r="N15" i="13" s="1"/>
  <c r="L14" i="13"/>
  <c r="M14" i="13"/>
  <c r="N14" i="13" s="1"/>
  <c r="M18" i="13"/>
  <c r="N18" i="13" s="1"/>
  <c r="L18" i="13"/>
  <c r="M17" i="13"/>
  <c r="L17" i="13"/>
  <c r="Q216" i="13" l="1"/>
  <c r="N21" i="13"/>
  <c r="F32" i="15"/>
  <c r="H106" i="15"/>
  <c r="H107" i="15"/>
  <c r="H108" i="15"/>
  <c r="H104" i="15"/>
  <c r="H109" i="15"/>
  <c r="H105" i="15"/>
  <c r="H97" i="15"/>
  <c r="H98" i="15"/>
  <c r="H99" i="15"/>
  <c r="H100" i="15"/>
  <c r="H101" i="15"/>
  <c r="H103" i="15"/>
  <c r="M22" i="13"/>
  <c r="L22" i="13"/>
  <c r="F97" i="15"/>
  <c r="F170" i="15" s="1"/>
  <c r="F44" i="15"/>
  <c r="H15" i="15"/>
  <c r="H14" i="15"/>
  <c r="H13" i="15"/>
  <c r="H12" i="15"/>
  <c r="H32" i="15"/>
  <c r="H63" i="15"/>
  <c r="U205" i="13"/>
  <c r="AD28" i="13" s="1"/>
  <c r="G4" i="13"/>
  <c r="L10" i="13"/>
  <c r="N10" i="13" s="1"/>
  <c r="N27" i="13"/>
  <c r="L19" i="13"/>
  <c r="M19" i="13"/>
  <c r="N19" i="13" s="1"/>
  <c r="N17" i="13"/>
  <c r="N13" i="13"/>
  <c r="B4" i="1"/>
  <c r="B5" i="1" s="1"/>
  <c r="B159" i="15" l="1"/>
  <c r="N22" i="13"/>
  <c r="I6" i="13" s="1" a="1"/>
  <c r="I6" i="13" s="1"/>
  <c r="H44" i="15"/>
  <c r="H45" i="15"/>
  <c r="G5" i="13"/>
  <c r="I4" i="13" s="1"/>
  <c r="AG9" i="13" s="1"/>
  <c r="I5" i="13" a="1"/>
  <c r="I5" i="13" s="1"/>
  <c r="AG115" i="13" l="1"/>
  <c r="AG114" i="13"/>
  <c r="H164" i="15"/>
  <c r="H160" i="15"/>
  <c r="F160" i="15" s="1"/>
  <c r="F169" i="15" s="1"/>
  <c r="H169" i="15" s="1"/>
  <c r="F175" i="15" s="1"/>
  <c r="H175" i="15" s="1"/>
  <c r="H161" i="15"/>
  <c r="H162" i="15"/>
  <c r="H163" i="15"/>
  <c r="H46" i="15"/>
  <c r="AG107" i="13" s="1"/>
  <c r="AG113" i="13"/>
  <c r="AG111" i="13"/>
  <c r="AG112" i="13"/>
  <c r="AG43" i="13"/>
  <c r="AG95" i="13"/>
  <c r="AG109" i="13"/>
  <c r="AG110" i="13"/>
  <c r="AG108" i="13"/>
  <c r="AG106" i="13"/>
  <c r="AG36" i="13"/>
  <c r="AG27" i="13"/>
  <c r="AG28" i="13"/>
  <c r="AG24" i="13"/>
  <c r="AG30" i="13"/>
  <c r="AG23" i="13"/>
  <c r="AG67" i="13"/>
  <c r="AG66" i="13"/>
  <c r="AG65" i="13"/>
  <c r="AG64" i="13"/>
  <c r="AG60" i="13"/>
  <c r="AG62" i="13"/>
  <c r="AG61" i="13"/>
  <c r="AG63" i="13"/>
  <c r="AG47" i="13"/>
  <c r="AG58" i="13"/>
  <c r="AG50" i="13"/>
  <c r="AG57" i="13"/>
  <c r="AG49" i="13"/>
  <c r="AG56" i="13"/>
  <c r="AG48" i="13"/>
  <c r="AG59" i="13"/>
  <c r="AG55" i="13"/>
  <c r="AG52" i="13"/>
  <c r="AG54" i="13"/>
  <c r="AG53" i="13"/>
  <c r="AG51" i="13"/>
  <c r="AG46" i="13"/>
  <c r="AG45" i="13"/>
  <c r="AG44" i="13"/>
  <c r="AG42" i="13"/>
  <c r="AG41" i="13"/>
  <c r="AG40" i="13"/>
  <c r="AG37" i="13"/>
  <c r="AG38" i="13"/>
  <c r="AG39" i="13"/>
  <c r="AG22" i="13"/>
  <c r="AG17" i="13"/>
  <c r="AG21" i="13"/>
  <c r="AG20" i="13"/>
  <c r="AG19" i="13"/>
  <c r="AG18" i="13"/>
  <c r="AG102" i="13"/>
  <c r="AG105" i="13"/>
  <c r="AG104" i="13"/>
  <c r="AG103" i="13"/>
  <c r="AG101" i="13"/>
  <c r="AG68" i="13"/>
  <c r="AG100" i="13"/>
  <c r="AG91" i="13"/>
  <c r="AG83" i="13"/>
  <c r="AG75" i="13"/>
  <c r="AG81" i="13"/>
  <c r="AG73" i="13"/>
  <c r="AG76" i="13"/>
  <c r="AG99" i="13"/>
  <c r="AG90" i="13"/>
  <c r="AG82" i="13"/>
  <c r="AG74" i="13"/>
  <c r="AG89" i="13"/>
  <c r="AG84" i="13"/>
  <c r="AG98" i="13"/>
  <c r="AG97" i="13"/>
  <c r="AG88" i="13"/>
  <c r="AG80" i="13"/>
  <c r="AG72" i="13"/>
  <c r="AG78" i="13"/>
  <c r="AG92" i="13"/>
  <c r="AG96" i="13"/>
  <c r="AG87" i="13"/>
  <c r="AG79" i="13"/>
  <c r="AG71" i="13"/>
  <c r="AG86" i="13"/>
  <c r="AG70" i="13"/>
  <c r="AG77" i="13"/>
  <c r="AG94" i="13"/>
  <c r="AG93" i="13"/>
  <c r="AG85" i="13"/>
  <c r="AG69" i="13"/>
  <c r="AG26" i="13"/>
  <c r="AG25" i="13"/>
  <c r="AG35" i="13"/>
  <c r="AG34" i="13"/>
  <c r="AG33" i="13"/>
  <c r="AG31" i="13"/>
  <c r="AG32" i="13"/>
  <c r="AG29" i="13"/>
  <c r="AG14" i="13"/>
  <c r="AG16" i="13"/>
  <c r="AG15" i="13"/>
  <c r="AG10" i="13"/>
  <c r="AJ8" i="13" s="1"/>
  <c r="AJ7" i="13"/>
  <c r="AJ10" i="13"/>
  <c r="AJ215" i="13" l="1"/>
  <c r="F176" i="15"/>
  <c r="F177" i="15" s="1"/>
  <c r="F181" i="15" s="1"/>
  <c r="F183" i="15" s="1"/>
  <c r="AJ217" i="13"/>
  <c r="AJ209" i="13"/>
  <c r="AJ216" i="13"/>
  <c r="AJ208" i="13"/>
  <c r="AJ207" i="13"/>
  <c r="AJ214" i="13"/>
  <c r="AJ206" i="13"/>
  <c r="AJ205" i="13"/>
  <c r="AJ213" i="13"/>
  <c r="AJ204" i="13"/>
  <c r="AJ202" i="13"/>
  <c r="AJ211" i="13"/>
  <c r="AJ203" i="13"/>
  <c r="AJ210" i="13"/>
  <c r="AJ196" i="13"/>
  <c r="AJ201" i="13"/>
  <c r="AJ137" i="13"/>
  <c r="AJ69" i="13"/>
  <c r="AJ57" i="13"/>
  <c r="AJ158" i="13"/>
  <c r="AJ70" i="13"/>
  <c r="AJ156" i="13"/>
  <c r="AJ76" i="13"/>
  <c r="AJ20" i="13"/>
  <c r="AJ31" i="13"/>
  <c r="AJ98" i="13"/>
  <c r="AJ55" i="13"/>
  <c r="AJ26" i="13"/>
  <c r="AJ13" i="13"/>
  <c r="AJ146" i="13"/>
  <c r="AJ127" i="13"/>
  <c r="AJ164" i="13"/>
  <c r="AJ130" i="13"/>
  <c r="AJ19" i="13"/>
  <c r="AJ142" i="13"/>
  <c r="AJ88" i="13"/>
  <c r="AJ25" i="13"/>
  <c r="AJ113" i="13"/>
  <c r="AJ17" i="13"/>
  <c r="AJ109" i="13"/>
  <c r="AJ133" i="13"/>
  <c r="AJ43" i="13"/>
  <c r="AJ167" i="13"/>
  <c r="AJ42" i="13"/>
  <c r="AJ34" i="13"/>
  <c r="AJ23" i="13"/>
  <c r="AJ116" i="13"/>
  <c r="AJ197" i="13"/>
  <c r="AJ74" i="13"/>
  <c r="AJ189" i="13"/>
  <c r="AJ172" i="13"/>
  <c r="AJ39" i="13"/>
  <c r="AJ148" i="13"/>
  <c r="AJ118" i="13"/>
  <c r="AJ29" i="13"/>
  <c r="AJ47" i="13"/>
  <c r="AJ46" i="13"/>
  <c r="AJ49" i="13"/>
  <c r="AJ100" i="13"/>
  <c r="AJ40" i="13"/>
  <c r="AJ62" i="13"/>
  <c r="AJ37" i="13"/>
  <c r="AJ111" i="13"/>
  <c r="AJ105" i="13"/>
  <c r="AJ115" i="13"/>
  <c r="AJ95" i="13"/>
  <c r="AJ86" i="13"/>
  <c r="AJ79" i="13"/>
  <c r="AJ65" i="13"/>
  <c r="AJ175" i="13"/>
  <c r="AJ61" i="13"/>
  <c r="AJ94" i="13"/>
  <c r="AJ132" i="13"/>
  <c r="AJ59" i="13"/>
  <c r="AJ129" i="13"/>
  <c r="AJ123" i="13"/>
  <c r="AJ81" i="13"/>
  <c r="AJ178" i="13"/>
  <c r="AJ101" i="13"/>
  <c r="AJ30" i="13"/>
  <c r="AJ96" i="13"/>
  <c r="AJ33" i="13"/>
  <c r="AJ87" i="13"/>
  <c r="AJ186" i="13"/>
  <c r="AJ180" i="13"/>
  <c r="AJ157" i="13"/>
  <c r="AJ50" i="13"/>
  <c r="AJ162" i="13"/>
  <c r="AJ124" i="13"/>
  <c r="AJ200" i="13"/>
  <c r="AJ112" i="13"/>
  <c r="AJ36" i="13"/>
  <c r="AJ54" i="13"/>
  <c r="AJ182" i="13"/>
  <c r="AJ27" i="13"/>
  <c r="AJ191" i="13"/>
  <c r="AJ184" i="13"/>
  <c r="AJ108" i="13"/>
  <c r="AJ176" i="13"/>
  <c r="AJ169" i="13"/>
  <c r="AJ35" i="13"/>
  <c r="AJ16" i="13"/>
  <c r="AJ166" i="13"/>
  <c r="AJ138" i="13"/>
  <c r="AJ151" i="13"/>
  <c r="AJ104" i="13"/>
  <c r="AJ56" i="13"/>
  <c r="AJ188" i="13"/>
  <c r="AJ72" i="13"/>
  <c r="AJ38" i="13"/>
  <c r="AJ18" i="13"/>
  <c r="AJ60" i="13"/>
  <c r="AJ154" i="13"/>
  <c r="AJ58" i="13"/>
  <c r="AJ24" i="13"/>
  <c r="AJ131" i="13"/>
  <c r="AJ66" i="13"/>
  <c r="AJ141" i="13"/>
  <c r="AJ80" i="13"/>
  <c r="AJ21" i="13"/>
  <c r="AJ143" i="13"/>
  <c r="AJ110" i="13"/>
  <c r="AJ89" i="13"/>
  <c r="AJ41" i="13"/>
  <c r="AJ77" i="13"/>
  <c r="AJ71" i="13"/>
  <c r="AJ67" i="13"/>
  <c r="AJ187" i="13"/>
  <c r="AJ68" i="13"/>
  <c r="AJ52" i="13"/>
  <c r="AJ171" i="13"/>
  <c r="AJ165" i="13"/>
  <c r="AJ161" i="13"/>
  <c r="AJ126" i="13"/>
  <c r="AJ84" i="13"/>
  <c r="AJ93" i="13"/>
  <c r="AJ44" i="13"/>
  <c r="AJ159" i="13"/>
  <c r="AJ134" i="13"/>
  <c r="AJ75" i="13"/>
  <c r="AJ149" i="13"/>
  <c r="AJ45" i="13"/>
  <c r="AJ199" i="13"/>
  <c r="AJ192" i="13"/>
  <c r="AJ78" i="13"/>
  <c r="AJ53" i="13"/>
  <c r="AJ183" i="13"/>
  <c r="AJ106" i="13"/>
  <c r="AJ177" i="13"/>
  <c r="AJ174" i="13"/>
  <c r="AJ22" i="13"/>
  <c r="AJ155" i="13"/>
  <c r="AJ193" i="13"/>
  <c r="AJ194" i="13"/>
  <c r="AJ135" i="13"/>
  <c r="AJ144" i="13"/>
  <c r="AJ185" i="13"/>
  <c r="AJ147" i="13"/>
  <c r="AJ150" i="13"/>
  <c r="AJ168" i="13"/>
  <c r="AJ51" i="13"/>
  <c r="AJ85" i="13"/>
  <c r="AJ128" i="13"/>
  <c r="AJ103" i="13"/>
  <c r="AJ195" i="13"/>
  <c r="AJ117" i="13"/>
  <c r="AJ114" i="13"/>
  <c r="AJ139" i="13"/>
  <c r="AJ179" i="13"/>
  <c r="AJ32" i="13"/>
  <c r="AJ163" i="13"/>
  <c r="AJ73" i="13"/>
  <c r="AJ90" i="13"/>
  <c r="AJ82" i="13"/>
  <c r="AJ102" i="13"/>
  <c r="AJ48" i="13"/>
  <c r="AJ99" i="13"/>
  <c r="AJ145" i="13"/>
  <c r="AJ140" i="13"/>
  <c r="AJ107" i="13"/>
  <c r="AJ152" i="13"/>
  <c r="AJ190" i="13"/>
  <c r="AJ198" i="13"/>
  <c r="AJ121" i="13"/>
  <c r="AJ119" i="13"/>
  <c r="AJ122" i="13"/>
  <c r="AJ83" i="13"/>
  <c r="AJ181" i="13"/>
  <c r="AJ173" i="13"/>
  <c r="AJ63" i="13"/>
  <c r="AJ14" i="13"/>
  <c r="AJ170" i="13"/>
  <c r="AJ136" i="13"/>
  <c r="AJ15" i="13"/>
  <c r="AJ160" i="13"/>
  <c r="AJ92" i="13"/>
  <c r="AJ153" i="13"/>
  <c r="AJ28" i="13"/>
  <c r="AJ91" i="13"/>
  <c r="AJ64" i="13"/>
  <c r="AJ97" i="13"/>
  <c r="AJ125" i="13"/>
  <c r="AJ120" i="13"/>
  <c r="AG11" i="13" l="1"/>
  <c r="H176" i="15"/>
  <c r="AG12" i="13" l="1"/>
  <c r="AJ9" i="13" s="1"/>
  <c r="AJ212"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<sst xmlns="http://schemas.openxmlformats.org/spreadsheetml/2006/main" count="2279" uniqueCount="1428">
  <si>
    <t>Item Type</t>
  </si>
  <si>
    <t>Premium</t>
  </si>
  <si>
    <t>Deductible</t>
  </si>
  <si>
    <t>Coverage</t>
  </si>
  <si>
    <t>Limit</t>
  </si>
  <si>
    <t>Effective Date:</t>
  </si>
  <si>
    <t xml:space="preserve">Prepared For:  </t>
  </si>
  <si>
    <t xml:space="preserve">Date Prepared:   </t>
  </si>
  <si>
    <t xml:space="preserve">Insured's Name:  </t>
  </si>
  <si>
    <t xml:space="preserve">Mailing Address:  </t>
  </si>
  <si>
    <t xml:space="preserve">Description of Operations: </t>
  </si>
  <si>
    <t>Rate</t>
  </si>
  <si>
    <t>Total Premium</t>
  </si>
  <si>
    <t>Broker Signature:</t>
  </si>
  <si>
    <t>Client Signature:</t>
  </si>
  <si>
    <t>Quote Number:</t>
  </si>
  <si>
    <t>Co-Ins</t>
  </si>
  <si>
    <t>Liability</t>
  </si>
  <si>
    <t>Cov A Property Damage/Bodily Injury</t>
  </si>
  <si>
    <t>Cov B Personal Injury/Advertising Liability</t>
  </si>
  <si>
    <t>Cov C Medical Payments</t>
  </si>
  <si>
    <t>Cov D Tenants Legal Liability</t>
  </si>
  <si>
    <t>General Aggregate Limit</t>
  </si>
  <si>
    <t>Non-Owned Auto SEF 6</t>
  </si>
  <si>
    <t>Excluding Long Term Leased Vehicles SEF 99</t>
  </si>
  <si>
    <t>Property</t>
  </si>
  <si>
    <t>Business Interruption</t>
  </si>
  <si>
    <t>Risk Address</t>
  </si>
  <si>
    <t>Min. Retained Premium</t>
  </si>
  <si>
    <t>Quote Expiry:</t>
  </si>
  <si>
    <t>Crime</t>
  </si>
  <si>
    <t>Products and Completed Operations Aggregate</t>
  </si>
  <si>
    <t>Commercial General Liability</t>
  </si>
  <si>
    <t>Contents - Broad Form</t>
  </si>
  <si>
    <t>Incl</t>
  </si>
  <si>
    <t>Replacement Cost</t>
  </si>
  <si>
    <t>Tools - Max value $2,500 per item unless scheduled</t>
  </si>
  <si>
    <t>Installation Floater</t>
  </si>
  <si>
    <t>Loss of Income - Earnings</t>
  </si>
  <si>
    <t>Comprehensive Dishonesty, Disappearance &amp; Destruction</t>
  </si>
  <si>
    <t>Money &amp; Securities - Inside</t>
  </si>
  <si>
    <t>Employee Dishonesty</t>
  </si>
  <si>
    <t>Money &amp; Securities - Outside</t>
  </si>
  <si>
    <t>Depositors Forgery</t>
  </si>
  <si>
    <t>Money Orders &amp; Counterfeit Currency</t>
  </si>
  <si>
    <t>Locked Vehicle Warranty</t>
  </si>
  <si>
    <t>Reduction of Coverage for Lessees OEF 98B</t>
  </si>
  <si>
    <t>Building</t>
  </si>
  <si>
    <t>Prepared By:</t>
  </si>
  <si>
    <t>Package:</t>
  </si>
  <si>
    <t>Contractor's Package</t>
  </si>
  <si>
    <t>_____________</t>
  </si>
  <si>
    <t>$</t>
  </si>
  <si>
    <t>Total Discounts (%)</t>
  </si>
  <si>
    <t>Sub-total</t>
  </si>
  <si>
    <t>$5,000 Deductible</t>
  </si>
  <si>
    <t>$2,500 Deductible</t>
  </si>
  <si>
    <t>Experience (in business 3-5 yrs)</t>
  </si>
  <si>
    <t>Multi-Line</t>
  </si>
  <si>
    <t>6 (Refer to reinsurer)</t>
  </si>
  <si>
    <t>5 (Refer to reinsurer)</t>
  </si>
  <si>
    <t>4 ($200 prem)</t>
  </si>
  <si>
    <t>3 ($150 prem)</t>
  </si>
  <si>
    <t>2 ($100 prem)</t>
  </si>
  <si>
    <t>Pollution Liability Class</t>
  </si>
  <si>
    <t>Pollution Liability (See Risk Class Tab)</t>
  </si>
  <si>
    <t>$5,000,000 ($300 prem)</t>
  </si>
  <si>
    <t>$4,000,000 ($200 prem)</t>
  </si>
  <si>
    <t>$3,000,000 ($100 prem)</t>
  </si>
  <si>
    <t>Total Limit Required</t>
  </si>
  <si>
    <t>Earthquake Covg ($25 prem)</t>
  </si>
  <si>
    <t>Flood Covg ($25 prem)</t>
  </si>
  <si>
    <t>Sewer, Sump Septic Tank, Drain Covg ($50 prem)</t>
  </si>
  <si>
    <t xml:space="preserve">Equipment Breakdown </t>
  </si>
  <si>
    <t>Installation Floater ($25,000 included)</t>
  </si>
  <si>
    <t>Additional Limit Required:</t>
  </si>
  <si>
    <t>Contractor's Equipment ($10,000 included)</t>
  </si>
  <si>
    <t>Tools ($10,000 included)</t>
  </si>
  <si>
    <t>Wood Frame/All Other</t>
  </si>
  <si>
    <t>Fire Resistive/Hollow Concrete Block with Steel Deck Roof</t>
  </si>
  <si>
    <t>Protected</t>
  </si>
  <si>
    <t>Unprotected</t>
  </si>
  <si>
    <t>Fire Hall</t>
  </si>
  <si>
    <t>Hydrant</t>
  </si>
  <si>
    <t>Masonry/Steel on Steel Frame</t>
  </si>
  <si>
    <t>Building Limit</t>
  </si>
  <si>
    <t>(Bldg must be less than 20 yrs old, or updated in last 20 yrs - otherwise refer to u/w)</t>
  </si>
  <si>
    <t>PREMIUM</t>
  </si>
  <si>
    <t>RATE</t>
  </si>
  <si>
    <t>Additional Limits/Coverages Required:</t>
  </si>
  <si>
    <t>21.11 (payroll)</t>
  </si>
  <si>
    <t>Window Cleaning (up to 3 storeys)</t>
  </si>
  <si>
    <t>Sign Installation (up to 3 storeys) (Excluding Mobile Signs for Rent)</t>
  </si>
  <si>
    <t>Painting &amp; Wallpapering (excluding spray painting)</t>
  </si>
  <si>
    <t>Landscape Gardening (excluding tree &amp; snow removal &amp; pesticide application)</t>
  </si>
  <si>
    <t>Drywall &amp; Plastering</t>
  </si>
  <si>
    <t>Masonry, Including Bricklaying, Stonework &amp; Stucco</t>
  </si>
  <si>
    <t>Appliance Repair</t>
  </si>
  <si>
    <t>IBC Code</t>
  </si>
  <si>
    <t>$2 million</t>
  </si>
  <si>
    <t>$1 million</t>
  </si>
  <si>
    <t>Contractor Type</t>
  </si>
  <si>
    <t>Acceptable Operations</t>
  </si>
  <si>
    <t>∙A Contractor that does not have the appropriate "trade" papers if there is a standard setting organization</t>
  </si>
  <si>
    <t>The following types of Operations do not qualify for the Contractor's Package:</t>
  </si>
  <si>
    <t>Not Written:</t>
  </si>
  <si>
    <t>∙Be claims free for the past 3 years</t>
  </si>
  <si>
    <t>∙Have total gross annual receipts of less than $2,000,000</t>
  </si>
  <si>
    <t>∙Have 10 or fewer employees</t>
  </si>
  <si>
    <t>∙If operating in owned building, building was built in last 20 years or has new (within 20 years) wiring, plumbing, roof and heating</t>
  </si>
  <si>
    <t>In order to qualify for package, operations must:</t>
  </si>
  <si>
    <t>Eligibility Conditions</t>
  </si>
  <si>
    <r>
      <t xml:space="preserve">∙A Contractor that does any </t>
    </r>
    <r>
      <rPr>
        <b/>
        <sz val="13"/>
        <rFont val="Calibri"/>
        <family val="2"/>
      </rPr>
      <t>ineligible operations</t>
    </r>
    <r>
      <rPr>
        <sz val="13"/>
        <rFont val="Calibri"/>
        <family val="2"/>
      </rPr>
      <t xml:space="preserve"> (even a small percentage) ** See </t>
    </r>
    <r>
      <rPr>
        <u/>
        <sz val="13"/>
        <rFont val="Calibri"/>
        <family val="2"/>
      </rPr>
      <t>"Risk Class Chart</t>
    </r>
    <r>
      <rPr>
        <sz val="13"/>
        <rFont val="Calibri"/>
        <family val="2"/>
      </rPr>
      <t>" tab</t>
    </r>
  </si>
  <si>
    <r>
      <rPr>
        <sz val="13"/>
        <color theme="1"/>
        <rFont val="Calibri"/>
        <family val="2"/>
      </rPr>
      <t>∙</t>
    </r>
    <r>
      <rPr>
        <sz val="13"/>
        <color theme="1"/>
        <rFont val="Calibri"/>
        <family val="2"/>
        <scheme val="minor"/>
      </rPr>
      <t xml:space="preserve">Be a contracting business that provides exclusively sub-trade type of contracting work </t>
    </r>
    <r>
      <rPr>
        <sz val="13"/>
        <rFont val="Calibri"/>
        <family val="2"/>
        <scheme val="minor"/>
      </rPr>
      <t>(Operations must be set out on</t>
    </r>
    <r>
      <rPr>
        <u/>
        <sz val="13"/>
        <rFont val="Calibri"/>
        <family val="2"/>
        <scheme val="minor"/>
      </rPr>
      <t xml:space="preserve"> Risk Class Chart</t>
    </r>
    <r>
      <rPr>
        <sz val="13"/>
        <rFont val="Calibri"/>
        <family val="2"/>
        <scheme val="minor"/>
      </rPr>
      <t xml:space="preserve"> to qualify)</t>
    </r>
  </si>
  <si>
    <r>
      <t xml:space="preserve">The Following Operations </t>
    </r>
    <r>
      <rPr>
        <b/>
        <u/>
        <sz val="14"/>
        <color theme="1"/>
        <rFont val="Cambria"/>
        <family val="1"/>
      </rPr>
      <t>Do Not Qualify</t>
    </r>
    <r>
      <rPr>
        <b/>
        <sz val="14"/>
        <color theme="1"/>
        <rFont val="Cambria"/>
        <family val="1"/>
      </rPr>
      <t xml:space="preserve"> under the Contractor's Package</t>
    </r>
  </si>
  <si>
    <r>
      <t>Carpet, Tile &amp; Floor Covering</t>
    </r>
    <r>
      <rPr>
        <b/>
        <sz val="13"/>
        <rFont val="Cambria"/>
        <family val="1"/>
      </rPr>
      <t xml:space="preserve"> - Installation/Repair</t>
    </r>
  </si>
  <si>
    <r>
      <t xml:space="preserve">Fence </t>
    </r>
    <r>
      <rPr>
        <b/>
        <sz val="13"/>
        <rFont val="Cambria"/>
        <family val="1"/>
      </rPr>
      <t>and Deck</t>
    </r>
    <r>
      <rPr>
        <b/>
        <sz val="13"/>
        <color rgb="FFFF0000"/>
        <rFont val="Cambria"/>
        <family val="1"/>
      </rPr>
      <t xml:space="preserve"> </t>
    </r>
    <r>
      <rPr>
        <b/>
        <sz val="13"/>
        <color theme="1"/>
        <rFont val="Cambria"/>
        <family val="1"/>
      </rPr>
      <t>Construction</t>
    </r>
  </si>
  <si>
    <r>
      <t xml:space="preserve">Heating (oil or gas – </t>
    </r>
    <r>
      <rPr>
        <b/>
        <sz val="13"/>
        <rFont val="Cambria"/>
        <family val="1"/>
      </rPr>
      <t>no work on oil tanks)</t>
    </r>
  </si>
  <si>
    <r>
      <t xml:space="preserve">Sheet Metal </t>
    </r>
    <r>
      <rPr>
        <b/>
        <sz val="13"/>
        <rFont val="Cambria"/>
        <family val="1"/>
      </rPr>
      <t>(Away from Shop)</t>
    </r>
  </si>
  <si>
    <t>Residential Cosmetic Renovations (No Structural Work)</t>
  </si>
  <si>
    <t>Glazier (excluding auto glass) Cutting/Installing/Removing of Glass</t>
  </si>
  <si>
    <t>∙Trades not listed on the Risk Class Chart</t>
  </si>
  <si>
    <t>∙Have a minimum 3 years experience in related field</t>
  </si>
  <si>
    <t>Contractor's Equip - Max value $2,500 per item unless scheduled</t>
  </si>
  <si>
    <t>For the purpose of this document all assumptions applicable to all contractors will be shown on the quote template. 
For the classes of business below you will want to copy and paste these in to the template for the class of business you are quoting.  If there are no assumptions beside the class of business, only the ones applicable to all classes need to be shown.</t>
  </si>
  <si>
    <t>Contractor Class</t>
  </si>
  <si>
    <t>For All Contractors</t>
  </si>
  <si>
    <t>Heating (oil or gas – no work on oil tanks) - 1715</t>
  </si>
  <si>
    <t xml:space="preserve"> - No work on Oil Tanks.
 - No design of heating systems for buildings.
 - No commercial boiler installation.
 - No boiler inspections.
 - Residential boiler installation only and incidental to operations (10%  or less of total gross receipts).
 - No oil tank removal or installation.
 - No Industrial work.
 - No work on production machinery.
 - Be claims free for the past 3 years.</t>
  </si>
  <si>
    <t>Landscape Gardening (excluding tree &amp; snow removal &amp; pesticide application) - 0735</t>
  </si>
  <si>
    <t xml:space="preserve"> - All third party locates are completed prior to digging</t>
  </si>
  <si>
    <t>Residential Cosmetic Renovations (No Structural Work) - 1811</t>
  </si>
  <si>
    <t xml:space="preserve"> - No asbestos work.
 - All heating, electrical, plumbing work is sub-contracted out.
 - No exterior spray painting.
 - No roofing.</t>
  </si>
  <si>
    <t>Handyman - 1811</t>
  </si>
  <si>
    <t xml:space="preserve"> - No heating, electrical, plumbing work.
 - No exterior spray painting.</t>
  </si>
  <si>
    <t>Appliance Repair - 7692</t>
  </si>
  <si>
    <t>Masonry, Including Bricklaying, Stonework &amp; Stucco - 1743</t>
  </si>
  <si>
    <t xml:space="preserve"> - No work conducted on buildings above 3 stories.</t>
  </si>
  <si>
    <t>Carpet, Tile &amp; Floor Covering - Installation/Repair - 5716</t>
  </si>
  <si>
    <t xml:space="preserve"> - No installation or repair of safety, non-slip floor covering or play area flooring.</t>
  </si>
  <si>
    <t>Concrete Construction – Driveways &amp; Walkways (excluding sewers, tunnel, dams, bridges &amp; piers) - 1741</t>
  </si>
  <si>
    <t xml:space="preserve"> - No municipal work.
 - All third party locates are completed prior to digging
 - Be claims free for the past 3 years.</t>
  </si>
  <si>
    <t>Drywall &amp; Plastering - 1744</t>
  </si>
  <si>
    <t>Fence and Deck Construction - 1522</t>
  </si>
  <si>
    <t>Interior Decorating - 1757</t>
  </si>
  <si>
    <t xml:space="preserve"> - No design work.</t>
  </si>
  <si>
    <t>Janitorial/Cleaning of Houses &amp; Offices - 7394</t>
  </si>
  <si>
    <t xml:space="preserve"> - If using sub-contractors, proof of insurance is required annually.
 - No industrial/manufacturing facilities.
 - All cleaning is performed outside of business hours.
 - All cleaning products are provided by the customer.</t>
  </si>
  <si>
    <t>Sheet Metal (Away from Shop) - 1762</t>
  </si>
  <si>
    <t>Installation of Siding, Metal Doors, Windows, Awnings (Aluminum &amp; Vinyl) - 1766</t>
  </si>
  <si>
    <t>Sign Installation (up to 3 storeys) (Excluding Mobile Signs for Rent) - 1532</t>
  </si>
  <si>
    <t>Window Cleaning (up to 3 storeys) - 7392</t>
  </si>
  <si>
    <t xml:space="preserve"> - No work conducted on buildings above 3 stories.
 - Precautions in place for walkways/driveways to prevent slip &amp; falls.</t>
  </si>
  <si>
    <t>Assumptions/Conditions</t>
  </si>
  <si>
    <t>Conditions</t>
  </si>
  <si>
    <t>Epidemic/Pandemic Endorsement</t>
  </si>
  <si>
    <t>Frame</t>
  </si>
  <si>
    <t>Fire Resistive</t>
  </si>
  <si>
    <t>$5,000 Limit - $75</t>
  </si>
  <si>
    <t>Limited</t>
  </si>
  <si>
    <t>Full</t>
  </si>
  <si>
    <t xml:space="preserve">Data Comp 1st &amp; 3rd party </t>
  </si>
  <si>
    <t>Max limit $100,000</t>
  </si>
  <si>
    <t>Max limit $250,000 (for brokers - above this it's a referral)</t>
  </si>
  <si>
    <t>Max limit $500,000 (max for package, u/w'er to review/quote)</t>
  </si>
  <si>
    <t xml:space="preserve">Additional Limit Required: </t>
  </si>
  <si>
    <t>Max Limit $150,000</t>
  </si>
  <si>
    <t>Actual Loss Sustained</t>
  </si>
  <si>
    <t>x</t>
  </si>
  <si>
    <t>Money &amp; Securities, Dishonesty Disappearance &amp; Destruction ($10,000 included)</t>
  </si>
  <si>
    <t xml:space="preserve">$25,000 ($100 prem) </t>
  </si>
  <si>
    <t>Application - Contractor's Package</t>
  </si>
  <si>
    <t>Named Insured:</t>
  </si>
  <si>
    <t xml:space="preserve">Mailing Address: </t>
  </si>
  <si>
    <t xml:space="preserve">Legal Location: </t>
  </si>
  <si>
    <t>Phone #</t>
  </si>
  <si>
    <t>Website:</t>
  </si>
  <si>
    <t>E-Mail Address:</t>
  </si>
  <si>
    <t xml:space="preserve">Expiry Date: </t>
  </si>
  <si>
    <t xml:space="preserve">Years in Operation: </t>
  </si>
  <si>
    <t>Previous Insurance    Y</t>
  </si>
  <si>
    <t xml:space="preserve">   N</t>
  </si>
  <si>
    <t>Contact Name:</t>
  </si>
  <si>
    <t>Any Claims in past 3 Years?   Y      N          If yes, provide details of claim(s)</t>
  </si>
  <si>
    <t>*</t>
  </si>
  <si>
    <t>Description of Operations:</t>
  </si>
  <si>
    <t>IBC Code(s)(if multiple operations, include all - see Risk Class Chart Tab for list of eligible IBC codes)</t>
  </si>
  <si>
    <t># of Employees</t>
  </si>
  <si>
    <t>Annual Gross Receipts (if multiple operations, provide breakdown)</t>
  </si>
  <si>
    <t xml:space="preserve">Does client hold any trade licenses? </t>
  </si>
  <si>
    <t>Y</t>
  </si>
  <si>
    <t>N</t>
  </si>
  <si>
    <t>If yes, provide details below</t>
  </si>
  <si>
    <r>
      <t>Does client use subcontractors</t>
    </r>
    <r>
      <rPr>
        <sz val="11"/>
        <color theme="1"/>
        <rFont val="Times New Roman"/>
        <family val="1"/>
      </rPr>
      <t>?</t>
    </r>
  </si>
  <si>
    <t xml:space="preserve"> Y</t>
  </si>
  <si>
    <t xml:space="preserve"> N</t>
  </si>
  <si>
    <t>If yes, total gross receipts subcontracted out:  $</t>
  </si>
  <si>
    <t xml:space="preserve">Do subcontractors provide proof of insurance? </t>
  </si>
  <si>
    <t xml:space="preserve">Y       N </t>
  </si>
  <si>
    <t>Property Information (if Building coverage is added)</t>
  </si>
  <si>
    <t>Building Year:</t>
  </si>
  <si>
    <t xml:space="preserve">     Construction:</t>
  </si>
  <si>
    <t xml:space="preserve">    # of Storeys:</t>
  </si>
  <si>
    <t>Building Details:</t>
  </si>
  <si>
    <t>Type:</t>
  </si>
  <si>
    <t>Year Updated:</t>
  </si>
  <si>
    <t>Roof</t>
  </si>
  <si>
    <t>Heating</t>
  </si>
  <si>
    <t>Electrical</t>
  </si>
  <si>
    <t>Plumbing</t>
  </si>
  <si>
    <t>Fire Protection:</t>
  </si>
  <si>
    <t>If Adding a Building to policy, provide details for Mortgagee if applicable</t>
  </si>
  <si>
    <t>Mortgagee Name:</t>
  </si>
  <si>
    <t>Mortgagee Address:</t>
  </si>
  <si>
    <r>
      <rPr>
        <sz val="13"/>
        <color rgb="FFC00000"/>
        <rFont val="Times New Roman"/>
        <family val="1"/>
      </rPr>
      <t>Are additional coverages or higher limits required?</t>
    </r>
    <r>
      <rPr>
        <sz val="13"/>
        <color theme="1"/>
        <rFont val="Times New Roman"/>
        <family val="1"/>
      </rPr>
      <t xml:space="preserve">    Y</t>
    </r>
  </si>
  <si>
    <t>If yes, please complete "Rating Worksheet" tab</t>
  </si>
  <si>
    <t>Hydrant Protected (located within 305 metres of 2 fire hydrants)</t>
  </si>
  <si>
    <t>Fire Hall Protected (No hydrants, but within 12 km of responding fire hall)</t>
  </si>
  <si>
    <t>Unprotected (No hydrants, beyond 12 km of fire hall)</t>
  </si>
  <si>
    <t>Copper</t>
  </si>
  <si>
    <t>Galvanized</t>
  </si>
  <si>
    <t>Lead</t>
  </si>
  <si>
    <t>Plastic</t>
  </si>
  <si>
    <t>None</t>
  </si>
  <si>
    <t>Circuit Breakers</t>
  </si>
  <si>
    <t>Fuses</t>
  </si>
  <si>
    <t>Breakers &amp; Fuses</t>
  </si>
  <si>
    <t>Asphalt Shingles</t>
  </si>
  <si>
    <t>Tar &amp; Gravel</t>
  </si>
  <si>
    <t>Metal Tiles</t>
  </si>
  <si>
    <t>Wood Shake/Shingles</t>
  </si>
  <si>
    <t>Masonry Veneer</t>
  </si>
  <si>
    <t xml:space="preserve">Masonry  </t>
  </si>
  <si>
    <t>Steele on Steele</t>
  </si>
  <si>
    <t>Natural Gas</t>
  </si>
  <si>
    <t>Radiant</t>
  </si>
  <si>
    <t>Electric</t>
  </si>
  <si>
    <t>Solid Fuel</t>
  </si>
  <si>
    <t>Propane</t>
  </si>
  <si>
    <t>Oil</t>
  </si>
  <si>
    <t>Increased Limits</t>
  </si>
  <si>
    <t>Employee Benefits</t>
  </si>
  <si>
    <t>$55/employee</t>
  </si>
  <si>
    <t># of employees</t>
  </si>
  <si>
    <t>Subject to $40 min prem</t>
  </si>
  <si>
    <t>Limit Required</t>
  </si>
  <si>
    <t>Contents ($10,000 included)</t>
  </si>
  <si>
    <t>Additional Limit Required</t>
  </si>
  <si>
    <t>Third Party Customer Endors</t>
  </si>
  <si>
    <t>$10,000 limit - $100</t>
  </si>
  <si>
    <t>Cyber Liability</t>
  </si>
  <si>
    <t>$25,000 Limit</t>
  </si>
  <si>
    <t>$50,000 Limit ($114 prem)</t>
  </si>
  <si>
    <t>$25,000 Limit ($79 prem)</t>
  </si>
  <si>
    <t>1st Party ($132 Prem)</t>
  </si>
  <si>
    <t>3rd Party ($67 Prem)</t>
  </si>
  <si>
    <t xml:space="preserve">$50,000 Limit </t>
  </si>
  <si>
    <t xml:space="preserve">$25,000 Limit </t>
  </si>
  <si>
    <t>1st Party ($144 Prem)</t>
  </si>
  <si>
    <t>3rd Party ($177 Prem)</t>
  </si>
  <si>
    <t>Req'd Deductible</t>
  </si>
  <si>
    <t>Total Receipts</t>
  </si>
  <si>
    <t>(Applies to all coverages but Cyber &amp; Equipment Breakdown)</t>
  </si>
  <si>
    <t xml:space="preserve">Must be eligible </t>
  </si>
  <si>
    <t>-</t>
  </si>
  <si>
    <r>
      <t xml:space="preserve">Demolition or Wrecking </t>
    </r>
    <r>
      <rPr>
        <b/>
        <sz val="12"/>
        <color rgb="FFFF0000"/>
        <rFont val="Cambria"/>
        <family val="1"/>
      </rPr>
      <t>(1512)</t>
    </r>
    <r>
      <rPr>
        <b/>
        <sz val="12"/>
        <color theme="1"/>
        <rFont val="Cambria"/>
        <family val="1"/>
      </rPr>
      <t xml:space="preserve">/Blasting Operations </t>
    </r>
    <r>
      <rPr>
        <b/>
        <sz val="12"/>
        <color rgb="FFFF0000"/>
        <rFont val="Cambria"/>
        <family val="1"/>
      </rPr>
      <t>(1515)</t>
    </r>
  </si>
  <si>
    <t>CyberOne</t>
  </si>
  <si>
    <t>Contractor's Extension Endors (Aggregate Limit)</t>
  </si>
  <si>
    <t>Optional Coverages:</t>
  </si>
  <si>
    <t>Flooring Installation</t>
  </si>
  <si>
    <t>Accoustic Ceiling Installation</t>
  </si>
  <si>
    <t>Blind &amp; Curtain Installation</t>
  </si>
  <si>
    <r>
      <t xml:space="preserve">Concrete and Cement Work – </t>
    </r>
    <r>
      <rPr>
        <b/>
        <sz val="13"/>
        <rFont val="Cambria"/>
        <family val="1"/>
      </rPr>
      <t>Driveways &amp; Walkways</t>
    </r>
    <r>
      <rPr>
        <b/>
        <sz val="13"/>
        <color rgb="FFFF0000"/>
        <rFont val="Cambria"/>
        <family val="1"/>
      </rPr>
      <t xml:space="preserve"> </t>
    </r>
    <r>
      <rPr>
        <b/>
        <sz val="13"/>
        <color theme="1"/>
        <rFont val="Cambria"/>
        <family val="1"/>
      </rPr>
      <t>(excluding sewers, tunnel, dams, bridges &amp; piers)</t>
    </r>
  </si>
  <si>
    <r>
      <t>Carpentry, Framing, Trimming, Installation  -</t>
    </r>
    <r>
      <rPr>
        <b/>
        <sz val="13"/>
        <rFont val="Cambria"/>
        <family val="1"/>
      </rPr>
      <t>Away from Shop</t>
    </r>
    <r>
      <rPr>
        <b/>
        <sz val="13"/>
        <color theme="1"/>
        <rFont val="Cambria"/>
        <family val="1"/>
      </rPr>
      <t xml:space="preserve"> </t>
    </r>
  </si>
  <si>
    <t>Cleaning of Furniture/Carpets/Drapes - on Customer Premises</t>
  </si>
  <si>
    <t>Duct Cleaning - Residential Only</t>
  </si>
  <si>
    <t xml:space="preserve">Air Conditioning Installation </t>
  </si>
  <si>
    <t>Cable Television &amp; Data Cable Installation - Residential Only</t>
  </si>
  <si>
    <t xml:space="preserve">House Furnishing Installation (eg closet organizers, </t>
  </si>
  <si>
    <t>Siding, Metal Doors, Windows, Awnings &amp; Eavestroughs - Installation</t>
  </si>
  <si>
    <t>Referral</t>
  </si>
  <si>
    <r>
      <t xml:space="preserve">No General Contractors </t>
    </r>
    <r>
      <rPr>
        <b/>
        <sz val="12"/>
        <color rgb="FFFF0000"/>
        <rFont val="Cambria"/>
        <family val="1"/>
      </rPr>
      <t>(1811)</t>
    </r>
  </si>
  <si>
    <r>
      <t xml:space="preserve"> - Be a contracting business that provides exclusively sub-trade type of contracting work (Operations must be set out on Risk Class Chart to qualify).
 - If operating in owned building, building was built in last 20 years or has new (within 20 years) wiring, plumbing, roof and heating.
 - Have 10 or fewer employees - Have total gross annual receipts of less than $2,000,000.
 - Have a minimum 3 years experience in related field.
 - No snow removal.                                                                                                                                                                                                                                                 </t>
    </r>
    <r>
      <rPr>
        <sz val="11"/>
        <color rgb="FFFF0000"/>
        <rFont val="Calibri"/>
        <family val="2"/>
        <scheme val="minor"/>
      </rPr>
      <t xml:space="preserve"> </t>
    </r>
  </si>
  <si>
    <t xml:space="preserve"> - No Alarm Work (Most Electricians will wire a house for an alarm system.  If this is incidental to their operations we can consider this.
 - Must be a Licensed Electrician.
 - No Agricultural
 - Permits are obtained for all electrical work.
 - No work on Fire Suppression Equipment.
 - No equipment rentals.
 - If using sub-contractors, proof of insurance is required annually.
- Be claims free for the past 3 years.
- Only 10% Industrial work</t>
  </si>
  <si>
    <t xml:space="preserve"> - Licenced gas fitter</t>
  </si>
  <si>
    <t>$0-$1Mill</t>
  </si>
  <si>
    <t>First</t>
  </si>
  <si>
    <t>Next</t>
  </si>
  <si>
    <t>$1-$2.5Mill</t>
  </si>
  <si>
    <t>Antennae Installation (Television, Parabolic) - up to 3 storeys</t>
  </si>
  <si>
    <t>The above quote is based on the following conditions with respect to the operations:  1) Be a contracting business that provides exclusively sub-trade type of contracting work 2) If operating in owned building, building was built in last 20 years or has new (within 20 years) wiring, plumbing, roof and heating 3) Have 10 or fewer employees 4) Have total gross annual receipts of less than $2,000,000 5) Have a minimum 3 years experience in related field 6) No snow removal.</t>
  </si>
  <si>
    <t>Receipts x 30%</t>
  </si>
  <si>
    <t>$100,000 Limit ($158 prem)</t>
  </si>
  <si>
    <t>Full 1st Party</t>
  </si>
  <si>
    <t>$50,000 Limit</t>
  </si>
  <si>
    <t xml:space="preserve">$100,000 Limit   </t>
  </si>
  <si>
    <t>Full 3rd Party</t>
  </si>
  <si>
    <t>$144 Premium</t>
  </si>
  <si>
    <t>$177 Premium</t>
  </si>
  <si>
    <t>$319 Premium</t>
  </si>
  <si>
    <t>$215 Premium</t>
  </si>
  <si>
    <t>Talk to Applied</t>
  </si>
  <si>
    <t>Electricians (excluding alarm systems)  Residential &amp; Light Commercial only (No agricultural)</t>
  </si>
  <si>
    <t>Interior Decorating/Home Organizers</t>
  </si>
  <si>
    <t>Janitorial/Cleaning Services of Houses &amp; Offices (No mfg, industrial processing or refining facilities)</t>
  </si>
  <si>
    <r>
      <t xml:space="preserve">Installation, repair or removal of any tanks </t>
    </r>
    <r>
      <rPr>
        <b/>
        <sz val="12"/>
        <color rgb="FFFF0000"/>
        <rFont val="Cambria"/>
        <family val="1"/>
      </rPr>
      <t>(1533)</t>
    </r>
  </si>
  <si>
    <r>
      <t xml:space="preserve">Snow Removal Operations </t>
    </r>
    <r>
      <rPr>
        <b/>
        <sz val="12"/>
        <color rgb="FFFF0000"/>
        <rFont val="Cambria"/>
        <family val="1"/>
      </rPr>
      <t>(1525)</t>
    </r>
    <r>
      <rPr>
        <b/>
        <sz val="12"/>
        <color theme="1"/>
        <rFont val="Cambria"/>
        <family val="1"/>
      </rPr>
      <t xml:space="preserve"> (refer)</t>
    </r>
  </si>
  <si>
    <r>
      <t xml:space="preserve">Underpinning of Buildings </t>
    </r>
    <r>
      <rPr>
        <b/>
        <sz val="12"/>
        <color rgb="FFFF0000"/>
        <rFont val="Cambria"/>
        <family val="1"/>
      </rPr>
      <t>(1513)</t>
    </r>
    <r>
      <rPr>
        <b/>
        <sz val="12"/>
        <color theme="1"/>
        <rFont val="Cambria"/>
        <family val="1"/>
      </rPr>
      <t xml:space="preserve"> (decline)</t>
    </r>
  </si>
  <si>
    <t>Ops involving Designs of Heating/Plumbing systems for buildings and subject to Ontario Bill 124 (Decline)</t>
  </si>
  <si>
    <r>
      <t xml:space="preserve">Waterproofing </t>
    </r>
    <r>
      <rPr>
        <b/>
        <sz val="12"/>
        <color rgb="FFFF0000"/>
        <rFont val="Cambria"/>
        <family val="1"/>
      </rPr>
      <t>(1777)</t>
    </r>
    <r>
      <rPr>
        <b/>
        <sz val="12"/>
        <color theme="1"/>
        <rFont val="Cambria"/>
        <family val="1"/>
      </rPr>
      <t xml:space="preserve">/Fire Proofing </t>
    </r>
    <r>
      <rPr>
        <b/>
        <sz val="12"/>
        <color rgb="FFFF0000"/>
        <rFont val="Cambria"/>
        <family val="1"/>
      </rPr>
      <t>(1780)</t>
    </r>
    <r>
      <rPr>
        <b/>
        <sz val="12"/>
        <color theme="1"/>
        <rFont val="Cambria"/>
        <family val="1"/>
      </rPr>
      <t xml:space="preserve"> (decline)</t>
    </r>
  </si>
  <si>
    <t>(refer)</t>
  </si>
  <si>
    <r>
      <t xml:space="preserve">Moving/Raising Buildings </t>
    </r>
    <r>
      <rPr>
        <b/>
        <sz val="12"/>
        <color rgb="FFFF0000"/>
        <rFont val="Cambria"/>
        <family val="1"/>
      </rPr>
      <t>(1511)</t>
    </r>
    <r>
      <rPr>
        <b/>
        <sz val="12"/>
        <color theme="1"/>
        <rFont val="Cambria"/>
        <family val="1"/>
      </rPr>
      <t xml:space="preserve"> (decline)</t>
    </r>
  </si>
  <si>
    <r>
      <t xml:space="preserve">House Flippers </t>
    </r>
    <r>
      <rPr>
        <b/>
        <sz val="12"/>
        <color rgb="FFFF0000"/>
        <rFont val="Cambria"/>
        <family val="1"/>
      </rPr>
      <t>(1811)</t>
    </r>
    <r>
      <rPr>
        <b/>
        <sz val="12"/>
        <color theme="1"/>
        <rFont val="Cambria"/>
        <family val="1"/>
      </rPr>
      <t xml:space="preserve"> (decline)</t>
    </r>
  </si>
  <si>
    <r>
      <t xml:space="preserve">Playground Installation </t>
    </r>
    <r>
      <rPr>
        <b/>
        <sz val="12"/>
        <color rgb="FFFF0000"/>
        <rFont val="Cambria"/>
        <family val="1"/>
      </rPr>
      <t>(1522)</t>
    </r>
    <r>
      <rPr>
        <b/>
        <sz val="12"/>
        <color theme="1"/>
        <rFont val="Cambria"/>
        <family val="1"/>
      </rPr>
      <t xml:space="preserve"> (decline)</t>
    </r>
  </si>
  <si>
    <r>
      <t>More than 10% of ops are from roofing (no application of heat/hot tar )</t>
    </r>
    <r>
      <rPr>
        <b/>
        <sz val="12"/>
        <color rgb="FFFF0000"/>
        <rFont val="Cambria"/>
        <family val="1"/>
      </rPr>
      <t>(1775)</t>
    </r>
    <r>
      <rPr>
        <b/>
        <sz val="12"/>
        <color theme="1"/>
        <rFont val="Cambria"/>
        <family val="1"/>
      </rPr>
      <t xml:space="preserve"> (refer)</t>
    </r>
  </si>
  <si>
    <t>Work involving Asbestos (Clean-up or Removal) (decline)</t>
  </si>
  <si>
    <r>
      <t xml:space="preserve">Restoration/Remediation work </t>
    </r>
    <r>
      <rPr>
        <b/>
        <sz val="12"/>
        <color rgb="FFFF0000"/>
        <rFont val="Cambria"/>
        <family val="1"/>
      </rPr>
      <t>(1811 &amp; 1830)</t>
    </r>
    <r>
      <rPr>
        <b/>
        <sz val="12"/>
        <color theme="1"/>
        <rFont val="Cambria"/>
        <family val="1"/>
      </rPr>
      <t xml:space="preserve"> (decline)</t>
    </r>
  </si>
  <si>
    <r>
      <t xml:space="preserve">Pile Driving </t>
    </r>
    <r>
      <rPr>
        <b/>
        <sz val="12"/>
        <color rgb="FFFF0000"/>
        <rFont val="Cambria"/>
        <family val="1"/>
      </rPr>
      <t>(1514)</t>
    </r>
    <r>
      <rPr>
        <b/>
        <sz val="12"/>
        <color theme="1"/>
        <rFont val="Cambria"/>
        <family val="1"/>
      </rPr>
      <t xml:space="preserve"> (decline)</t>
    </r>
  </si>
  <si>
    <r>
      <t xml:space="preserve">Roofing involving application of heat (torches) or hot tar </t>
    </r>
    <r>
      <rPr>
        <b/>
        <sz val="12"/>
        <color rgb="FFFF0000"/>
        <rFont val="Cambria"/>
        <family val="1"/>
      </rPr>
      <t xml:space="preserve">(1775, 1776) </t>
    </r>
    <r>
      <rPr>
        <b/>
        <sz val="12"/>
        <rFont val="Cambria"/>
        <family val="1"/>
      </rPr>
      <t>(decline)</t>
    </r>
  </si>
  <si>
    <r>
      <t xml:space="preserve">Plumbing - Including hot tubs </t>
    </r>
    <r>
      <rPr>
        <b/>
        <sz val="12"/>
        <color rgb="FFFF0000"/>
        <rFont val="Cambria"/>
        <family val="1"/>
      </rPr>
      <t>(1711)</t>
    </r>
    <r>
      <rPr>
        <b/>
        <sz val="12"/>
        <color theme="1"/>
        <rFont val="Cambria"/>
        <family val="1"/>
      </rPr>
      <t xml:space="preserve"> (refer)</t>
    </r>
  </si>
  <si>
    <r>
      <t xml:space="preserve">Sells, Rents or Leases Equipment to Others </t>
    </r>
    <r>
      <rPr>
        <b/>
        <sz val="12"/>
        <color rgb="FFFF0000"/>
        <rFont val="Cambria"/>
        <family val="1"/>
      </rPr>
      <t>(7411, 7412, 7413, 7414)</t>
    </r>
    <r>
      <rPr>
        <b/>
        <sz val="12"/>
        <color theme="1"/>
        <rFont val="Cambria"/>
        <family val="1"/>
      </rPr>
      <t xml:space="preserve"> (decline)</t>
    </r>
  </si>
  <si>
    <r>
      <t xml:space="preserve">No Septic Tank Removal/Repair/Hauling </t>
    </r>
    <r>
      <rPr>
        <b/>
        <sz val="12"/>
        <color rgb="FFFF0000"/>
        <rFont val="Cambria"/>
        <family val="1"/>
      </rPr>
      <t>(1778)</t>
    </r>
    <r>
      <rPr>
        <b/>
        <sz val="12"/>
        <color theme="1"/>
        <rFont val="Cambria"/>
        <family val="1"/>
      </rPr>
      <t xml:space="preserve"> (decline)</t>
    </r>
  </si>
  <si>
    <r>
      <t xml:space="preserve">Electricians doing more than 10% Industrial work </t>
    </r>
    <r>
      <rPr>
        <b/>
        <sz val="12"/>
        <color rgb="FFFF0000"/>
        <rFont val="Cambria"/>
        <family val="1"/>
      </rPr>
      <t>(1731)</t>
    </r>
    <r>
      <rPr>
        <b/>
        <sz val="12"/>
        <color theme="1"/>
        <rFont val="Cambria"/>
        <family val="1"/>
      </rPr>
      <t xml:space="preserve"> (decline)</t>
    </r>
  </si>
  <si>
    <t>Welding Warranty</t>
  </si>
  <si>
    <t>Damage to Hired Automobiles SEF 94</t>
  </si>
  <si>
    <t>Contractual Liability Extension 96</t>
  </si>
  <si>
    <t>Carpentry, Framing, Trimming, Installation (Away from shop) - 1752</t>
  </si>
  <si>
    <t>Electrician (excluding alarm systems) - 1731</t>
  </si>
  <si>
    <t>∙Insureds who do work for Municipalities</t>
  </si>
  <si>
    <t>Rate Discounts (Subject to $750 Min Policy Premium)</t>
  </si>
  <si>
    <t>**Refer if building value is over $1,500,000</t>
  </si>
  <si>
    <t>asdf</t>
  </si>
  <si>
    <t>1555 Wentworth St, Whitby</t>
  </si>
  <si>
    <t>www.whatever.com</t>
  </si>
  <si>
    <t>nickthekidd@ymail.com</t>
  </si>
  <si>
    <t>QUOTEY INPUTS</t>
  </si>
  <si>
    <t>INSURER QUALIFYING RULES</t>
  </si>
  <si>
    <t>MAPPING</t>
  </si>
  <si>
    <t>FINAL ALGORITHM INPUTS</t>
  </si>
  <si>
    <t>INSURER RESPONSE</t>
  </si>
  <si>
    <t>OUTPUT BACK TO QUOTEY</t>
  </si>
  <si>
    <t>This section takes all the inputs from Quotey to qualify the risk and to enable pricing in the insurer's algorithm.  Simples.</t>
  </si>
  <si>
    <t>This section applies all individual risk qualification rules to the risk in question.  These rules are set by the insurer.  Nothing can be quoted unless the risk qualifies in all elements.  Output here is "Quote", "Refer", "Decline" together with which rule(s) has failed.</t>
  </si>
  <si>
    <t>This section outlines all mapped inputs that are dropped directly into the insurers rating algorithm.</t>
  </si>
  <si>
    <t>This is the product as represented by the insurer</t>
  </si>
  <si>
    <t xml:space="preserve">This is what Quotey should pick up </t>
  </si>
  <si>
    <t>Autoquote test result (0=Quote)</t>
  </si>
  <si>
    <t>Outcome:</t>
  </si>
  <si>
    <t>Input</t>
  </si>
  <si>
    <t>Result</t>
  </si>
  <si>
    <t>Refer test result (0 = refer if no quote offered)</t>
  </si>
  <si>
    <t>No Quote Reason:</t>
  </si>
  <si>
    <t>Output</t>
  </si>
  <si>
    <t>Quotey Coverage Name (mapping)</t>
  </si>
  <si>
    <t>coverID</t>
  </si>
  <si>
    <t>coverName</t>
  </si>
  <si>
    <t>Response</t>
  </si>
  <si>
    <t>Flag Notes</t>
  </si>
  <si>
    <t>10505_province</t>
  </si>
  <si>
    <t>Insured Province</t>
  </si>
  <si>
    <t>Referral Reason:</t>
  </si>
  <si>
    <t>Air Conditioning Equipment - incl. Heat Pumps - Residential</t>
  </si>
  <si>
    <t>CGL Limit Required</t>
  </si>
  <si>
    <t>10505_postalcode</t>
  </si>
  <si>
    <t>Insured address postal code</t>
  </si>
  <si>
    <t>Air Conditioning Equipment - incl. Heat Pumps - Commercial</t>
  </si>
  <si>
    <t>Insurer</t>
  </si>
  <si>
    <t>Insurer Response</t>
  </si>
  <si>
    <t>Have there been any claims?</t>
  </si>
  <si>
    <t>No</t>
  </si>
  <si>
    <t>Rule #</t>
  </si>
  <si>
    <t>Refer / Decline reason</t>
  </si>
  <si>
    <t>Quotey Mapped Input</t>
  </si>
  <si>
    <t>Client value</t>
  </si>
  <si>
    <t>Target</t>
  </si>
  <si>
    <t>Test result</t>
  </si>
  <si>
    <t>Refer if Fail?</t>
  </si>
  <si>
    <t>Refer Result</t>
  </si>
  <si>
    <t>Fail Reason</t>
  </si>
  <si>
    <t>Refer Reason</t>
  </si>
  <si>
    <t>Metal Doors, Windows, Awnings, Vinyl siding, Eavestrough installation</t>
  </si>
  <si>
    <t>Product</t>
  </si>
  <si>
    <t>Contractors Package</t>
  </si>
  <si>
    <t>Comment</t>
  </si>
  <si>
    <t>Other known losses</t>
  </si>
  <si>
    <t>No previous cancellations, declinations, refused renewals in last 5 years</t>
  </si>
  <si>
    <t>Previous cancellations, declination or refusals to renew</t>
  </si>
  <si>
    <t>Previous refusals</t>
  </si>
  <si>
    <t>n</t>
  </si>
  <si>
    <t>Masonry - incl. Bricklaying, Stonework, Tile, Marble, Mosaic, Stuccoing</t>
  </si>
  <si>
    <t>Price quoted (Premium + fees)</t>
  </si>
  <si>
    <t>% subcontracted</t>
  </si>
  <si>
    <t>Response Reason</t>
  </si>
  <si>
    <t>Subcontractor Certificates</t>
  </si>
  <si>
    <t>Yes</t>
  </si>
  <si>
    <t>Acceptable operation #1</t>
  </si>
  <si>
    <t>Operation #1 not acceptable</t>
  </si>
  <si>
    <t>OP1</t>
  </si>
  <si>
    <t>y</t>
  </si>
  <si>
    <t>Covermatch</t>
  </si>
  <si>
    <t>Does business rent or lease equipment?</t>
  </si>
  <si>
    <t>Acceptable operation #2</t>
  </si>
  <si>
    <t>Operation #2 not acceptable</t>
  </si>
  <si>
    <t>OP2</t>
  </si>
  <si>
    <t>Carpentry, framing, trimming, cabinets - Away from Shop</t>
  </si>
  <si>
    <t>Fees</t>
  </si>
  <si>
    <t>Quotey Value Score</t>
  </si>
  <si>
    <t>Year business started</t>
  </si>
  <si>
    <t>Acceptable operation #3</t>
  </si>
  <si>
    <t>Operation #3 not acceptable</t>
  </si>
  <si>
    <t>OP3</t>
  </si>
  <si>
    <t>Accounts receivable</t>
  </si>
  <si>
    <t>Years relevant experience</t>
  </si>
  <si>
    <t>Acceptable operation #4</t>
  </si>
  <si>
    <t>Operation #4 not acceptable</t>
  </si>
  <si>
    <t>OP4</t>
  </si>
  <si>
    <t>General aggregate of liability</t>
  </si>
  <si>
    <t>Arson reward</t>
  </si>
  <si>
    <t>Number of Employees</t>
  </si>
  <si>
    <t>Acceptable operation #5</t>
  </si>
  <si>
    <t>Operation #5 not acceptable</t>
  </si>
  <si>
    <t>OP5</t>
  </si>
  <si>
    <t>Acoustic Ceiling Installation</t>
  </si>
  <si>
    <t>Bailees customer form</t>
  </si>
  <si>
    <t>Licensed</t>
  </si>
  <si>
    <t>Acceptable operation #6</t>
  </si>
  <si>
    <t>Operation #6 not acceptable</t>
  </si>
  <si>
    <t>OP6</t>
  </si>
  <si>
    <t>Blinds and Curtains Installation</t>
  </si>
  <si>
    <t>Personal &amp; Advertising injury</t>
  </si>
  <si>
    <t>Previous Refusals</t>
  </si>
  <si>
    <t>Acceptable operation #7</t>
  </si>
  <si>
    <t>Operation #7 not acceptable</t>
  </si>
  <si>
    <t>OP7</t>
  </si>
  <si>
    <t>Medical expense per person</t>
  </si>
  <si>
    <t>Brands and labels</t>
  </si>
  <si>
    <t>operation_1</t>
  </si>
  <si>
    <t>Operation 1 Industry Code</t>
  </si>
  <si>
    <t>Acceptable operation #8</t>
  </si>
  <si>
    <t>Operation #8 not acceptable</t>
  </si>
  <si>
    <t>OP8</t>
  </si>
  <si>
    <t>Tenant's legal liability</t>
  </si>
  <si>
    <t>operation_1_405</t>
  </si>
  <si>
    <t xml:space="preserve">  - Op 1 Revenues</t>
  </si>
  <si>
    <t>Acceptable operation #9</t>
  </si>
  <si>
    <t>Operation #9 not acceptable</t>
  </si>
  <si>
    <t>OP9</t>
  </si>
  <si>
    <t>Broadform Building coverage</t>
  </si>
  <si>
    <t>operation_1_430</t>
  </si>
  <si>
    <t xml:space="preserve">  - Op 1 % Residential</t>
  </si>
  <si>
    <t>Acceptable operation #10</t>
  </si>
  <si>
    <t>Operation #10 not acceptable</t>
  </si>
  <si>
    <t>OP10</t>
  </si>
  <si>
    <t>Non-Owned Auto - SEF 99 - Excluding long term leased vehicles</t>
  </si>
  <si>
    <t>Building damage by theft</t>
  </si>
  <si>
    <t>operation_1_435</t>
  </si>
  <si>
    <t xml:space="preserve">  - Op 1 % Commercial</t>
  </si>
  <si>
    <t>Claims free for at least 3 years</t>
  </si>
  <si>
    <t>Risk is not claims free for 3 years</t>
  </si>
  <si>
    <t>Cable Television &amp; Data Cable Installation - Residential</t>
  </si>
  <si>
    <t>Non-Owned Auto - OEF 98B</t>
  </si>
  <si>
    <t>Business Contents</t>
  </si>
  <si>
    <t>operation_1_440</t>
  </si>
  <si>
    <t xml:space="preserve">  - Op 1 % Ind</t>
  </si>
  <si>
    <t>Building electrical services does not meet requirements</t>
  </si>
  <si>
    <t>Mapped acceptability</t>
  </si>
  <si>
    <t>Accept</t>
  </si>
  <si>
    <t>operation_1_450</t>
  </si>
  <si>
    <t xml:space="preserve">  - Op 1 % Agricultural</t>
  </si>
  <si>
    <t>Catch-all Clause</t>
  </si>
  <si>
    <t>operation_1_410</t>
  </si>
  <si>
    <t xml:space="preserve">  - Op 1 % will revenue be generated from Canada?</t>
  </si>
  <si>
    <t>Glazier Operations - glass, window, skylight, storefront installation</t>
  </si>
  <si>
    <t>Additional property damage exclusion</t>
  </si>
  <si>
    <t>operation_2</t>
  </si>
  <si>
    <t>Operation 2 Industry Code</t>
  </si>
  <si>
    <t>operation_2_405</t>
  </si>
  <si>
    <t xml:space="preserve">  - Op 2 Revenues</t>
  </si>
  <si>
    <t>Household appliance repair</t>
  </si>
  <si>
    <t>Limited Pollution Liability</t>
  </si>
  <si>
    <t>Condominium contingent</t>
  </si>
  <si>
    <t>operation_2_430</t>
  </si>
  <si>
    <t xml:space="preserve">  - Op 2 % Residential</t>
  </si>
  <si>
    <t>Condominium loss assessment</t>
  </si>
  <si>
    <t>operation_2_435</t>
  </si>
  <si>
    <t xml:space="preserve">  - Op 2 % Commercial</t>
  </si>
  <si>
    <t>Acceptable heating type</t>
  </si>
  <si>
    <t>Heating type not acceptable</t>
  </si>
  <si>
    <t>Interior Decorator</t>
  </si>
  <si>
    <t>Consequential loss</t>
  </si>
  <si>
    <t>operation_2_440</t>
  </si>
  <si>
    <t xml:space="preserve">  - Op 2 % Ind</t>
  </si>
  <si>
    <t>Janitorial Service</t>
  </si>
  <si>
    <t>Tenants Improvements</t>
  </si>
  <si>
    <t>Tenant's Improvements</t>
  </si>
  <si>
    <t>Contents at newly acquired locations</t>
  </si>
  <si>
    <t>operation_2_450</t>
  </si>
  <si>
    <t xml:space="preserve">  - Op 2 % Agricultural</t>
  </si>
  <si>
    <t>Duct cleaning</t>
  </si>
  <si>
    <t>Contents at unnamed locations</t>
  </si>
  <si>
    <t>operation_2_410</t>
  </si>
  <si>
    <t xml:space="preserve">  - Op 2 % will revenue be generated from Canada?</t>
  </si>
  <si>
    <t>Minimum 3 years trade experience</t>
  </si>
  <si>
    <t>Client does not  have minimum trade experience</t>
  </si>
  <si>
    <t>Contents broadform coverage</t>
  </si>
  <si>
    <t>operation_3</t>
  </si>
  <si>
    <t>Operation 3 Industry Code</t>
  </si>
  <si>
    <t>Maximum 10 employees</t>
  </si>
  <si>
    <t>Greater than 10 employees</t>
  </si>
  <si>
    <t>Number of employees</t>
  </si>
  <si>
    <t>Painting, Wallpapering, Decorating - excl. Spray Paint</t>
  </si>
  <si>
    <t>Contents of others</t>
  </si>
  <si>
    <t>operation_3_405</t>
  </si>
  <si>
    <t xml:space="preserve">  - Op 3 Revenues</t>
  </si>
  <si>
    <t>No selling, renting or leasing equipment</t>
  </si>
  <si>
    <t>Client is selling, renting or leasing equipment</t>
  </si>
  <si>
    <t>Product sales</t>
  </si>
  <si>
    <t>Contract penalty coverage</t>
  </si>
  <si>
    <t>operation_3_430</t>
  </si>
  <si>
    <t xml:space="preserve">  - Op 3 % Residential</t>
  </si>
  <si>
    <t>Maximum receipts of $2M</t>
  </si>
  <si>
    <t>Receipts over quotable limit</t>
  </si>
  <si>
    <t>Total receipts</t>
  </si>
  <si>
    <t>Stock</t>
  </si>
  <si>
    <t>Contractor's equipment</t>
  </si>
  <si>
    <t>operation_3_435</t>
  </si>
  <si>
    <t xml:space="preserve">  - Op 3 % Commercial</t>
  </si>
  <si>
    <t>EDP</t>
  </si>
  <si>
    <t>Contractor's equipment - co-insurance</t>
  </si>
  <si>
    <t>operation_3_440</t>
  </si>
  <si>
    <t xml:space="preserve">  - Op 3 % Ind</t>
  </si>
  <si>
    <t>Sheet Metal, tinsmith (HVAC, refridgeration, duct work) - Away from Shop</t>
  </si>
  <si>
    <t>Business Equipment</t>
  </si>
  <si>
    <t>Contractors equipment - fire department charges</t>
  </si>
  <si>
    <t>operation_3_450</t>
  </si>
  <si>
    <t xml:space="preserve">  - Op 3 % Agricultural</t>
  </si>
  <si>
    <t>No vacant sections in property</t>
  </si>
  <si>
    <t>Vacant property</t>
  </si>
  <si>
    <t>Any element vacant</t>
  </si>
  <si>
    <t>Tools aggregate limit</t>
  </si>
  <si>
    <t>Contractors equipment - loss of use</t>
  </si>
  <si>
    <t>operation_3_410</t>
  </si>
  <si>
    <t xml:space="preserve">  - Op 3 % will revenue be generated from Canada?</t>
  </si>
  <si>
    <t>Tools single item limit</t>
  </si>
  <si>
    <t>Contractor's equipment - single item maximum</t>
  </si>
  <si>
    <t>operation_4</t>
  </si>
  <si>
    <t>Operation 4 Industry Code</t>
  </si>
  <si>
    <t>Tools co-insurance</t>
  </si>
  <si>
    <t>Contractors equipment - sinking into muskeg or ice</t>
  </si>
  <si>
    <t>operation_4_405</t>
  </si>
  <si>
    <t xml:space="preserve">  - Op 4 Revenues</t>
  </si>
  <si>
    <t>Contractor's equipment replacement cost</t>
  </si>
  <si>
    <t>operation_4_430</t>
  </si>
  <si>
    <t xml:space="preserve">  - Op 4 % Residential</t>
  </si>
  <si>
    <t>Installation Floater Limit</t>
  </si>
  <si>
    <t>Conviction reward</t>
  </si>
  <si>
    <t>operation_4_435</t>
  </si>
  <si>
    <t xml:space="preserve">  - Op 4 % Commercial</t>
  </si>
  <si>
    <t>Rental Income</t>
  </si>
  <si>
    <t>Data coverage</t>
  </si>
  <si>
    <t>operation_4_440</t>
  </si>
  <si>
    <t xml:space="preserve">  - Op 4 % Ind</t>
  </si>
  <si>
    <t>Sign installation</t>
  </si>
  <si>
    <t>Installation form / floater</t>
  </si>
  <si>
    <t>Debris Removal</t>
  </si>
  <si>
    <t>operation_4_450</t>
  </si>
  <si>
    <t xml:space="preserve">  - Op 4 % Agricultural</t>
  </si>
  <si>
    <t>Property Deductible</t>
  </si>
  <si>
    <t>operation_4_410</t>
  </si>
  <si>
    <t xml:space="preserve">  - Op 4 % will revenue be generated from Canada?</t>
  </si>
  <si>
    <t>Money &amp; Securities</t>
  </si>
  <si>
    <t>Basic Rental income</t>
  </si>
  <si>
    <t>Earthquake</t>
  </si>
  <si>
    <t>operation_5</t>
  </si>
  <si>
    <t>Operation 5 Industry Code</t>
  </si>
  <si>
    <t>Gross rents</t>
  </si>
  <si>
    <t>Eco-friendly coverage enhancement</t>
  </si>
  <si>
    <t>operation_5_405</t>
  </si>
  <si>
    <t xml:space="preserve">  - Op 5 Revenues</t>
  </si>
  <si>
    <t>Profits</t>
  </si>
  <si>
    <t>operation_5_430</t>
  </si>
  <si>
    <t xml:space="preserve">  - Op 5 % Residential</t>
  </si>
  <si>
    <t>operation_5_435</t>
  </si>
  <si>
    <t xml:space="preserve">  - Op 5 % Commercial</t>
  </si>
  <si>
    <t>Loss inside the premises</t>
  </si>
  <si>
    <t>Equipment breakdown</t>
  </si>
  <si>
    <t>operation_5_440</t>
  </si>
  <si>
    <t xml:space="preserve">  - Op 5 % Ind</t>
  </si>
  <si>
    <t>Property value</t>
  </si>
  <si>
    <t>Loss outside the premises</t>
  </si>
  <si>
    <t>Exhibition insurance</t>
  </si>
  <si>
    <t>operation_5_450</t>
  </si>
  <si>
    <t xml:space="preserve">  - Op 5 % Agricultural</t>
  </si>
  <si>
    <t>Occupied by insured's business only</t>
  </si>
  <si>
    <t>Property occupied by others</t>
  </si>
  <si>
    <t>Property occupancy type</t>
  </si>
  <si>
    <t>Your business only</t>
  </si>
  <si>
    <t>Theft from custodian's home</t>
  </si>
  <si>
    <t>Expediting expenses</t>
  </si>
  <si>
    <t>operation_5_410</t>
  </si>
  <si>
    <t xml:space="preserve">  - Op 5 % will revenue be generated from Canada?</t>
  </si>
  <si>
    <t>Risk is in Ontario</t>
  </si>
  <si>
    <t>Client is not Ontario based</t>
  </si>
  <si>
    <t>Insured province</t>
  </si>
  <si>
    <t>Employee dishonesty</t>
  </si>
  <si>
    <t>Exterior glass</t>
  </si>
  <si>
    <t>operation_6</t>
  </si>
  <si>
    <t>Operation 6 Industry Code</t>
  </si>
  <si>
    <t>No operations outside of Canada</t>
  </si>
  <si>
    <t>Operations must be in Canada</t>
  </si>
  <si>
    <t>Will revenue be generated in Canada?</t>
  </si>
  <si>
    <t>Money orders &amp; counterfeit currency</t>
  </si>
  <si>
    <t>Exterior signs</t>
  </si>
  <si>
    <t>operation_6_405</t>
  </si>
  <si>
    <t xml:space="preserve">  - Op 6 Revenues</t>
  </si>
  <si>
    <t>Concrete construction cannot include work on sewers, tunnels, dams or bridges</t>
  </si>
  <si>
    <t>Equipment Breakdown Limit</t>
  </si>
  <si>
    <t>Depositors forgery</t>
  </si>
  <si>
    <t>Extinguishing System warranty</t>
  </si>
  <si>
    <t>operation_6_430</t>
  </si>
  <si>
    <t xml:space="preserve">  - Op 6 % Residential</t>
  </si>
  <si>
    <t>Third Party Bond</t>
  </si>
  <si>
    <t>Fine arts</t>
  </si>
  <si>
    <t>operation_6_435</t>
  </si>
  <si>
    <t xml:space="preserve">  - Op 6 % Commercial</t>
  </si>
  <si>
    <t>Glazing includes auto glass</t>
  </si>
  <si>
    <t>Glazing cannot include work on auto glass</t>
  </si>
  <si>
    <t>Do you undertake any work involving auto glass? (IBC 1535)</t>
  </si>
  <si>
    <t>Forgery or Alteration</t>
  </si>
  <si>
    <t>Fire department charges</t>
  </si>
  <si>
    <t>operation_6_440</t>
  </si>
  <si>
    <t xml:space="preserve">  - Op 6 % Ind</t>
  </si>
  <si>
    <t>Incoming cheque forgery</t>
  </si>
  <si>
    <t>Fire suppression recharge</t>
  </si>
  <si>
    <t>operation_6_450</t>
  </si>
  <si>
    <t xml:space="preserve">  - Op 6 % Agricultural</t>
  </si>
  <si>
    <t>Flood</t>
  </si>
  <si>
    <t>operation_6_410</t>
  </si>
  <si>
    <t xml:space="preserve">  - Op 6 % will revenue be generated from Canada?</t>
  </si>
  <si>
    <t>Flood deductible</t>
  </si>
  <si>
    <t>operation_7</t>
  </si>
  <si>
    <t>Operation 7 Industry Code</t>
  </si>
  <si>
    <t>Off-premises service interruption</t>
  </si>
  <si>
    <t>Growing plants, trees, shrubs (per item)</t>
  </si>
  <si>
    <t>operation_7_405</t>
  </si>
  <si>
    <t xml:space="preserve">  - Op 7 Revenues</t>
  </si>
  <si>
    <t>Home office extension</t>
  </si>
  <si>
    <t>operation_7_430</t>
  </si>
  <si>
    <t xml:space="preserve">  - Op 7 % Residential</t>
  </si>
  <si>
    <t>Personal effects and property of employees and others</t>
  </si>
  <si>
    <t>Inflation protection</t>
  </si>
  <si>
    <t>operation_7_435</t>
  </si>
  <si>
    <t xml:space="preserve">  - Op 7 % Commercial</t>
  </si>
  <si>
    <t>operation_7_440</t>
  </si>
  <si>
    <t xml:space="preserve">  - Op 7 % Ind</t>
  </si>
  <si>
    <t>Input from Quotey</t>
  </si>
  <si>
    <t>Quotey Selection</t>
  </si>
  <si>
    <t>Options</t>
  </si>
  <si>
    <t>Mapped Output</t>
  </si>
  <si>
    <t>Brands &amp; labels</t>
  </si>
  <si>
    <t>Leased, rented or borrowed equipment</t>
  </si>
  <si>
    <t>operation_7_450</t>
  </si>
  <si>
    <t xml:space="preserve">  - Op 7 % Agricultural</t>
  </si>
  <si>
    <t>Pollution clean-up and removal (insured premises)</t>
  </si>
  <si>
    <t>Leasehold interest - rents</t>
  </si>
  <si>
    <t>operation_7_410</t>
  </si>
  <si>
    <t xml:space="preserve">  - Op 7 % will revenue be generated from Canada?</t>
  </si>
  <si>
    <t>Data</t>
  </si>
  <si>
    <t>Master key coverage</t>
  </si>
  <si>
    <t>operation_8</t>
  </si>
  <si>
    <t>Operation 8 Industry Code</t>
  </si>
  <si>
    <t>Media</t>
  </si>
  <si>
    <t>Mortgage rate guarantee</t>
  </si>
  <si>
    <t>operation_8_405</t>
  </si>
  <si>
    <t xml:space="preserve">  - Op 8 Revenues</t>
  </si>
  <si>
    <t>Newly acquired buildings</t>
  </si>
  <si>
    <t>operation_8_430</t>
  </si>
  <si>
    <t xml:space="preserve">  - Op 8 % Residential</t>
  </si>
  <si>
    <t>Stock spoilage</t>
  </si>
  <si>
    <t>Newly acquired business contents</t>
  </si>
  <si>
    <t>operation_8_435</t>
  </si>
  <si>
    <t xml:space="preserve">  - Op 8 % Commercial</t>
  </si>
  <si>
    <t>Newly acquired equipment</t>
  </si>
  <si>
    <t>operation_8_440</t>
  </si>
  <si>
    <t xml:space="preserve">  - Op 8 % Ind</t>
  </si>
  <si>
    <t>Newly acquired locations</t>
  </si>
  <si>
    <t>operation_8_450</t>
  </si>
  <si>
    <t xml:space="preserve">  - Op 8 % Agricultural</t>
  </si>
  <si>
    <t>Property off premises and in transit</t>
  </si>
  <si>
    <t>operation_8_410</t>
  </si>
  <si>
    <t xml:space="preserve">  - Op 8 % will revenue be generated from Canada?</t>
  </si>
  <si>
    <t>Valuable papers and records</t>
  </si>
  <si>
    <t>Parcel post</t>
  </si>
  <si>
    <t>operation_9</t>
  </si>
  <si>
    <t>Operation 9 Industry Code</t>
  </si>
  <si>
    <t>Pavement, Sidewalk and Driveways</t>
  </si>
  <si>
    <t>operation_9_405</t>
  </si>
  <si>
    <t xml:space="preserve">  - Op 9 Revenues</t>
  </si>
  <si>
    <t>Extra expense</t>
  </si>
  <si>
    <t>operation_9_430</t>
  </si>
  <si>
    <t xml:space="preserve">  - Op 9 % Residential</t>
  </si>
  <si>
    <t>Professional fees for proving a loss</t>
  </si>
  <si>
    <t>operation_9_435</t>
  </si>
  <si>
    <t xml:space="preserve">  - Op 9 % Commercial</t>
  </si>
  <si>
    <t>Preservation of property</t>
  </si>
  <si>
    <t>operation_9_440</t>
  </si>
  <si>
    <t xml:space="preserve">  - Op 9 % Ind</t>
  </si>
  <si>
    <t>operation_9_450</t>
  </si>
  <si>
    <t xml:space="preserve">  - Op 9 % Agricultural</t>
  </si>
  <si>
    <t>Contingent loss of income</t>
  </si>
  <si>
    <t>operation_9_410</t>
  </si>
  <si>
    <t xml:space="preserve">  - Op 9 % will revenue be generated from Canada?</t>
  </si>
  <si>
    <t>Rental reimbursement</t>
  </si>
  <si>
    <t>operation_10</t>
  </si>
  <si>
    <t>Operation 10 Industry Code</t>
  </si>
  <si>
    <t>Sales representative samples</t>
  </si>
  <si>
    <t>Replacement cost - property of every description</t>
  </si>
  <si>
    <t>operation_10_405</t>
  </si>
  <si>
    <t xml:space="preserve">  - Op 10 Revenues</t>
  </si>
  <si>
    <t>Replacement cost - tools</t>
  </si>
  <si>
    <t>operation_10_430</t>
  </si>
  <si>
    <t xml:space="preserve">  - Op 10 % Residential</t>
  </si>
  <si>
    <t>Retailers product impairment</t>
  </si>
  <si>
    <t>operation_10_435</t>
  </si>
  <si>
    <t xml:space="preserve">  - Op 10 % Commercial</t>
  </si>
  <si>
    <t>operation_10_440</t>
  </si>
  <si>
    <t xml:space="preserve">  - Op 10 % Ind</t>
  </si>
  <si>
    <t>Work damage to stock</t>
  </si>
  <si>
    <t>Seasonal increase to business contents limit</t>
  </si>
  <si>
    <t>operation_10_450</t>
  </si>
  <si>
    <t xml:space="preserve">  - Op 10 % Agricultural</t>
  </si>
  <si>
    <t>Sewer Backup</t>
  </si>
  <si>
    <t>operation_10_410</t>
  </si>
  <si>
    <t xml:space="preserve">  - Op 10 % will revenue be generated from Canada?</t>
  </si>
  <si>
    <t>Within 300M of Fire hydrant</t>
  </si>
  <si>
    <t>location_1_504100</t>
  </si>
  <si>
    <t>Building value</t>
  </si>
  <si>
    <t>Send to Algorithm</t>
  </si>
  <si>
    <t>location_1_504215</t>
  </si>
  <si>
    <t>Tenant Improvements</t>
  </si>
  <si>
    <t>In 300M of fire hydrant?</t>
  </si>
  <si>
    <t>Tenants damage by vandalism exclusion</t>
  </si>
  <si>
    <t>Tools Limit Required</t>
  </si>
  <si>
    <t>Distance from Firehall</t>
  </si>
  <si>
    <t>Contractors Equipment Limit Required</t>
  </si>
  <si>
    <t>location_1_504170</t>
  </si>
  <si>
    <t>Contents Limit Required</t>
  </si>
  <si>
    <t>location_1_504190</t>
  </si>
  <si>
    <t>Stock Limit Required</t>
  </si>
  <si>
    <t>Exclude</t>
  </si>
  <si>
    <t>location_1_504180</t>
  </si>
  <si>
    <t>EDP Systems limit Required</t>
  </si>
  <si>
    <t>Water damage deductible</t>
  </si>
  <si>
    <t>location_1_504200</t>
  </si>
  <si>
    <t>Business equipment limit required</t>
  </si>
  <si>
    <t>Installation Floater Limit Required</t>
  </si>
  <si>
    <t>Equipment Breakdown</t>
  </si>
  <si>
    <t>Absolute pollution exclusion endorsement</t>
  </si>
  <si>
    <t>location_1_504240</t>
  </si>
  <si>
    <t>Equipment Breakdown Limit Requred</t>
  </si>
  <si>
    <t>Data Restoration</t>
  </si>
  <si>
    <t>System or data damage and rectification costs</t>
  </si>
  <si>
    <t>location_1_504310</t>
  </si>
  <si>
    <t>Cover package quality</t>
  </si>
  <si>
    <t>Data Re-Creation</t>
  </si>
  <si>
    <t>Care, custody and control</t>
  </si>
  <si>
    <t>CGL Limit required</t>
  </si>
  <si>
    <t>System Restoration</t>
  </si>
  <si>
    <t>1000100_1</t>
  </si>
  <si>
    <t>Other CGL Limit Required</t>
  </si>
  <si>
    <t>Building Construction Classes</t>
  </si>
  <si>
    <t>Loss of business</t>
  </si>
  <si>
    <t>Income loss and extra expense</t>
  </si>
  <si>
    <t>Condominium special assessment</t>
  </si>
  <si>
    <t>Crime Coverage Type (3D Comprehensive Crime Coverage, Inside / Outside Robbery, Broadform Money &amp; Securities, Employee Dishonesty, Declined)</t>
  </si>
  <si>
    <t>Public relations</t>
  </si>
  <si>
    <t>Contingent wrap-up liability including diff in conditions</t>
  </si>
  <si>
    <t>Broadform Money &amp; Securities limit</t>
  </si>
  <si>
    <t>Construction Type</t>
  </si>
  <si>
    <t>1. Fire Resistive</t>
  </si>
  <si>
    <t>Network security liability</t>
  </si>
  <si>
    <t>Contingent wrap-up liability including diff in deductibles</t>
  </si>
  <si>
    <t>Employee dishonesty limit</t>
  </si>
  <si>
    <t>2. Modified Fire Resistive</t>
  </si>
  <si>
    <t>Third party business information</t>
  </si>
  <si>
    <t>3D crime limit</t>
  </si>
  <si>
    <t>3. Masonry Non Combustible</t>
  </si>
  <si>
    <t>Forensic IT review</t>
  </si>
  <si>
    <t>IT Security and Forensic Costs</t>
  </si>
  <si>
    <t>Excess liability</t>
  </si>
  <si>
    <t>Inside / outside robbery limit</t>
  </si>
  <si>
    <t>4. Non Combustible</t>
  </si>
  <si>
    <t>Legal review</t>
  </si>
  <si>
    <t>Legal and regulatory costs</t>
  </si>
  <si>
    <t>Damage from Blasting, Pile Driving, Removal or Weakening of Support</t>
  </si>
  <si>
    <t>Third party crime bond</t>
  </si>
  <si>
    <t>5. Masonry</t>
  </si>
  <si>
    <t>Notification to affected individuals</t>
  </si>
  <si>
    <t>Privacy breach management costs</t>
  </si>
  <si>
    <t>Elevator and Hoist collision</t>
  </si>
  <si>
    <t>1000280_1</t>
  </si>
  <si>
    <t>Specific third party crime bond limit</t>
  </si>
  <si>
    <t>6. Brick Veneer</t>
  </si>
  <si>
    <t>Services to affected individuals</t>
  </si>
  <si>
    <t>Employee benefits liability</t>
  </si>
  <si>
    <t>location_1_504220</t>
  </si>
  <si>
    <t>PR review</t>
  </si>
  <si>
    <t>Crisis communication costs</t>
  </si>
  <si>
    <t>Employer's liability</t>
  </si>
  <si>
    <t>Data breach liability</t>
  </si>
  <si>
    <t>Failure to perform</t>
  </si>
  <si>
    <t>Earnings value $</t>
  </si>
  <si>
    <t>Faulty workmanship</t>
  </si>
  <si>
    <t>Profits value $</t>
  </si>
  <si>
    <t>Forest and Prairie Fire Fighting Expense</t>
  </si>
  <si>
    <t>BI indemnity period (months)</t>
  </si>
  <si>
    <t>Fungi and fungal derivatives</t>
  </si>
  <si>
    <t>Include ordinary payroll? (Include / Not required)</t>
  </si>
  <si>
    <t>Extra expense (Include / Not required)</t>
  </si>
  <si>
    <t>Contingent BI (include / not required)</t>
  </si>
  <si>
    <t>Wrap-up liability</t>
  </si>
  <si>
    <t>location_1_504250</t>
  </si>
  <si>
    <t>Limitation of coverages to designated premises</t>
  </si>
  <si>
    <t>location_1_504260</t>
  </si>
  <si>
    <t>location_1_504270</t>
  </si>
  <si>
    <t>Sewer backup</t>
  </si>
  <si>
    <t>Contractors Tools Coverage &amp; Limit Required</t>
  </si>
  <si>
    <t>location_1_504280</t>
  </si>
  <si>
    <t>Specific SBU limit</t>
  </si>
  <si>
    <t>Contractors E&amp;O</t>
  </si>
  <si>
    <t>Tools Limit</t>
  </si>
  <si>
    <t>1000190_1</t>
  </si>
  <si>
    <t>Other Contractors E&amp;O Limit</t>
  </si>
  <si>
    <t>location_1_504320</t>
  </si>
  <si>
    <t>Non-Owned Auto - SEF 96 - Contractual liability</t>
  </si>
  <si>
    <t>location_1_58300</t>
  </si>
  <si>
    <t>Is there Property?</t>
  </si>
  <si>
    <t>Contractors Equipment Coverage &amp; Limit Required</t>
  </si>
  <si>
    <t>location_1_500100</t>
  </si>
  <si>
    <t>Property same as correspondence address?</t>
  </si>
  <si>
    <t>Pandemic exclusion</t>
  </si>
  <si>
    <t>location_1_500110_postalcode</t>
  </si>
  <si>
    <t>Property postalcode</t>
  </si>
  <si>
    <t>Equipment Limit</t>
  </si>
  <si>
    <t>location_1_503510</t>
  </si>
  <si>
    <t>Distance from Fire hall</t>
  </si>
  <si>
    <t>location_1_503500</t>
  </si>
  <si>
    <t>Within 250M of Hydrant</t>
  </si>
  <si>
    <t>location_1_500770</t>
  </si>
  <si>
    <t>Building construction</t>
  </si>
  <si>
    <t>Installation Floater Coverage &amp; Limit Required</t>
  </si>
  <si>
    <t>Rip and Tear</t>
  </si>
  <si>
    <t>Voluntary property damage</t>
  </si>
  <si>
    <t>location_1_500910</t>
  </si>
  <si>
    <t>Electric type</t>
  </si>
  <si>
    <t>Circuit breakers</t>
  </si>
  <si>
    <t>location_1_500930</t>
  </si>
  <si>
    <t>Amperage (if fuse)</t>
  </si>
  <si>
    <t>100-200 amps</t>
  </si>
  <si>
    <t>location_1_500935</t>
  </si>
  <si>
    <t>Wiring type</t>
  </si>
  <si>
    <t>Buildings limit Required</t>
  </si>
  <si>
    <t>location_1_500010</t>
  </si>
  <si>
    <t>Occupancy status</t>
  </si>
  <si>
    <t>Building limit</t>
  </si>
  <si>
    <t>Tenants Imp limit</t>
  </si>
  <si>
    <t>Loss of earnings</t>
  </si>
  <si>
    <t>location_1_500700</t>
  </si>
  <si>
    <t>Year property built</t>
  </si>
  <si>
    <t>location_1_503820</t>
  </si>
  <si>
    <t>Any element of vacant property?</t>
  </si>
  <si>
    <t>Contents &amp; Stock Limit Required</t>
  </si>
  <si>
    <t>location_1_500830</t>
  </si>
  <si>
    <t>Heating type</t>
  </si>
  <si>
    <t>Gas - forced air</t>
  </si>
  <si>
    <t>Computer fraud</t>
  </si>
  <si>
    <t>location_1_500870</t>
  </si>
  <si>
    <t>Auxillary heating in property?</t>
  </si>
  <si>
    <t>Credit Card Forgery</t>
  </si>
  <si>
    <t>location_1_500860</t>
  </si>
  <si>
    <t>Underground oil tanks?</t>
  </si>
  <si>
    <t>Cyber crime limit</t>
  </si>
  <si>
    <t>Funds Transfer Fraud</t>
  </si>
  <si>
    <t>1000300_1</t>
  </si>
  <si>
    <t>Specific cyber limit required</t>
  </si>
  <si>
    <t>Identity Theft</t>
  </si>
  <si>
    <t>Kidnap and ransom</t>
  </si>
  <si>
    <t>Medical expense from robbery</t>
  </si>
  <si>
    <t>Incident response costs</t>
  </si>
  <si>
    <t>Third party privacy breach management costs</t>
  </si>
  <si>
    <t>Post breach remediation costs</t>
  </si>
  <si>
    <t>Funds transfer fraud &amp; Social Engineering</t>
  </si>
  <si>
    <t>Theft of funds held in escrow</t>
  </si>
  <si>
    <t>Theft of personal funds</t>
  </si>
  <si>
    <t>Sewer / Sump Cover</t>
  </si>
  <si>
    <t>Cyber extortion</t>
  </si>
  <si>
    <t>Corporate Identity theft</t>
  </si>
  <si>
    <t>SBU Coverage</t>
  </si>
  <si>
    <t>Include for full value</t>
  </si>
  <si>
    <t>Telephone hacking</t>
  </si>
  <si>
    <t>Include for a specified value</t>
  </si>
  <si>
    <t>Push payment fraud</t>
  </si>
  <si>
    <t>Unauthorized use of computer resources</t>
  </si>
  <si>
    <t>Exact match</t>
  </si>
  <si>
    <t>If no exact match - then soft index</t>
  </si>
  <si>
    <t>Additional extra expense</t>
  </si>
  <si>
    <t>if no exact match - then next higher limit</t>
  </si>
  <si>
    <t>Dependent business interruption</t>
  </si>
  <si>
    <t>Target match limit</t>
  </si>
  <si>
    <t>Consequential reputation harm</t>
  </si>
  <si>
    <t>Claim preparation costs</t>
  </si>
  <si>
    <t>Hardware replacement costs</t>
  </si>
  <si>
    <t>Management liability</t>
  </si>
  <si>
    <t>Regulatory fines</t>
  </si>
  <si>
    <t>PCI Fines, penalties and assessments</t>
  </si>
  <si>
    <t>Defamation</t>
  </si>
  <si>
    <t>Intellectual property rights infringement</t>
  </si>
  <si>
    <t>Court attendance costs</t>
  </si>
  <si>
    <t>Bodily injury</t>
  </si>
  <si>
    <t>CGL Coverage &amp; Limit Required</t>
  </si>
  <si>
    <t>Contract disputes and debt recovery</t>
  </si>
  <si>
    <t>Employment disputes</t>
  </si>
  <si>
    <t>Not required</t>
  </si>
  <si>
    <t>Legal defence</t>
  </si>
  <si>
    <t>Other CGL Limit Requested</t>
  </si>
  <si>
    <t>Property protection</t>
  </si>
  <si>
    <t>Final CGL Limit Required</t>
  </si>
  <si>
    <t>Statutory license protection</t>
  </si>
  <si>
    <t>Tax protection</t>
  </si>
  <si>
    <t>Unlimited legal assistance (helpline)</t>
  </si>
  <si>
    <t>Free antivirus software</t>
  </si>
  <si>
    <t>Other limit</t>
  </si>
  <si>
    <t>Declined</t>
  </si>
  <si>
    <t>Defence costs in addition to limit</t>
  </si>
  <si>
    <t>Cyber Crime Coverage (Cyber One)</t>
  </si>
  <si>
    <t>Cyber Limit Requested</t>
  </si>
  <si>
    <t>Include</t>
  </si>
  <si>
    <t>Electrical Type (Acceptance Criteria)</t>
  </si>
  <si>
    <t>Send to Acceptance</t>
  </si>
  <si>
    <t>Electrical Type</t>
  </si>
  <si>
    <t>Fuse Type</t>
  </si>
  <si>
    <t>Wiring Type</t>
  </si>
  <si>
    <t>Breakers and Fuses</t>
  </si>
  <si>
    <t>Decline</t>
  </si>
  <si>
    <t>Unknown</t>
  </si>
  <si>
    <t>&lt;100 amps</t>
  </si>
  <si>
    <t>200+ amps</t>
  </si>
  <si>
    <t>Aluminum</t>
  </si>
  <si>
    <t>Knob and tube</t>
  </si>
  <si>
    <t>Other</t>
  </si>
  <si>
    <t>Heating Type</t>
  </si>
  <si>
    <t>Steam / water boiler</t>
  </si>
  <si>
    <t>Geo Thermal / Heat Pump</t>
  </si>
  <si>
    <t>Electric - forced air</t>
  </si>
  <si>
    <t>Electric - baseboard</t>
  </si>
  <si>
    <t>Solid fuel</t>
  </si>
  <si>
    <t>Removed solid fuel</t>
  </si>
  <si>
    <t>Crime Coverage Type</t>
  </si>
  <si>
    <t>Crime Coverage</t>
  </si>
  <si>
    <t>Limits Requested</t>
  </si>
  <si>
    <t>Business Interruption Coverage</t>
  </si>
  <si>
    <t>Earnings</t>
  </si>
  <si>
    <t>Owner Occuped</t>
  </si>
  <si>
    <t>Occupancy Type</t>
  </si>
  <si>
    <t>Your business and other tenants</t>
  </si>
  <si>
    <t>Other tenants only</t>
  </si>
  <si>
    <t>No-one, it's vacant</t>
  </si>
  <si>
    <t>It's under construction or yet to be built</t>
  </si>
  <si>
    <t>Building Type</t>
  </si>
  <si>
    <t>Location type</t>
  </si>
  <si>
    <t>Building You Own</t>
  </si>
  <si>
    <t>Rented or Leased Property</t>
  </si>
  <si>
    <t>Home Based / Virtual Business</t>
  </si>
  <si>
    <t>Building Under Construction</t>
  </si>
  <si>
    <t>Vacant Building</t>
  </si>
  <si>
    <t>Vacant Land</t>
  </si>
  <si>
    <t>Permits obtained on all electrical work</t>
  </si>
  <si>
    <t>No work on fire suppression equipment</t>
  </si>
  <si>
    <t>No equipment rentals</t>
  </si>
  <si>
    <t>Proof of insurance from subcontractors</t>
  </si>
  <si>
    <t>Max 10% industrial work</t>
  </si>
  <si>
    <t>No Aggricultural work</t>
  </si>
  <si>
    <t>No work on oil tanks</t>
  </si>
  <si>
    <t>No design of heating systems for buildings</t>
  </si>
  <si>
    <t>No boiler inspections</t>
  </si>
  <si>
    <t>Residential boiler installation only and incidental (10% or less of receipts)</t>
  </si>
  <si>
    <t>No oil tank removal or installation</t>
  </si>
  <si>
    <t>No industrial work</t>
  </si>
  <si>
    <t>No work on production machinery</t>
  </si>
  <si>
    <t>No snow remval</t>
  </si>
  <si>
    <t>No pesticide</t>
  </si>
  <si>
    <t>All TP locates are completed before digging</t>
  </si>
  <si>
    <t>No asbestos work</t>
  </si>
  <si>
    <t>All heating, electrical and plumbing work is subcontracted</t>
  </si>
  <si>
    <t>No roofing</t>
  </si>
  <si>
    <t>No exterior spray painting</t>
  </si>
  <si>
    <t>Licensed gas fitter</t>
  </si>
  <si>
    <t>No work conducted above 3 stories</t>
  </si>
  <si>
    <t>No installation or repair of safety, non-slip floor covering or play area flooring</t>
  </si>
  <si>
    <t>All third party locates completed prior to digging</t>
  </si>
  <si>
    <t>All third party locates are completed prior to digging</t>
  </si>
  <si>
    <t>No design work</t>
  </si>
  <si>
    <t>No industrial / manufacturing facilities</t>
  </si>
  <si>
    <t>All cleaning is performed outside of business hours</t>
  </si>
  <si>
    <t>All cleaning products are provided by the customer</t>
  </si>
  <si>
    <t>Excluding mobile signs for rent</t>
  </si>
  <si>
    <t>Precautions in place for walkways / driveways to prevent slips / falls</t>
  </si>
  <si>
    <t>Mapping M&amp;W Trade Codes to Halwell Operations</t>
  </si>
  <si>
    <t>Halwell Code</t>
  </si>
  <si>
    <t>Halwell Description</t>
  </si>
  <si>
    <t>Quotey description</t>
  </si>
  <si>
    <t>Quotey Code</t>
  </si>
  <si>
    <t>This section looks to map all inputs into appropriate insurer inputs for their algorithm.</t>
  </si>
  <si>
    <t>Gardening for Others (Landscaper)</t>
  </si>
  <si>
    <t>Fence and deck construction</t>
  </si>
  <si>
    <t>Television Antennae and satellites</t>
  </si>
  <si>
    <t>HVAC technician - oil and gas systems</t>
  </si>
  <si>
    <t>Electrician</t>
  </si>
  <si>
    <t>Cement, Concrete contractors</t>
  </si>
  <si>
    <t>Drywalling, Plastering, Lathing</t>
  </si>
  <si>
    <t>Floor Coverage, carpet, wood, vinyl Installation</t>
  </si>
  <si>
    <t>Home Furnishing Installation</t>
  </si>
  <si>
    <t>Construction - Residential alterations, renovations or repairs</t>
  </si>
  <si>
    <t>Carpet, area rugs and other floor coverings including installation / repair</t>
  </si>
  <si>
    <t>Tile, linoleum, hardwood flooring store including installation / repair</t>
  </si>
  <si>
    <t>Window Cleaning</t>
  </si>
  <si>
    <t>Furniture, Drapery, Rug Cleaning on Customer's Premises</t>
  </si>
  <si>
    <t>No structural work</t>
  </si>
  <si>
    <r>
      <t xml:space="preserve">Fence </t>
    </r>
    <r>
      <rPr>
        <sz val="10"/>
        <rFont val="Arial"/>
        <family val="2"/>
      </rPr>
      <t>and Deck</t>
    </r>
    <r>
      <rPr>
        <sz val="10"/>
        <color rgb="FFFF0000"/>
        <rFont val="Arial"/>
        <family val="2"/>
      </rPr>
      <t xml:space="preserve"> </t>
    </r>
    <r>
      <rPr>
        <sz val="10"/>
        <color theme="1"/>
        <rFont val="Arial"/>
        <family val="2"/>
      </rPr>
      <t>Construction</t>
    </r>
  </si>
  <si>
    <r>
      <t xml:space="preserve">Heating (oil or gas – </t>
    </r>
    <r>
      <rPr>
        <sz val="10"/>
        <rFont val="Arial"/>
        <family val="2"/>
      </rPr>
      <t>no work on oil tanks)</t>
    </r>
  </si>
  <si>
    <r>
      <t xml:space="preserve">Concrete and Cement Work – </t>
    </r>
    <r>
      <rPr>
        <sz val="10"/>
        <rFont val="Arial"/>
        <family val="2"/>
      </rPr>
      <t>Driveways &amp; Walkways</t>
    </r>
    <r>
      <rPr>
        <sz val="10"/>
        <color rgb="FFFF0000"/>
        <rFont val="Arial"/>
        <family val="2"/>
      </rPr>
      <t xml:space="preserve"> </t>
    </r>
    <r>
      <rPr>
        <sz val="10"/>
        <color theme="1"/>
        <rFont val="Arial"/>
        <family val="2"/>
      </rPr>
      <t>(excluding sewers, tunnel, dams, bridges &amp; piers)</t>
    </r>
  </si>
  <si>
    <r>
      <t>Carpentry, Framing, Trimming, Installation  -</t>
    </r>
    <r>
      <rPr>
        <sz val="10"/>
        <rFont val="Arial"/>
        <family val="2"/>
      </rPr>
      <t>Away from Shop</t>
    </r>
    <r>
      <rPr>
        <sz val="10"/>
        <color theme="1"/>
        <rFont val="Arial"/>
        <family val="2"/>
      </rPr>
      <t xml:space="preserve"> </t>
    </r>
  </si>
  <si>
    <r>
      <t xml:space="preserve">Sheet Metal </t>
    </r>
    <r>
      <rPr>
        <sz val="10"/>
        <rFont val="Arial"/>
        <family val="2"/>
      </rPr>
      <t>(Away from Shop)</t>
    </r>
  </si>
  <si>
    <r>
      <t>Carpet, Tile &amp; Floor Covering</t>
    </r>
    <r>
      <rPr>
        <sz val="10"/>
        <rFont val="Arial"/>
        <family val="2"/>
      </rPr>
      <t xml:space="preserve"> - Installation/Repair</t>
    </r>
  </si>
  <si>
    <t>No playground installation</t>
  </si>
  <si>
    <t>No general contractors</t>
  </si>
  <si>
    <t>No house flippers</t>
  </si>
  <si>
    <t>No restoration / remedial work</t>
  </si>
  <si>
    <t>Property age &lt; 20 years or fully updated  (if insured)</t>
  </si>
  <si>
    <t>Fixed property value $1.5M maximum</t>
  </si>
  <si>
    <t>Property value &gt; $1.5M</t>
  </si>
  <si>
    <t>Business is licensed if required</t>
  </si>
  <si>
    <t>Business must be licensed where required</t>
  </si>
  <si>
    <t>Insurance must be obtained from subcontractors</t>
  </si>
  <si>
    <t>Acceptable electrical type</t>
  </si>
  <si>
    <t>Roof year updated</t>
  </si>
  <si>
    <t>Roof percentage updated</t>
  </si>
  <si>
    <t>HVAC year updated</t>
  </si>
  <si>
    <t>HVAC percentage updated</t>
  </si>
  <si>
    <t>location_1_501102</t>
  </si>
  <si>
    <t>location_1_501103</t>
  </si>
  <si>
    <t>location_1_501106</t>
  </si>
  <si>
    <t>location_1_501107</t>
  </si>
  <si>
    <t>location_1_501111</t>
  </si>
  <si>
    <t>location_1_501110</t>
  </si>
  <si>
    <t>Electrical year updated</t>
  </si>
  <si>
    <t>Electrical percentage update</t>
  </si>
  <si>
    <t>location_1_501114</t>
  </si>
  <si>
    <t>location_1_501115</t>
  </si>
  <si>
    <t>Plumbing year updated</t>
  </si>
  <si>
    <t>Plumbing percentage updated</t>
  </si>
  <si>
    <t>Age and Updates</t>
  </si>
  <si>
    <t>Year of construction</t>
  </si>
  <si>
    <t>Roof update year</t>
  </si>
  <si>
    <t>Heating update year</t>
  </si>
  <si>
    <t>Heating percentage updated</t>
  </si>
  <si>
    <t>Electrical update year</t>
  </si>
  <si>
    <t>Electrical percentage updated</t>
  </si>
  <si>
    <t>Plumbing update year</t>
  </si>
  <si>
    <t>Age of Building</t>
  </si>
  <si>
    <t>Years since update</t>
  </si>
  <si>
    <t>Fully updated?</t>
  </si>
  <si>
    <t>Roof updated?</t>
  </si>
  <si>
    <t>HVAC Updated?</t>
  </si>
  <si>
    <t>Electrical updated?</t>
  </si>
  <si>
    <t>Plumbing updated?</t>
  </si>
  <si>
    <t>Property exceeds age or update requirements</t>
  </si>
  <si>
    <t>Internal calculations</t>
  </si>
  <si>
    <t>Acceptable % updates</t>
  </si>
  <si>
    <t>Alarm work must be incidental (&lt;10%)</t>
  </si>
  <si>
    <t>Does the business obtain permits on all electrical work?</t>
  </si>
  <si>
    <t>Percentage of revenues from fire surpression equipment</t>
  </si>
  <si>
    <t>Percentage of revenues from alarm installation</t>
  </si>
  <si>
    <t>Do you rent or lease equipment to others?</t>
  </si>
  <si>
    <t>Operation 1</t>
  </si>
  <si>
    <t>Operation 2</t>
  </si>
  <si>
    <t>Operation 3</t>
  </si>
  <si>
    <t>Operation 4</t>
  </si>
  <si>
    <t>Operation 5</t>
  </si>
  <si>
    <t>Operation 6</t>
  </si>
  <si>
    <t>Operation 7</t>
  </si>
  <si>
    <t>Operation 8</t>
  </si>
  <si>
    <t>Operation 9</t>
  </si>
  <si>
    <t>Operation 10</t>
  </si>
  <si>
    <t>Totals</t>
  </si>
  <si>
    <t>Code</t>
  </si>
  <si>
    <t>Total Revenues</t>
  </si>
  <si>
    <t>% Res</t>
  </si>
  <si>
    <t>% Comm</t>
  </si>
  <si>
    <t>% Ind</t>
  </si>
  <si>
    <t>% Agg</t>
  </si>
  <si>
    <t>In Canada?</t>
  </si>
  <si>
    <t>Percentage</t>
  </si>
  <si>
    <t>Do you work on solid fuels?</t>
  </si>
  <si>
    <t>Do you or any of your staff perform original design, inspection for fee or consulting services?</t>
  </si>
  <si>
    <t>Do you undertake any boiler inspection work?</t>
  </si>
  <si>
    <t>Do you undertake any tank removal or installation work?</t>
  </si>
  <si>
    <t>Do you work on any production machinery?</t>
  </si>
  <si>
    <t>Does the business undertake any form of snow removal?</t>
  </si>
  <si>
    <t>Do you and any subcontractors check for utility lines before digging?</t>
  </si>
  <si>
    <t>Does your business spray insecticides / pesticides?</t>
  </si>
  <si>
    <t>Does your business undertake any roofing activities?</t>
  </si>
  <si>
    <t>Do you do any exterior spray painting / spray staining?</t>
  </si>
  <si>
    <t>Do you only perform light repair, maintennance or interior renovations?</t>
  </si>
  <si>
    <t>Is licensed activity carried out by a licensed subcontractor?</t>
  </si>
  <si>
    <t>Does the business handle hazardous materials such as asbestos</t>
  </si>
  <si>
    <t>Do you undertake house 'flipping' activities?</t>
  </si>
  <si>
    <t>Do you undertake restoration or remdial work?</t>
  </si>
  <si>
    <t>What is the maximum number of storeys that your business will work at?</t>
  </si>
  <si>
    <t>Residential only (duct cleaning)</t>
  </si>
  <si>
    <t>Do you undertake janitorial work at hospitals, restaurants or at construction or industrial sites?</t>
  </si>
  <si>
    <t>What percentage of your services are provided outside of traditional business hours?</t>
  </si>
  <si>
    <t>Are all cleaning products provided by your customers?</t>
  </si>
  <si>
    <t>Do you install or repair safety, non-slip or play area flooring?</t>
  </si>
  <si>
    <t>Do the business undertake work on sewers, tunnels, dams, bridges or piers?</t>
  </si>
  <si>
    <t>Are all third party service locates completed prior to digging?</t>
  </si>
  <si>
    <t>Do you work on playground equipment?</t>
  </si>
  <si>
    <t>When working at heights do you take appropriate precautions to mitigate hazards for others at ground level?</t>
  </si>
  <si>
    <t>Do you install mobile signs for rent?</t>
  </si>
  <si>
    <t>Permits must be obtained for all electrical work</t>
  </si>
  <si>
    <t>Unable to insure operations on fire surpression equipment</t>
  </si>
  <si>
    <t>Alarm work must be incidental only</t>
  </si>
  <si>
    <t>Equipment rentals are not acceptable</t>
  </si>
  <si>
    <t>Industrial work must be incidental only</t>
  </si>
  <si>
    <t>Agricultural work is not permitted</t>
  </si>
  <si>
    <t>Work on oil tanks is not permitted</t>
  </si>
  <si>
    <t>Design work is not permitted</t>
  </si>
  <si>
    <t>Insurer cannot support boiler inspection activity</t>
  </si>
  <si>
    <t>Boiler inspection work must be at least 90% residential</t>
  </si>
  <si>
    <t>Oil tank removal or installation not accepted</t>
  </si>
  <si>
    <t>Industrial work not accepted</t>
  </si>
  <si>
    <t>Work on production machinery not accepted</t>
  </si>
  <si>
    <t>Snow removal activity not accepted</t>
  </si>
  <si>
    <t>Use of pesticides not accepted</t>
  </si>
  <si>
    <t>Third party services not located prior to digging</t>
  </si>
  <si>
    <t>Insurer unable to support work with asbestos or other hazardous material</t>
  </si>
  <si>
    <t>Heating, electrical and plumbing work must be subcontracted</t>
  </si>
  <si>
    <t>Exterior spray painting is not supported</t>
  </si>
  <si>
    <t>Insurer cannot underwrite roofing activities</t>
  </si>
  <si>
    <t>Insurer cannot accept structural work</t>
  </si>
  <si>
    <t>General contractors are out of insurer's appetite</t>
  </si>
  <si>
    <t>Insurer cannot insurer house flipping activities</t>
  </si>
  <si>
    <t>Restoration / remedial work is not acceptable</t>
  </si>
  <si>
    <t>Insurer unable to accept work at heights greater than 3 storeys</t>
  </si>
  <si>
    <t>Work on safety or play area flooring not acceptable</t>
  </si>
  <si>
    <t>Work on sewers, tunnels and drains not acceptable</t>
  </si>
  <si>
    <t>Insurer cannot accept playground installation operations</t>
  </si>
  <si>
    <t>Insurer cannot accept design work</t>
  </si>
  <si>
    <t>Insurer cannot support work at industrial or manufacturing facilities</t>
  </si>
  <si>
    <t>Janitorial services must be provided outside of normal business hours</t>
  </si>
  <si>
    <t>Cleaning products must be provided by the customer</t>
  </si>
  <si>
    <t>Operations regarding mobile signs for rent are not acceptable</t>
  </si>
  <si>
    <t>Appropriate precautions for working at heights not in place</t>
  </si>
  <si>
    <t>Duct cleaning work must be residential only</t>
  </si>
  <si>
    <t>Operations Summary</t>
  </si>
  <si>
    <t>Building limit required</t>
  </si>
  <si>
    <t>Building construction type</t>
  </si>
  <si>
    <t>Protection type</t>
  </si>
  <si>
    <t>Business interruption required</t>
  </si>
  <si>
    <t>Equipment breakdown limit required</t>
  </si>
  <si>
    <t>Sewer backup coverage required</t>
  </si>
  <si>
    <t>Flood coverage required</t>
  </si>
  <si>
    <t>Earthquake coverage required</t>
  </si>
  <si>
    <t>Third party bond</t>
  </si>
  <si>
    <t>Contents limit required</t>
  </si>
  <si>
    <t>EDP limit required</t>
  </si>
  <si>
    <t>Stock limit required</t>
  </si>
  <si>
    <t>Tools limit required</t>
  </si>
  <si>
    <t>Contractors equipment limit required</t>
  </si>
  <si>
    <t>Installation floater limit required</t>
  </si>
  <si>
    <t>Crime limit required</t>
  </si>
  <si>
    <t>Polllution liability limit required</t>
  </si>
  <si>
    <t># Years experience (for discount)</t>
  </si>
  <si>
    <t>Property deductible required</t>
  </si>
  <si>
    <t>Buildings</t>
  </si>
  <si>
    <t>Construction class</t>
  </si>
  <si>
    <t>Protection class</t>
  </si>
  <si>
    <t>Premium Calculation</t>
  </si>
  <si>
    <t>Fire Resistive/Hollow Concrete Block with Steel Deck Roof Hydrant Protected</t>
  </si>
  <si>
    <t>Fire Resistive/Hollow Concrete Block with Steel Deck Roof Fire Hall Protected</t>
  </si>
  <si>
    <t>Fire Resistive/Hollow Concrete Block with Steel Deck Roof Unprotected</t>
  </si>
  <si>
    <t>Masonry/Steel on Steel Frame Hydrant Protected</t>
  </si>
  <si>
    <t>Masonry/Steel on Steel Frame Fire Hall Protected</t>
  </si>
  <si>
    <t>Masonry/Steel on Steel Frame Unprotected</t>
  </si>
  <si>
    <t>Wood Frame/All Other Hydrant Protected</t>
  </si>
  <si>
    <t>Wood Frame/All Other Fire Hall Protected</t>
  </si>
  <si>
    <t>Wood Frame/All Other Unprotected</t>
  </si>
  <si>
    <t>Rate selected</t>
  </si>
  <si>
    <t>Rate class</t>
  </si>
  <si>
    <t>Coverage offered</t>
  </si>
  <si>
    <t>Business interruption cover required</t>
  </si>
  <si>
    <t>Rateable value (30% of receipts)</t>
  </si>
  <si>
    <t>Equipment breakdown cover required</t>
  </si>
  <si>
    <t>Rate for first $1M</t>
  </si>
  <si>
    <t>Rate for $1M --&gt; $2.5M</t>
  </si>
  <si>
    <t>Min premium</t>
  </si>
  <si>
    <t>Final Premium calculation</t>
  </si>
  <si>
    <t>Max EBI is 2.5M.  Min premium = $40</t>
  </si>
  <si>
    <t>Sewer backup cover required</t>
  </si>
  <si>
    <t>Flood cover required</t>
  </si>
  <si>
    <t>EQ cover required</t>
  </si>
  <si>
    <t>Building and Contents Rate</t>
  </si>
  <si>
    <t>Contents</t>
  </si>
  <si>
    <t>Contents Limit Requested</t>
  </si>
  <si>
    <t>EDP Limit Requested</t>
  </si>
  <si>
    <t>Stock Limit Requested</t>
  </si>
  <si>
    <t>Bus Equipment Limit Requested</t>
  </si>
  <si>
    <t>Total COED limit requested</t>
  </si>
  <si>
    <t>Limit included automatically</t>
  </si>
  <si>
    <t>Excess limit required</t>
  </si>
  <si>
    <t>Excess limit required (for rating)</t>
  </si>
  <si>
    <t>Bus Equipment</t>
  </si>
  <si>
    <t>Requested</t>
  </si>
  <si>
    <t>Total</t>
  </si>
  <si>
    <t>Tools</t>
  </si>
  <si>
    <t>Tools limit requested</t>
  </si>
  <si>
    <t>Contractor's Equipment</t>
  </si>
  <si>
    <t>Equipment Limit requested</t>
  </si>
  <si>
    <t>Max limit 250K</t>
  </si>
  <si>
    <t>Max limit $100K</t>
  </si>
  <si>
    <t>Installation Floater Limit Requested</t>
  </si>
  <si>
    <t>Max limit $150K</t>
  </si>
  <si>
    <t>Crime (3D)</t>
  </si>
  <si>
    <t>Crime limit requested</t>
  </si>
  <si>
    <t>$10K automatically included or $25K option for 100</t>
  </si>
  <si>
    <t>CGL</t>
  </si>
  <si>
    <t>Base Package Premium</t>
  </si>
  <si>
    <t>Included in base package</t>
  </si>
  <si>
    <t>Pollution Liability</t>
  </si>
  <si>
    <t>CPL Limit Requested</t>
  </si>
  <si>
    <t>Pollution Class</t>
  </si>
  <si>
    <t>Max Pollution class</t>
  </si>
  <si>
    <t>Pollution Class Premiums</t>
  </si>
  <si>
    <t>Refer</t>
  </si>
  <si>
    <t>Employee Benefits Liability</t>
  </si>
  <si>
    <t>Employee Benefits Liab required?</t>
  </si>
  <si>
    <t>Total employees</t>
  </si>
  <si>
    <t>Employee benefits liability required</t>
  </si>
  <si>
    <t>Rate per employee</t>
  </si>
  <si>
    <t>Third Party Customer Endorsement</t>
  </si>
  <si>
    <t>TP Customer End'smnt required</t>
  </si>
  <si>
    <t>Cyber</t>
  </si>
  <si>
    <t>Premium Subtotal</t>
  </si>
  <si>
    <t>All coverages excl cyber &amp; equipment breakdown</t>
  </si>
  <si>
    <t>Cyber &amp; equipment breakdown</t>
  </si>
  <si>
    <t>Base package</t>
  </si>
  <si>
    <t>Discounts</t>
  </si>
  <si>
    <t>Multi-line</t>
  </si>
  <si>
    <t>Years experience</t>
  </si>
  <si>
    <t>Property deductible</t>
  </si>
  <si>
    <t>Discount</t>
  </si>
  <si>
    <t>Total Discount applicable</t>
  </si>
  <si>
    <t>Final Premium Calculation</t>
  </si>
  <si>
    <t>Calculated premium</t>
  </si>
  <si>
    <t>Minimum premium</t>
  </si>
  <si>
    <t>Final Calculated Premium</t>
  </si>
  <si>
    <t>Data compromise limit required</t>
  </si>
  <si>
    <t>Data Compromise Rates</t>
  </si>
  <si>
    <t>Cyber One 3rd Party</t>
  </si>
  <si>
    <t>Cyber One 1st Party</t>
  </si>
  <si>
    <t>Cyber One 3P limit required</t>
  </si>
  <si>
    <t>Cyber One 1P limit required</t>
  </si>
  <si>
    <t>Maximum</t>
  </si>
  <si>
    <t>Validated Limit</t>
  </si>
  <si>
    <t>Hydrant protected = &lt;300m to fire hydrants</t>
  </si>
  <si>
    <t>Firehall protected = &lt;12km to fire station</t>
  </si>
  <si>
    <t>Unprotected = Other</t>
  </si>
  <si>
    <t>Definitions from Halwell</t>
  </si>
  <si>
    <t>Firehall?</t>
  </si>
  <si>
    <t>Hydrant?</t>
  </si>
  <si>
    <t>Third Party Crime Bond</t>
  </si>
  <si>
    <t>Business Interruption Coverage Required (Earnings, Profits, Actual Loss Sustained, Not required, Declined)</t>
  </si>
  <si>
    <t>Employers Liability</t>
  </si>
  <si>
    <t>1000210_1</t>
  </si>
  <si>
    <t>Contractors Pollution Liability</t>
  </si>
  <si>
    <t>CPL Other limit</t>
  </si>
  <si>
    <t>CPL Limit Required</t>
  </si>
  <si>
    <t>Other CPL Limit Required</t>
  </si>
  <si>
    <t>Final CPL Limit Required</t>
  </si>
  <si>
    <t>EPL Limit Required</t>
  </si>
  <si>
    <t>Flood &amp; Quake Coverage</t>
  </si>
  <si>
    <t>Quake</t>
  </si>
  <si>
    <t>Cyber One 1P</t>
  </si>
  <si>
    <t>Cyber One 3P</t>
  </si>
  <si>
    <t>Data Comp</t>
  </si>
  <si>
    <t>Halwell Mutual</t>
  </si>
  <si>
    <t>Price quoted (premium + fees)</t>
  </si>
  <si>
    <t>Insurer fees</t>
  </si>
  <si>
    <t>Building bylaws</t>
  </si>
  <si>
    <t>By-Laws - additional time to rebuild</t>
  </si>
  <si>
    <t>Coinsurance condition</t>
  </si>
  <si>
    <t>Coinsurance waiver</t>
  </si>
  <si>
    <t>Computers and other Electronic Data Processing Equipment</t>
  </si>
  <si>
    <t>Computers and other Electronic Data Processing Equipment - away from your regular premises</t>
  </si>
  <si>
    <t>Products &amp; Completed Operations</t>
  </si>
  <si>
    <t>Bodily injury &amp; property damage (CGL)</t>
  </si>
  <si>
    <t>Contractors Errors &amp; Omissions</t>
  </si>
  <si>
    <t>Umbrella liability</t>
  </si>
  <si>
    <t>Non-Owned Auto - SEF 94 - Damage to hired autos</t>
  </si>
  <si>
    <t>Non-Owned Auto - SPF 6</t>
  </si>
  <si>
    <t>General Liability Deductible</t>
  </si>
  <si>
    <t>Riggers Liability / Hook Coverage</t>
  </si>
  <si>
    <t>Privacy Liability</t>
  </si>
  <si>
    <t>Errors &amp; Omissions (E&amp;O)</t>
  </si>
  <si>
    <t>Errors &amp; Omissions - Aggregate Limit</t>
  </si>
  <si>
    <t>E&amp;O - Basis of coverage</t>
  </si>
  <si>
    <t>E&amp;O deductible</t>
  </si>
  <si>
    <t>First dollar defence coverage</t>
  </si>
  <si>
    <t>E&amp;O Retroactive date</t>
  </si>
  <si>
    <t>Territory of coverage</t>
  </si>
  <si>
    <t>Territory of suit</t>
  </si>
  <si>
    <t>Loss of documents</t>
  </si>
  <si>
    <t>Libel &amp; slander</t>
  </si>
  <si>
    <t>Breach of copyright</t>
  </si>
  <si>
    <t>Breach of confidence</t>
  </si>
  <si>
    <t>Medical expenses - each occurrence</t>
  </si>
  <si>
    <t>Interruption by Civil Authority</t>
  </si>
  <si>
    <t>Earthquake Deductible</t>
  </si>
  <si>
    <t xml:space="preserve">Equipment  </t>
  </si>
  <si>
    <t>Premium quoted</t>
  </si>
  <si>
    <t>Broker fees</t>
  </si>
  <si>
    <t>Commission rate</t>
  </si>
  <si>
    <t>Minimum retained premium</t>
  </si>
  <si>
    <t>Quote expiry date</t>
  </si>
  <si>
    <t>Quote reference</t>
  </si>
  <si>
    <t>Business Interruption - ALS</t>
  </si>
  <si>
    <t>Sewer, sump, septic tank, draion</t>
  </si>
  <si>
    <t>Contractors Equipment</t>
  </si>
  <si>
    <t>Tools - Single Item</t>
  </si>
  <si>
    <t>Automatic Fire Suppression system recharge</t>
  </si>
  <si>
    <t>Bailee's Coverage for customer's goods</t>
  </si>
  <si>
    <t>Building by-law and code compliance coverage</t>
  </si>
  <si>
    <t>Debris removal</t>
  </si>
  <si>
    <t>Expansion of current operation</t>
  </si>
  <si>
    <t>Extra expense coverage</t>
  </si>
  <si>
    <t>Glass</t>
  </si>
  <si>
    <t>Growing plants, trees, shrubs or flowers</t>
  </si>
  <si>
    <t>Leasehold Interest (Rents)</t>
  </si>
  <si>
    <t>Master Key</t>
  </si>
  <si>
    <t>Off Premises Stock and Equipment</t>
  </si>
  <si>
    <t>Off Premises utilities Interruption</t>
  </si>
  <si>
    <t>Parcel Post</t>
  </si>
  <si>
    <t>Personal Property of Officers, Emplyees, Volunteers</t>
  </si>
  <si>
    <t>Pollution Damage - Insured Premises</t>
  </si>
  <si>
    <t>Power Fluctuation Coverage</t>
  </si>
  <si>
    <t>professional Fees</t>
  </si>
  <si>
    <t>Rental Equipment</t>
  </si>
  <si>
    <t>Reward</t>
  </si>
  <si>
    <t>Sales Representative</t>
  </si>
  <si>
    <t>Signs</t>
  </si>
  <si>
    <t>Stock Spoilage</t>
  </si>
  <si>
    <t>Transit</t>
  </si>
  <si>
    <t>Valuable Papers &amp; Records</t>
  </si>
  <si>
    <t>Environmental Updgrades</t>
  </si>
  <si>
    <t>Automatic Inflation Protection</t>
  </si>
  <si>
    <t>Amended Co-insurance clauses</t>
  </si>
  <si>
    <t>Waiver of Depreciation clause</t>
  </si>
  <si>
    <t>Epidemic / Pandemic Endorsement</t>
  </si>
  <si>
    <t>ALS</t>
  </si>
  <si>
    <t>Tenants Improvements Limit required</t>
  </si>
  <si>
    <t>Tenants Impr</t>
  </si>
  <si>
    <t>Total buildings ratable limit</t>
  </si>
  <si>
    <t>BI / PD</t>
  </si>
  <si>
    <t>Personal / Advertising Injury</t>
  </si>
  <si>
    <t>Non owned auto</t>
  </si>
  <si>
    <t>General Aggregate</t>
  </si>
  <si>
    <t>Products Aggregate</t>
  </si>
  <si>
    <t>Radiant heating</t>
  </si>
  <si>
    <t>7. Frame &amp; Other</t>
  </si>
  <si>
    <t>Check to see if this should be frame rate</t>
  </si>
  <si>
    <t>50 year old acceptable electric, unless updated</t>
  </si>
  <si>
    <t>50 year old acceptable plumbing, unless updated</t>
  </si>
  <si>
    <t>Check to see if Halwell want to use COPE in decision making for rented / home based business</t>
  </si>
  <si>
    <t>Check to see what the limit is here.  Is it sublimited or in line with CGL.</t>
  </si>
  <si>
    <t>Something coming here on rate by class and receipts on CGL</t>
  </si>
  <si>
    <t>Check to see if Earnings still automatically included in package or if it changed</t>
  </si>
  <si>
    <t>Keep stock for now unless clarified otherwise</t>
  </si>
  <si>
    <t>Expansion of ops = newly acquired contents, locations etc.</t>
  </si>
  <si>
    <t>RC - need to check</t>
  </si>
  <si>
    <t>Broadform building coverage</t>
  </si>
  <si>
    <t>Co-insurance</t>
  </si>
  <si>
    <t>Contractors Equipment coinsurance</t>
  </si>
  <si>
    <t>Contractors equipment RC</t>
  </si>
  <si>
    <t>BF coverage</t>
  </si>
  <si>
    <t>Tools - replacement cost</t>
  </si>
  <si>
    <t>Tools - coinsurance</t>
  </si>
  <si>
    <t>GL Deductible</t>
  </si>
  <si>
    <t>CGL Deductible</t>
  </si>
  <si>
    <t>Year of manufacture of oil tank</t>
  </si>
  <si>
    <t>Are oil tanks underground?</t>
  </si>
  <si>
    <t>Are oil tanks inside or outside</t>
  </si>
  <si>
    <t>location_1_500845</t>
  </si>
  <si>
    <t>What is the year of manufacture of the oil tank</t>
  </si>
  <si>
    <t>location_1_500865</t>
  </si>
  <si>
    <t>Are oil tanks inside or outside (Inside / Outside)</t>
  </si>
  <si>
    <t>Oil Acceptability Rules</t>
  </si>
  <si>
    <t>Above ground</t>
  </si>
  <si>
    <t>Under ground</t>
  </si>
  <si>
    <t>Above / below ground</t>
  </si>
  <si>
    <t>Age of tank</t>
  </si>
  <si>
    <t>Inside tank age</t>
  </si>
  <si>
    <t>Outside tank age</t>
  </si>
  <si>
    <t>Final Acceptance</t>
  </si>
  <si>
    <t>Discountable subtotal</t>
  </si>
  <si>
    <t>Subtotal after experience discount</t>
  </si>
  <si>
    <t>Subtotal after deductible discount</t>
  </si>
  <si>
    <t>This represents discounted premium + the cyber &amp; equipment breakdown premium</t>
  </si>
  <si>
    <t>Requested breakdown</t>
  </si>
  <si>
    <t>Offered</t>
  </si>
  <si>
    <t>Privacy liability</t>
  </si>
  <si>
    <t>Premium &amp; Fees</t>
  </si>
  <si>
    <t>Commission</t>
  </si>
  <si>
    <t>Ontario</t>
  </si>
  <si>
    <t>L1M1E5</t>
  </si>
  <si>
    <t>Essential</t>
  </si>
  <si>
    <t>3D Comprehensive Crime Coverage</t>
  </si>
  <si>
    <t>The business is not required to be licensed or certified</t>
  </si>
  <si>
    <t>Example working input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</si>
</sst>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Red]\-&quot;$&quot;#,##0"/>
    <numFmt numFmtId="8" formatCode="&quot;$&quot;#,##0.00;[Red]\-&quot;$&quot;#,##0.00"/>
    <numFmt numFmtId="44" formatCode="_-&quot;$&quot;* #,##0.00_-;\-&quot;$&quot;* #,##0.00_-;_-&quot;$&quot;* &quot;-&quot;??_-;_-@_-"/>
    <numFmt numFmtId="43" formatCode="_-* #,##0.00_-;\-* #,##0.00_-;_-* &quot;-&quot;??_-;_-@_-"/>
    <numFmt numFmtId="164" formatCode="&quot;$&quot;#,##0_);[Red]\(&quot;$&quot;#,##0\)"/>
    <numFmt numFmtId="165" formatCode="_(&quot;$&quot;* #,##0.00_);_(&quot;$&quot;* \(#,##0.00\);_(&quot;$&quot;* &quot;-&quot;??_);_(@_)"/>
    <numFmt numFmtId="166" formatCode="_(&quot;$&quot;* #,##0_);_(&quot;$&quot;* \(#,##0\);_(&quot;$&quot;* &quot;-&quot;??_);_(@_)"/>
    <numFmt numFmtId="167" formatCode="[$-F800]dddd\,\ mmmm\ dd\,\ yyyy"/>
    <numFmt numFmtId="168" formatCode="&quot;$&quot;#,##0.00"/>
    <numFmt numFmtId="169" formatCode="&quot;$&quot;#,##0"/>
    <numFmt numFmtId="170" formatCode="&quot;$&quot;#,##0.00;[Red]&quot;$&quot;#,##0.00"/>
    <numFmt numFmtId="171" formatCode="&quot;$&quot;#,##0.0000"/>
    <numFmt numFmtId="172" formatCode="0;[Red]0"/>
    <numFmt numFmtId="173" formatCode="0_ ;\-0\ "/>
    <numFmt numFmtId="174" formatCode="&quot;$&quot;#,##0;[Red]&quot;$&quot;#,##0"/>
    <numFmt numFmtId="175" formatCode="#,##0;[Red]#,##0"/>
  </numFmts>
  <fonts count="57"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color theme="1"/>
      <name val="Times New Roman"/>
      <family val="1"/>
    </font>
    <font>
      <sz val="13"/>
      <color theme="1"/>
      <name val="Calibri"/>
      <family val="2"/>
      <scheme val="minor"/>
    </font>
    <font>
      <b/>
      <sz val="14"/>
      <color theme="1"/>
      <name val="Calibri"/>
      <family val="2"/>
      <scheme val="minor"/>
    </font>
    <font>
      <b/>
      <sz val="11"/>
      <color theme="1"/>
      <name val="Times New Roman"/>
      <family val="1"/>
    </font>
    <font>
      <sz val="11"/>
      <color theme="1"/>
      <name val="Calibri"/>
      <family val="2"/>
    </font>
    <font>
      <sz val="11"/>
      <name val="Calibri"/>
      <family val="2"/>
      <scheme val="minor"/>
    </font>
    <font>
      <u/>
      <sz val="11"/>
      <color theme="1"/>
      <name val="Calibri"/>
      <family val="2"/>
      <scheme val="minor"/>
    </font>
    <font>
      <sz val="13"/>
      <name val="Calibri"/>
      <family val="2"/>
    </font>
    <font>
      <b/>
      <sz val="13"/>
      <name val="Calibri"/>
      <family val="2"/>
    </font>
    <font>
      <u/>
      <sz val="13"/>
      <name val="Calibri"/>
      <family val="2"/>
    </font>
    <font>
      <sz val="13"/>
      <color theme="1"/>
      <name val="Calibri"/>
      <family val="2"/>
    </font>
    <font>
      <b/>
      <u/>
      <sz val="13"/>
      <color theme="1"/>
      <name val="Calibri"/>
      <family val="2"/>
      <scheme val="minor"/>
    </font>
    <font>
      <sz val="13"/>
      <name val="Calibri"/>
      <family val="2"/>
      <scheme val="minor"/>
    </font>
    <font>
      <u/>
      <sz val="13"/>
      <name val="Calibri"/>
      <family val="2"/>
      <scheme val="minor"/>
    </font>
    <font>
      <b/>
      <sz val="14"/>
      <color theme="1"/>
      <name val="Cambria"/>
      <family val="1"/>
    </font>
    <font>
      <sz val="11"/>
      <color theme="1"/>
      <name val="Cambria"/>
      <family val="1"/>
    </font>
    <font>
      <b/>
      <sz val="16"/>
      <color theme="1"/>
      <name val="Cambria"/>
      <family val="1"/>
    </font>
    <font>
      <b/>
      <sz val="11"/>
      <color rgb="FFFF0000"/>
      <name val="Cambria"/>
      <family val="1"/>
    </font>
    <font>
      <b/>
      <sz val="11"/>
      <name val="Cambria"/>
      <family val="1"/>
    </font>
    <font>
      <b/>
      <sz val="11"/>
      <color theme="1"/>
      <name val="Cambria"/>
      <family val="1"/>
    </font>
    <font>
      <b/>
      <u/>
      <sz val="14"/>
      <color theme="1"/>
      <name val="Cambria"/>
      <family val="1"/>
    </font>
    <font>
      <b/>
      <sz val="13"/>
      <color theme="1"/>
      <name val="Cambria"/>
      <family val="1"/>
    </font>
    <font>
      <sz val="11"/>
      <color rgb="FFFF0000"/>
      <name val="Cambria"/>
      <family val="1"/>
    </font>
    <font>
      <b/>
      <sz val="12"/>
      <color theme="1"/>
      <name val="Cambria"/>
      <family val="1"/>
    </font>
    <font>
      <b/>
      <sz val="13"/>
      <name val="Cambria"/>
      <family val="1"/>
    </font>
    <font>
      <b/>
      <sz val="13"/>
      <color rgb="FFFF0000"/>
      <name val="Cambria"/>
      <family val="1"/>
    </font>
    <font>
      <b/>
      <sz val="12"/>
      <name val="Cambria"/>
      <family val="1"/>
    </font>
    <font>
      <sz val="11"/>
      <color rgb="FFFF0000"/>
      <name val="Calibri"/>
      <family val="2"/>
      <scheme val="minor"/>
    </font>
    <font>
      <sz val="11"/>
      <color rgb="FFFF0000"/>
      <name val="Calibri"/>
      <family val="2"/>
    </font>
    <font>
      <sz val="20"/>
      <color theme="1"/>
      <name val="Bookman Old Style"/>
      <family val="1"/>
    </font>
    <font>
      <sz val="11"/>
      <color theme="1"/>
      <name val="Bookman Old Style"/>
      <family val="1"/>
    </font>
    <font>
      <b/>
      <sz val="16"/>
      <color theme="1"/>
      <name val="Times New Roman"/>
      <family val="1"/>
    </font>
    <font>
      <sz val="12"/>
      <color theme="1"/>
      <name val="Times New Roman"/>
      <family val="1"/>
    </font>
    <font>
      <sz val="12"/>
      <color theme="1"/>
      <name val="Calibri"/>
      <family val="2"/>
      <scheme val="minor"/>
    </font>
    <font>
      <u/>
      <sz val="11"/>
      <color theme="10"/>
      <name val="Calibri"/>
      <family val="2"/>
      <scheme val="minor"/>
    </font>
    <font>
      <sz val="12"/>
      <name val="Times New Roman"/>
      <family val="1"/>
    </font>
    <font>
      <sz val="14"/>
      <color theme="1"/>
      <name val="Times New Roman"/>
      <family val="1"/>
    </font>
    <font>
      <sz val="14"/>
      <color theme="1"/>
      <name val="Calibri"/>
      <family val="2"/>
      <scheme val="minor"/>
    </font>
    <font>
      <sz val="13"/>
      <color theme="1"/>
      <name val="Times New Roman"/>
      <family val="1"/>
    </font>
    <font>
      <sz val="13"/>
      <color rgb="FFC00000"/>
      <name val="Times New Roman"/>
      <family val="1"/>
    </font>
    <font>
      <b/>
      <sz val="11"/>
      <color theme="1"/>
      <name val="Calibri"/>
      <family val="2"/>
    </font>
    <font>
      <b/>
      <sz val="12"/>
      <color rgb="FFFF0000"/>
      <name val="Cambria"/>
      <family val="1"/>
    </font>
    <font>
      <b/>
      <sz val="11"/>
      <color rgb="FFFF0000"/>
      <name val="Calibri"/>
      <family val="2"/>
      <scheme val="minor"/>
    </font>
    <font>
      <b/>
      <u/>
      <sz val="11"/>
      <color theme="1"/>
      <name val="Calibri"/>
      <family val="2"/>
    </font>
    <font>
      <b/>
      <sz val="11"/>
      <color theme="0"/>
      <name val="Calibri"/>
      <family val="2"/>
      <scheme val="minor"/>
    </font>
    <font>
      <sz val="11"/>
      <color theme="0"/>
      <name val="Calibri"/>
      <family val="2"/>
      <scheme val="minor"/>
    </font>
    <font>
      <b/>
      <sz val="18"/>
      <color theme="1"/>
      <name val="Calibri"/>
      <family val="2"/>
      <scheme val="minor"/>
    </font>
    <font>
      <sz val="10"/>
      <color theme="1"/>
      <name val="Arial"/>
      <family val="2"/>
    </font>
    <font>
      <sz val="10"/>
      <name val="Arial"/>
      <family val="2"/>
    </font>
    <font>
      <sz val="10"/>
      <color theme="0"/>
      <name val="Arial"/>
      <family val="2"/>
    </font>
    <font>
      <sz val="10"/>
      <color rgb="FFFF0000"/>
      <name val="Arial"/>
      <family val="2"/>
    </font>
    <font>
      <sz val="12"/>
      <color rgb="FF212529"/>
      <name val="Segoe UI"/>
      <family val="2"/>
    </font>
    <font>
      <sz val="11"/>
      <color rgb="FF333333"/>
      <name val="Open Sans"/>
      <family val="2"/>
    </font>
  </fonts>
  <fills count="28">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1"/>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theme="7"/>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0" tint="-0.14996795556505021"/>
        <bgColor indexed="64"/>
      </patternFill>
    </fill>
  </fills>
  <borders count="63">
    <border>
      <left/>
      <right/>
      <top/>
      <bottom/>
      <diagonal/>
    </border>
    <border>
      <left/>
      <right/>
      <top/>
      <bottom style="thin">
        <color theme="4" tint="0.59996337778862885"/>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medium">
        <color indexed="64"/>
      </top>
      <bottom style="thin">
        <color auto="1"/>
      </bottom>
      <diagonal/>
    </border>
    <border>
      <left style="thin">
        <color auto="1"/>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bottom/>
      <diagonal/>
    </border>
    <border>
      <left/>
      <right style="medium">
        <color indexed="64"/>
      </right>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auto="1"/>
      </top>
      <bottom style="thin">
        <color indexed="64"/>
      </bottom>
      <diagonal/>
    </border>
    <border>
      <left/>
      <right style="medium">
        <color indexed="64"/>
      </right>
      <top style="thin">
        <color auto="1"/>
      </top>
      <bottom/>
      <diagonal/>
    </border>
    <border>
      <left style="thin">
        <color auto="1"/>
      </left>
      <right/>
      <top style="thin">
        <color indexed="64"/>
      </top>
      <bottom style="medium">
        <color indexed="64"/>
      </bottom>
      <diagonal/>
    </border>
    <border>
      <left/>
      <right style="medium">
        <color indexed="64"/>
      </right>
      <top style="thin">
        <color indexed="64"/>
      </top>
      <bottom style="medium">
        <color indexed="64"/>
      </bottom>
      <diagonal/>
    </border>
    <border>
      <left/>
      <right style="thick">
        <color auto="1"/>
      </right>
      <top/>
      <bottom/>
      <diagonal/>
    </border>
    <border>
      <left style="thick">
        <color auto="1"/>
      </left>
      <right/>
      <top/>
      <bottom/>
      <diagonal/>
    </border>
    <border>
      <left/>
      <right/>
      <top/>
      <bottom style="medium">
        <color indexed="64"/>
      </bottom>
      <diagonal/>
    </border>
    <border>
      <left/>
      <right style="medium">
        <color indexed="64"/>
      </right>
      <top/>
      <bottom style="medium">
        <color indexed="64"/>
      </bottom>
      <diagonal/>
    </border>
    <border>
      <left style="medium">
        <color auto="1"/>
      </left>
      <right/>
      <top/>
      <bottom style="medium">
        <color auto="1"/>
      </bottom>
      <diagonal/>
    </border>
    <border>
      <left/>
      <right style="thick">
        <color auto="1"/>
      </right>
      <top/>
      <bottom style="medium">
        <color auto="1"/>
      </bottom>
      <diagonal/>
    </border>
    <border>
      <left style="thick">
        <color auto="1"/>
      </left>
      <right/>
      <top/>
      <bottom style="medium">
        <color auto="1"/>
      </bottom>
      <diagonal/>
    </border>
    <border>
      <left/>
      <right/>
      <top/>
      <bottom style="thick">
        <color auto="1"/>
      </bottom>
      <diagonal/>
    </border>
    <border>
      <left/>
      <right style="thick">
        <color auto="1"/>
      </right>
      <top/>
      <bottom style="thick">
        <color auto="1"/>
      </bottom>
      <diagonal/>
    </border>
    <border>
      <left style="thick">
        <color auto="1"/>
      </left>
      <right/>
      <top/>
      <bottom style="thin">
        <color auto="1"/>
      </bottom>
      <diagonal/>
    </border>
    <border>
      <left style="thick">
        <color auto="1"/>
      </left>
      <right/>
      <top/>
      <bottom style="thick">
        <color auto="1"/>
      </bottom>
      <diagonal/>
    </border>
    <border>
      <left/>
      <right/>
      <top style="hair">
        <color auto="1"/>
      </top>
      <bottom style="hair">
        <color auto="1"/>
      </bottom>
      <diagonal/>
    </border>
    <border>
      <left/>
      <right style="thick">
        <color auto="1"/>
      </right>
      <top style="hair">
        <color auto="1"/>
      </top>
      <bottom style="hair">
        <color auto="1"/>
      </bottom>
      <diagonal/>
    </border>
    <border>
      <left style="thick">
        <color auto="1"/>
      </left>
      <right/>
      <top style="hair">
        <color auto="1"/>
      </top>
      <bottom style="hair">
        <color auto="1"/>
      </bottom>
      <diagonal/>
    </border>
    <border>
      <left style="thick">
        <color auto="1"/>
      </left>
      <right/>
      <top style="thick">
        <color auto="1"/>
      </top>
      <bottom style="hair">
        <color auto="1"/>
      </bottom>
      <diagonal/>
    </border>
    <border>
      <left/>
      <right/>
      <top style="thick">
        <color auto="1"/>
      </top>
      <bottom style="hair">
        <color auto="1"/>
      </bottom>
      <diagonal/>
    </border>
    <border>
      <left/>
      <right style="thick">
        <color auto="1"/>
      </right>
      <top style="thick">
        <color auto="1"/>
      </top>
      <bottom style="hair">
        <color auto="1"/>
      </bottom>
      <diagonal/>
    </border>
    <border>
      <left style="thick">
        <color auto="1"/>
      </left>
      <right/>
      <top style="medium">
        <color auto="1"/>
      </top>
      <bottom style="hair">
        <color auto="1"/>
      </bottom>
      <diagonal/>
    </border>
    <border>
      <left/>
      <right/>
      <top style="medium">
        <color auto="1"/>
      </top>
      <bottom style="hair">
        <color auto="1"/>
      </bottom>
      <diagonal/>
    </border>
    <border>
      <left/>
      <right style="thick">
        <color auto="1"/>
      </right>
      <top style="medium">
        <color auto="1"/>
      </top>
      <bottom style="hair">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top style="hair">
        <color auto="1"/>
      </top>
      <bottom/>
      <diagonal/>
    </border>
    <border>
      <left/>
      <right/>
      <top style="hair">
        <color auto="1"/>
      </top>
      <bottom/>
      <diagonal/>
    </border>
    <border>
      <left/>
      <right style="medium">
        <color indexed="64"/>
      </right>
      <top/>
      <bottom/>
      <diagonal/>
    </border>
    <border>
      <left/>
      <right/>
      <top/>
      <bottom style="hair">
        <color auto="1"/>
      </bottom>
      <diagonal/>
    </border>
    <border>
      <left/>
      <right style="thick">
        <color auto="1"/>
      </right>
      <top style="hair">
        <color auto="1"/>
      </top>
      <bottom/>
      <diagonal/>
    </border>
    <border>
      <left style="thick">
        <color auto="1"/>
      </left>
      <right/>
      <top style="double">
        <color auto="1"/>
      </top>
      <bottom/>
      <diagonal/>
    </border>
    <border>
      <left/>
      <right/>
      <top style="double">
        <color auto="1"/>
      </top>
      <bottom/>
      <diagonal/>
    </border>
  </borders>
  <cellStyleXfs count="7">
    <xf numFmtId="0" fontId="0" fillId="0" borderId="0"/>
    <xf numFmtId="165" fontId="1" fillId="0" borderId="0" applyFont="0" applyFill="0" applyBorder="0" applyAlignment="0" applyProtection="0"/>
    <xf numFmtId="9" fontId="1" fillId="0" borderId="0" applyFont="0" applyFill="0" applyBorder="0" applyAlignment="0" applyProtection="0"/>
    <xf numFmtId="0" fontId="38" fillId="0" borderId="0" applyNumberFormat="0" applyFill="0" applyBorder="0" applyAlignment="0" applyProtection="0"/>
    <xf numFmtId="43" fontId="1" fillId="0" borderId="0" applyFont="0" applyFill="0" applyBorder="0" applyAlignment="0" applyProtection="0"/>
    <xf numFmtId="0" fontId="52" fillId="0" borderId="0"/>
    <xf numFmtId="44" fontId="1" fillId="0" borderId="0" applyFont="0" applyFill="0" applyBorder="0" applyAlignment="0" applyProtection="0"/>
  </cellStyleXfs>
  <cellXfs count="580">
    <xf numFmtId="0" fontId="0" fillId="0" borderId="0" xfId="0"/>
    <xf numFmtId="166" fontId="0" fillId="0" borderId="0" xfId="1" applyNumberFormat="1" applyFont="1"/>
    <xf numFmtId="0" fontId="0" fillId="0" borderId="0" xfId="0" applyAlignment="1">
      <alignment wrapText="1"/>
    </xf>
    <xf numFmtId="0" fontId="2" fillId="0" borderId="0" xfId="0" applyFont="1" applyAlignment="1">
      <alignment wrapText="1"/>
    </xf>
    <xf numFmtId="0" fontId="0" fillId="0" borderId="0" xfId="0" applyAlignment="1">
      <alignment horizontal="left" vertical="center"/>
    </xf>
    <xf numFmtId="0" fontId="3" fillId="0" borderId="0" xfId="0" applyFont="1" applyAlignment="1">
      <alignment wrapText="1"/>
    </xf>
    <xf numFmtId="0" fontId="2" fillId="0" borderId="0" xfId="0" applyFont="1" applyAlignment="1">
      <alignment horizontal="right"/>
    </xf>
    <xf numFmtId="0" fontId="2" fillId="0" borderId="0" xfId="0" applyFont="1" applyAlignment="1">
      <alignment horizontal="right" wrapText="1"/>
    </xf>
    <xf numFmtId="168" fontId="0" fillId="0" borderId="0" xfId="1" applyNumberFormat="1" applyFont="1"/>
    <xf numFmtId="9" fontId="0" fillId="0" borderId="0" xfId="2" applyFont="1" applyAlignment="1">
      <alignment horizontal="left" vertical="top"/>
    </xf>
    <xf numFmtId="9" fontId="0" fillId="0" borderId="0" xfId="2" applyFont="1" applyAlignment="1">
      <alignment vertical="top"/>
    </xf>
    <xf numFmtId="9" fontId="0" fillId="0" borderId="0" xfId="0" applyNumberFormat="1" applyAlignment="1">
      <alignment vertical="top"/>
    </xf>
    <xf numFmtId="9" fontId="0" fillId="0" borderId="0" xfId="2" applyFont="1" applyAlignment="1">
      <alignment vertical="top" wrapText="1"/>
    </xf>
    <xf numFmtId="9" fontId="0" fillId="0" borderId="1" xfId="0" applyNumberFormat="1" applyBorder="1" applyAlignment="1">
      <alignment vertical="top"/>
    </xf>
    <xf numFmtId="168" fontId="0" fillId="0" borderId="0" xfId="1" applyNumberFormat="1" applyFont="1" applyAlignment="1">
      <alignment horizontal="left" vertical="top"/>
    </xf>
    <xf numFmtId="169" fontId="0" fillId="0" borderId="0" xfId="0" applyNumberFormat="1" applyAlignment="1">
      <alignment horizontal="left" vertical="center"/>
    </xf>
    <xf numFmtId="169" fontId="0" fillId="0" borderId="0" xfId="1" applyNumberFormat="1" applyFont="1"/>
    <xf numFmtId="169" fontId="0" fillId="0" borderId="0" xfId="0" applyNumberFormat="1" applyAlignment="1">
      <alignment vertical="top"/>
    </xf>
    <xf numFmtId="169" fontId="0" fillId="0" borderId="0" xfId="1" applyNumberFormat="1" applyFont="1" applyAlignment="1">
      <alignment vertical="top"/>
    </xf>
    <xf numFmtId="169" fontId="0" fillId="0" borderId="0" xfId="1" applyNumberFormat="1" applyFont="1" applyAlignment="1">
      <alignment vertical="top" wrapText="1"/>
    </xf>
    <xf numFmtId="169" fontId="0" fillId="0" borderId="0" xfId="0" applyNumberFormat="1" applyAlignment="1">
      <alignment vertical="top" wrapText="1"/>
    </xf>
    <xf numFmtId="0" fontId="2" fillId="0" borderId="0" xfId="0" applyFont="1" applyAlignment="1">
      <alignment horizontal="right" vertical="center" wrapText="1"/>
    </xf>
    <xf numFmtId="0" fontId="0" fillId="0" borderId="0" xfId="0" applyAlignment="1">
      <alignment horizontal="left"/>
    </xf>
    <xf numFmtId="0" fontId="0" fillId="0" borderId="0" xfId="0" applyAlignment="1">
      <alignment horizontal="left" vertical="top" wrapText="1"/>
    </xf>
    <xf numFmtId="167" fontId="0" fillId="0" borderId="0" xfId="0" applyNumberFormat="1" applyAlignment="1">
      <alignment horizontal="left"/>
    </xf>
    <xf numFmtId="169" fontId="2" fillId="0" borderId="0" xfId="1" applyNumberFormat="1" applyFont="1"/>
    <xf numFmtId="0" fontId="0" fillId="0" borderId="0" xfId="0" applyAlignment="1">
      <alignment vertical="top" wrapText="1"/>
    </xf>
    <xf numFmtId="0" fontId="0" fillId="0" borderId="0" xfId="0" applyAlignment="1">
      <alignment vertical="center"/>
    </xf>
    <xf numFmtId="0" fontId="0" fillId="0" borderId="0" xfId="0" applyAlignment="1">
      <alignment horizontal="center" wrapText="1"/>
    </xf>
    <xf numFmtId="169" fontId="1" fillId="0" borderId="0" xfId="1" applyNumberFormat="1" applyAlignment="1">
      <alignment horizontal="left" wrapText="1"/>
    </xf>
    <xf numFmtId="169" fontId="3" fillId="0" borderId="0" xfId="1" applyNumberFormat="1" applyFont="1" applyAlignment="1">
      <alignment horizontal="left" wrapText="1"/>
    </xf>
    <xf numFmtId="0" fontId="0" fillId="0" borderId="2" xfId="0" applyBorder="1"/>
    <xf numFmtId="0" fontId="0" fillId="0" borderId="3" xfId="0" applyBorder="1"/>
    <xf numFmtId="0" fontId="0" fillId="0" borderId="4" xfId="0" applyBorder="1"/>
    <xf numFmtId="169" fontId="0" fillId="5" borderId="13" xfId="0" applyNumberFormat="1" applyFill="1" applyBorder="1"/>
    <xf numFmtId="0" fontId="2" fillId="0" borderId="6" xfId="0" applyFont="1" applyBorder="1"/>
    <xf numFmtId="0" fontId="0" fillId="0" borderId="5" xfId="0" applyBorder="1"/>
    <xf numFmtId="9" fontId="0" fillId="6" borderId="13" xfId="0" applyNumberFormat="1" applyFill="1" applyBorder="1"/>
    <xf numFmtId="169" fontId="0" fillId="6" borderId="13" xfId="0" applyNumberFormat="1" applyFill="1" applyBorder="1"/>
    <xf numFmtId="0" fontId="0" fillId="0" borderId="6" xfId="0" applyBorder="1"/>
    <xf numFmtId="0" fontId="2" fillId="3" borderId="13" xfId="0" applyFont="1" applyFill="1" applyBorder="1"/>
    <xf numFmtId="9" fontId="0" fillId="0" borderId="0" xfId="0" applyNumberFormat="1"/>
    <xf numFmtId="0" fontId="0" fillId="0" borderId="6" xfId="0" applyBorder="1" applyAlignment="1">
      <alignment horizontal="left"/>
    </xf>
    <xf numFmtId="169" fontId="0" fillId="0" borderId="5" xfId="0" applyNumberFormat="1" applyBorder="1"/>
    <xf numFmtId="6" fontId="0" fillId="0" borderId="5" xfId="0" applyNumberFormat="1" applyBorder="1"/>
    <xf numFmtId="0" fontId="0" fillId="5" borderId="13" xfId="0" applyFill="1" applyBorder="1"/>
    <xf numFmtId="0" fontId="2" fillId="3" borderId="9" xfId="0" applyFont="1" applyFill="1" applyBorder="1"/>
    <xf numFmtId="6" fontId="0" fillId="0" borderId="0" xfId="0" applyNumberFormat="1"/>
    <xf numFmtId="169" fontId="0" fillId="7" borderId="13" xfId="0" applyNumberFormat="1" applyFill="1" applyBorder="1"/>
    <xf numFmtId="8" fontId="0" fillId="0" borderId="0" xfId="0" applyNumberFormat="1" applyAlignment="1">
      <alignment horizontal="center"/>
    </xf>
    <xf numFmtId="8" fontId="0" fillId="0" borderId="0" xfId="0" applyNumberFormat="1"/>
    <xf numFmtId="0" fontId="0" fillId="5" borderId="14" xfId="0" applyFill="1" applyBorder="1" applyAlignment="1">
      <alignment horizontal="center"/>
    </xf>
    <xf numFmtId="0" fontId="0" fillId="5" borderId="15" xfId="0" applyFill="1" applyBorder="1" applyAlignment="1">
      <alignment horizontal="center"/>
    </xf>
    <xf numFmtId="0" fontId="0" fillId="0" borderId="0" xfId="0"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2" fillId="3" borderId="13" xfId="0" applyFont="1" applyFill="1" applyBorder="1" applyAlignment="1">
      <alignment horizontal="center"/>
    </xf>
    <xf numFmtId="0" fontId="0" fillId="0" borderId="11" xfId="0" applyBorder="1"/>
    <xf numFmtId="0" fontId="7" fillId="0" borderId="0" xfId="0" applyFont="1" applyAlignment="1">
      <alignment vertical="center" wrapText="1"/>
    </xf>
    <xf numFmtId="0" fontId="8" fillId="0" borderId="0" xfId="0" applyFont="1"/>
    <xf numFmtId="0" fontId="9" fillId="0" borderId="0" xfId="0" applyFont="1"/>
    <xf numFmtId="0" fontId="10" fillId="0" borderId="0" xfId="0" applyFont="1"/>
    <xf numFmtId="0" fontId="6" fillId="0" borderId="0" xfId="0" applyFont="1"/>
    <xf numFmtId="0" fontId="11" fillId="0" borderId="0" xfId="0" applyFont="1"/>
    <xf numFmtId="0" fontId="14" fillId="0" borderId="0" xfId="0" applyFont="1"/>
    <xf numFmtId="0" fontId="5" fillId="0" borderId="0" xfId="0" applyFont="1"/>
    <xf numFmtId="0" fontId="15" fillId="0" borderId="0" xfId="0" applyFont="1"/>
    <xf numFmtId="0" fontId="4" fillId="0" borderId="0" xfId="0" applyFont="1"/>
    <xf numFmtId="0" fontId="0" fillId="0" borderId="0" xfId="0" applyAlignment="1">
      <alignment horizontal="left" vertical="center" wrapText="1"/>
    </xf>
    <xf numFmtId="0" fontId="0" fillId="0" borderId="0" xfId="0"/>
    <xf numFmtId="0" fontId="19" fillId="0" borderId="0" xfId="0" applyFont="1"/>
    <xf numFmtId="0" fontId="20" fillId="12" borderId="19" xfId="0" applyFont="1" applyFill="1" applyBorder="1" applyAlignment="1">
      <alignment horizontal="center" vertical="center" wrapText="1"/>
    </xf>
    <xf numFmtId="0" fontId="21" fillId="12" borderId="18" xfId="0" applyFont="1" applyFill="1" applyBorder="1" applyAlignment="1">
      <alignment horizontal="center" vertical="center" wrapText="1"/>
    </xf>
    <xf numFmtId="0" fontId="22" fillId="12" borderId="18" xfId="0" applyFont="1" applyFill="1" applyBorder="1" applyAlignment="1">
      <alignment horizontal="center" vertical="center" wrapText="1"/>
    </xf>
    <xf numFmtId="0" fontId="23" fillId="12" borderId="18" xfId="0" applyFont="1" applyFill="1" applyBorder="1" applyAlignment="1">
      <alignment horizontal="center" vertical="center" wrapText="1"/>
    </xf>
    <xf numFmtId="0" fontId="25" fillId="0" borderId="17" xfId="0" applyFont="1" applyBorder="1" applyAlignment="1">
      <alignment vertical="center" wrapText="1"/>
    </xf>
    <xf numFmtId="0" fontId="26" fillId="0" borderId="16" xfId="0" applyFont="1" applyBorder="1" applyAlignment="1">
      <alignment horizontal="center" vertical="center" wrapText="1"/>
    </xf>
    <xf numFmtId="0" fontId="27" fillId="0" borderId="16" xfId="0" applyFont="1" applyBorder="1" applyAlignment="1">
      <alignment horizontal="center" vertical="center" wrapText="1"/>
    </xf>
    <xf numFmtId="0" fontId="28" fillId="0" borderId="17" xfId="0" applyFont="1" applyBorder="1" applyAlignment="1">
      <alignment vertical="center" wrapText="1"/>
    </xf>
    <xf numFmtId="0" fontId="30" fillId="0" borderId="16" xfId="0" applyFont="1" applyBorder="1" applyAlignment="1">
      <alignment horizontal="center" vertical="center" wrapText="1"/>
    </xf>
    <xf numFmtId="0" fontId="2" fillId="10" borderId="0" xfId="0" applyFont="1" applyFill="1" applyAlignment="1">
      <alignment wrapText="1"/>
    </xf>
    <xf numFmtId="0" fontId="0" fillId="0" borderId="0" xfId="0"/>
    <xf numFmtId="0" fontId="0" fillId="0" borderId="0" xfId="0" applyBorder="1"/>
    <xf numFmtId="169" fontId="0" fillId="0" borderId="0" xfId="0" applyNumberFormat="1" applyBorder="1"/>
    <xf numFmtId="168" fontId="0" fillId="0" borderId="0" xfId="0" applyNumberFormat="1"/>
    <xf numFmtId="170" fontId="0" fillId="0" borderId="0" xfId="1" applyNumberFormat="1" applyFont="1"/>
    <xf numFmtId="0" fontId="0" fillId="13" borderId="13" xfId="0" applyFill="1" applyBorder="1"/>
    <xf numFmtId="0" fontId="0" fillId="0" borderId="0" xfId="0"/>
    <xf numFmtId="0" fontId="32" fillId="0" borderId="0" xfId="0" applyFont="1"/>
    <xf numFmtId="0" fontId="26" fillId="0" borderId="0" xfId="0" applyFont="1"/>
    <xf numFmtId="0" fontId="0" fillId="0" borderId="0" xfId="0" applyFill="1" applyBorder="1"/>
    <xf numFmtId="0" fontId="0" fillId="0" borderId="6" xfId="0" applyBorder="1"/>
    <xf numFmtId="0" fontId="0" fillId="0" borderId="0" xfId="0"/>
    <xf numFmtId="0" fontId="0" fillId="0" borderId="0" xfId="0"/>
    <xf numFmtId="0" fontId="0" fillId="0" borderId="6" xfId="0" applyBorder="1"/>
    <xf numFmtId="0" fontId="0" fillId="0" borderId="0" xfId="0"/>
    <xf numFmtId="0" fontId="2" fillId="3" borderId="9" xfId="0" applyFont="1" applyFill="1" applyBorder="1"/>
    <xf numFmtId="0" fontId="0" fillId="3" borderId="2" xfId="0" applyFill="1" applyBorder="1"/>
    <xf numFmtId="0" fontId="36" fillId="2" borderId="9" xfId="0" applyFont="1" applyFill="1" applyBorder="1" applyAlignment="1">
      <alignment vertical="center"/>
    </xf>
    <xf numFmtId="0" fontId="36" fillId="2" borderId="3" xfId="0" applyFont="1" applyFill="1" applyBorder="1"/>
    <xf numFmtId="0" fontId="4" fillId="0" borderId="8" xfId="0" applyFont="1" applyBorder="1"/>
    <xf numFmtId="0" fontId="36" fillId="0" borderId="8" xfId="0" applyFont="1" applyBorder="1"/>
    <xf numFmtId="0" fontId="0" fillId="0" borderId="5" xfId="0" applyBorder="1"/>
    <xf numFmtId="0" fontId="36" fillId="2" borderId="4" xfId="0" applyFont="1" applyFill="1" applyBorder="1"/>
    <xf numFmtId="0" fontId="36" fillId="4" borderId="13" xfId="0" applyFont="1" applyFill="1" applyBorder="1" applyAlignment="1">
      <alignment horizontal="center"/>
    </xf>
    <xf numFmtId="0" fontId="37" fillId="4" borderId="13" xfId="0" applyFont="1" applyFill="1" applyBorder="1" applyAlignment="1">
      <alignment horizontal="center"/>
    </xf>
    <xf numFmtId="0" fontId="36" fillId="3" borderId="11" xfId="0" applyFont="1" applyFill="1" applyBorder="1"/>
    <xf numFmtId="0" fontId="4" fillId="3" borderId="11" xfId="0" applyFont="1" applyFill="1" applyBorder="1"/>
    <xf numFmtId="0" fontId="36" fillId="0" borderId="11" xfId="0" applyFont="1" applyBorder="1"/>
    <xf numFmtId="0" fontId="36" fillId="0" borderId="0" xfId="0" applyFont="1"/>
    <xf numFmtId="0" fontId="36" fillId="2" borderId="8" xfId="0" applyFont="1" applyFill="1" applyBorder="1"/>
    <xf numFmtId="0" fontId="37" fillId="4" borderId="13" xfId="0" applyFont="1" applyFill="1" applyBorder="1"/>
    <xf numFmtId="0" fontId="42" fillId="4" borderId="13" xfId="0" applyFont="1" applyFill="1" applyBorder="1"/>
    <xf numFmtId="0" fontId="40" fillId="2" borderId="0" xfId="0" applyFont="1" applyFill="1"/>
    <xf numFmtId="0" fontId="41" fillId="2" borderId="5" xfId="0" applyFont="1" applyFill="1" applyBorder="1"/>
    <xf numFmtId="0" fontId="36" fillId="0" borderId="13" xfId="0" applyFont="1" applyBorder="1"/>
    <xf numFmtId="0" fontId="40" fillId="0" borderId="0" xfId="0" applyFont="1"/>
    <xf numFmtId="0" fontId="36" fillId="2" borderId="13" xfId="0" applyFont="1" applyFill="1" applyBorder="1"/>
    <xf numFmtId="0" fontId="4" fillId="2" borderId="0" xfId="0" applyFont="1" applyFill="1"/>
    <xf numFmtId="0" fontId="42" fillId="2" borderId="6" xfId="0" applyFont="1" applyFill="1" applyBorder="1"/>
    <xf numFmtId="0" fontId="41" fillId="0" borderId="0" xfId="0" applyFont="1"/>
    <xf numFmtId="0" fontId="0" fillId="0" borderId="0" xfId="0"/>
    <xf numFmtId="0" fontId="0" fillId="0" borderId="6" xfId="0" applyBorder="1"/>
    <xf numFmtId="0" fontId="2" fillId="3" borderId="9" xfId="0" applyFont="1" applyFill="1" applyBorder="1"/>
    <xf numFmtId="0" fontId="6" fillId="13" borderId="13" xfId="0" applyFont="1" applyFill="1" applyBorder="1"/>
    <xf numFmtId="0" fontId="0" fillId="0" borderId="0" xfId="0"/>
    <xf numFmtId="0" fontId="0" fillId="0" borderId="5" xfId="0" applyBorder="1"/>
    <xf numFmtId="0" fontId="0" fillId="0" borderId="10" xfId="0" applyBorder="1"/>
    <xf numFmtId="171" fontId="0" fillId="0" borderId="0" xfId="0" applyNumberFormat="1"/>
    <xf numFmtId="0" fontId="0" fillId="0" borderId="6" xfId="0" applyFill="1" applyBorder="1"/>
    <xf numFmtId="8" fontId="0" fillId="0" borderId="13" xfId="0" applyNumberFormat="1" applyBorder="1" applyAlignment="1">
      <alignment horizontal="center"/>
    </xf>
    <xf numFmtId="164" fontId="0" fillId="0" borderId="0" xfId="0" applyNumberFormat="1" applyAlignment="1">
      <alignment horizontal="center"/>
    </xf>
    <xf numFmtId="38" fontId="0" fillId="7" borderId="13" xfId="0" applyNumberFormat="1" applyFill="1" applyBorder="1"/>
    <xf numFmtId="8" fontId="0" fillId="0" borderId="0" xfId="0" applyNumberFormat="1" applyFill="1" applyBorder="1"/>
    <xf numFmtId="8" fontId="2" fillId="14" borderId="13" xfId="0" applyNumberFormat="1" applyFont="1" applyFill="1" applyBorder="1"/>
    <xf numFmtId="8" fontId="2" fillId="14" borderId="13" xfId="0" applyNumberFormat="1" applyFont="1" applyFill="1" applyBorder="1" applyAlignment="1">
      <alignment horizontal="center"/>
    </xf>
    <xf numFmtId="8" fontId="0" fillId="0" borderId="0" xfId="0" applyNumberFormat="1" applyBorder="1" applyAlignment="1">
      <alignment horizontal="center"/>
    </xf>
    <xf numFmtId="8" fontId="0" fillId="0" borderId="15" xfId="0" applyNumberFormat="1" applyBorder="1"/>
    <xf numFmtId="8" fontId="0" fillId="0" borderId="13" xfId="0" applyNumberFormat="1" applyBorder="1"/>
    <xf numFmtId="164" fontId="0" fillId="0" borderId="13" xfId="0" applyNumberFormat="1" applyBorder="1"/>
    <xf numFmtId="8" fontId="2" fillId="14" borderId="22" xfId="0" applyNumberFormat="1" applyFont="1" applyFill="1" applyBorder="1"/>
    <xf numFmtId="8" fontId="0" fillId="0" borderId="20" xfId="0" applyNumberFormat="1" applyBorder="1"/>
    <xf numFmtId="8" fontId="0" fillId="0" borderId="25" xfId="0" applyNumberFormat="1" applyBorder="1"/>
    <xf numFmtId="0" fontId="2" fillId="5" borderId="13" xfId="0" applyFont="1" applyFill="1" applyBorder="1"/>
    <xf numFmtId="0" fontId="2" fillId="3" borderId="13" xfId="0" applyFont="1" applyFill="1" applyBorder="1" applyAlignment="1">
      <alignment vertical="center"/>
    </xf>
    <xf numFmtId="0" fontId="2" fillId="3" borderId="7" xfId="0" applyFont="1" applyFill="1" applyBorder="1" applyAlignment="1">
      <alignment horizontal="center"/>
    </xf>
    <xf numFmtId="0" fontId="2" fillId="5" borderId="15" xfId="0" applyFont="1" applyFill="1" applyBorder="1" applyAlignment="1">
      <alignment horizontal="center"/>
    </xf>
    <xf numFmtId="0" fontId="2" fillId="4" borderId="15" xfId="0" applyFont="1" applyFill="1" applyBorder="1" applyAlignment="1">
      <alignment horizontal="center"/>
    </xf>
    <xf numFmtId="0" fontId="2" fillId="5" borderId="14" xfId="0" applyFont="1" applyFill="1" applyBorder="1" applyAlignment="1">
      <alignment horizontal="center"/>
    </xf>
    <xf numFmtId="0" fontId="2" fillId="4" borderId="14" xfId="0" applyFont="1" applyFill="1" applyBorder="1" applyAlignment="1">
      <alignment horizontal="center"/>
    </xf>
    <xf numFmtId="0" fontId="2" fillId="9" borderId="13" xfId="0" applyFont="1" applyFill="1" applyBorder="1" applyAlignment="1">
      <alignment horizontal="center"/>
    </xf>
    <xf numFmtId="0" fontId="2" fillId="0" borderId="0" xfId="0" applyFont="1"/>
    <xf numFmtId="0" fontId="44" fillId="0" borderId="0" xfId="0" applyFont="1" applyAlignment="1">
      <alignment vertical="top"/>
    </xf>
    <xf numFmtId="0" fontId="26" fillId="0" borderId="0" xfId="0" applyFont="1" applyAlignment="1">
      <alignment horizontal="left" vertical="center"/>
    </xf>
    <xf numFmtId="0" fontId="26" fillId="0" borderId="0" xfId="0" applyFont="1" applyAlignment="1">
      <alignment vertical="center"/>
    </xf>
    <xf numFmtId="0" fontId="31" fillId="0" borderId="0" xfId="0" applyFont="1"/>
    <xf numFmtId="0" fontId="0" fillId="0" borderId="0" xfId="0"/>
    <xf numFmtId="0" fontId="27" fillId="11" borderId="7" xfId="0" applyFont="1" applyFill="1" applyBorder="1" applyAlignment="1">
      <alignment vertical="center"/>
    </xf>
    <xf numFmtId="0" fontId="27" fillId="11" borderId="3" xfId="0" applyFont="1" applyFill="1" applyBorder="1" applyAlignment="1">
      <alignment vertical="center"/>
    </xf>
    <xf numFmtId="0" fontId="19" fillId="0" borderId="0" xfId="0" applyFont="1"/>
    <xf numFmtId="0" fontId="27" fillId="11" borderId="4" xfId="0" applyFont="1" applyFill="1" applyBorder="1" applyAlignment="1">
      <alignment vertical="center"/>
    </xf>
    <xf numFmtId="0" fontId="0" fillId="0" borderId="0" xfId="0"/>
    <xf numFmtId="0" fontId="46" fillId="0" borderId="0" xfId="0" applyFont="1" applyAlignment="1">
      <alignment wrapText="1"/>
    </xf>
    <xf numFmtId="0" fontId="47" fillId="0" borderId="0" xfId="0" applyFont="1"/>
    <xf numFmtId="164" fontId="2" fillId="0" borderId="0" xfId="0" applyNumberFormat="1" applyFont="1"/>
    <xf numFmtId="0" fontId="0" fillId="0" borderId="13" xfId="0" applyBorder="1" applyAlignment="1">
      <alignment horizontal="center"/>
    </xf>
    <xf numFmtId="164" fontId="0" fillId="0" borderId="28" xfId="0" applyNumberFormat="1" applyBorder="1" applyAlignment="1">
      <alignment horizontal="left"/>
    </xf>
    <xf numFmtId="164" fontId="0" fillId="0" borderId="20" xfId="0" applyNumberFormat="1" applyBorder="1"/>
    <xf numFmtId="8" fontId="0" fillId="0" borderId="28" xfId="0" applyNumberFormat="1" applyFill="1" applyBorder="1"/>
    <xf numFmtId="8" fontId="2" fillId="14" borderId="20" xfId="0" applyNumberFormat="1" applyFont="1" applyFill="1" applyBorder="1"/>
    <xf numFmtId="164" fontId="0" fillId="0" borderId="27" xfId="0" applyNumberFormat="1" applyBorder="1" applyAlignment="1">
      <alignment horizontal="left"/>
    </xf>
    <xf numFmtId="0" fontId="28" fillId="0" borderId="17" xfId="0" applyFont="1" applyBorder="1" applyAlignment="1">
      <alignment horizontal="left" vertical="center" wrapText="1"/>
    </xf>
    <xf numFmtId="0" fontId="9" fillId="0" borderId="0" xfId="0" applyFont="1" applyAlignment="1">
      <alignment wrapText="1"/>
    </xf>
    <xf numFmtId="0" fontId="0" fillId="0" borderId="0" xfId="0"/>
    <xf numFmtId="0" fontId="0" fillId="0" borderId="11" xfId="0" applyBorder="1"/>
    <xf numFmtId="0" fontId="0" fillId="0" borderId="0" xfId="0" applyAlignment="1">
      <alignment horizontal="center"/>
    </xf>
    <xf numFmtId="0" fontId="50" fillId="15" borderId="0" xfId="0" applyFont="1" applyFill="1" applyAlignment="1">
      <alignment horizontal="left"/>
    </xf>
    <xf numFmtId="0" fontId="50" fillId="15" borderId="0" xfId="0" applyFont="1" applyFill="1"/>
    <xf numFmtId="0" fontId="50" fillId="15" borderId="34" xfId="0" applyFont="1" applyFill="1" applyBorder="1" applyAlignment="1">
      <alignment horizontal="center"/>
    </xf>
    <xf numFmtId="0" fontId="50" fillId="16" borderId="35" xfId="0" applyFont="1" applyFill="1" applyBorder="1"/>
    <xf numFmtId="0" fontId="50" fillId="16" borderId="0" xfId="0" applyFont="1" applyFill="1"/>
    <xf numFmtId="0" fontId="50" fillId="16" borderId="0" xfId="0" applyFont="1" applyFill="1" applyAlignment="1">
      <alignment horizontal="center"/>
    </xf>
    <xf numFmtId="0" fontId="50" fillId="16" borderId="34" xfId="0" applyFont="1" applyFill="1" applyBorder="1"/>
    <xf numFmtId="0" fontId="50" fillId="4" borderId="0" xfId="0" applyFont="1" applyFill="1"/>
    <xf numFmtId="0" fontId="50" fillId="17" borderId="35" xfId="0" applyFont="1" applyFill="1" applyBorder="1"/>
    <xf numFmtId="0" fontId="50" fillId="17" borderId="34" xfId="0" applyFont="1" applyFill="1" applyBorder="1" applyAlignment="1">
      <alignment horizontal="center"/>
    </xf>
    <xf numFmtId="0" fontId="50" fillId="18" borderId="35" xfId="0" applyFont="1" applyFill="1" applyBorder="1"/>
    <xf numFmtId="0" fontId="50" fillId="18" borderId="0" xfId="0" applyFont="1" applyFill="1"/>
    <xf numFmtId="0" fontId="50" fillId="0" borderId="0" xfId="0" applyFont="1"/>
    <xf numFmtId="3" fontId="50" fillId="0" borderId="0" xfId="0" applyNumberFormat="1" applyFont="1"/>
    <xf numFmtId="0" fontId="50" fillId="0" borderId="34" xfId="0" applyFont="1" applyBorder="1"/>
    <xf numFmtId="0" fontId="0" fillId="15" borderId="36" xfId="0" applyFill="1" applyBorder="1" applyAlignment="1">
      <alignment horizontal="left" vertical="top" wrapText="1"/>
    </xf>
    <xf numFmtId="0" fontId="0" fillId="4" borderId="36" xfId="0" applyFill="1" applyBorder="1"/>
    <xf numFmtId="0" fontId="0" fillId="4" borderId="36" xfId="0" applyFill="1" applyBorder="1" applyAlignment="1">
      <alignment vertical="top" wrapText="1"/>
    </xf>
    <xf numFmtId="0" fontId="0" fillId="0" borderId="36" xfId="0" applyBorder="1" applyAlignment="1">
      <alignment vertical="top" wrapText="1"/>
    </xf>
    <xf numFmtId="0" fontId="0" fillId="0" borderId="34" xfId="0" applyBorder="1" applyAlignment="1">
      <alignment horizontal="center"/>
    </xf>
    <xf numFmtId="0" fontId="0" fillId="0" borderId="35" xfId="0" applyBorder="1"/>
    <xf numFmtId="0" fontId="2" fillId="0" borderId="0" xfId="0" applyFont="1" applyAlignment="1">
      <alignment horizontal="left"/>
    </xf>
    <xf numFmtId="0" fontId="0" fillId="0" borderId="34" xfId="0" applyBorder="1"/>
    <xf numFmtId="0" fontId="46" fillId="0" borderId="0" xfId="0" applyFont="1" applyAlignment="1">
      <alignment horizontal="left"/>
    </xf>
    <xf numFmtId="3" fontId="0" fillId="0" borderId="0" xfId="0" applyNumberFormat="1"/>
    <xf numFmtId="0" fontId="0" fillId="0" borderId="41" xfId="0" applyBorder="1" applyAlignment="1">
      <alignment horizontal="left"/>
    </xf>
    <xf numFmtId="0" fontId="0" fillId="0" borderId="41" xfId="0" applyBorder="1"/>
    <xf numFmtId="0" fontId="0" fillId="0" borderId="42" xfId="0" applyBorder="1" applyAlignment="1">
      <alignment horizontal="center"/>
    </xf>
    <xf numFmtId="0" fontId="2" fillId="0" borderId="43" xfId="0" applyFont="1" applyBorder="1" applyAlignment="1">
      <alignment horizontal="center"/>
    </xf>
    <xf numFmtId="0" fontId="2" fillId="0" borderId="3" xfId="0" applyFont="1" applyBorder="1" applyAlignment="1">
      <alignment horizontal="center"/>
    </xf>
    <xf numFmtId="0" fontId="2" fillId="0" borderId="44" xfId="0" applyFont="1" applyBorder="1"/>
    <xf numFmtId="0" fontId="2" fillId="0" borderId="42" xfId="0" applyFont="1" applyBorder="1" applyAlignment="1">
      <alignment horizontal="center"/>
    </xf>
    <xf numFmtId="0" fontId="2" fillId="0" borderId="41" xfId="0" applyFont="1" applyBorder="1"/>
    <xf numFmtId="3" fontId="0" fillId="0" borderId="0" xfId="0" applyNumberFormat="1" applyAlignment="1">
      <alignment horizontal="center"/>
    </xf>
    <xf numFmtId="0" fontId="0" fillId="0" borderId="45" xfId="0" applyBorder="1"/>
    <xf numFmtId="0" fontId="0" fillId="0" borderId="47" xfId="0" applyBorder="1"/>
    <xf numFmtId="0" fontId="48" fillId="19" borderId="48" xfId="0" applyFont="1" applyFill="1" applyBorder="1"/>
    <xf numFmtId="0" fontId="48" fillId="19" borderId="49" xfId="0" applyFont="1" applyFill="1" applyBorder="1"/>
    <xf numFmtId="0" fontId="0" fillId="0" borderId="46" xfId="0" applyBorder="1" applyAlignment="1">
      <alignment horizontal="center"/>
    </xf>
    <xf numFmtId="0" fontId="0" fillId="5" borderId="36" xfId="0" applyFill="1" applyBorder="1" applyAlignment="1">
      <alignment horizontal="left" vertical="top" wrapText="1"/>
    </xf>
    <xf numFmtId="0" fontId="0" fillId="5" borderId="36" xfId="0" applyFill="1" applyBorder="1" applyAlignment="1">
      <alignment vertical="top" wrapText="1"/>
    </xf>
    <xf numFmtId="0" fontId="0" fillId="5" borderId="36" xfId="0" applyFill="1" applyBorder="1" applyAlignment="1">
      <alignment horizontal="center" vertical="top" wrapText="1"/>
    </xf>
    <xf numFmtId="0" fontId="0" fillId="5" borderId="39" xfId="0" applyFill="1" applyBorder="1" applyAlignment="1">
      <alignment horizontal="center" vertical="top" wrapText="1"/>
    </xf>
    <xf numFmtId="0" fontId="0" fillId="0" borderId="52" xfId="0" applyBorder="1"/>
    <xf numFmtId="0" fontId="0" fillId="0" borderId="52" xfId="0" applyBorder="1" applyAlignment="1">
      <alignment horizontal="center"/>
    </xf>
    <xf numFmtId="0" fontId="0" fillId="0" borderId="53" xfId="0" applyBorder="1"/>
    <xf numFmtId="0" fontId="52" fillId="0" borderId="0" xfId="5" applyAlignment="1">
      <alignment horizontal="left" vertical="top"/>
    </xf>
    <xf numFmtId="0" fontId="0" fillId="20" borderId="47" xfId="0" applyFill="1" applyBorder="1" applyAlignment="1">
      <alignment horizontal="left"/>
    </xf>
    <xf numFmtId="0" fontId="0" fillId="0" borderId="45" xfId="0" applyBorder="1" applyAlignment="1">
      <alignment horizontal="center"/>
    </xf>
    <xf numFmtId="0" fontId="0" fillId="0" borderId="46" xfId="0" applyBorder="1"/>
    <xf numFmtId="0" fontId="0" fillId="0" borderId="54" xfId="0" applyBorder="1"/>
    <xf numFmtId="3" fontId="0" fillId="0" borderId="11" xfId="0" applyNumberFormat="1" applyBorder="1" applyAlignment="1">
      <alignment horizontal="center"/>
    </xf>
    <xf numFmtId="0" fontId="0" fillId="0" borderId="55" xfId="0" applyBorder="1"/>
    <xf numFmtId="0" fontId="0" fillId="0" borderId="45" xfId="0" quotePrefix="1" applyBorder="1"/>
    <xf numFmtId="1" fontId="0" fillId="0" borderId="45" xfId="0" applyNumberFormat="1" applyBorder="1" applyAlignment="1">
      <alignment horizontal="center"/>
    </xf>
    <xf numFmtId="3" fontId="0" fillId="0" borderId="46" xfId="0" applyNumberFormat="1" applyBorder="1" applyAlignment="1">
      <alignment horizontal="center"/>
    </xf>
    <xf numFmtId="9" fontId="0" fillId="0" borderId="0" xfId="2" applyFont="1" applyAlignment="1">
      <alignment horizontal="center"/>
    </xf>
    <xf numFmtId="9" fontId="0" fillId="0" borderId="45" xfId="0" applyNumberFormat="1" applyBorder="1" applyAlignment="1">
      <alignment horizontal="center"/>
    </xf>
    <xf numFmtId="3" fontId="0" fillId="0" borderId="45" xfId="0" applyNumberFormat="1" applyBorder="1" applyAlignment="1">
      <alignment horizontal="center"/>
    </xf>
    <xf numFmtId="3" fontId="0" fillId="0" borderId="0" xfId="2" applyNumberFormat="1" applyFont="1" applyAlignment="1">
      <alignment horizontal="center"/>
    </xf>
    <xf numFmtId="0" fontId="0" fillId="0" borderId="56" xfId="0" applyBorder="1"/>
    <xf numFmtId="0" fontId="0" fillId="0" borderId="57" xfId="0" applyBorder="1"/>
    <xf numFmtId="0" fontId="46" fillId="0" borderId="0" xfId="0" applyFont="1"/>
    <xf numFmtId="0" fontId="10" fillId="0" borderId="0" xfId="0" applyFont="1" applyAlignment="1">
      <alignment horizontal="right"/>
    </xf>
    <xf numFmtId="0" fontId="10" fillId="0" borderId="0" xfId="0" applyFont="1" applyAlignment="1">
      <alignment horizontal="center"/>
    </xf>
    <xf numFmtId="172" fontId="0" fillId="13" borderId="0" xfId="0" applyNumberFormat="1" applyFill="1" applyAlignment="1">
      <alignment horizontal="center"/>
    </xf>
    <xf numFmtId="0" fontId="0" fillId="0" borderId="0" xfId="0" quotePrefix="1"/>
    <xf numFmtId="0" fontId="0" fillId="13" borderId="0" xfId="0" applyFill="1" applyAlignment="1">
      <alignment horizontal="center"/>
    </xf>
    <xf numFmtId="0" fontId="0" fillId="0" borderId="58" xfId="0" applyBorder="1"/>
    <xf numFmtId="0" fontId="0" fillId="0" borderId="25" xfId="0" applyBorder="1"/>
    <xf numFmtId="3" fontId="0" fillId="0" borderId="46" xfId="2" applyNumberFormat="1" applyFont="1" applyFill="1" applyBorder="1" applyAlignment="1">
      <alignment horizontal="center"/>
    </xf>
    <xf numFmtId="0" fontId="0" fillId="0" borderId="59" xfId="0" applyBorder="1"/>
    <xf numFmtId="0" fontId="0" fillId="13" borderId="0" xfId="0" applyFill="1"/>
    <xf numFmtId="164" fontId="0" fillId="13" borderId="0" xfId="0" applyNumberFormat="1" applyFill="1"/>
    <xf numFmtId="0" fontId="0" fillId="0" borderId="0" xfId="0" applyAlignment="1">
      <alignment horizontal="right"/>
    </xf>
    <xf numFmtId="0" fontId="0" fillId="0" borderId="57" xfId="0" quotePrefix="1" applyBorder="1"/>
    <xf numFmtId="0" fontId="2" fillId="0" borderId="47" xfId="0" applyFont="1" applyBorder="1"/>
    <xf numFmtId="0" fontId="2" fillId="0" borderId="45" xfId="0" applyFont="1" applyBorder="1"/>
    <xf numFmtId="3" fontId="2" fillId="0" borderId="46" xfId="2" applyNumberFormat="1" applyFont="1" applyFill="1" applyBorder="1" applyAlignment="1">
      <alignment horizontal="center"/>
    </xf>
    <xf numFmtId="164" fontId="0" fillId="13" borderId="0" xfId="0" applyNumberFormat="1" applyFill="1" applyAlignment="1">
      <alignment horizontal="right"/>
    </xf>
    <xf numFmtId="164" fontId="0" fillId="13" borderId="0" xfId="0" applyNumberFormat="1" applyFill="1" applyAlignment="1">
      <alignment horizontal="center"/>
    </xf>
    <xf numFmtId="0" fontId="0" fillId="5" borderId="0" xfId="0" applyFill="1" applyAlignment="1">
      <alignment horizontal="right"/>
    </xf>
    <xf numFmtId="3" fontId="0" fillId="13" borderId="0" xfId="0" applyNumberFormat="1" applyFill="1" applyAlignment="1">
      <alignment horizontal="center"/>
    </xf>
    <xf numFmtId="3" fontId="0" fillId="0" borderId="0" xfId="0" applyNumberFormat="1" applyAlignment="1">
      <alignment horizontal="right"/>
    </xf>
    <xf numFmtId="3" fontId="0" fillId="5" borderId="0" xfId="0" applyNumberFormat="1" applyFill="1" applyAlignment="1">
      <alignment horizontal="right"/>
    </xf>
    <xf numFmtId="0" fontId="9" fillId="13" borderId="0" xfId="0" applyFont="1" applyFill="1" applyAlignment="1">
      <alignment horizontal="center"/>
    </xf>
    <xf numFmtId="164" fontId="0" fillId="0" borderId="0" xfId="0" applyNumberFormat="1"/>
    <xf numFmtId="0" fontId="53" fillId="0" borderId="0" xfId="5" applyFont="1" applyAlignment="1">
      <alignment vertical="top"/>
    </xf>
    <xf numFmtId="0" fontId="49" fillId="0" borderId="59" xfId="0" applyFont="1" applyBorder="1"/>
    <xf numFmtId="0" fontId="49" fillId="0" borderId="0" xfId="0" applyFont="1" applyAlignment="1">
      <alignment horizontal="center"/>
    </xf>
    <xf numFmtId="0" fontId="49" fillId="0" borderId="0" xfId="0" applyFont="1" applyAlignment="1">
      <alignment horizontal="left"/>
    </xf>
    <xf numFmtId="0" fontId="49" fillId="0" borderId="45" xfId="0" quotePrefix="1" applyFont="1" applyBorder="1"/>
    <xf numFmtId="0" fontId="49" fillId="0" borderId="45" xfId="0" applyFont="1" applyBorder="1"/>
    <xf numFmtId="164" fontId="0" fillId="13" borderId="0" xfId="0" applyNumberFormat="1" applyFill="1" applyAlignment="1">
      <alignment horizontal="left"/>
    </xf>
    <xf numFmtId="0" fontId="51" fillId="0" borderId="0" xfId="0" applyFont="1" applyFill="1" applyAlignment="1">
      <alignment horizontal="center" vertical="center"/>
    </xf>
    <xf numFmtId="0" fontId="51" fillId="0" borderId="0" xfId="0" applyFont="1" applyFill="1" applyAlignment="1">
      <alignment vertical="center"/>
    </xf>
    <xf numFmtId="0" fontId="0" fillId="0" borderId="0" xfId="0" applyFill="1"/>
    <xf numFmtId="0" fontId="0" fillId="0" borderId="0" xfId="0" applyFill="1" applyAlignment="1">
      <alignment horizontal="center"/>
    </xf>
    <xf numFmtId="0" fontId="0" fillId="0" borderId="0" xfId="0"/>
    <xf numFmtId="0" fontId="0" fillId="0" borderId="0" xfId="0" applyAlignment="1">
      <alignment horizontal="left"/>
    </xf>
    <xf numFmtId="0" fontId="0" fillId="0" borderId="0" xfId="0" applyAlignment="1">
      <alignment vertical="top" wrapText="1"/>
    </xf>
    <xf numFmtId="0" fontId="0" fillId="0" borderId="6" xfId="0" applyBorder="1"/>
    <xf numFmtId="9" fontId="0" fillId="0" borderId="0" xfId="0" applyNumberFormat="1"/>
    <xf numFmtId="0" fontId="0" fillId="0" borderId="0" xfId="0" applyAlignment="1">
      <alignment horizontal="center"/>
    </xf>
    <xf numFmtId="0" fontId="0" fillId="0" borderId="11" xfId="0" applyBorder="1"/>
    <xf numFmtId="0" fontId="10" fillId="0" borderId="0" xfId="0" applyFont="1"/>
    <xf numFmtId="0" fontId="0" fillId="0" borderId="0" xfId="0" applyBorder="1"/>
    <xf numFmtId="169" fontId="0" fillId="0" borderId="0" xfId="0" applyNumberFormat="1" applyBorder="1"/>
    <xf numFmtId="168" fontId="0" fillId="0" borderId="0" xfId="0" applyNumberFormat="1"/>
    <xf numFmtId="0" fontId="32" fillId="0" borderId="0" xfId="0" applyFont="1"/>
    <xf numFmtId="0" fontId="0" fillId="0" borderId="0" xfId="0" applyFill="1" applyBorder="1"/>
    <xf numFmtId="171" fontId="0" fillId="0" borderId="0" xfId="0" applyNumberFormat="1"/>
    <xf numFmtId="0" fontId="2" fillId="0" borderId="0" xfId="0" applyFont="1"/>
    <xf numFmtId="0" fontId="51" fillId="0" borderId="0" xfId="0" applyFont="1" applyFill="1"/>
    <xf numFmtId="0" fontId="0" fillId="22" borderId="47" xfId="0" applyFill="1" applyBorder="1" applyAlignment="1">
      <alignment horizontal="left"/>
    </xf>
    <xf numFmtId="0" fontId="0" fillId="22" borderId="51" xfId="0" applyFill="1" applyBorder="1" applyAlignment="1">
      <alignment horizontal="left"/>
    </xf>
    <xf numFmtId="0" fontId="0" fillId="13" borderId="0" xfId="0" applyNumberFormat="1" applyFill="1" applyAlignment="1">
      <alignment horizontal="right"/>
    </xf>
    <xf numFmtId="0" fontId="0" fillId="20" borderId="35" xfId="0" applyFill="1" applyBorder="1"/>
    <xf numFmtId="3" fontId="51" fillId="0" borderId="0" xfId="0" applyNumberFormat="1" applyFont="1" applyFill="1" applyAlignment="1">
      <alignment vertical="center"/>
    </xf>
    <xf numFmtId="3" fontId="0" fillId="0" borderId="0" xfId="0" applyNumberFormat="1" applyFill="1"/>
    <xf numFmtId="0" fontId="0" fillId="0" borderId="0" xfId="0" applyNumberFormat="1" applyFill="1"/>
    <xf numFmtId="9" fontId="51" fillId="0" borderId="0" xfId="2" applyFont="1" applyFill="1" applyAlignment="1">
      <alignment vertical="center"/>
    </xf>
    <xf numFmtId="0" fontId="51" fillId="0" borderId="61" xfId="0" applyFont="1" applyFill="1" applyBorder="1" applyAlignment="1">
      <alignment horizontal="center" vertical="center"/>
    </xf>
    <xf numFmtId="0" fontId="51" fillId="0" borderId="62" xfId="0" applyFont="1" applyFill="1" applyBorder="1" applyAlignment="1">
      <alignment horizontal="center" vertical="center"/>
    </xf>
    <xf numFmtId="3" fontId="51" fillId="0" borderId="62" xfId="0" applyNumberFormat="1" applyFont="1" applyFill="1" applyBorder="1" applyAlignment="1">
      <alignment vertical="center"/>
    </xf>
    <xf numFmtId="0" fontId="51" fillId="0" borderId="62" xfId="0" applyFont="1" applyFill="1" applyBorder="1" applyAlignment="1">
      <alignment vertical="center"/>
    </xf>
    <xf numFmtId="0" fontId="51" fillId="0" borderId="62" xfId="0" applyNumberFormat="1" applyFont="1" applyFill="1" applyBorder="1" applyAlignment="1">
      <alignment vertical="center"/>
    </xf>
    <xf numFmtId="0" fontId="52" fillId="0" borderId="0" xfId="5" applyAlignment="1">
      <alignment vertical="top" wrapText="1"/>
    </xf>
    <xf numFmtId="0" fontId="0" fillId="22" borderId="35" xfId="0" applyFill="1" applyBorder="1"/>
    <xf numFmtId="0" fontId="0" fillId="0" borderId="0" xfId="0" applyAlignment="1">
      <alignment horizontal="left" vertical="top"/>
    </xf>
    <xf numFmtId="0" fontId="0" fillId="0" borderId="35" xfId="0" applyFill="1" applyBorder="1"/>
    <xf numFmtId="0" fontId="55" fillId="0" borderId="0" xfId="0" applyFont="1"/>
    <xf numFmtId="0" fontId="56" fillId="0" borderId="0" xfId="0" applyFont="1" applyAlignment="1">
      <alignment horizontal="left" vertical="center" wrapText="1" indent="1"/>
    </xf>
    <xf numFmtId="0" fontId="0" fillId="0" borderId="47" xfId="0" applyFill="1" applyBorder="1"/>
    <xf numFmtId="3" fontId="0" fillId="0" borderId="46" xfId="0" applyNumberFormat="1" applyFill="1" applyBorder="1" applyAlignment="1">
      <alignment horizontal="center"/>
    </xf>
    <xf numFmtId="0" fontId="0" fillId="0" borderId="46" xfId="0" applyFill="1" applyBorder="1" applyAlignment="1">
      <alignment horizontal="center"/>
    </xf>
    <xf numFmtId="164" fontId="0" fillId="0" borderId="46" xfId="0" applyNumberFormat="1" applyFill="1" applyBorder="1" applyAlignment="1">
      <alignment horizontal="center"/>
    </xf>
    <xf numFmtId="166" fontId="0" fillId="0" borderId="46" xfId="1" applyNumberFormat="1" applyFont="1" applyFill="1" applyBorder="1" applyAlignment="1">
      <alignment horizontal="center"/>
    </xf>
    <xf numFmtId="9" fontId="0" fillId="0" borderId="46" xfId="0" applyNumberFormat="1" applyFill="1" applyBorder="1" applyAlignment="1">
      <alignment horizontal="center"/>
    </xf>
    <xf numFmtId="0" fontId="0" fillId="0" borderId="56" xfId="0" applyFill="1" applyBorder="1"/>
    <xf numFmtId="0" fontId="0" fillId="0" borderId="34" xfId="0" applyFill="1" applyBorder="1" applyAlignment="1">
      <alignment horizontal="center"/>
    </xf>
    <xf numFmtId="0" fontId="0" fillId="13" borderId="0" xfId="0" applyFill="1" applyAlignment="1">
      <alignment horizontal="left"/>
    </xf>
    <xf numFmtId="170" fontId="0" fillId="0" borderId="0" xfId="1" applyNumberFormat="1" applyFont="1" applyBorder="1"/>
    <xf numFmtId="6" fontId="0" fillId="0" borderId="0" xfId="0" applyNumberFormat="1" applyBorder="1"/>
    <xf numFmtId="170" fontId="0" fillId="0" borderId="11" xfId="1" applyNumberFormat="1" applyFont="1" applyBorder="1"/>
    <xf numFmtId="0" fontId="2" fillId="0" borderId="0" xfId="0" applyFont="1" applyBorder="1"/>
    <xf numFmtId="0" fontId="48" fillId="21" borderId="0" xfId="0" applyFont="1" applyFill="1" applyBorder="1"/>
    <xf numFmtId="0" fontId="0" fillId="0" borderId="0" xfId="0" applyFont="1" applyBorder="1"/>
    <xf numFmtId="0" fontId="0" fillId="0" borderId="0" xfId="0" applyBorder="1" applyAlignment="1">
      <alignment horizontal="right"/>
    </xf>
    <xf numFmtId="170" fontId="0" fillId="0" borderId="0" xfId="1" applyNumberFormat="1" applyFont="1" applyBorder="1" applyAlignment="1">
      <alignment horizontal="right"/>
    </xf>
    <xf numFmtId="0" fontId="2" fillId="23" borderId="11" xfId="0" applyFont="1" applyFill="1" applyBorder="1" applyAlignment="1">
      <alignment horizontal="right"/>
    </xf>
    <xf numFmtId="170" fontId="0" fillId="0" borderId="11" xfId="1" applyNumberFormat="1" applyFont="1" applyBorder="1" applyAlignment="1">
      <alignment horizontal="right"/>
    </xf>
    <xf numFmtId="174" fontId="2" fillId="12" borderId="11" xfId="1" applyNumberFormat="1" applyFont="1" applyFill="1" applyBorder="1" applyAlignment="1">
      <alignment horizontal="right"/>
    </xf>
    <xf numFmtId="3" fontId="0" fillId="9" borderId="0" xfId="0" applyNumberFormat="1" applyFont="1" applyFill="1" applyAlignment="1">
      <alignment horizontal="left"/>
    </xf>
    <xf numFmtId="1" fontId="0" fillId="9" borderId="0" xfId="0" applyNumberFormat="1" applyFont="1" applyFill="1" applyAlignment="1">
      <alignment horizontal="left"/>
    </xf>
    <xf numFmtId="3" fontId="0" fillId="9" borderId="0" xfId="0" applyNumberFormat="1" applyFill="1"/>
    <xf numFmtId="169" fontId="2" fillId="16" borderId="0" xfId="0" applyNumberFormat="1" applyFont="1" applyFill="1" applyBorder="1"/>
    <xf numFmtId="0" fontId="2" fillId="0" borderId="11" xfId="0" applyFont="1" applyFill="1" applyBorder="1" applyAlignment="1">
      <alignment horizontal="right"/>
    </xf>
    <xf numFmtId="0" fontId="2" fillId="16" borderId="11" xfId="0" applyFont="1" applyFill="1" applyBorder="1" applyAlignment="1">
      <alignment horizontal="right"/>
    </xf>
    <xf numFmtId="174" fontId="2" fillId="0" borderId="11" xfId="1" applyNumberFormat="1" applyFont="1" applyFill="1" applyBorder="1" applyAlignment="1">
      <alignment horizontal="right"/>
    </xf>
    <xf numFmtId="0" fontId="0" fillId="0" borderId="0" xfId="0" applyFont="1" applyFill="1" applyBorder="1"/>
    <xf numFmtId="3" fontId="0" fillId="0" borderId="0" xfId="0" applyNumberFormat="1" applyFont="1" applyFill="1" applyAlignment="1">
      <alignment horizontal="left"/>
    </xf>
    <xf numFmtId="168" fontId="2" fillId="23" borderId="11" xfId="0" applyNumberFormat="1" applyFont="1" applyFill="1" applyBorder="1" applyAlignment="1">
      <alignment horizontal="right"/>
    </xf>
    <xf numFmtId="3" fontId="0" fillId="0" borderId="0" xfId="0" applyNumberFormat="1" applyFont="1" applyFill="1" applyAlignment="1">
      <alignment horizontal="right"/>
    </xf>
    <xf numFmtId="0" fontId="0" fillId="9" borderId="0" xfId="0" applyNumberFormat="1" applyFill="1"/>
    <xf numFmtId="1" fontId="0" fillId="0" borderId="46" xfId="0" applyNumberFormat="1" applyBorder="1" applyAlignment="1">
      <alignment horizontal="center"/>
    </xf>
    <xf numFmtId="9" fontId="0" fillId="0" borderId="46" xfId="0" applyNumberFormat="1" applyBorder="1" applyAlignment="1">
      <alignment horizontal="center"/>
    </xf>
    <xf numFmtId="0" fontId="0" fillId="0" borderId="46" xfId="0" quotePrefix="1" applyBorder="1" applyAlignment="1">
      <alignment horizontal="center"/>
    </xf>
    <xf numFmtId="164" fontId="0" fillId="0" borderId="46" xfId="0" applyNumberFormat="1" applyBorder="1" applyAlignment="1">
      <alignment horizontal="center"/>
    </xf>
    <xf numFmtId="173" fontId="0" fillId="0" borderId="46" xfId="4" applyNumberFormat="1" applyFont="1" applyFill="1" applyBorder="1" applyAlignment="1">
      <alignment horizontal="center"/>
    </xf>
    <xf numFmtId="0" fontId="0" fillId="0" borderId="11" xfId="0" applyFill="1" applyBorder="1"/>
    <xf numFmtId="8" fontId="0" fillId="0" borderId="11" xfId="0" applyNumberFormat="1" applyBorder="1"/>
    <xf numFmtId="169" fontId="2" fillId="16" borderId="11" xfId="0" applyNumberFormat="1" applyFont="1" applyFill="1" applyBorder="1"/>
    <xf numFmtId="0" fontId="0" fillId="0" borderId="0" xfId="0" applyNumberFormat="1"/>
    <xf numFmtId="9" fontId="0" fillId="0" borderId="0" xfId="2" applyFont="1"/>
    <xf numFmtId="0" fontId="2" fillId="0" borderId="11" xfId="0" applyFont="1" applyFill="1" applyBorder="1"/>
    <xf numFmtId="8" fontId="2" fillId="0" borderId="11" xfId="0" applyNumberFormat="1" applyFont="1" applyBorder="1"/>
    <xf numFmtId="0" fontId="2" fillId="0" borderId="11" xfId="0" applyFont="1" applyBorder="1"/>
    <xf numFmtId="170" fontId="2" fillId="0" borderId="11" xfId="1" applyNumberFormat="1" applyFont="1" applyBorder="1"/>
    <xf numFmtId="170" fontId="2" fillId="0" borderId="0" xfId="1" applyNumberFormat="1" applyFont="1"/>
    <xf numFmtId="3" fontId="2" fillId="23" borderId="11" xfId="0" applyNumberFormat="1" applyFont="1" applyFill="1" applyBorder="1" applyAlignment="1">
      <alignment horizontal="right"/>
    </xf>
    <xf numFmtId="0" fontId="0" fillId="12" borderId="0" xfId="0" applyFill="1" applyBorder="1"/>
    <xf numFmtId="3" fontId="0" fillId="25" borderId="46" xfId="0" applyNumberFormat="1" applyFill="1" applyBorder="1" applyAlignment="1">
      <alignment horizontal="center"/>
    </xf>
    <xf numFmtId="1" fontId="0" fillId="25" borderId="46" xfId="0" applyNumberFormat="1" applyFill="1" applyBorder="1" applyAlignment="1">
      <alignment horizontal="center"/>
    </xf>
    <xf numFmtId="0" fontId="0" fillId="25" borderId="46" xfId="0" applyFill="1" applyBorder="1" applyAlignment="1">
      <alignment horizontal="center"/>
    </xf>
    <xf numFmtId="164" fontId="0" fillId="0" borderId="0" xfId="0" applyNumberFormat="1" applyFill="1" applyAlignment="1">
      <alignment horizontal="center"/>
    </xf>
    <xf numFmtId="9" fontId="0" fillId="0" borderId="11" xfId="0" applyNumberFormat="1" applyBorder="1"/>
    <xf numFmtId="169" fontId="49" fillId="24" borderId="11" xfId="0" applyNumberFormat="1" applyFont="1" applyFill="1" applyBorder="1"/>
    <xf numFmtId="164" fontId="0" fillId="25" borderId="46" xfId="0" applyNumberFormat="1" applyFill="1" applyBorder="1" applyAlignment="1">
      <alignment horizontal="center"/>
    </xf>
    <xf numFmtId="164" fontId="0" fillId="0" borderId="0" xfId="0" applyNumberFormat="1" applyFill="1"/>
    <xf numFmtId="3" fontId="0" fillId="0" borderId="0" xfId="0" applyNumberFormat="1" applyFill="1" applyAlignment="1">
      <alignment horizontal="right"/>
    </xf>
    <xf numFmtId="174" fontId="2" fillId="12" borderId="0" xfId="1" applyNumberFormat="1" applyFont="1" applyFill="1" applyBorder="1" applyAlignment="1">
      <alignment horizontal="right"/>
    </xf>
    <xf numFmtId="168" fontId="2" fillId="0" borderId="0" xfId="0" applyNumberFormat="1" applyFont="1" applyFill="1" applyBorder="1" applyAlignment="1">
      <alignment horizontal="right"/>
    </xf>
    <xf numFmtId="3" fontId="50" fillId="18" borderId="34" xfId="0" applyNumberFormat="1" applyFont="1" applyFill="1" applyBorder="1"/>
    <xf numFmtId="3" fontId="0" fillId="0" borderId="34" xfId="0" applyNumberFormat="1" applyBorder="1"/>
    <xf numFmtId="3" fontId="2" fillId="0" borderId="42" xfId="0" applyNumberFormat="1" applyFont="1" applyBorder="1" applyAlignment="1">
      <alignment horizontal="center"/>
    </xf>
    <xf numFmtId="3" fontId="48" fillId="19" borderId="50" xfId="0" applyNumberFormat="1" applyFont="1" applyFill="1" applyBorder="1"/>
    <xf numFmtId="3" fontId="0" fillId="0" borderId="46" xfId="0" applyNumberFormat="1" applyBorder="1"/>
    <xf numFmtId="3" fontId="0" fillId="0" borderId="60" xfId="0" applyNumberFormat="1" applyBorder="1"/>
    <xf numFmtId="0" fontId="2" fillId="0" borderId="0" xfId="0" applyFont="1" applyFill="1" applyBorder="1" applyAlignment="1">
      <alignment horizontal="right"/>
    </xf>
    <xf numFmtId="175" fontId="2" fillId="12" borderId="11" xfId="1" applyNumberFormat="1" applyFont="1" applyFill="1" applyBorder="1" applyAlignment="1">
      <alignment horizontal="right"/>
    </xf>
    <xf numFmtId="0" fontId="0" fillId="0" borderId="0" xfId="0"/>
    <xf numFmtId="0" fontId="0" fillId="0" borderId="0" xfId="0" applyAlignment="1">
      <alignment horizontal="center"/>
    </xf>
    <xf numFmtId="0" fontId="0" fillId="20" borderId="0" xfId="0" applyFill="1"/>
    <xf numFmtId="3" fontId="0" fillId="0" borderId="0" xfId="4" applyNumberFormat="1" applyFont="1"/>
    <xf numFmtId="0" fontId="0" fillId="12" borderId="0" xfId="0" applyFill="1" applyBorder="1" applyAlignment="1">
      <alignment horizontal="right"/>
    </xf>
    <xf numFmtId="170" fontId="2" fillId="12" borderId="0" xfId="1" applyNumberFormat="1" applyFont="1" applyFill="1" applyBorder="1" applyAlignment="1">
      <alignment horizontal="right"/>
    </xf>
    <xf numFmtId="167" fontId="0" fillId="0" borderId="46" xfId="0" applyNumberFormat="1" applyBorder="1" applyAlignment="1">
      <alignment horizontal="center"/>
    </xf>
    <xf numFmtId="167" fontId="0" fillId="0" borderId="0" xfId="0" applyNumberFormat="1" applyAlignment="1">
      <alignment horizontal="center"/>
    </xf>
    <xf numFmtId="172" fontId="0" fillId="13" borderId="0" xfId="0" applyNumberFormat="1" applyFill="1" applyAlignment="1">
      <alignment horizontal="left"/>
    </xf>
    <xf numFmtId="172" fontId="0" fillId="0" borderId="0" xfId="0" applyNumberFormat="1" applyFill="1" applyAlignment="1">
      <alignment horizontal="left"/>
    </xf>
    <xf numFmtId="0" fontId="0" fillId="26" borderId="0" xfId="0" applyFill="1" applyAlignment="1">
      <alignment horizontal="center"/>
    </xf>
    <xf numFmtId="0" fontId="0" fillId="26" borderId="0" xfId="0" applyFill="1"/>
    <xf numFmtId="170" fontId="2" fillId="16" borderId="0" xfId="1" applyNumberFormat="1" applyFont="1" applyFill="1" applyBorder="1"/>
    <xf numFmtId="8" fontId="0" fillId="0" borderId="0" xfId="0" applyNumberFormat="1" applyBorder="1"/>
    <xf numFmtId="169" fontId="2" fillId="0" borderId="0" xfId="0" applyNumberFormat="1" applyFont="1" applyFill="1" applyBorder="1"/>
    <xf numFmtId="170" fontId="0" fillId="0" borderId="0" xfId="1" applyNumberFormat="1" applyFont="1" applyFill="1"/>
    <xf numFmtId="170" fontId="2" fillId="12" borderId="0" xfId="1" applyNumberFormat="1" applyFont="1" applyFill="1" applyBorder="1"/>
    <xf numFmtId="3" fontId="2" fillId="0" borderId="0" xfId="0" applyNumberFormat="1" applyFont="1"/>
    <xf numFmtId="3" fontId="2" fillId="12" borderId="0" xfId="0" applyNumberFormat="1" applyFont="1" applyFill="1" applyBorder="1" applyAlignment="1">
      <alignment horizontal="right"/>
    </xf>
    <xf numFmtId="3" fontId="2" fillId="12" borderId="11" xfId="1" applyNumberFormat="1" applyFont="1" applyFill="1" applyBorder="1" applyAlignment="1">
      <alignment horizontal="right"/>
    </xf>
    <xf numFmtId="9" fontId="0" fillId="0" borderId="46" xfId="2" applyFont="1" applyBorder="1" applyAlignment="1">
      <alignment horizontal="center"/>
    </xf>
    <xf numFmtId="0" fontId="0" fillId="20" borderId="45" xfId="0" applyFill="1" applyBorder="1"/>
    <xf numFmtId="0" fontId="2" fillId="0" borderId="40" xfId="0" applyFont="1" applyBorder="1" applyAlignment="1">
      <alignment horizontal="left" vertical="top" wrapText="1"/>
    </xf>
    <xf numFmtId="0" fontId="2" fillId="0" borderId="36" xfId="0" applyFont="1" applyBorder="1" applyAlignment="1">
      <alignment horizontal="left" vertical="top" wrapText="1"/>
    </xf>
    <xf numFmtId="0" fontId="2" fillId="0" borderId="39" xfId="0" applyFont="1" applyBorder="1" applyAlignment="1">
      <alignment horizontal="left" vertical="top" wrapText="1"/>
    </xf>
    <xf numFmtId="0" fontId="56" fillId="0" borderId="0" xfId="0" applyFont="1" applyAlignment="1">
      <alignment horizontal="left" vertical="center" wrapText="1"/>
    </xf>
    <xf numFmtId="0" fontId="56" fillId="0" borderId="34" xfId="0" applyFont="1" applyBorder="1" applyAlignment="1">
      <alignment horizontal="left" vertical="center" wrapText="1"/>
    </xf>
    <xf numFmtId="0" fontId="0" fillId="5" borderId="36" xfId="0" applyFill="1" applyBorder="1" applyAlignment="1">
      <alignment horizontal="left" vertical="top" wrapText="1"/>
    </xf>
    <xf numFmtId="0" fontId="0" fillId="15" borderId="36" xfId="0" applyFill="1" applyBorder="1" applyAlignment="1">
      <alignment horizontal="left" vertical="top" wrapText="1"/>
    </xf>
    <xf numFmtId="0" fontId="0" fillId="15" borderId="37" xfId="0" applyFill="1" applyBorder="1" applyAlignment="1">
      <alignment horizontal="left" vertical="top" wrapText="1"/>
    </xf>
    <xf numFmtId="0" fontId="0" fillId="16" borderId="38" xfId="0" applyFill="1" applyBorder="1" applyAlignment="1">
      <alignment horizontal="left" vertical="top" wrapText="1"/>
    </xf>
    <xf numFmtId="0" fontId="0" fillId="16" borderId="36" xfId="0" applyFill="1" applyBorder="1" applyAlignment="1">
      <alignment horizontal="left" vertical="top" wrapText="1"/>
    </xf>
    <xf numFmtId="0" fontId="0" fillId="16" borderId="39" xfId="0" applyFill="1" applyBorder="1" applyAlignment="1">
      <alignment horizontal="left" vertical="top" wrapText="1"/>
    </xf>
    <xf numFmtId="0" fontId="0" fillId="17" borderId="40" xfId="0" applyFill="1" applyBorder="1" applyAlignment="1">
      <alignment horizontal="left" vertical="top" wrapText="1"/>
    </xf>
    <xf numFmtId="0" fontId="0" fillId="17" borderId="39" xfId="0" applyFill="1" applyBorder="1" applyAlignment="1">
      <alignment horizontal="left" vertical="top" wrapText="1"/>
    </xf>
    <xf numFmtId="0" fontId="0" fillId="18" borderId="40" xfId="0" applyFill="1" applyBorder="1" applyAlignment="1">
      <alignment horizontal="left" vertical="top" wrapText="1"/>
    </xf>
    <xf numFmtId="0" fontId="0" fillId="18" borderId="36" xfId="0" applyFill="1" applyBorder="1" applyAlignment="1">
      <alignment horizontal="left" vertical="top" wrapText="1"/>
    </xf>
    <xf numFmtId="0" fontId="0" fillId="18" borderId="39" xfId="0" applyFill="1" applyBorder="1" applyAlignment="1">
      <alignment horizontal="left" vertical="top" wrapText="1"/>
    </xf>
    <xf numFmtId="0" fontId="42" fillId="2" borderId="6" xfId="0" applyFont="1" applyFill="1" applyBorder="1"/>
    <xf numFmtId="0" fontId="5" fillId="0" borderId="0" xfId="0" applyFont="1"/>
    <xf numFmtId="0" fontId="5" fillId="0" borderId="5" xfId="0" applyFont="1" applyBorder="1"/>
    <xf numFmtId="0" fontId="42" fillId="2" borderId="4" xfId="0" applyFont="1" applyFill="1" applyBorder="1"/>
    <xf numFmtId="0" fontId="5" fillId="0" borderId="3" xfId="0" applyFont="1" applyBorder="1"/>
    <xf numFmtId="0" fontId="5" fillId="0" borderId="2" xfId="0" applyFont="1" applyBorder="1"/>
    <xf numFmtId="0" fontId="36" fillId="0" borderId="9" xfId="0" applyFont="1" applyBorder="1"/>
    <xf numFmtId="0" fontId="37" fillId="0" borderId="8" xfId="0" applyFont="1" applyBorder="1"/>
    <xf numFmtId="0" fontId="37" fillId="0" borderId="7" xfId="0" applyFont="1" applyBorder="1"/>
    <xf numFmtId="0" fontId="40" fillId="0" borderId="6" xfId="0" applyFont="1" applyBorder="1"/>
    <xf numFmtId="0" fontId="0" fillId="0" borderId="0" xfId="0"/>
    <xf numFmtId="0" fontId="0" fillId="0" borderId="5" xfId="0" applyBorder="1"/>
    <xf numFmtId="0" fontId="40" fillId="2" borderId="12" xfId="0" applyFont="1" applyFill="1" applyBorder="1"/>
    <xf numFmtId="0" fontId="4" fillId="2" borderId="11" xfId="0" applyFont="1" applyFill="1" applyBorder="1"/>
    <xf numFmtId="0" fontId="0" fillId="0" borderId="11" xfId="0" applyBorder="1"/>
    <xf numFmtId="0" fontId="42" fillId="3" borderId="12" xfId="0" applyFont="1" applyFill="1" applyBorder="1"/>
    <xf numFmtId="0" fontId="0" fillId="3" borderId="11" xfId="0" applyFill="1" applyBorder="1"/>
    <xf numFmtId="0" fontId="0" fillId="3" borderId="10" xfId="0" applyFill="1" applyBorder="1"/>
    <xf numFmtId="0" fontId="36" fillId="3" borderId="12" xfId="0" applyFont="1" applyFill="1" applyBorder="1"/>
    <xf numFmtId="0" fontId="4" fillId="0" borderId="6" xfId="0" applyFont="1" applyBorder="1"/>
    <xf numFmtId="0" fontId="42" fillId="3" borderId="9" xfId="0" applyFont="1" applyFill="1" applyBorder="1"/>
    <xf numFmtId="0" fontId="0" fillId="3" borderId="8" xfId="0" applyFill="1" applyBorder="1"/>
    <xf numFmtId="0" fontId="0" fillId="3" borderId="7" xfId="0" applyFill="1" applyBorder="1"/>
    <xf numFmtId="0" fontId="0" fillId="0" borderId="3" xfId="0" applyBorder="1"/>
    <xf numFmtId="0" fontId="0" fillId="0" borderId="2" xfId="0" applyBorder="1"/>
    <xf numFmtId="0" fontId="36" fillId="0" borderId="6" xfId="0" applyFont="1" applyBorder="1"/>
    <xf numFmtId="0" fontId="5" fillId="3" borderId="8" xfId="0" applyFont="1" applyFill="1" applyBorder="1"/>
    <xf numFmtId="0" fontId="5" fillId="3" borderId="7" xfId="0" applyFont="1" applyFill="1" applyBorder="1"/>
    <xf numFmtId="0" fontId="42" fillId="4" borderId="9" xfId="0" applyFont="1" applyFill="1" applyBorder="1" applyAlignment="1">
      <alignment horizontal="center"/>
    </xf>
    <xf numFmtId="0" fontId="5" fillId="4" borderId="7" xfId="0" applyFont="1" applyFill="1" applyBorder="1" applyAlignment="1">
      <alignment horizontal="center"/>
    </xf>
    <xf numFmtId="0" fontId="4" fillId="0" borderId="9" xfId="0" applyFont="1" applyBorder="1"/>
    <xf numFmtId="0" fontId="0" fillId="0" borderId="8" xfId="0" applyBorder="1"/>
    <xf numFmtId="0" fontId="0" fillId="0" borderId="7" xfId="0" applyBorder="1"/>
    <xf numFmtId="0" fontId="36" fillId="0" borderId="9" xfId="0" applyFont="1" applyBorder="1" applyAlignment="1">
      <alignment horizontal="center"/>
    </xf>
    <xf numFmtId="0" fontId="37" fillId="0" borderId="7" xfId="0" applyFont="1" applyBorder="1" applyAlignment="1">
      <alignment horizontal="center"/>
    </xf>
    <xf numFmtId="0" fontId="0" fillId="0" borderId="6" xfId="0" applyBorder="1"/>
    <xf numFmtId="0" fontId="36" fillId="2" borderId="9" xfId="0" applyFont="1" applyFill="1" applyBorder="1"/>
    <xf numFmtId="0" fontId="36" fillId="2" borderId="9" xfId="0" applyFont="1" applyFill="1" applyBorder="1" applyAlignment="1">
      <alignment horizontal="center"/>
    </xf>
    <xf numFmtId="0" fontId="40" fillId="3" borderId="9" xfId="0" applyFont="1" applyFill="1" applyBorder="1" applyAlignment="1">
      <alignment horizontal="center"/>
    </xf>
    <xf numFmtId="0" fontId="41" fillId="3" borderId="8" xfId="0" applyFont="1" applyFill="1" applyBorder="1" applyAlignment="1">
      <alignment horizontal="center"/>
    </xf>
    <xf numFmtId="0" fontId="41" fillId="3" borderId="7" xfId="0" applyFont="1" applyFill="1" applyBorder="1" applyAlignment="1">
      <alignment horizontal="center"/>
    </xf>
    <xf numFmtId="0" fontId="36" fillId="2" borderId="12" xfId="0" applyFont="1" applyFill="1" applyBorder="1"/>
    <xf numFmtId="0" fontId="36" fillId="4" borderId="9" xfId="0" applyFont="1" applyFill="1" applyBorder="1"/>
    <xf numFmtId="0" fontId="0" fillId="4" borderId="7" xfId="0" applyFill="1" applyBorder="1"/>
    <xf numFmtId="0" fontId="37" fillId="4" borderId="7" xfId="0" applyFont="1" applyFill="1" applyBorder="1"/>
    <xf numFmtId="0" fontId="36" fillId="0" borderId="12" xfId="0" applyFont="1" applyBorder="1" applyAlignment="1">
      <alignment vertical="center"/>
    </xf>
    <xf numFmtId="0" fontId="0" fillId="0" borderId="11" xfId="0" applyBorder="1" applyAlignment="1">
      <alignment vertical="center"/>
    </xf>
    <xf numFmtId="0" fontId="36" fillId="0" borderId="12" xfId="0" applyFont="1"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36" fillId="2" borderId="9" xfId="0" applyFont="1" applyFill="1" applyBorder="1" applyAlignment="1">
      <alignment horizontal="left" vertical="center"/>
    </xf>
    <xf numFmtId="0" fontId="36" fillId="2" borderId="8" xfId="0" applyFont="1" applyFill="1" applyBorder="1" applyAlignment="1">
      <alignment horizontal="left" vertical="center"/>
    </xf>
    <xf numFmtId="0" fontId="36" fillId="3" borderId="9" xfId="0" applyFont="1" applyFill="1" applyBorder="1" applyAlignment="1">
      <alignment vertical="top"/>
    </xf>
    <xf numFmtId="0" fontId="0" fillId="0" borderId="6" xfId="0" applyBorder="1" applyAlignment="1">
      <alignment vertical="top"/>
    </xf>
    <xf numFmtId="0" fontId="0" fillId="0" borderId="4" xfId="0" applyBorder="1"/>
    <xf numFmtId="0" fontId="39" fillId="3" borderId="9" xfId="0" applyFont="1" applyFill="1" applyBorder="1" applyAlignment="1">
      <alignment vertical="center"/>
    </xf>
    <xf numFmtId="0" fontId="36" fillId="0" borderId="12" xfId="0" applyFont="1"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39" fillId="0" borderId="12" xfId="0" applyFont="1" applyBorder="1" applyAlignment="1">
      <alignment vertical="center"/>
    </xf>
    <xf numFmtId="0" fontId="0" fillId="0" borderId="10" xfId="0" applyBorder="1"/>
    <xf numFmtId="0" fontId="36" fillId="4" borderId="9" xfId="0" applyFont="1" applyFill="1" applyBorder="1" applyAlignment="1">
      <alignment horizontal="center"/>
    </xf>
    <xf numFmtId="0" fontId="0" fillId="4" borderId="7" xfId="0" applyFill="1" applyBorder="1" applyAlignment="1">
      <alignment horizontal="center"/>
    </xf>
    <xf numFmtId="0" fontId="4" fillId="0" borderId="7" xfId="0" applyFont="1" applyBorder="1"/>
    <xf numFmtId="0" fontId="36" fillId="3" borderId="9" xfId="0" applyFont="1" applyFill="1" applyBorder="1"/>
    <xf numFmtId="0" fontId="36" fillId="0" borderId="4" xfId="0" applyFont="1" applyBorder="1"/>
    <xf numFmtId="0" fontId="36" fillId="0" borderId="3" xfId="0" applyFont="1" applyBorder="1"/>
    <xf numFmtId="0" fontId="36" fillId="3" borderId="12" xfId="0" applyFont="1" applyFill="1" applyBorder="1" applyAlignment="1">
      <alignment vertical="center"/>
    </xf>
    <xf numFmtId="0" fontId="36" fillId="3" borderId="11" xfId="0" applyFont="1" applyFill="1" applyBorder="1"/>
    <xf numFmtId="0" fontId="36" fillId="3" borderId="4" xfId="0" applyFont="1" applyFill="1" applyBorder="1"/>
    <xf numFmtId="0" fontId="36" fillId="3" borderId="3" xfId="0" applyFont="1" applyFill="1" applyBorder="1"/>
    <xf numFmtId="0" fontId="36" fillId="3" borderId="2" xfId="0" applyFont="1" applyFill="1" applyBorder="1"/>
    <xf numFmtId="0" fontId="36" fillId="2" borderId="9" xfId="0" applyFont="1" applyFill="1" applyBorder="1" applyAlignment="1">
      <alignment vertical="center"/>
    </xf>
    <xf numFmtId="167" fontId="37" fillId="2" borderId="8" xfId="0" applyNumberFormat="1" applyFont="1" applyFill="1" applyBorder="1" applyAlignment="1">
      <alignment horizontal="center"/>
    </xf>
    <xf numFmtId="167" fontId="0" fillId="0" borderId="8" xfId="0" applyNumberFormat="1" applyBorder="1" applyAlignment="1">
      <alignment horizontal="center"/>
    </xf>
    <xf numFmtId="167" fontId="37" fillId="0" borderId="8" xfId="0" applyNumberFormat="1" applyFont="1" applyBorder="1" applyAlignment="1">
      <alignment horizontal="center"/>
    </xf>
    <xf numFmtId="167" fontId="37" fillId="0" borderId="7" xfId="0" applyNumberFormat="1" applyFont="1" applyBorder="1" applyAlignment="1">
      <alignment horizontal="center"/>
    </xf>
    <xf numFmtId="0" fontId="4" fillId="0" borderId="9" xfId="0" applyFont="1" applyBorder="1" applyAlignment="1">
      <alignment vertical="center"/>
    </xf>
    <xf numFmtId="0" fontId="36" fillId="0" borderId="8" xfId="0" applyFont="1" applyBorder="1" applyAlignment="1">
      <alignment horizontal="center"/>
    </xf>
    <xf numFmtId="0" fontId="36" fillId="0" borderId="8" xfId="0" applyFont="1" applyBorder="1"/>
    <xf numFmtId="0" fontId="37" fillId="2" borderId="3" xfId="0" applyFont="1" applyFill="1" applyBorder="1"/>
    <xf numFmtId="0" fontId="37" fillId="2" borderId="8" xfId="0" applyFont="1" applyFill="1" applyBorder="1"/>
    <xf numFmtId="0" fontId="38" fillId="2" borderId="8" xfId="3" applyFill="1" applyBorder="1"/>
    <xf numFmtId="0" fontId="38" fillId="2" borderId="8" xfId="3" applyFill="1" applyBorder="1" applyAlignment="1"/>
    <xf numFmtId="0" fontId="33" fillId="3" borderId="12" xfId="0" applyFont="1" applyFill="1" applyBorder="1" applyAlignment="1">
      <alignment horizontal="center"/>
    </xf>
    <xf numFmtId="0" fontId="34" fillId="3" borderId="11" xfId="0" applyFont="1" applyFill="1" applyBorder="1" applyAlignment="1">
      <alignment horizontal="center"/>
    </xf>
    <xf numFmtId="0" fontId="34" fillId="3" borderId="10" xfId="0" applyFont="1" applyFill="1" applyBorder="1"/>
    <xf numFmtId="0" fontId="35" fillId="3" borderId="4" xfId="0" applyFont="1" applyFill="1" applyBorder="1"/>
    <xf numFmtId="0" fontId="0" fillId="3" borderId="3" xfId="0" applyFill="1" applyBorder="1"/>
    <xf numFmtId="0" fontId="37" fillId="0" borderId="3" xfId="0" applyFont="1" applyBorder="1"/>
    <xf numFmtId="0" fontId="37" fillId="0" borderId="2" xfId="0" applyFont="1" applyBorder="1"/>
    <xf numFmtId="0" fontId="3" fillId="0" borderId="0" xfId="0" applyFont="1" applyAlignment="1">
      <alignment horizontal="left" vertical="top" wrapText="1"/>
    </xf>
    <xf numFmtId="0" fontId="0" fillId="0" borderId="0" xfId="0" applyAlignment="1">
      <alignment horizontal="center"/>
    </xf>
    <xf numFmtId="0" fontId="0" fillId="0" borderId="0" xfId="0" applyAlignment="1">
      <alignment horizontal="center" wrapText="1"/>
    </xf>
    <xf numFmtId="8" fontId="0" fillId="0" borderId="13" xfId="0" applyNumberFormat="1" applyBorder="1" applyAlignment="1">
      <alignment horizontal="center"/>
    </xf>
    <xf numFmtId="8" fontId="0" fillId="0" borderId="21" xfId="0" applyNumberFormat="1" applyBorder="1" applyAlignment="1">
      <alignment horizontal="center"/>
    </xf>
    <xf numFmtId="8" fontId="0" fillId="0" borderId="15" xfId="0" applyNumberFormat="1" applyBorder="1" applyAlignment="1">
      <alignment horizontal="center"/>
    </xf>
    <xf numFmtId="8" fontId="0" fillId="0" borderId="29" xfId="0" applyNumberFormat="1" applyBorder="1" applyAlignment="1">
      <alignment horizontal="center"/>
    </xf>
    <xf numFmtId="8" fontId="2" fillId="14" borderId="9" xfId="0" applyNumberFormat="1" applyFont="1" applyFill="1" applyBorder="1" applyAlignment="1">
      <alignment horizontal="center"/>
    </xf>
    <xf numFmtId="8" fontId="2" fillId="14" borderId="30" xfId="0" applyNumberFormat="1" applyFont="1" applyFill="1" applyBorder="1" applyAlignment="1">
      <alignment horizontal="center"/>
    </xf>
    <xf numFmtId="8" fontId="0" fillId="0" borderId="9" xfId="0" applyNumberFormat="1" applyBorder="1" applyAlignment="1">
      <alignment horizontal="center"/>
    </xf>
    <xf numFmtId="8" fontId="0" fillId="0" borderId="30" xfId="0" applyNumberFormat="1" applyBorder="1" applyAlignment="1">
      <alignment horizontal="center"/>
    </xf>
    <xf numFmtId="0" fontId="0" fillId="13" borderId="12" xfId="0" applyFill="1" applyBorder="1" applyAlignment="1">
      <alignment horizontal="left"/>
    </xf>
    <xf numFmtId="0" fontId="0" fillId="13" borderId="11" xfId="0" applyFill="1" applyBorder="1" applyAlignment="1">
      <alignment horizontal="left"/>
    </xf>
    <xf numFmtId="0" fontId="2" fillId="3" borderId="9" xfId="0" applyFont="1" applyFill="1" applyBorder="1"/>
    <xf numFmtId="0" fontId="6" fillId="10" borderId="9" xfId="0" applyFont="1" applyFill="1" applyBorder="1"/>
    <xf numFmtId="0" fontId="2" fillId="8" borderId="10" xfId="0" applyFont="1" applyFill="1" applyBorder="1" applyAlignment="1">
      <alignment vertical="center"/>
    </xf>
    <xf numFmtId="0" fontId="2" fillId="8" borderId="2" xfId="0" applyFont="1" applyFill="1" applyBorder="1" applyAlignment="1">
      <alignment vertical="center"/>
    </xf>
    <xf numFmtId="0" fontId="0" fillId="8" borderId="10" xfId="0" applyFill="1" applyBorder="1" applyAlignment="1">
      <alignment vertical="center"/>
    </xf>
    <xf numFmtId="0" fontId="0" fillId="8" borderId="2" xfId="0" applyFill="1" applyBorder="1" applyAlignment="1">
      <alignment vertical="center"/>
    </xf>
    <xf numFmtId="0" fontId="0" fillId="2" borderId="12" xfId="0" applyFill="1" applyBorder="1" applyAlignment="1">
      <alignment wrapText="1"/>
    </xf>
    <xf numFmtId="0" fontId="0" fillId="2" borderId="11" xfId="0" applyFill="1" applyBorder="1" applyAlignment="1">
      <alignment wrapText="1"/>
    </xf>
    <xf numFmtId="0" fontId="0" fillId="2" borderId="10" xfId="0" applyFill="1" applyBorder="1" applyAlignment="1">
      <alignment wrapText="1"/>
    </xf>
    <xf numFmtId="0" fontId="0" fillId="2" borderId="4" xfId="0" applyFill="1" applyBorder="1" applyAlignment="1">
      <alignment wrapText="1"/>
    </xf>
    <xf numFmtId="0" fontId="0" fillId="2" borderId="3" xfId="0" applyFill="1" applyBorder="1" applyAlignment="1">
      <alignment wrapText="1"/>
    </xf>
    <xf numFmtId="0" fontId="0" fillId="2" borderId="2" xfId="0" applyFill="1" applyBorder="1" applyAlignment="1">
      <alignment wrapText="1"/>
    </xf>
    <xf numFmtId="8" fontId="0" fillId="0" borderId="12" xfId="0" applyNumberFormat="1" applyBorder="1" applyAlignment="1">
      <alignment horizontal="center"/>
    </xf>
    <xf numFmtId="8" fontId="0" fillId="0" borderId="31" xfId="0" applyNumberFormat="1" applyBorder="1" applyAlignment="1">
      <alignment horizontal="center"/>
    </xf>
    <xf numFmtId="8" fontId="0" fillId="0" borderId="32" xfId="0" applyNumberFormat="1" applyBorder="1" applyAlignment="1">
      <alignment horizontal="center"/>
    </xf>
    <xf numFmtId="8" fontId="0" fillId="0" borderId="33" xfId="0" applyNumberFormat="1" applyBorder="1" applyAlignment="1">
      <alignment horizontal="center"/>
    </xf>
    <xf numFmtId="8" fontId="2" fillId="14" borderId="23" xfId="0" applyNumberFormat="1" applyFont="1" applyFill="1" applyBorder="1" applyAlignment="1">
      <alignment horizontal="center"/>
    </xf>
    <xf numFmtId="8" fontId="2" fillId="14" borderId="24" xfId="0" applyNumberFormat="1" applyFont="1" applyFill="1" applyBorder="1" applyAlignment="1">
      <alignment horizontal="center"/>
    </xf>
    <xf numFmtId="8" fontId="2" fillId="14" borderId="4" xfId="0" applyNumberFormat="1" applyFont="1" applyFill="1" applyBorder="1" applyAlignment="1">
      <alignment horizontal="center"/>
    </xf>
    <xf numFmtId="8" fontId="2" fillId="14" borderId="26" xfId="0" applyNumberFormat="1" applyFont="1" applyFill="1" applyBorder="1" applyAlignment="1">
      <alignment horizontal="center"/>
    </xf>
    <xf numFmtId="0" fontId="18" fillId="12" borderId="9" xfId="0" applyFont="1" applyFill="1" applyBorder="1"/>
    <xf numFmtId="0" fontId="19" fillId="0" borderId="8" xfId="0" applyFont="1" applyBorder="1"/>
    <xf numFmtId="0" fontId="19" fillId="0" borderId="7" xfId="0" applyFont="1" applyBorder="1"/>
    <xf numFmtId="0" fontId="18" fillId="0" borderId="0" xfId="0" applyFont="1"/>
    <xf numFmtId="0" fontId="19" fillId="0" borderId="0" xfId="0" applyFont="1"/>
    <xf numFmtId="0" fontId="18" fillId="11" borderId="9" xfId="0" applyFont="1" applyFill="1" applyBorder="1" applyAlignment="1">
      <alignment horizontal="center" vertical="center"/>
    </xf>
    <xf numFmtId="0" fontId="18" fillId="11" borderId="8" xfId="0" applyFont="1" applyFill="1" applyBorder="1" applyAlignment="1">
      <alignment horizontal="center" vertical="center"/>
    </xf>
    <xf numFmtId="0" fontId="18" fillId="11" borderId="7" xfId="0" applyFont="1" applyFill="1" applyBorder="1" applyAlignment="1">
      <alignment horizontal="center" vertical="center"/>
    </xf>
    <xf numFmtId="0" fontId="27" fillId="11" borderId="9" xfId="0" applyFont="1" applyFill="1" applyBorder="1" applyAlignment="1">
      <alignment vertical="center"/>
    </xf>
    <xf numFmtId="0" fontId="27" fillId="11" borderId="8" xfId="0" applyFont="1" applyFill="1" applyBorder="1" applyAlignment="1">
      <alignment vertical="center"/>
    </xf>
    <xf numFmtId="0" fontId="27" fillId="11" borderId="7" xfId="0" applyFont="1" applyFill="1" applyBorder="1" applyAlignment="1">
      <alignment vertical="center"/>
    </xf>
    <xf numFmtId="0" fontId="23" fillId="0" borderId="7" xfId="0" applyFont="1" applyBorder="1" applyAlignment="1">
      <alignment vertical="center"/>
    </xf>
    <xf numFmtId="0" fontId="27" fillId="11" borderId="9" xfId="0" applyFont="1" applyFill="1" applyBorder="1" applyAlignment="1">
      <alignment vertical="center" wrapText="1"/>
    </xf>
    <xf numFmtId="0" fontId="27" fillId="11" borderId="8" xfId="0" applyFont="1" applyFill="1" applyBorder="1" applyAlignment="1">
      <alignment vertical="center" wrapText="1"/>
    </xf>
    <xf numFmtId="0" fontId="23" fillId="0" borderId="7" xfId="0" applyFont="1" applyBorder="1" applyAlignment="1">
      <alignment vertical="center" wrapText="1"/>
    </xf>
    <xf numFmtId="0" fontId="27" fillId="11" borderId="9" xfId="0" applyFont="1" applyFill="1" applyBorder="1" applyAlignment="1">
      <alignment horizontal="left" vertical="center" wrapText="1"/>
    </xf>
    <xf numFmtId="0" fontId="27" fillId="11" borderId="8" xfId="0" applyFont="1" applyFill="1" applyBorder="1" applyAlignment="1">
      <alignment horizontal="left" vertical="center" wrapText="1"/>
    </xf>
    <xf numFmtId="0" fontId="27" fillId="11" borderId="7" xfId="0" applyFont="1" applyFill="1" applyBorder="1" applyAlignment="1">
      <alignment horizontal="left" vertical="center" wrapText="1"/>
    </xf>
    <xf numFmtId="0" fontId="27" fillId="11" borderId="3" xfId="0" applyFont="1" applyFill="1" applyBorder="1" applyAlignment="1">
      <alignment vertical="center"/>
    </xf>
    <xf numFmtId="0" fontId="27" fillId="11" borderId="2" xfId="0" applyFont="1" applyFill="1" applyBorder="1" applyAlignment="1">
      <alignment vertical="center"/>
    </xf>
    <xf numFmtId="0" fontId="27" fillId="11" borderId="4" xfId="0" applyFont="1" applyFill="1" applyBorder="1" applyAlignment="1">
      <alignment vertical="center"/>
    </xf>
    <xf numFmtId="0" fontId="23" fillId="0" borderId="2" xfId="0" applyFont="1" applyBorder="1" applyAlignment="1">
      <alignment vertical="center"/>
    </xf>
    <xf numFmtId="0" fontId="27" fillId="11" borderId="9" xfId="0" applyFont="1" applyFill="1" applyBorder="1" applyAlignment="1">
      <alignment horizontal="left" vertical="center"/>
    </xf>
    <xf numFmtId="0" fontId="27" fillId="11" borderId="8" xfId="0" applyFont="1" applyFill="1" applyBorder="1" applyAlignment="1">
      <alignment horizontal="left" vertical="center"/>
    </xf>
    <xf numFmtId="0" fontId="27" fillId="11" borderId="7" xfId="0" applyFont="1" applyFill="1" applyBorder="1" applyAlignment="1">
      <alignment horizontal="left" vertical="center"/>
    </xf>
    <xf numFmtId="0" fontId="27" fillId="11" borderId="7" xfId="0" applyFont="1" applyFill="1" applyBorder="1" applyAlignment="1">
      <alignment vertical="center" wrapText="1"/>
    </xf>
    <xf numFmtId="0" fontId="0" fillId="27" borderId="0" xfId="0" applyFill="1" applyBorder="1"/>
    <xf numFmtId="0" fontId="0" fillId="27" borderId="0" xfId="0" applyFill="1" applyBorder="1" applyAlignment="1">
      <alignment horizontal="center"/>
    </xf>
    <xf numFmtId="1" fontId="0" fillId="27" borderId="0" xfId="0" applyNumberFormat="1" applyFill="1" applyBorder="1" applyAlignment="1">
      <alignment horizontal="center"/>
    </xf>
    <xf numFmtId="9" fontId="0" fillId="27" borderId="0" xfId="0" applyNumberFormat="1" applyFill="1" applyBorder="1" applyAlignment="1">
      <alignment horizontal="center"/>
    </xf>
    <xf numFmtId="0" fontId="0" fillId="27" borderId="0" xfId="0" quotePrefix="1" applyFill="1" applyBorder="1" applyAlignment="1">
      <alignment horizontal="center"/>
    </xf>
    <xf numFmtId="3" fontId="0" fillId="27" borderId="0" xfId="0" applyNumberFormat="1" applyFill="1" applyBorder="1" applyAlignment="1">
      <alignment horizontal="center"/>
    </xf>
    <xf numFmtId="164" fontId="0" fillId="27" borderId="0" xfId="0" applyNumberFormat="1" applyFill="1" applyBorder="1" applyAlignment="1">
      <alignment horizontal="center"/>
    </xf>
    <xf numFmtId="173" fontId="0" fillId="27" borderId="0" xfId="4" applyNumberFormat="1" applyFont="1" applyFill="1" applyBorder="1" applyAlignment="1">
      <alignment horizontal="center"/>
    </xf>
    <xf numFmtId="0" fontId="2" fillId="27" borderId="0" xfId="0" applyFont="1" applyFill="1" applyBorder="1"/>
  </cellXfs>
  <cellStyles count="7">
    <cellStyle name="Comma" xfId="4" builtinId="3"/>
    <cellStyle name="Currency" xfId="1" builtinId="4"/>
    <cellStyle name="Currency 2" xfId="6" xr:uid="{AB8EB024-AE0F-40AF-9962-0B5283C53BDE}"/>
    <cellStyle name="Hyperlink" xfId="3" builtinId="8"/>
    <cellStyle name="Normal" xfId="0" builtinId="0"/>
    <cellStyle name="Normal 2" xfId="5" xr:uid="{4C4F2939-0667-4B78-B155-135F1CFC262B}"/>
    <cellStyle name="Percent" xfId="2" builtinId="5"/>
  </cellStyles>
  <dxfs count="18">
    <dxf>
      <font>
        <color theme="0"/>
      </font>
      <fill>
        <patternFill>
          <bgColor rgb="FF00B050"/>
        </patternFill>
      </fill>
    </dxf>
    <dxf>
      <font>
        <color theme="0"/>
      </font>
      <fill>
        <patternFill>
          <bgColor rgb="FFFF0000"/>
        </patternFill>
      </fill>
    </dxf>
    <dxf>
      <fill>
        <patternFill patternType="none">
          <bgColor auto="1"/>
        </patternFill>
      </fill>
    </dxf>
    <dxf>
      <font>
        <color theme="0"/>
      </font>
      <fill>
        <patternFill>
          <bgColor rgb="FF00B050"/>
        </patternFill>
      </fill>
    </dxf>
    <dxf>
      <font>
        <color theme="0"/>
      </font>
      <fill>
        <patternFill>
          <bgColor rgb="FFFF0000"/>
        </patternFill>
      </fill>
    </dxf>
    <dxf>
      <fill>
        <patternFill patternType="none">
          <bgColor auto="1"/>
        </patternFill>
      </fill>
    </dxf>
    <dxf>
      <font>
        <color theme="0"/>
      </font>
      <fill>
        <patternFill>
          <bgColor rgb="FF00B050"/>
        </patternFill>
      </fill>
    </dxf>
    <dxf>
      <font>
        <color theme="0"/>
      </font>
      <fill>
        <patternFill>
          <bgColor rgb="FFFF0000"/>
        </patternFill>
      </fill>
    </dxf>
    <dxf>
      <fill>
        <patternFill patternType="none">
          <bgColor auto="1"/>
        </patternFill>
      </fill>
    </dxf>
    <dxf>
      <font>
        <b val="0"/>
        <i val="0"/>
        <strike val="0"/>
        <condense val="0"/>
        <extend val="0"/>
        <outline val="0"/>
        <shadow val="0"/>
        <u val="none"/>
        <vertAlign val="baseline"/>
        <sz val="11"/>
        <color theme="1"/>
        <name val="Calibri"/>
        <family val="2"/>
        <scheme val="minor"/>
      </font>
      <numFmt numFmtId="168" formatCode="&quot;$&quot;#,##0.00"/>
    </dxf>
    <dxf>
      <font>
        <b val="0"/>
        <i val="0"/>
        <strike val="0"/>
        <condense val="0"/>
        <extend val="0"/>
        <outline val="0"/>
        <shadow val="0"/>
        <u val="none"/>
        <vertAlign val="baseline"/>
        <sz val="11"/>
        <color theme="1"/>
        <name val="Calibri"/>
        <family val="2"/>
        <scheme val="minor"/>
      </font>
      <numFmt numFmtId="168" formatCode="&quot;$&quot;#,##0.00"/>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quot;$&quot;#,##0"/>
    </dxf>
    <dxf>
      <font>
        <b val="0"/>
        <i val="0"/>
        <strike val="0"/>
        <condense val="0"/>
        <extend val="0"/>
        <outline val="0"/>
        <shadow val="0"/>
        <u val="none"/>
        <vertAlign val="baseline"/>
        <sz val="11"/>
        <color theme="1"/>
        <name val="Calibri"/>
        <family val="2"/>
        <scheme val="minor"/>
      </font>
      <alignment vertical="top" textRotation="0" indent="0" justifyLastLine="0" shrinkToFit="0" readingOrder="0"/>
    </dxf>
    <dxf>
      <font>
        <b val="0"/>
        <i val="0"/>
        <strike val="0"/>
        <condense val="0"/>
        <extend val="0"/>
        <outline val="0"/>
        <shadow val="0"/>
        <u val="none"/>
        <vertAlign val="baseline"/>
        <sz val="11"/>
        <color theme="1"/>
        <name val="Calibri"/>
        <family val="2"/>
        <scheme val="minor"/>
      </font>
      <numFmt numFmtId="169" formatCode="&quot;$&quot;#,##0"/>
      <alignment horizontal="general" vertical="top" textRotation="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6"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247650</xdr:colOff>
          <xdr:row>19</xdr:row>
          <xdr:rowOff>180975</xdr:rowOff>
        </xdr:from>
        <xdr:to>
          <xdr:col>5</xdr:col>
          <xdr:colOff>447675</xdr:colOff>
          <xdr:row>20</xdr:row>
          <xdr:rowOff>161925</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17</xdr:row>
          <xdr:rowOff>257175</xdr:rowOff>
        </xdr:from>
        <xdr:to>
          <xdr:col>6</xdr:col>
          <xdr:colOff>419100</xdr:colOff>
          <xdr:row>19</xdr:row>
          <xdr:rowOff>28575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161925</xdr:colOff>
          <xdr:row>17</xdr:row>
          <xdr:rowOff>257175</xdr:rowOff>
        </xdr:from>
        <xdr:to>
          <xdr:col>7</xdr:col>
          <xdr:colOff>457200</xdr:colOff>
          <xdr:row>19</xdr:row>
          <xdr:rowOff>38100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2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161925</xdr:colOff>
          <xdr:row>20</xdr:row>
          <xdr:rowOff>190500</xdr:rowOff>
        </xdr:from>
        <xdr:to>
          <xdr:col>7</xdr:col>
          <xdr:colOff>428625</xdr:colOff>
          <xdr:row>21</xdr:row>
          <xdr:rowOff>200025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2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466725</xdr:colOff>
          <xdr:row>20</xdr:row>
          <xdr:rowOff>171450</xdr:rowOff>
        </xdr:from>
        <xdr:to>
          <xdr:col>8</xdr:col>
          <xdr:colOff>123825</xdr:colOff>
          <xdr:row>21</xdr:row>
          <xdr:rowOff>180975</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2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285750</xdr:colOff>
          <xdr:row>7</xdr:row>
          <xdr:rowOff>171450</xdr:rowOff>
        </xdr:from>
        <xdr:to>
          <xdr:col>7</xdr:col>
          <xdr:colOff>600075</xdr:colOff>
          <xdr:row>9</xdr:row>
          <xdr:rowOff>28575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2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371475</xdr:colOff>
          <xdr:row>7</xdr:row>
          <xdr:rowOff>152400</xdr:rowOff>
        </xdr:from>
        <xdr:to>
          <xdr:col>7</xdr:col>
          <xdr:colOff>142875</xdr:colOff>
          <xdr:row>9</xdr:row>
          <xdr:rowOff>47625</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2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257175</xdr:colOff>
          <xdr:row>19</xdr:row>
          <xdr:rowOff>142875</xdr:rowOff>
        </xdr:from>
        <xdr:to>
          <xdr:col>6</xdr:col>
          <xdr:colOff>581025</xdr:colOff>
          <xdr:row>20</xdr:row>
          <xdr:rowOff>209550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2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xdr:row>
          <xdr:rowOff>190500</xdr:rowOff>
        </xdr:from>
        <xdr:to>
          <xdr:col>4</xdr:col>
          <xdr:colOff>381000</xdr:colOff>
          <xdr:row>10</xdr:row>
          <xdr:rowOff>38100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2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438150</xdr:colOff>
          <xdr:row>8</xdr:row>
          <xdr:rowOff>152400</xdr:rowOff>
        </xdr:from>
        <xdr:to>
          <xdr:col>5</xdr:col>
          <xdr:colOff>152400</xdr:colOff>
          <xdr:row>10</xdr:row>
          <xdr:rowOff>57150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2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xdr:colOff>
          <xdr:row>38</xdr:row>
          <xdr:rowOff>161925</xdr:rowOff>
        </xdr:from>
        <xdr:to>
          <xdr:col>7</xdr:col>
          <xdr:colOff>428625</xdr:colOff>
          <xdr:row>40</xdr:row>
          <xdr:rowOff>76200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2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257175</xdr:colOff>
          <xdr:row>38</xdr:row>
          <xdr:rowOff>171450</xdr:rowOff>
        </xdr:from>
        <xdr:to>
          <xdr:col>8</xdr:col>
          <xdr:colOff>581025</xdr:colOff>
          <xdr:row>40</xdr:row>
          <xdr:rowOff>85725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2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20</xdr:row>
      <xdr:rowOff>19051</xdr:rowOff>
    </xdr:from>
    <xdr:to>
      <xdr:col>5</xdr:col>
      <xdr:colOff>316339</xdr:colOff>
      <xdr:row>27</xdr:row>
      <xdr:rowOff>142875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3390900" y="3924301"/>
          <a:ext cx="1840339" cy="14573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mmonwell_Contractors_Conected_2022032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OfContents"/>
      <sheetName val="List"/>
      <sheetName val="Operations"/>
      <sheetName val="CMIG_NoWriteZones"/>
      <sheetName val="Test Sheet"/>
      <sheetName val="Map"/>
      <sheetName val="Calculator"/>
      <sheetName val="11.OperationClass - Factors"/>
      <sheetName val="Drops"/>
      <sheetName val="OpsSearch"/>
      <sheetName val="1.CommPkgAptRetOffChurRealty"/>
      <sheetName val="2.ContractorsPackages"/>
      <sheetName val="ChargesAdditivemultiplicative"/>
      <sheetName val="3.Home Based Business"/>
      <sheetName val="4.CommMultiplicativeDiscSur"/>
      <sheetName val="5.CommBLDGCNTSRates - Algo_Rate"/>
      <sheetName val="6.CommFloaters - Algo_Rates"/>
      <sheetName val="7.AddtlCoverage - Algo_Rates"/>
      <sheetName val="8.CommercialLiabExt - Algo_Rate"/>
      <sheetName val="9.CommIncomeExpense - Algo_Rate"/>
      <sheetName val="CyberOneDataCompromise"/>
      <sheetName val="10.FloodEarthquake - Factors"/>
      <sheetName val="12.CommCrime - Flat Factors"/>
      <sheetName val="13.CommercialPKG - Factors"/>
      <sheetName val="14.CommAdditiveDisc- Factors"/>
      <sheetName val="ProfessionE&amp;O"/>
      <sheetName val="Pollution"/>
      <sheetName val="CyberOneLimts"/>
      <sheetName val="DataCompromise"/>
      <sheetName val="BuildersRisk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1">
          <cell r="A1" t="str">
            <v>Industry Code</v>
          </cell>
        </row>
        <row r="2">
          <cell r="A2">
            <v>152201</v>
          </cell>
        </row>
        <row r="3">
          <cell r="A3">
            <v>152202</v>
          </cell>
        </row>
        <row r="4">
          <cell r="A4">
            <v>162500</v>
          </cell>
        </row>
        <row r="5">
          <cell r="A5">
            <v>173102</v>
          </cell>
        </row>
        <row r="6">
          <cell r="A6">
            <v>173600</v>
          </cell>
        </row>
        <row r="7">
          <cell r="A7">
            <v>173602</v>
          </cell>
        </row>
        <row r="8">
          <cell r="A8">
            <v>357000</v>
          </cell>
        </row>
        <row r="9">
          <cell r="A9">
            <v>357100</v>
          </cell>
        </row>
        <row r="10">
          <cell r="A10">
            <v>357200</v>
          </cell>
        </row>
        <row r="11">
          <cell r="A11">
            <v>359000</v>
          </cell>
        </row>
        <row r="12">
          <cell r="A12">
            <v>369000</v>
          </cell>
        </row>
        <row r="13">
          <cell r="A13">
            <v>491000</v>
          </cell>
        </row>
        <row r="14">
          <cell r="A14">
            <v>509101</v>
          </cell>
        </row>
        <row r="15">
          <cell r="A15">
            <v>509102</v>
          </cell>
        </row>
        <row r="16">
          <cell r="A16">
            <v>509200</v>
          </cell>
        </row>
        <row r="17">
          <cell r="A17">
            <v>552300</v>
          </cell>
        </row>
        <row r="18">
          <cell r="A18">
            <v>740801</v>
          </cell>
        </row>
        <row r="19">
          <cell r="A19">
            <v>769200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EFA0C7-260A-4923-9BA3-2A37EF789674}" name="Table2" displayName="Table2" ref="A11:G48" totalsRowShown="0" headerRowDxfId="17" dataDxfId="16" headerRowCellStyle="Currency" dataCellStyle="Currency">
  <autoFilter ref="A11:G48" xr:uid="{1323A832-9370-4C02-82A3-3206BF51BCB9}"/>
  <tableColumns count="7">
    <tableColumn id="1" xr3:uid="{71C1628E-C6A0-4E86-A67A-D988FF1F141E}" name="Item Type" dataDxfId="15"/>
    <tableColumn id="2" xr3:uid="{9EEA56D5-F90C-4D5A-B7D2-9E38CD214C57}" name="Coverage" dataDxfId="14"/>
    <tableColumn id="3" xr3:uid="{5378E7E5-EFC4-422A-A2FE-FE065DEAC86C}" name="Deductible" dataDxfId="13" dataCellStyle="Currency"/>
    <tableColumn id="7" xr3:uid="{0A334F1A-64AE-465C-B241-642976B53033}" name="Co-Ins" dataDxfId="12" dataCellStyle="Percent"/>
    <tableColumn id="4" xr3:uid="{C9ABADFF-3957-469C-811B-E79457A654C3}" name="Limit" dataDxfId="11" dataCellStyle="Currency"/>
    <tableColumn id="5" xr3:uid="{8E157007-A479-43AD-A3DB-B63F5F0AFA04}" name="Rate" dataDxfId="10" dataCellStyle="Currency"/>
    <tableColumn id="6" xr3:uid="{A85775B7-1F59-4CB9-B6EC-7806E84DF708}" name="Premium" dataDxfId="9" dataCellStyle="Currency"/>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hyperlink" Target="mailto:nickthekidd@ymail.com" TargetMode="External"/><Relationship Id="rId16" Type="http://schemas.openxmlformats.org/officeDocument/2006/relationships/ctrlProp" Target="../ctrlProps/ctrlProp12.xml"/><Relationship Id="rId1" Type="http://schemas.openxmlformats.org/officeDocument/2006/relationships/hyperlink" Target="http://www.whatever.com/" TargetMode="External"/><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6680-C1C0-444B-ABFE-738D84C00F4A}">
  <sheetPr codeName="Sheet31">
    <tabColor theme="4"/>
  </sheetPr>
  <dimension ref="A1:AQ312"/>
  <sheetViews>
    <sheetView tabSelected="1" zoomScaleNormal="100" workbookViewId="0">
      <selection activeCell="B10" sqref="B10"/>
    </sheetView>
  </sheetViews>
  <sheetFormatPr defaultColWidth="9.140625" defaultRowHeight="15" outlineLevelCol="1" x14ac:dyDescent="0.25"/>
  <cols>
    <col min="1" max="1" width="20.7109375" style="22" customWidth="1"/>
    <col min="2" max="2" width="74.85546875" style="173" customWidth="1"/>
    <col min="3" max="3" width="28.28515625" style="195" customWidth="1"/>
    <col min="4" max="4" width="3.85546875" style="196" customWidth="1"/>
    <col min="5" max="5" width="54.28515625" style="173" customWidth="1"/>
    <col min="6" max="6" width="25.140625" style="173" customWidth="1"/>
    <col min="7" max="7" width="22.5703125" style="173" customWidth="1"/>
    <col min="8" max="8" width="18" style="175" customWidth="1"/>
    <col min="9" max="9" width="18.5703125" style="175" customWidth="1"/>
    <col min="10" max="10" width="10.140625" style="175" customWidth="1"/>
    <col min="11" max="11" width="9.85546875" style="175" customWidth="1"/>
    <col min="12" max="12" width="11.28515625" style="175" customWidth="1"/>
    <col min="13" max="13" width="18.42578125" style="173" customWidth="1"/>
    <col min="14" max="14" width="16.42578125" style="198" customWidth="1"/>
    <col min="15" max="15" width="12.28515625" style="173" customWidth="1" outlineLevel="1"/>
    <col min="16" max="16" width="12" style="173" customWidth="1" outlineLevel="1"/>
    <col min="17" max="17" width="64.42578125" style="173" customWidth="1" outlineLevel="1"/>
    <col min="18" max="18" width="33.140625" style="173" customWidth="1" outlineLevel="1"/>
    <col min="19" max="19" width="20.7109375" style="173" customWidth="1" outlineLevel="1"/>
    <col min="20" max="20" width="26.140625" style="173" customWidth="1" outlineLevel="1"/>
    <col min="21" max="21" width="13.85546875" style="173" customWidth="1" outlineLevel="1" collapsed="1"/>
    <col min="22" max="22" width="15" style="173" customWidth="1" outlineLevel="1"/>
    <col min="23" max="27" width="9.140625" style="173" hidden="1" customWidth="1" outlineLevel="1"/>
    <col min="28" max="28" width="9.140625" style="173" customWidth="1" outlineLevel="1"/>
    <col min="29" max="29" width="82" style="196" customWidth="1"/>
    <col min="30" max="30" width="32.28515625" style="195" customWidth="1"/>
    <col min="31" max="31" width="51.140625" style="196" customWidth="1"/>
    <col min="32" max="32" width="51.140625" style="173" customWidth="1"/>
    <col min="33" max="33" width="32.28515625" style="370" customWidth="1"/>
    <col min="34" max="34" width="9.42578125" style="173" customWidth="1"/>
    <col min="35" max="35" width="46.42578125" style="173" customWidth="1"/>
    <col min="36" max="36" width="27.5703125" style="200" customWidth="1"/>
    <col min="37" max="37" width="27.5703125" style="198" customWidth="1"/>
    <col min="38" max="39" width="14.140625" style="173" customWidth="1"/>
    <col min="40" max="40" width="16" style="173" customWidth="1"/>
    <col min="41" max="16384" width="9.140625" style="173"/>
  </cols>
  <sheetData>
    <row r="1" spans="1:38" s="188" customFormat="1" ht="23.25" x14ac:dyDescent="0.35">
      <c r="A1" s="176"/>
      <c r="B1" s="177" t="s">
        <v>335</v>
      </c>
      <c r="C1" s="178"/>
      <c r="D1" s="179" t="s">
        <v>336</v>
      </c>
      <c r="E1" s="180"/>
      <c r="F1" s="180"/>
      <c r="G1" s="180"/>
      <c r="H1" s="181"/>
      <c r="I1" s="181"/>
      <c r="J1" s="181"/>
      <c r="K1" s="181"/>
      <c r="L1" s="181"/>
      <c r="M1" s="180"/>
      <c r="N1" s="182"/>
      <c r="O1" s="183" t="s">
        <v>337</v>
      </c>
      <c r="P1" s="183"/>
      <c r="Q1" s="183"/>
      <c r="R1" s="183"/>
      <c r="S1" s="183"/>
      <c r="T1" s="183"/>
      <c r="U1" s="183"/>
      <c r="V1" s="183"/>
      <c r="W1" s="183"/>
      <c r="X1" s="183"/>
      <c r="Y1" s="183"/>
      <c r="Z1" s="183"/>
      <c r="AA1" s="183"/>
      <c r="AB1" s="183"/>
      <c r="AC1" s="184" t="s">
        <v>338</v>
      </c>
      <c r="AD1" s="185"/>
      <c r="AE1" s="186" t="s">
        <v>339</v>
      </c>
      <c r="AF1" s="187"/>
      <c r="AG1" s="369"/>
      <c r="AH1" s="188" t="s">
        <v>340</v>
      </c>
      <c r="AJ1" s="189"/>
      <c r="AK1" s="190"/>
    </row>
    <row r="2" spans="1:38" s="194" customFormat="1" ht="15.75" thickBot="1" x14ac:dyDescent="0.3">
      <c r="A2" s="191"/>
      <c r="B2" s="405" t="s">
        <v>341</v>
      </c>
      <c r="C2" s="406"/>
      <c r="D2" s="407" t="s">
        <v>342</v>
      </c>
      <c r="E2" s="408"/>
      <c r="F2" s="408"/>
      <c r="G2" s="408"/>
      <c r="H2" s="408"/>
      <c r="I2" s="408"/>
      <c r="J2" s="408"/>
      <c r="K2" s="408"/>
      <c r="L2" s="408"/>
      <c r="M2" s="408"/>
      <c r="N2" s="409"/>
      <c r="O2" s="192" t="s">
        <v>1012</v>
      </c>
      <c r="P2" s="193"/>
      <c r="Q2" s="193"/>
      <c r="R2" s="193"/>
      <c r="S2" s="193"/>
      <c r="T2" s="193"/>
      <c r="U2" s="193"/>
      <c r="V2" s="193"/>
      <c r="W2" s="193"/>
      <c r="X2" s="193"/>
      <c r="Y2" s="193"/>
      <c r="Z2" s="193"/>
      <c r="AA2" s="193"/>
      <c r="AB2" s="193"/>
      <c r="AC2" s="410" t="s">
        <v>343</v>
      </c>
      <c r="AD2" s="411"/>
      <c r="AE2" s="412" t="s">
        <v>344</v>
      </c>
      <c r="AF2" s="413"/>
      <c r="AG2" s="414"/>
      <c r="AH2" s="399" t="s">
        <v>345</v>
      </c>
      <c r="AI2" s="400"/>
      <c r="AJ2" s="400"/>
      <c r="AK2" s="401"/>
    </row>
    <row r="3" spans="1:38" ht="17.25" x14ac:dyDescent="0.3">
      <c r="I3" s="308"/>
      <c r="K3" s="307"/>
    </row>
    <row r="4" spans="1:38" x14ac:dyDescent="0.25">
      <c r="E4" s="151" t="s">
        <v>346</v>
      </c>
      <c r="F4" s="151"/>
      <c r="G4" s="23">
        <f ca="1">SUM($J$9:$J$89)</f>
        <v>11</v>
      </c>
      <c r="H4" s="197" t="s">
        <v>347</v>
      </c>
      <c r="I4" s="22" t="str">
        <f ca="1">IF(G4=0,"Quote",IF(G5=0,"Refer","Decline"))</f>
        <v>Decline</v>
      </c>
      <c r="O4" s="199" t="s">
        <v>1007</v>
      </c>
    </row>
    <row r="5" spans="1:38" ht="21" customHeight="1" thickBot="1" x14ac:dyDescent="0.3">
      <c r="A5" s="201"/>
      <c r="B5" s="202" t="s">
        <v>348</v>
      </c>
      <c r="C5" s="203" t="s">
        <v>349</v>
      </c>
      <c r="E5" s="151" t="s">
        <v>350</v>
      </c>
      <c r="F5" s="151"/>
      <c r="G5" s="22">
        <f ca="1">SUM($L$9:$L$137)</f>
        <v>11</v>
      </c>
      <c r="H5" s="197" t="s">
        <v>351</v>
      </c>
      <c r="I5" s="402" t="str" cm="1">
        <f t="array" ref="I5">IFERROR(INDEX($M$9:$M$100,MATCH(TRUE,$M$9:$M$100&lt;&gt;"",0)),"")</f>
        <v>Previous cancellations, declination or refusals to renew</v>
      </c>
      <c r="J5" s="402"/>
      <c r="K5" s="402"/>
      <c r="L5" s="402"/>
      <c r="M5" s="402"/>
      <c r="N5" s="403"/>
      <c r="O5" s="204" t="s">
        <v>1011</v>
      </c>
      <c r="P5" s="205" t="s">
        <v>1008</v>
      </c>
      <c r="Q5" s="205" t="s">
        <v>1009</v>
      </c>
      <c r="R5" s="205" t="s">
        <v>1010</v>
      </c>
      <c r="AC5" s="206" t="s">
        <v>348</v>
      </c>
      <c r="AD5" s="207" t="s">
        <v>349</v>
      </c>
      <c r="AE5" s="206" t="s">
        <v>352</v>
      </c>
      <c r="AF5" s="208" t="s">
        <v>353</v>
      </c>
      <c r="AG5" s="371" t="s">
        <v>349</v>
      </c>
      <c r="AH5" s="173" t="s">
        <v>354</v>
      </c>
      <c r="AI5" s="173" t="s">
        <v>355</v>
      </c>
      <c r="AJ5" s="209" t="s">
        <v>356</v>
      </c>
      <c r="AK5" s="198" t="s">
        <v>357</v>
      </c>
    </row>
    <row r="6" spans="1:38" ht="17.25" thickTop="1" x14ac:dyDescent="0.25">
      <c r="A6" s="22" t="s">
        <v>358</v>
      </c>
      <c r="B6" s="210" t="s">
        <v>359</v>
      </c>
      <c r="C6" s="214"/>
      <c r="E6" s="151"/>
      <c r="F6" s="151"/>
      <c r="G6" s="22"/>
      <c r="H6" s="197" t="s">
        <v>360</v>
      </c>
      <c r="I6" s="402" t="str" cm="1">
        <f t="array" aca="1" ref="I6" ca="1">IFERROR(INDEX($N$9:$N$100,MATCH(TRUE,$N$9:$N$100&lt;&gt;"",0)),"")</f>
        <v/>
      </c>
      <c r="J6" s="402"/>
      <c r="K6" s="402"/>
      <c r="L6" s="402"/>
      <c r="M6" s="402"/>
      <c r="N6" s="403"/>
      <c r="O6" s="270"/>
      <c r="P6" s="270"/>
      <c r="Q6" s="271"/>
      <c r="R6" s="271"/>
      <c r="S6" s="272"/>
      <c r="T6" s="272"/>
      <c r="U6" s="272"/>
      <c r="V6" s="272"/>
      <c r="AC6" s="309" t="s">
        <v>1165</v>
      </c>
      <c r="AD6" s="358">
        <f>U93</f>
        <v>0</v>
      </c>
      <c r="AE6" s="212"/>
      <c r="AF6" s="213"/>
      <c r="AG6" s="372"/>
    </row>
    <row r="7" spans="1:38" x14ac:dyDescent="0.25">
      <c r="A7" s="22" t="s">
        <v>363</v>
      </c>
      <c r="B7" s="210" t="s">
        <v>364</v>
      </c>
      <c r="C7" s="214"/>
      <c r="E7" s="151"/>
      <c r="F7" s="151"/>
      <c r="G7" s="22"/>
      <c r="K7" s="197"/>
      <c r="M7" s="22"/>
      <c r="O7" s="270"/>
      <c r="P7" s="270"/>
      <c r="Q7" s="271"/>
      <c r="R7" s="271"/>
      <c r="S7" s="272"/>
      <c r="T7" s="272"/>
      <c r="U7" s="272"/>
      <c r="V7" s="272"/>
      <c r="AC7" s="309" t="s">
        <v>1369</v>
      </c>
      <c r="AD7" s="358">
        <f>U94</f>
        <v>0</v>
      </c>
      <c r="AE7" s="211" t="s">
        <v>366</v>
      </c>
      <c r="AF7" s="210"/>
      <c r="AG7" s="231" t="s">
        <v>1295</v>
      </c>
      <c r="AH7" s="173">
        <v>1</v>
      </c>
      <c r="AI7" s="173" t="s">
        <v>367</v>
      </c>
      <c r="AJ7" s="209" t="str">
        <f ca="1">IFERROR(VLOOKUP(AI7,$AF$7:$AG$237,2,FALSE),"")</f>
        <v>Decline</v>
      </c>
    </row>
    <row r="8" spans="1:38" ht="30.75" thickBot="1" x14ac:dyDescent="0.3">
      <c r="A8" s="22">
        <v>650000</v>
      </c>
      <c r="B8" s="210" t="s">
        <v>368</v>
      </c>
      <c r="C8" s="214"/>
      <c r="D8" s="404" t="s">
        <v>370</v>
      </c>
      <c r="E8" s="404"/>
      <c r="F8" s="215" t="s">
        <v>371</v>
      </c>
      <c r="G8" s="216" t="s">
        <v>372</v>
      </c>
      <c r="H8" s="217" t="s">
        <v>373</v>
      </c>
      <c r="I8" s="217" t="s">
        <v>374</v>
      </c>
      <c r="J8" s="217" t="s">
        <v>375</v>
      </c>
      <c r="K8" s="217" t="s">
        <v>376</v>
      </c>
      <c r="L8" s="217" t="s">
        <v>377</v>
      </c>
      <c r="M8" s="217" t="s">
        <v>378</v>
      </c>
      <c r="N8" s="218" t="s">
        <v>379</v>
      </c>
      <c r="O8" s="270"/>
      <c r="P8" s="270"/>
      <c r="Q8" s="271"/>
      <c r="R8" s="271"/>
      <c r="S8" s="272"/>
      <c r="T8" s="272"/>
      <c r="U8" s="272"/>
      <c r="V8" s="272"/>
      <c r="AC8" s="309" t="s">
        <v>1166</v>
      </c>
      <c r="AD8" s="359" t="str">
        <f>$U$68</f>
        <v>Wood Frame/All Other</v>
      </c>
      <c r="AE8" s="211" t="s">
        <v>381</v>
      </c>
      <c r="AF8" s="210"/>
      <c r="AG8" s="231" t="s">
        <v>382</v>
      </c>
      <c r="AH8" s="173">
        <v>2</v>
      </c>
      <c r="AI8" s="173" t="s">
        <v>383</v>
      </c>
      <c r="AJ8" s="209" t="str">
        <f ca="1">IFERROR(VLOOKUP(AI8,$AF$7:$AG$237,2,FALSE),"")</f>
        <v>Previous cancellations, declination or refusals to renew</v>
      </c>
    </row>
    <row r="9" spans="1:38" x14ac:dyDescent="0.25">
      <c r="A9" s="22">
        <v>650100</v>
      </c>
      <c r="B9" s="210" t="s">
        <v>384</v>
      </c>
      <c r="C9" s="214"/>
      <c r="D9" s="291">
        <v>1</v>
      </c>
      <c r="E9" s="219" t="s">
        <v>385</v>
      </c>
      <c r="F9" s="219" t="s">
        <v>386</v>
      </c>
      <c r="G9" s="219" t="s">
        <v>387</v>
      </c>
      <c r="H9" s="220">
        <f>C17</f>
        <v>0</v>
      </c>
      <c r="I9" s="220" t="s">
        <v>369</v>
      </c>
      <c r="J9" s="220">
        <f>IF(H9="No",0,1)</f>
        <v>1</v>
      </c>
      <c r="K9" s="220" t="s">
        <v>388</v>
      </c>
      <c r="L9" s="220">
        <f>IF(J9=0,0,IF(K9="Y",0,1))</f>
        <v>1</v>
      </c>
      <c r="M9" s="219" t="str">
        <f>IF(J9=1,F9,"")</f>
        <v>Previous cancellations, declination or refusals to renew</v>
      </c>
      <c r="N9" s="221" t="str">
        <f>IF(M9="","",IF(L9=0,F9,""))</f>
        <v/>
      </c>
      <c r="O9" s="289">
        <v>73500</v>
      </c>
      <c r="P9" s="270">
        <v>735</v>
      </c>
      <c r="Q9" s="271" t="s">
        <v>94</v>
      </c>
      <c r="R9" s="271" t="s">
        <v>1013</v>
      </c>
      <c r="S9" s="272"/>
      <c r="T9" s="272"/>
      <c r="U9" s="272"/>
      <c r="V9" s="272"/>
      <c r="W9" s="274"/>
      <c r="X9" s="274"/>
      <c r="Y9" s="274"/>
      <c r="Z9" s="274"/>
      <c r="AA9" s="274"/>
      <c r="AB9" s="274"/>
      <c r="AC9" s="309" t="s">
        <v>1167</v>
      </c>
      <c r="AD9" s="358" t="str">
        <f>U59</f>
        <v>Fire Hall Protected</v>
      </c>
      <c r="AE9" s="211" t="s">
        <v>356</v>
      </c>
      <c r="AF9" s="173" t="s">
        <v>367</v>
      </c>
      <c r="AG9" s="231" t="str">
        <f ca="1">$I$4</f>
        <v>Decline</v>
      </c>
      <c r="AH9" s="173">
        <v>3</v>
      </c>
      <c r="AI9" s="173" t="s">
        <v>1296</v>
      </c>
      <c r="AJ9" s="209" t="str">
        <f ca="1">IFERROR(VLOOKUP(AI9,$AF$7:$AG$237,2,FALSE),"")</f>
        <v/>
      </c>
    </row>
    <row r="10" spans="1:38" x14ac:dyDescent="0.25">
      <c r="A10" s="222">
        <v>510</v>
      </c>
      <c r="B10" s="210" t="s">
        <v>391</v>
      </c>
      <c r="C10" s="341"/>
      <c r="D10" s="223">
        <v>2</v>
      </c>
      <c r="E10" s="210" t="s">
        <v>395</v>
      </c>
      <c r="F10" s="173" t="s">
        <v>396</v>
      </c>
      <c r="G10" s="173" t="s">
        <v>397</v>
      </c>
      <c r="H10" s="224">
        <f>IF(C18="",0,VALUE(C18))</f>
        <v>0</v>
      </c>
      <c r="I10" s="224" t="str">
        <f t="shared" ref="I10:I19" si="0">IF(H10=0,"",IFERROR(VLOOKUP(H10,$O$6:$P$41,2,FALSE),"No Match"))</f>
        <v/>
      </c>
      <c r="J10" s="224">
        <f>IF(I10="No Match",1,IF(H10=0,1,0))</f>
        <v>1</v>
      </c>
      <c r="K10" s="224" t="s">
        <v>388</v>
      </c>
      <c r="L10" s="224">
        <f>IF(J10=0,0,IF(K10="Y",0,1))</f>
        <v>1</v>
      </c>
      <c r="M10" s="210" t="str">
        <f t="shared" ref="M10:M73" si="1">IF(J10=1,F10,"")</f>
        <v>Operation #1 not acceptable</v>
      </c>
      <c r="N10" s="225" t="str">
        <f t="shared" ref="N10:N73" si="2">IF(M10="","",IF(L10=0,F10,""))</f>
        <v/>
      </c>
      <c r="O10" s="289">
        <v>152200</v>
      </c>
      <c r="P10" s="270">
        <v>1522</v>
      </c>
      <c r="Q10" s="271" t="s">
        <v>1028</v>
      </c>
      <c r="R10" s="271" t="s">
        <v>1014</v>
      </c>
      <c r="S10" s="272"/>
      <c r="T10" s="272"/>
      <c r="U10" s="272"/>
      <c r="V10" s="272"/>
      <c r="W10" s="274"/>
      <c r="X10" s="274"/>
      <c r="Y10" s="274"/>
      <c r="Z10" s="274"/>
      <c r="AA10" s="274"/>
      <c r="AB10" s="274"/>
      <c r="AC10" s="309" t="s">
        <v>522</v>
      </c>
      <c r="AD10" s="359">
        <f>$Q$53</f>
        <v>0</v>
      </c>
      <c r="AE10" s="211" t="s">
        <v>392</v>
      </c>
      <c r="AF10" s="210" t="s">
        <v>383</v>
      </c>
      <c r="AG10" s="231" t="str">
        <f ca="1">IF(AG9="Refer",I6,IF(AG9="Decline",I5,"Send bind request to Halwell Mutual"))</f>
        <v>Previous cancellations, declination or refusals to renew</v>
      </c>
      <c r="AH10" s="173">
        <v>4</v>
      </c>
      <c r="AI10" s="173" t="s">
        <v>1297</v>
      </c>
      <c r="AJ10" s="209">
        <f>IFERROR(VLOOKUP(AI10,$AF$7:$AG$237,2,FALSE),"")</f>
        <v>0</v>
      </c>
    </row>
    <row r="11" spans="1:38" x14ac:dyDescent="0.25">
      <c r="A11" s="222">
        <v>513</v>
      </c>
      <c r="B11" s="210" t="s">
        <v>393</v>
      </c>
      <c r="C11" s="214"/>
      <c r="D11" s="223">
        <v>3</v>
      </c>
      <c r="E11" s="210" t="s">
        <v>401</v>
      </c>
      <c r="F11" s="173" t="s">
        <v>402</v>
      </c>
      <c r="G11" s="173" t="s">
        <v>403</v>
      </c>
      <c r="H11" s="224">
        <f>IF(C25="",0,VALUE(C25))</f>
        <v>0</v>
      </c>
      <c r="I11" s="224" t="str">
        <f t="shared" si="0"/>
        <v/>
      </c>
      <c r="J11" s="224">
        <f t="shared" ref="J11:J19" si="3">IF(I11="No Match",1,0)</f>
        <v>0</v>
      </c>
      <c r="K11" s="224" t="s">
        <v>388</v>
      </c>
      <c r="L11" s="224">
        <f t="shared" ref="L11:L19" si="4">IF(J11=0,0,IF(K11="Y",0,1))</f>
        <v>0</v>
      </c>
      <c r="M11" s="210" t="str">
        <f t="shared" si="1"/>
        <v/>
      </c>
      <c r="N11" s="225" t="str">
        <f t="shared" si="2"/>
        <v/>
      </c>
      <c r="O11" s="289">
        <v>153200</v>
      </c>
      <c r="P11" s="270">
        <v>1532</v>
      </c>
      <c r="Q11" s="271" t="s">
        <v>92</v>
      </c>
      <c r="R11" s="271" t="s">
        <v>562</v>
      </c>
      <c r="S11" s="272"/>
      <c r="T11" s="272"/>
      <c r="U11" s="272"/>
      <c r="V11" s="272"/>
      <c r="W11" s="274"/>
      <c r="X11" s="274"/>
      <c r="Y11" s="274"/>
      <c r="Z11" s="274"/>
      <c r="AA11" s="274"/>
      <c r="AB11" s="274"/>
      <c r="AC11" s="309" t="s">
        <v>1168</v>
      </c>
      <c r="AD11" s="358">
        <f>$U$241</f>
        <v>0</v>
      </c>
      <c r="AE11" s="211" t="s">
        <v>1</v>
      </c>
      <c r="AF11" s="377" t="s">
        <v>1329</v>
      </c>
      <c r="AG11" s="231" t="str">
        <f ca="1">IF($AG$9="Quote",Calculator!$F$183,"")</f>
        <v/>
      </c>
      <c r="AH11" s="173">
        <v>5</v>
      </c>
      <c r="AI11" s="173" t="s">
        <v>399</v>
      </c>
      <c r="AJ11" s="209"/>
    </row>
    <row r="12" spans="1:38" x14ac:dyDescent="0.25">
      <c r="A12" s="222">
        <v>533</v>
      </c>
      <c r="B12" s="210" t="s">
        <v>400</v>
      </c>
      <c r="C12" s="342"/>
      <c r="D12" s="223">
        <v>4</v>
      </c>
      <c r="E12" s="210" t="s">
        <v>408</v>
      </c>
      <c r="F12" s="173" t="s">
        <v>409</v>
      </c>
      <c r="G12" s="173" t="s">
        <v>410</v>
      </c>
      <c r="H12" s="224">
        <f>IF(C32="",0,VALUE(C32))</f>
        <v>0</v>
      </c>
      <c r="I12" s="224" t="str">
        <f t="shared" si="0"/>
        <v/>
      </c>
      <c r="J12" s="224">
        <f t="shared" si="3"/>
        <v>0</v>
      </c>
      <c r="K12" s="224" t="s">
        <v>388</v>
      </c>
      <c r="L12" s="224">
        <f t="shared" si="4"/>
        <v>0</v>
      </c>
      <c r="M12" s="210" t="str">
        <f t="shared" si="1"/>
        <v/>
      </c>
      <c r="N12" s="225" t="str">
        <f t="shared" si="2"/>
        <v/>
      </c>
      <c r="O12" s="289">
        <v>153400</v>
      </c>
      <c r="P12" s="270">
        <v>1534</v>
      </c>
      <c r="Q12" s="271" t="s">
        <v>289</v>
      </c>
      <c r="R12" s="271" t="s">
        <v>1015</v>
      </c>
      <c r="S12" s="272"/>
      <c r="T12" s="272"/>
      <c r="U12" s="272"/>
      <c r="V12" s="272"/>
      <c r="AC12" s="309" t="s">
        <v>1169</v>
      </c>
      <c r="AD12" s="359">
        <f>U235</f>
        <v>0</v>
      </c>
      <c r="AE12" s="211" t="s">
        <v>1420</v>
      </c>
      <c r="AF12" s="173" t="s">
        <v>390</v>
      </c>
      <c r="AG12" s="231" t="str">
        <f ca="1">IF($AG$9="Quote",AG11+AG13,"")</f>
        <v/>
      </c>
      <c r="AH12" s="173">
        <v>6</v>
      </c>
      <c r="AI12" s="173" t="s">
        <v>406</v>
      </c>
      <c r="AJ12" s="209"/>
    </row>
    <row r="13" spans="1:38" x14ac:dyDescent="0.25">
      <c r="A13" s="222">
        <v>10508</v>
      </c>
      <c r="B13" s="210" t="s">
        <v>407</v>
      </c>
      <c r="C13" s="214"/>
      <c r="D13" s="223">
        <v>5</v>
      </c>
      <c r="E13" s="210" t="s">
        <v>413</v>
      </c>
      <c r="F13" s="173" t="s">
        <v>414</v>
      </c>
      <c r="G13" s="173" t="s">
        <v>415</v>
      </c>
      <c r="H13" s="224">
        <f>IF(C39="",0,VALUE(C39))</f>
        <v>0</v>
      </c>
      <c r="I13" s="224" t="str">
        <f t="shared" si="0"/>
        <v/>
      </c>
      <c r="J13" s="224">
        <f t="shared" si="3"/>
        <v>0</v>
      </c>
      <c r="K13" s="224" t="s">
        <v>388</v>
      </c>
      <c r="L13" s="224">
        <f t="shared" si="4"/>
        <v>0</v>
      </c>
      <c r="M13" s="210" t="str">
        <f t="shared" si="1"/>
        <v/>
      </c>
      <c r="N13" s="225" t="str">
        <f t="shared" si="2"/>
        <v/>
      </c>
      <c r="O13" s="289">
        <v>153500</v>
      </c>
      <c r="P13" s="270">
        <v>1535</v>
      </c>
      <c r="Q13" s="271" t="s">
        <v>120</v>
      </c>
      <c r="R13" s="271" t="s">
        <v>472</v>
      </c>
      <c r="S13" s="272"/>
      <c r="T13" s="272"/>
      <c r="U13" s="272"/>
      <c r="V13" s="272"/>
      <c r="W13" s="274"/>
      <c r="X13" s="274"/>
      <c r="Y13" s="274"/>
      <c r="Z13" s="274"/>
      <c r="AA13" s="274"/>
      <c r="AB13" s="274"/>
      <c r="AC13" s="309" t="s">
        <v>1170</v>
      </c>
      <c r="AD13" s="358">
        <f>$U$119</f>
        <v>0</v>
      </c>
      <c r="AE13" s="211" t="s">
        <v>405</v>
      </c>
      <c r="AF13" s="173" t="s">
        <v>1297</v>
      </c>
      <c r="AG13" s="231">
        <f>0</f>
        <v>0</v>
      </c>
      <c r="AH13" s="226">
        <v>7</v>
      </c>
      <c r="AI13" s="174" t="s">
        <v>411</v>
      </c>
      <c r="AJ13" s="227" t="str">
        <f t="shared" ref="AJ13:AJ76" ca="1" si="5">IFERROR(IF($AJ$7&lt;&gt;"Quote","",IF(VLOOKUP(AI13,$AF$7:$AG$237,2,FALSE)=0,"-",VLOOKUP(AI13,$AF$7:$AG$237,2,FALSE))),"-")</f>
        <v/>
      </c>
      <c r="AK13" s="228"/>
      <c r="AL13" s="173" t="str">
        <f t="shared" ref="AL13:AL76" si="6">IFERROR(VLOOKUP(AI13,$AF$7:$AF$203,1,FALSE),"")</f>
        <v>Accounts receivable</v>
      </c>
    </row>
    <row r="14" spans="1:38" x14ac:dyDescent="0.25">
      <c r="A14" s="222">
        <v>519</v>
      </c>
      <c r="B14" s="210" t="s">
        <v>412</v>
      </c>
      <c r="C14" s="214"/>
      <c r="D14" s="223">
        <v>6</v>
      </c>
      <c r="E14" s="210" t="s">
        <v>419</v>
      </c>
      <c r="F14" s="173" t="s">
        <v>420</v>
      </c>
      <c r="G14" s="173" t="s">
        <v>421</v>
      </c>
      <c r="H14" s="224">
        <f>IF(C46="",0,VALUE(C46))</f>
        <v>0</v>
      </c>
      <c r="I14" s="224" t="str">
        <f t="shared" si="0"/>
        <v/>
      </c>
      <c r="J14" s="224">
        <f t="shared" si="3"/>
        <v>0</v>
      </c>
      <c r="K14" s="224" t="s">
        <v>388</v>
      </c>
      <c r="L14" s="224">
        <f t="shared" si="4"/>
        <v>0</v>
      </c>
      <c r="M14" s="210" t="str">
        <f t="shared" si="1"/>
        <v/>
      </c>
      <c r="N14" s="225" t="str">
        <f t="shared" si="2"/>
        <v/>
      </c>
      <c r="O14" s="289">
        <v>171500</v>
      </c>
      <c r="P14" s="270">
        <v>1715</v>
      </c>
      <c r="Q14" s="271" t="s">
        <v>1029</v>
      </c>
      <c r="R14" s="271" t="s">
        <v>1016</v>
      </c>
      <c r="S14" s="272"/>
      <c r="T14" s="272"/>
      <c r="U14" s="272"/>
      <c r="V14" s="272"/>
      <c r="AC14" s="309" t="s">
        <v>1171</v>
      </c>
      <c r="AD14" s="359">
        <f>U310</f>
        <v>0</v>
      </c>
      <c r="AE14" s="211" t="s">
        <v>33</v>
      </c>
      <c r="AF14" s="274" t="s">
        <v>504</v>
      </c>
      <c r="AG14" s="231" t="str">
        <f ca="1">IF($AG$9="Quote","Included","")</f>
        <v/>
      </c>
      <c r="AH14" s="173">
        <v>8</v>
      </c>
      <c r="AI14" s="173" t="s">
        <v>417</v>
      </c>
      <c r="AJ14" s="209" t="str">
        <f t="shared" ca="1" si="5"/>
        <v/>
      </c>
      <c r="AL14" s="274" t="str">
        <f t="shared" si="6"/>
        <v>Arson reward</v>
      </c>
    </row>
    <row r="15" spans="1:38" x14ac:dyDescent="0.25">
      <c r="A15" s="222">
        <v>502</v>
      </c>
      <c r="B15" s="210" t="s">
        <v>418</v>
      </c>
      <c r="C15" s="214"/>
      <c r="D15" s="223">
        <v>7</v>
      </c>
      <c r="E15" s="210" t="s">
        <v>425</v>
      </c>
      <c r="F15" s="173" t="s">
        <v>426</v>
      </c>
      <c r="G15" s="173" t="s">
        <v>427</v>
      </c>
      <c r="H15" s="224">
        <f>IF(C53="",0,VALUE(C53))</f>
        <v>0</v>
      </c>
      <c r="I15" s="224" t="str">
        <f t="shared" si="0"/>
        <v/>
      </c>
      <c r="J15" s="224">
        <f t="shared" si="3"/>
        <v>0</v>
      </c>
      <c r="K15" s="224" t="s">
        <v>388</v>
      </c>
      <c r="L15" s="224">
        <f t="shared" si="4"/>
        <v>0</v>
      </c>
      <c r="M15" s="210" t="str">
        <f t="shared" si="1"/>
        <v/>
      </c>
      <c r="N15" s="225" t="str">
        <f t="shared" si="2"/>
        <v/>
      </c>
      <c r="O15" s="289">
        <v>171701</v>
      </c>
      <c r="P15" s="270">
        <v>1717</v>
      </c>
      <c r="Q15" s="271" t="s">
        <v>276</v>
      </c>
      <c r="R15" s="271" t="s">
        <v>361</v>
      </c>
      <c r="S15" s="272"/>
      <c r="T15" s="272"/>
      <c r="U15" s="272"/>
      <c r="V15" s="272"/>
      <c r="AC15" s="309" t="s">
        <v>1172</v>
      </c>
      <c r="AD15" s="359">
        <f>U311</f>
        <v>0</v>
      </c>
      <c r="AE15" s="211" t="s">
        <v>35</v>
      </c>
      <c r="AF15" s="398"/>
      <c r="AG15" s="231" t="str">
        <f ca="1">IF($AG$9="Quote","Included","")</f>
        <v/>
      </c>
      <c r="AH15" s="173">
        <v>9</v>
      </c>
      <c r="AI15" s="173" t="s">
        <v>423</v>
      </c>
      <c r="AJ15" s="209" t="str">
        <f t="shared" ca="1" si="5"/>
        <v/>
      </c>
      <c r="AL15" s="274" t="str">
        <f t="shared" si="6"/>
        <v>Bailees customer form</v>
      </c>
    </row>
    <row r="16" spans="1:38" x14ac:dyDescent="0.25">
      <c r="A16" s="222">
        <v>523</v>
      </c>
      <c r="B16" s="210" t="s">
        <v>424</v>
      </c>
      <c r="C16" s="342"/>
      <c r="D16" s="223">
        <v>8</v>
      </c>
      <c r="E16" s="210" t="s">
        <v>431</v>
      </c>
      <c r="F16" s="173" t="s">
        <v>432</v>
      </c>
      <c r="G16" s="173" t="s">
        <v>433</v>
      </c>
      <c r="H16" s="224">
        <f>IF(C60="",0,VALUE(C60))</f>
        <v>0</v>
      </c>
      <c r="I16" s="224" t="str">
        <f t="shared" si="0"/>
        <v/>
      </c>
      <c r="J16" s="224">
        <f t="shared" si="3"/>
        <v>0</v>
      </c>
      <c r="K16" s="224" t="s">
        <v>388</v>
      </c>
      <c r="L16" s="224">
        <f t="shared" si="4"/>
        <v>0</v>
      </c>
      <c r="M16" s="210" t="str">
        <f t="shared" si="1"/>
        <v/>
      </c>
      <c r="N16" s="225" t="str">
        <f t="shared" si="2"/>
        <v/>
      </c>
      <c r="O16" s="289">
        <v>171702</v>
      </c>
      <c r="P16" s="270">
        <v>1717</v>
      </c>
      <c r="Q16" s="271" t="s">
        <v>276</v>
      </c>
      <c r="R16" s="271" t="s">
        <v>365</v>
      </c>
      <c r="S16" s="272"/>
      <c r="T16" s="272"/>
      <c r="U16" s="272"/>
      <c r="V16" s="272"/>
      <c r="W16" s="274"/>
      <c r="X16" s="274"/>
      <c r="Y16" s="274"/>
      <c r="Z16" s="274"/>
      <c r="AA16" s="274"/>
      <c r="AB16" s="274"/>
      <c r="AC16" s="309" t="s">
        <v>509</v>
      </c>
      <c r="AD16" s="359">
        <f>$C$15</f>
        <v>0</v>
      </c>
      <c r="AE16" s="211" t="s">
        <v>45</v>
      </c>
      <c r="AF16" s="398"/>
      <c r="AG16" s="231" t="str">
        <f ca="1">IF($AG$9="Quote","Included","")</f>
        <v/>
      </c>
      <c r="AH16" s="173">
        <v>10</v>
      </c>
      <c r="AI16" s="173" t="s">
        <v>1298</v>
      </c>
      <c r="AJ16" s="209" t="str">
        <f t="shared" ca="1" si="5"/>
        <v/>
      </c>
      <c r="AL16" s="274" t="str">
        <f t="shared" si="6"/>
        <v>Building bylaws</v>
      </c>
    </row>
    <row r="17" spans="1:40" x14ac:dyDescent="0.25">
      <c r="A17" s="222">
        <v>650500</v>
      </c>
      <c r="B17" s="210" t="s">
        <v>430</v>
      </c>
      <c r="C17" s="214"/>
      <c r="D17" s="223">
        <v>9</v>
      </c>
      <c r="E17" s="210" t="s">
        <v>438</v>
      </c>
      <c r="F17" s="173" t="s">
        <v>439</v>
      </c>
      <c r="G17" s="173" t="s">
        <v>440</v>
      </c>
      <c r="H17" s="224">
        <f>IF(C67="",0,VALUE(C67))</f>
        <v>0</v>
      </c>
      <c r="I17" s="224" t="str">
        <f t="shared" si="0"/>
        <v/>
      </c>
      <c r="J17" s="224">
        <f t="shared" si="3"/>
        <v>0</v>
      </c>
      <c r="K17" s="224" t="s">
        <v>388</v>
      </c>
      <c r="L17" s="224">
        <f t="shared" si="4"/>
        <v>0</v>
      </c>
      <c r="M17" s="210" t="str">
        <f t="shared" si="1"/>
        <v/>
      </c>
      <c r="N17" s="225" t="str">
        <f t="shared" si="2"/>
        <v/>
      </c>
      <c r="O17" s="289">
        <v>173102</v>
      </c>
      <c r="P17" s="270">
        <v>1731</v>
      </c>
      <c r="Q17" s="271" t="s">
        <v>277</v>
      </c>
      <c r="R17" s="271" t="s">
        <v>459</v>
      </c>
      <c r="S17" s="272"/>
      <c r="T17" s="272"/>
      <c r="U17" s="272"/>
      <c r="V17" s="272"/>
      <c r="AC17" s="309" t="s">
        <v>1173</v>
      </c>
      <c r="AD17" s="358">
        <f>$U$221</f>
        <v>0</v>
      </c>
      <c r="AE17" s="211" t="s">
        <v>41</v>
      </c>
      <c r="AF17" s="274" t="s">
        <v>604</v>
      </c>
      <c r="AG17" s="231" t="str">
        <f ca="1">IF($AG$9="Quote",Calculator!H160,"")</f>
        <v/>
      </c>
      <c r="AH17" s="173">
        <v>11</v>
      </c>
      <c r="AI17" s="173" t="s">
        <v>435</v>
      </c>
      <c r="AJ17" s="209" t="str">
        <f t="shared" ca="1" si="5"/>
        <v/>
      </c>
      <c r="AL17" s="274" t="str">
        <f t="shared" si="6"/>
        <v>Brands and labels</v>
      </c>
    </row>
    <row r="18" spans="1:40" x14ac:dyDescent="0.25">
      <c r="A18" s="22" t="s">
        <v>436</v>
      </c>
      <c r="B18" s="210" t="s">
        <v>437</v>
      </c>
      <c r="C18" s="343"/>
      <c r="D18" s="223">
        <v>10</v>
      </c>
      <c r="E18" s="210" t="s">
        <v>444</v>
      </c>
      <c r="F18" s="173" t="s">
        <v>445</v>
      </c>
      <c r="G18" s="173" t="s">
        <v>446</v>
      </c>
      <c r="H18" s="224">
        <f>IF(C74="",0,VALUE(C74))</f>
        <v>0</v>
      </c>
      <c r="I18" s="224" t="str">
        <f t="shared" si="0"/>
        <v/>
      </c>
      <c r="J18" s="224">
        <f t="shared" si="3"/>
        <v>0</v>
      </c>
      <c r="K18" s="224" t="s">
        <v>388</v>
      </c>
      <c r="L18" s="224">
        <f t="shared" si="4"/>
        <v>0</v>
      </c>
      <c r="M18" s="210" t="str">
        <f t="shared" si="1"/>
        <v/>
      </c>
      <c r="N18" s="225" t="str">
        <f t="shared" si="2"/>
        <v/>
      </c>
      <c r="O18" s="289">
        <v>173101</v>
      </c>
      <c r="P18" s="270">
        <v>1731</v>
      </c>
      <c r="Q18" s="271" t="s">
        <v>302</v>
      </c>
      <c r="R18" s="271" t="s">
        <v>1017</v>
      </c>
      <c r="S18" s="272"/>
      <c r="T18" s="272"/>
      <c r="U18" s="272"/>
      <c r="V18" s="272"/>
      <c r="W18" s="274"/>
      <c r="X18" s="274"/>
      <c r="Y18" s="274"/>
      <c r="Z18" s="274"/>
      <c r="AA18" s="274"/>
      <c r="AB18" s="274"/>
      <c r="AC18" s="309" t="s">
        <v>1271</v>
      </c>
      <c r="AD18" s="359">
        <f>U140</f>
        <v>0</v>
      </c>
      <c r="AE18" s="211" t="s">
        <v>40</v>
      </c>
      <c r="AF18" s="274" t="s">
        <v>584</v>
      </c>
      <c r="AG18" s="231" t="str">
        <f ca="1">IF($AG$9="Quote",Calculator!H161,"")</f>
        <v/>
      </c>
      <c r="AH18" s="173">
        <v>12</v>
      </c>
      <c r="AI18" s="173" t="s">
        <v>47</v>
      </c>
      <c r="AJ18" s="209" t="str">
        <f t="shared" ca="1" si="5"/>
        <v/>
      </c>
      <c r="AL18" s="274" t="str">
        <f t="shared" si="6"/>
        <v>Building</v>
      </c>
    </row>
    <row r="19" spans="1:40" x14ac:dyDescent="0.25">
      <c r="A19" s="22" t="s">
        <v>442</v>
      </c>
      <c r="B19" s="229" t="s">
        <v>443</v>
      </c>
      <c r="C19" s="231"/>
      <c r="D19" s="223">
        <v>11</v>
      </c>
      <c r="E19" s="210" t="s">
        <v>450</v>
      </c>
      <c r="F19" s="173" t="s">
        <v>451</v>
      </c>
      <c r="G19" s="173" t="s">
        <v>452</v>
      </c>
      <c r="H19" s="224">
        <f>IF(C81="",0,VALUE(C81))</f>
        <v>0</v>
      </c>
      <c r="I19" s="224" t="str">
        <f t="shared" si="0"/>
        <v/>
      </c>
      <c r="J19" s="224">
        <f t="shared" si="3"/>
        <v>0</v>
      </c>
      <c r="K19" s="224" t="s">
        <v>388</v>
      </c>
      <c r="L19" s="224">
        <f t="shared" si="4"/>
        <v>0</v>
      </c>
      <c r="M19" s="210" t="str">
        <f t="shared" si="1"/>
        <v/>
      </c>
      <c r="N19" s="225" t="str">
        <f t="shared" si="2"/>
        <v/>
      </c>
      <c r="O19" s="289">
        <v>174100</v>
      </c>
      <c r="P19" s="270">
        <v>1741</v>
      </c>
      <c r="Q19" s="271" t="s">
        <v>1030</v>
      </c>
      <c r="R19" s="271" t="s">
        <v>1018</v>
      </c>
      <c r="S19" s="272"/>
      <c r="T19" s="272"/>
      <c r="U19" s="272"/>
      <c r="V19" s="272"/>
      <c r="W19" s="274"/>
      <c r="X19" s="274"/>
      <c r="Y19" s="274"/>
      <c r="Z19" s="274"/>
      <c r="AA19" s="274"/>
      <c r="AB19" s="274"/>
      <c r="AC19" s="309" t="s">
        <v>1270</v>
      </c>
      <c r="AD19" s="359">
        <f t="shared" ref="AD19:AD20" si="7">U141</f>
        <v>0</v>
      </c>
      <c r="AE19" s="211" t="s">
        <v>42</v>
      </c>
      <c r="AF19" s="274" t="s">
        <v>589</v>
      </c>
      <c r="AG19" s="231" t="str">
        <f ca="1">IF($AG$9="Quote",Calculator!H162,"")</f>
        <v/>
      </c>
      <c r="AH19" s="173">
        <v>13</v>
      </c>
      <c r="AI19" s="272" t="s">
        <v>447</v>
      </c>
      <c r="AJ19" s="209" t="str">
        <f t="shared" ca="1" si="5"/>
        <v/>
      </c>
      <c r="AL19" s="274" t="str">
        <f t="shared" si="6"/>
        <v>Broadform Building coverage</v>
      </c>
    </row>
    <row r="20" spans="1:40" ht="16.5" customHeight="1" x14ac:dyDescent="0.25">
      <c r="A20" s="22" t="s">
        <v>448</v>
      </c>
      <c r="B20" s="229" t="s">
        <v>449</v>
      </c>
      <c r="C20" s="231"/>
      <c r="D20" s="223">
        <v>12</v>
      </c>
      <c r="E20" s="210" t="s">
        <v>457</v>
      </c>
      <c r="F20" s="210" t="s">
        <v>458</v>
      </c>
      <c r="G20" s="210" t="s">
        <v>368</v>
      </c>
      <c r="H20" s="230">
        <f>C8</f>
        <v>0</v>
      </c>
      <c r="I20" s="230" t="s">
        <v>369</v>
      </c>
      <c r="J20" s="224">
        <f>IF(H20=I20,0,1)</f>
        <v>1</v>
      </c>
      <c r="K20" s="224" t="s">
        <v>388</v>
      </c>
      <c r="L20" s="224">
        <f t="shared" ref="L20:L28" si="8">IF(J20=0,0,IF(K20="Y",0,1))</f>
        <v>1</v>
      </c>
      <c r="M20" s="210" t="str">
        <f t="shared" si="1"/>
        <v>Risk is not claims free for 3 years</v>
      </c>
      <c r="N20" s="225" t="str">
        <f t="shared" si="2"/>
        <v/>
      </c>
      <c r="O20" s="289">
        <v>174300</v>
      </c>
      <c r="P20" s="270">
        <v>1743</v>
      </c>
      <c r="Q20" s="271" t="s">
        <v>96</v>
      </c>
      <c r="R20" s="271" t="s">
        <v>389</v>
      </c>
      <c r="S20" s="272"/>
      <c r="T20" s="272"/>
      <c r="U20" s="272"/>
      <c r="V20" s="272"/>
      <c r="W20" s="274"/>
      <c r="X20" s="274"/>
      <c r="Y20" s="274"/>
      <c r="Z20" s="274"/>
      <c r="AA20" s="274"/>
      <c r="AB20" s="274"/>
      <c r="AC20" s="309" t="s">
        <v>1266</v>
      </c>
      <c r="AD20" s="359">
        <f t="shared" si="7"/>
        <v>0</v>
      </c>
      <c r="AE20" s="211" t="s">
        <v>44</v>
      </c>
      <c r="AF20" s="274" t="s">
        <v>611</v>
      </c>
      <c r="AG20" s="231" t="str">
        <f ca="1">IF($AG$9="Quote",Calculator!H163,"")</f>
        <v/>
      </c>
      <c r="AH20" s="173">
        <v>14</v>
      </c>
      <c r="AI20" s="173" t="s">
        <v>454</v>
      </c>
      <c r="AJ20" s="209" t="str">
        <f t="shared" ca="1" si="5"/>
        <v/>
      </c>
      <c r="AL20" s="274" t="str">
        <f t="shared" si="6"/>
        <v>Building damage by theft</v>
      </c>
    </row>
    <row r="21" spans="1:40" ht="15.75" customHeight="1" x14ac:dyDescent="0.25">
      <c r="A21" s="22" t="s">
        <v>455</v>
      </c>
      <c r="B21" s="229" t="s">
        <v>456</v>
      </c>
      <c r="C21" s="231"/>
      <c r="D21" s="290">
        <v>13</v>
      </c>
      <c r="E21" s="210" t="s">
        <v>1044</v>
      </c>
      <c r="F21" s="210" t="s">
        <v>464</v>
      </c>
      <c r="G21" s="210" t="s">
        <v>465</v>
      </c>
      <c r="H21" s="224" t="str">
        <f>IF(U273="No","",U175)</f>
        <v>Decline</v>
      </c>
      <c r="I21" s="224" t="s">
        <v>466</v>
      </c>
      <c r="J21" s="224">
        <f>IF(H21="",0,IF(H21=I21,0,1))</f>
        <v>1</v>
      </c>
      <c r="K21" s="224" t="s">
        <v>388</v>
      </c>
      <c r="L21" s="224">
        <f t="shared" si="8"/>
        <v>1</v>
      </c>
      <c r="M21" s="210" t="str">
        <f t="shared" si="1"/>
        <v>Building electrical services does not meet requirements</v>
      </c>
      <c r="N21" s="225" t="str">
        <f t="shared" si="2"/>
        <v/>
      </c>
      <c r="O21" s="289">
        <v>174400</v>
      </c>
      <c r="P21" s="270">
        <v>1744</v>
      </c>
      <c r="Q21" s="271" t="s">
        <v>95</v>
      </c>
      <c r="R21" s="271" t="s">
        <v>1019</v>
      </c>
      <c r="S21" s="272"/>
      <c r="T21" s="272"/>
      <c r="U21" s="272"/>
      <c r="V21" s="272"/>
      <c r="W21" s="274"/>
      <c r="X21" s="274"/>
      <c r="Y21" s="274"/>
      <c r="Z21" s="274"/>
      <c r="AA21" s="274"/>
      <c r="AB21" s="274"/>
      <c r="AC21" s="309" t="s">
        <v>1174</v>
      </c>
      <c r="AD21" s="358">
        <f>U98</f>
        <v>0</v>
      </c>
      <c r="AE21" s="211" t="s">
        <v>43</v>
      </c>
      <c r="AF21" s="274" t="s">
        <v>617</v>
      </c>
      <c r="AG21" s="231" t="str">
        <f ca="1">IF($AG$9="Quote",Calculator!H164,"")</f>
        <v/>
      </c>
      <c r="AH21" s="173">
        <v>15</v>
      </c>
      <c r="AI21" s="173" t="s">
        <v>461</v>
      </c>
      <c r="AJ21" s="209" t="str">
        <f t="shared" ca="1" si="5"/>
        <v/>
      </c>
      <c r="AL21" s="274" t="str">
        <f t="shared" si="6"/>
        <v>Business Contents</v>
      </c>
    </row>
    <row r="22" spans="1:40" ht="12.75" customHeight="1" x14ac:dyDescent="0.25">
      <c r="A22" s="22" t="s">
        <v>462</v>
      </c>
      <c r="B22" s="229" t="s">
        <v>463</v>
      </c>
      <c r="C22" s="231"/>
      <c r="D22" s="290">
        <v>14</v>
      </c>
      <c r="E22" s="210" t="s">
        <v>486</v>
      </c>
      <c r="F22" s="210" t="s">
        <v>487</v>
      </c>
      <c r="G22" s="210" t="s">
        <v>465</v>
      </c>
      <c r="H22" s="233" t="str">
        <f>IF(U273="No","",U201)</f>
        <v>Decline</v>
      </c>
      <c r="I22" s="233" t="s">
        <v>466</v>
      </c>
      <c r="J22" s="224">
        <f>IF(H22="",0,IF(H22=I22,0,1))</f>
        <v>1</v>
      </c>
      <c r="K22" s="224" t="s">
        <v>388</v>
      </c>
      <c r="L22" s="224">
        <f t="shared" si="8"/>
        <v>1</v>
      </c>
      <c r="M22" s="210" t="str">
        <f t="shared" si="1"/>
        <v>Heating type not acceptable</v>
      </c>
      <c r="N22" s="225" t="str">
        <f t="shared" si="2"/>
        <v/>
      </c>
      <c r="O22" s="289">
        <v>175200</v>
      </c>
      <c r="P22" s="270">
        <v>1752</v>
      </c>
      <c r="Q22" s="271" t="s">
        <v>1031</v>
      </c>
      <c r="R22" s="271" t="s">
        <v>404</v>
      </c>
      <c r="S22" s="272"/>
      <c r="T22" s="272"/>
      <c r="U22" s="272"/>
      <c r="V22" s="272"/>
      <c r="AC22" s="309" t="s">
        <v>1175</v>
      </c>
      <c r="AD22" s="358">
        <f t="shared" ref="AD22:AD24" si="9">U99</f>
        <v>0</v>
      </c>
      <c r="AE22" s="211" t="s">
        <v>38</v>
      </c>
      <c r="AF22" s="274" t="s">
        <v>866</v>
      </c>
      <c r="AG22" s="231" t="str">
        <f ca="1">IF($AG$9="Quote",Calculator!H54,"")</f>
        <v/>
      </c>
      <c r="AH22" s="173">
        <v>16</v>
      </c>
      <c r="AI22" s="173" t="s">
        <v>1299</v>
      </c>
      <c r="AJ22" s="209" t="str">
        <f t="shared" ca="1" si="5"/>
        <v/>
      </c>
      <c r="AL22" s="274" t="str">
        <f t="shared" si="6"/>
        <v/>
      </c>
    </row>
    <row r="23" spans="1:40" x14ac:dyDescent="0.25">
      <c r="A23" s="22" t="s">
        <v>467</v>
      </c>
      <c r="B23" s="229" t="s">
        <v>468</v>
      </c>
      <c r="C23" s="231"/>
      <c r="D23" s="223">
        <v>15</v>
      </c>
      <c r="E23" s="210" t="s">
        <v>502</v>
      </c>
      <c r="F23" s="210" t="s">
        <v>503</v>
      </c>
      <c r="G23" s="210" t="s">
        <v>412</v>
      </c>
      <c r="H23" s="224">
        <f>C14</f>
        <v>0</v>
      </c>
      <c r="I23" s="224">
        <v>3</v>
      </c>
      <c r="J23" s="224">
        <f>IF(H23&gt;=I23,0,1)</f>
        <v>1</v>
      </c>
      <c r="K23" s="224" t="s">
        <v>388</v>
      </c>
      <c r="L23" s="224">
        <f t="shared" si="8"/>
        <v>1</v>
      </c>
      <c r="M23" s="210" t="str">
        <f t="shared" si="1"/>
        <v>Client does not  have minimum trade experience</v>
      </c>
      <c r="N23" s="225" t="str">
        <f t="shared" si="2"/>
        <v/>
      </c>
      <c r="O23" s="289">
        <v>175400</v>
      </c>
      <c r="P23" s="270">
        <v>1754</v>
      </c>
      <c r="Q23" s="271" t="s">
        <v>93</v>
      </c>
      <c r="R23" s="271" t="s">
        <v>510</v>
      </c>
      <c r="S23" s="272"/>
      <c r="T23" s="272"/>
      <c r="U23" s="272"/>
      <c r="V23" s="272"/>
      <c r="AC23" s="309" t="s">
        <v>1176</v>
      </c>
      <c r="AD23" s="358">
        <f t="shared" si="9"/>
        <v>0</v>
      </c>
      <c r="AE23" s="211" t="s">
        <v>18</v>
      </c>
      <c r="AF23" s="274" t="s">
        <v>1305</v>
      </c>
      <c r="AG23" s="231" t="str">
        <f ca="1">IF($AG$9="Quote",Calculator!$H$11,"")</f>
        <v/>
      </c>
      <c r="AH23" s="173">
        <v>17</v>
      </c>
      <c r="AI23" s="173" t="s">
        <v>469</v>
      </c>
      <c r="AJ23" s="209" t="str">
        <f t="shared" ca="1" si="5"/>
        <v/>
      </c>
      <c r="AL23" s="274" t="str">
        <f t="shared" si="6"/>
        <v/>
      </c>
    </row>
    <row r="24" spans="1:40" ht="13.5" customHeight="1" x14ac:dyDescent="0.25">
      <c r="A24" s="22" t="s">
        <v>470</v>
      </c>
      <c r="B24" s="229" t="s">
        <v>471</v>
      </c>
      <c r="C24" s="342"/>
      <c r="D24" s="223">
        <v>16</v>
      </c>
      <c r="E24" s="210" t="s">
        <v>507</v>
      </c>
      <c r="F24" s="210" t="s">
        <v>508</v>
      </c>
      <c r="G24" s="210" t="s">
        <v>509</v>
      </c>
      <c r="H24" s="230">
        <f>C15</f>
        <v>0</v>
      </c>
      <c r="I24" s="230">
        <v>10</v>
      </c>
      <c r="J24" s="224">
        <f>IF(H24&lt;=I24,0,1)</f>
        <v>0</v>
      </c>
      <c r="K24" s="224" t="s">
        <v>398</v>
      </c>
      <c r="L24" s="224">
        <f t="shared" si="8"/>
        <v>0</v>
      </c>
      <c r="M24" s="210" t="str">
        <f t="shared" si="1"/>
        <v/>
      </c>
      <c r="N24" s="225" t="str">
        <f t="shared" si="2"/>
        <v/>
      </c>
      <c r="O24" s="289">
        <v>175602</v>
      </c>
      <c r="P24" s="270">
        <v>1756</v>
      </c>
      <c r="Q24" s="271" t="s">
        <v>270</v>
      </c>
      <c r="R24" s="271" t="s">
        <v>422</v>
      </c>
      <c r="S24" s="272"/>
      <c r="T24" s="272"/>
      <c r="U24" s="272"/>
      <c r="V24" s="272"/>
      <c r="AC24" s="309" t="s">
        <v>754</v>
      </c>
      <c r="AD24" s="358">
        <f t="shared" si="9"/>
        <v>0</v>
      </c>
      <c r="AE24" s="211" t="s">
        <v>19</v>
      </c>
      <c r="AF24" s="274" t="s">
        <v>429</v>
      </c>
      <c r="AG24" s="231" t="str">
        <f ca="1">IF($AG$9="Quote",Calculator!H12,"")</f>
        <v/>
      </c>
      <c r="AH24" s="173">
        <v>18</v>
      </c>
      <c r="AI24" s="272" t="s">
        <v>1300</v>
      </c>
      <c r="AJ24" s="232" t="str">
        <f t="shared" ca="1" si="5"/>
        <v/>
      </c>
      <c r="AL24" s="274" t="str">
        <f t="shared" si="6"/>
        <v>Coinsurance condition</v>
      </c>
      <c r="AN24" s="278"/>
    </row>
    <row r="25" spans="1:40" x14ac:dyDescent="0.25">
      <c r="A25" s="22" t="s">
        <v>474</v>
      </c>
      <c r="B25" s="210" t="s">
        <v>475</v>
      </c>
      <c r="C25" s="214"/>
      <c r="D25" s="223">
        <v>17</v>
      </c>
      <c r="E25" s="210" t="s">
        <v>514</v>
      </c>
      <c r="F25" s="210" t="s">
        <v>515</v>
      </c>
      <c r="G25" s="210" t="s">
        <v>516</v>
      </c>
      <c r="H25" s="233">
        <f>C12</f>
        <v>0</v>
      </c>
      <c r="I25" s="233" t="s">
        <v>369</v>
      </c>
      <c r="J25" s="224">
        <f>IF(H25="Yes",1,0)</f>
        <v>0</v>
      </c>
      <c r="K25" s="224" t="s">
        <v>388</v>
      </c>
      <c r="L25" s="224">
        <f t="shared" si="8"/>
        <v>0</v>
      </c>
      <c r="M25" s="210" t="str">
        <f t="shared" si="1"/>
        <v/>
      </c>
      <c r="N25" s="225" t="str">
        <f t="shared" si="2"/>
        <v/>
      </c>
      <c r="O25" s="289">
        <v>175603</v>
      </c>
      <c r="P25" s="270">
        <v>1756</v>
      </c>
      <c r="Q25" s="271" t="s">
        <v>271</v>
      </c>
      <c r="R25" s="271" t="s">
        <v>428</v>
      </c>
      <c r="S25" s="272"/>
      <c r="T25" s="272"/>
      <c r="U25" s="272"/>
      <c r="V25" s="272"/>
      <c r="AC25" s="309" t="s">
        <v>1177</v>
      </c>
      <c r="AD25" s="358">
        <f>U78</f>
        <v>0</v>
      </c>
      <c r="AE25" s="211" t="s">
        <v>20</v>
      </c>
      <c r="AF25" s="274" t="s">
        <v>434</v>
      </c>
      <c r="AG25" s="231" t="str">
        <f ca="1">IF($AG$9="Quote",25000,"")</f>
        <v/>
      </c>
      <c r="AH25" s="173">
        <v>19</v>
      </c>
      <c r="AI25" s="173" t="s">
        <v>1301</v>
      </c>
      <c r="AJ25" s="209" t="str">
        <f t="shared" ca="1" si="5"/>
        <v/>
      </c>
      <c r="AL25" s="274" t="str">
        <f t="shared" si="6"/>
        <v/>
      </c>
    </row>
    <row r="26" spans="1:40" x14ac:dyDescent="0.25">
      <c r="A26" s="22" t="s">
        <v>476</v>
      </c>
      <c r="B26" s="229" t="s">
        <v>477</v>
      </c>
      <c r="C26" s="231"/>
      <c r="D26" s="223">
        <v>18</v>
      </c>
      <c r="E26" s="210" t="s">
        <v>520</v>
      </c>
      <c r="F26" s="210" t="s">
        <v>521</v>
      </c>
      <c r="G26" s="210" t="s">
        <v>522</v>
      </c>
      <c r="H26" s="234">
        <f>SUM(C19,C26,C33,C40,C47,C54,C61,C68,C75,C82)</f>
        <v>0</v>
      </c>
      <c r="I26" s="234">
        <v>2000000</v>
      </c>
      <c r="J26" s="224">
        <f>IF(H26&lt;=I26,0,1)</f>
        <v>0</v>
      </c>
      <c r="K26" s="224" t="s">
        <v>398</v>
      </c>
      <c r="L26" s="224">
        <f>IF(J26=0,0,IF(K26="Y",0,1))</f>
        <v>0</v>
      </c>
      <c r="M26" s="210" t="str">
        <f>IF(J26=1,F26,"")</f>
        <v/>
      </c>
      <c r="N26" s="225" t="str">
        <f>IF(M26="","",IF(L26=0,F26,""))</f>
        <v/>
      </c>
      <c r="O26" s="289">
        <v>175604</v>
      </c>
      <c r="P26" s="270">
        <v>1756</v>
      </c>
      <c r="Q26" s="271" t="s">
        <v>269</v>
      </c>
      <c r="R26" s="271" t="s">
        <v>1020</v>
      </c>
      <c r="S26" s="272"/>
      <c r="T26" s="272"/>
      <c r="U26" s="272"/>
      <c r="V26" s="272"/>
      <c r="AC26" s="309" t="s">
        <v>1178</v>
      </c>
      <c r="AD26" s="359">
        <f>U83</f>
        <v>0</v>
      </c>
      <c r="AE26" s="211" t="s">
        <v>21</v>
      </c>
      <c r="AF26" s="274" t="s">
        <v>441</v>
      </c>
      <c r="AG26" s="231" t="str">
        <f ca="1">IF($AG$9="Quote",500000,"")</f>
        <v/>
      </c>
      <c r="AH26" s="173">
        <v>20</v>
      </c>
      <c r="AI26" s="173" t="s">
        <v>480</v>
      </c>
      <c r="AJ26" s="209" t="str">
        <f t="shared" ca="1" si="5"/>
        <v/>
      </c>
      <c r="AL26" s="274" t="str">
        <f t="shared" si="6"/>
        <v/>
      </c>
    </row>
    <row r="27" spans="1:40" x14ac:dyDescent="0.25">
      <c r="A27" s="22" t="s">
        <v>481</v>
      </c>
      <c r="B27" s="229" t="s">
        <v>482</v>
      </c>
      <c r="C27" s="231"/>
      <c r="D27" s="223">
        <v>19</v>
      </c>
      <c r="E27" s="210" t="s">
        <v>1038</v>
      </c>
      <c r="F27" s="210" t="s">
        <v>1076</v>
      </c>
      <c r="G27" s="210" t="s">
        <v>1077</v>
      </c>
      <c r="H27" s="234" t="str">
        <f ca="1">IF(U273="No","",U105)</f>
        <v>No</v>
      </c>
      <c r="I27" s="234"/>
      <c r="J27" s="224">
        <f ca="1">IF(H27="",0,IF(H27="Yes",0,1))</f>
        <v>1</v>
      </c>
      <c r="K27" s="224" t="s">
        <v>388</v>
      </c>
      <c r="L27" s="224">
        <f t="shared" ca="1" si="8"/>
        <v>1</v>
      </c>
      <c r="M27" s="210" t="str">
        <f t="shared" ca="1" si="1"/>
        <v>Property exceeds age or update requirements</v>
      </c>
      <c r="N27" s="225" t="str">
        <f t="shared" ca="1" si="2"/>
        <v/>
      </c>
      <c r="O27" s="289">
        <v>175601</v>
      </c>
      <c r="P27" s="270">
        <v>1756</v>
      </c>
      <c r="Q27" s="271" t="s">
        <v>278</v>
      </c>
      <c r="R27" s="271" t="s">
        <v>1021</v>
      </c>
      <c r="S27" s="272"/>
      <c r="T27" s="272"/>
      <c r="U27" s="272"/>
      <c r="V27" s="272"/>
      <c r="W27" s="274"/>
      <c r="X27" s="274"/>
      <c r="Y27" s="274"/>
      <c r="Z27" s="274"/>
      <c r="AA27" s="274"/>
      <c r="AB27" s="274"/>
      <c r="AC27" s="309" t="s">
        <v>1179</v>
      </c>
      <c r="AD27" s="358">
        <f>U88</f>
        <v>0</v>
      </c>
      <c r="AE27" s="211" t="s">
        <v>22</v>
      </c>
      <c r="AF27" s="274" t="s">
        <v>416</v>
      </c>
      <c r="AG27" s="231" t="str">
        <f ca="1">IF($AG$9="Quote",Calculator!H14,"")</f>
        <v/>
      </c>
      <c r="AH27" s="173">
        <v>21</v>
      </c>
      <c r="AI27" s="173" t="s">
        <v>483</v>
      </c>
      <c r="AJ27" s="209" t="str">
        <f t="shared" ca="1" si="5"/>
        <v/>
      </c>
      <c r="AL27" s="274" t="str">
        <f t="shared" si="6"/>
        <v/>
      </c>
    </row>
    <row r="28" spans="1:40" x14ac:dyDescent="0.25">
      <c r="A28" s="22" t="s">
        <v>484</v>
      </c>
      <c r="B28" s="229" t="s">
        <v>485</v>
      </c>
      <c r="C28" s="231"/>
      <c r="D28" s="290">
        <v>20</v>
      </c>
      <c r="E28" s="210" t="s">
        <v>536</v>
      </c>
      <c r="F28" s="210" t="s">
        <v>537</v>
      </c>
      <c r="G28" s="210" t="s">
        <v>538</v>
      </c>
      <c r="H28" s="234">
        <f>IF(U273="No","",C142)</f>
        <v>0</v>
      </c>
      <c r="I28" s="234" t="s">
        <v>369</v>
      </c>
      <c r="J28" s="224">
        <f>IF(H28="",0,IF(H28=I28,0,1))</f>
        <v>1</v>
      </c>
      <c r="K28" s="224" t="s">
        <v>388</v>
      </c>
      <c r="L28" s="224">
        <f t="shared" si="8"/>
        <v>1</v>
      </c>
      <c r="M28" s="210" t="str">
        <f t="shared" si="1"/>
        <v>Vacant property</v>
      </c>
      <c r="N28" s="225" t="str">
        <f t="shared" si="2"/>
        <v/>
      </c>
      <c r="O28" s="289">
        <v>175700</v>
      </c>
      <c r="P28" s="270">
        <v>1757</v>
      </c>
      <c r="Q28" s="271" t="s">
        <v>303</v>
      </c>
      <c r="R28" s="271" t="s">
        <v>488</v>
      </c>
      <c r="S28" s="272"/>
      <c r="T28" s="272"/>
      <c r="U28" s="272"/>
      <c r="V28" s="272"/>
      <c r="AC28" s="309" t="s">
        <v>1180</v>
      </c>
      <c r="AD28" s="359">
        <f>U205</f>
        <v>10000</v>
      </c>
      <c r="AE28" s="211" t="s">
        <v>31</v>
      </c>
      <c r="AF28" s="274" t="s">
        <v>1304</v>
      </c>
      <c r="AG28" s="231" t="str">
        <f ca="1">IF($AG$9="Quote",Calculator!H15,"")</f>
        <v/>
      </c>
      <c r="AH28" s="173">
        <v>22</v>
      </c>
      <c r="AI28" s="173" t="s">
        <v>489</v>
      </c>
      <c r="AJ28" s="209" t="str">
        <f t="shared" ca="1" si="5"/>
        <v/>
      </c>
      <c r="AL28" s="274" t="str">
        <f t="shared" si="6"/>
        <v/>
      </c>
    </row>
    <row r="29" spans="1:40" x14ac:dyDescent="0.25">
      <c r="A29" s="22" t="s">
        <v>490</v>
      </c>
      <c r="B29" s="229" t="s">
        <v>491</v>
      </c>
      <c r="C29" s="231"/>
      <c r="D29" s="223">
        <v>21</v>
      </c>
      <c r="E29" s="210" t="s">
        <v>1039</v>
      </c>
      <c r="F29" s="210" t="s">
        <v>1040</v>
      </c>
      <c r="G29" s="210" t="s">
        <v>588</v>
      </c>
      <c r="H29" s="234">
        <f>IF(U273="No","",C88)</f>
        <v>0</v>
      </c>
      <c r="I29" s="234">
        <v>1500000</v>
      </c>
      <c r="J29" s="224">
        <f>IF(H29="",0,IF(H29&lt;=I29,0,1))</f>
        <v>0</v>
      </c>
      <c r="K29" s="224" t="s">
        <v>388</v>
      </c>
      <c r="L29" s="224">
        <f>IF(J29=0,0,IF(K29="Y",0,1))</f>
        <v>0</v>
      </c>
      <c r="M29" s="210" t="str">
        <f t="shared" si="1"/>
        <v/>
      </c>
      <c r="N29" s="225" t="str">
        <f t="shared" si="2"/>
        <v/>
      </c>
      <c r="O29" s="289">
        <v>176200</v>
      </c>
      <c r="P29" s="270">
        <v>1762</v>
      </c>
      <c r="Q29" s="271" t="s">
        <v>1032</v>
      </c>
      <c r="R29" s="271" t="s">
        <v>531</v>
      </c>
      <c r="S29" s="272"/>
      <c r="T29" s="272"/>
      <c r="U29" s="272"/>
      <c r="V29" s="272"/>
      <c r="AC29" s="309" t="s">
        <v>766</v>
      </c>
      <c r="AD29" s="358">
        <f>U127</f>
        <v>0</v>
      </c>
      <c r="AE29" s="211" t="s">
        <v>323</v>
      </c>
      <c r="AF29" s="398"/>
      <c r="AG29" s="231" t="str">
        <f ca="1">IF($AG$9="Quote","Included","")</f>
        <v/>
      </c>
      <c r="AH29" s="173">
        <v>23</v>
      </c>
      <c r="AI29" s="173" t="s">
        <v>495</v>
      </c>
      <c r="AJ29" s="209" t="str">
        <f t="shared" ca="1" si="5"/>
        <v/>
      </c>
      <c r="AL29" s="274" t="str">
        <f t="shared" si="6"/>
        <v/>
      </c>
    </row>
    <row r="30" spans="1:40" x14ac:dyDescent="0.25">
      <c r="A30" s="22" t="s">
        <v>496</v>
      </c>
      <c r="B30" s="229" t="s">
        <v>497</v>
      </c>
      <c r="C30" s="231"/>
      <c r="D30" s="290">
        <v>22</v>
      </c>
      <c r="E30" s="210" t="s">
        <v>593</v>
      </c>
      <c r="F30" s="210" t="s">
        <v>594</v>
      </c>
      <c r="G30" s="210" t="s">
        <v>595</v>
      </c>
      <c r="H30" s="234">
        <f>IF(U273="No","",C132)</f>
        <v>0</v>
      </c>
      <c r="I30" s="234" t="s">
        <v>596</v>
      </c>
      <c r="J30" s="224">
        <f>IF(H30="",0,IF(H30=I30,0,1))</f>
        <v>1</v>
      </c>
      <c r="K30" s="224" t="s">
        <v>388</v>
      </c>
      <c r="L30" s="224">
        <f t="shared" ref="L30:L79" si="10">IF(J30=0,0,IF(K30="Y",0,1))</f>
        <v>1</v>
      </c>
      <c r="M30" s="210" t="str">
        <f t="shared" si="1"/>
        <v>Property occupied by others</v>
      </c>
      <c r="N30" s="225" t="str">
        <f t="shared" si="2"/>
        <v/>
      </c>
      <c r="O30" s="289">
        <v>176600</v>
      </c>
      <c r="P30" s="270">
        <v>1766</v>
      </c>
      <c r="Q30" s="271" t="s">
        <v>279</v>
      </c>
      <c r="R30" s="271" t="s">
        <v>380</v>
      </c>
      <c r="S30" s="272"/>
      <c r="T30" s="272"/>
      <c r="U30" s="272"/>
      <c r="V30" s="272"/>
      <c r="AC30" s="309" t="s">
        <v>1181</v>
      </c>
      <c r="AD30" s="360">
        <f>$U$283</f>
        <v>0</v>
      </c>
      <c r="AE30" s="211" t="s">
        <v>23</v>
      </c>
      <c r="AF30" s="274" t="s">
        <v>1309</v>
      </c>
      <c r="AG30" s="231" t="str">
        <f ca="1">IF($AG$9="Quote",Calculator!H13,"")</f>
        <v/>
      </c>
      <c r="AH30" s="173">
        <v>24</v>
      </c>
      <c r="AI30" s="173" t="s">
        <v>499</v>
      </c>
      <c r="AJ30" s="209" t="str">
        <f t="shared" ca="1" si="5"/>
        <v/>
      </c>
      <c r="AL30" s="274" t="str">
        <f t="shared" si="6"/>
        <v/>
      </c>
    </row>
    <row r="31" spans="1:40" ht="16.5" customHeight="1" x14ac:dyDescent="0.25">
      <c r="A31" s="22" t="s">
        <v>500</v>
      </c>
      <c r="B31" s="229" t="s">
        <v>501</v>
      </c>
      <c r="C31" s="342"/>
      <c r="D31" s="290">
        <v>23</v>
      </c>
      <c r="E31" s="210" t="s">
        <v>601</v>
      </c>
      <c r="F31" s="210" t="s">
        <v>602</v>
      </c>
      <c r="G31" s="210" t="s">
        <v>603</v>
      </c>
      <c r="H31" s="234">
        <f>C6</f>
        <v>0</v>
      </c>
      <c r="I31" s="234"/>
      <c r="J31" s="224">
        <f>IF(H31="Ontario",0,IF(H31="ON",0,1))</f>
        <v>1</v>
      </c>
      <c r="K31" s="224" t="s">
        <v>388</v>
      </c>
      <c r="L31" s="224">
        <f t="shared" si="10"/>
        <v>1</v>
      </c>
      <c r="M31" s="210" t="str">
        <f t="shared" si="1"/>
        <v>Client is not Ontario based</v>
      </c>
      <c r="N31" s="225" t="str">
        <f t="shared" si="2"/>
        <v/>
      </c>
      <c r="O31" s="289">
        <v>181102</v>
      </c>
      <c r="P31" s="270">
        <v>1811</v>
      </c>
      <c r="Q31" s="271" t="s">
        <v>119</v>
      </c>
      <c r="R31" s="271" t="s">
        <v>1022</v>
      </c>
      <c r="S31" s="272"/>
      <c r="T31" s="272"/>
      <c r="U31" s="272"/>
      <c r="V31" s="272"/>
      <c r="AC31" s="309" t="s">
        <v>1182</v>
      </c>
      <c r="AD31" s="360">
        <f>$C$14</f>
        <v>0</v>
      </c>
      <c r="AE31" s="211" t="s">
        <v>46</v>
      </c>
      <c r="AF31" s="274" t="s">
        <v>460</v>
      </c>
      <c r="AG31" s="231" t="str">
        <f ca="1">IF($AG$9="Quote","Included","")</f>
        <v/>
      </c>
      <c r="AH31" s="173">
        <v>25</v>
      </c>
      <c r="AI31" s="173" t="s">
        <v>504</v>
      </c>
      <c r="AJ31" s="209" t="str">
        <f t="shared" ca="1" si="5"/>
        <v/>
      </c>
      <c r="AL31" s="274" t="str">
        <f t="shared" si="6"/>
        <v>Contents broadform coverage</v>
      </c>
    </row>
    <row r="32" spans="1:40" x14ac:dyDescent="0.25">
      <c r="A32" s="22" t="s">
        <v>505</v>
      </c>
      <c r="B32" s="210" t="s">
        <v>506</v>
      </c>
      <c r="C32" s="214"/>
      <c r="D32" s="290">
        <v>24</v>
      </c>
      <c r="E32" s="210" t="s">
        <v>608</v>
      </c>
      <c r="F32" s="210" t="s">
        <v>609</v>
      </c>
      <c r="G32" s="210" t="s">
        <v>610</v>
      </c>
      <c r="H32" s="234">
        <f>IF(OR($C$24="No",$C$31="No",$C$38="No",$C$45="No",$C$53="No",$C$59="No",$C$66="No",$C$73="No",$C$80="No",$C$87="No"),1,0)</f>
        <v>0</v>
      </c>
      <c r="I32" s="234">
        <v>0</v>
      </c>
      <c r="J32" s="224">
        <f>IF(H32=I32,0,1)</f>
        <v>0</v>
      </c>
      <c r="K32" s="224" t="s">
        <v>388</v>
      </c>
      <c r="L32" s="224">
        <f t="shared" si="10"/>
        <v>0</v>
      </c>
      <c r="M32" s="210" t="str">
        <f t="shared" si="1"/>
        <v/>
      </c>
      <c r="N32" s="225" t="str">
        <f t="shared" si="2"/>
        <v/>
      </c>
      <c r="O32" s="289">
        <v>571602</v>
      </c>
      <c r="P32" s="270">
        <v>5716</v>
      </c>
      <c r="Q32" s="271" t="s">
        <v>1033</v>
      </c>
      <c r="R32" s="271" t="s">
        <v>1023</v>
      </c>
      <c r="S32" s="272"/>
      <c r="T32" s="272"/>
      <c r="U32" s="272"/>
      <c r="V32" s="272"/>
      <c r="AC32" s="309" t="s">
        <v>1183</v>
      </c>
      <c r="AD32" s="364">
        <f>$U$259</f>
        <v>1000</v>
      </c>
      <c r="AE32" s="211" t="s">
        <v>24</v>
      </c>
      <c r="AF32" s="274" t="s">
        <v>453</v>
      </c>
      <c r="AG32" s="231" t="str">
        <f ca="1">IF($AG$9="Quote","Included","")</f>
        <v/>
      </c>
      <c r="AH32" s="173">
        <v>26</v>
      </c>
      <c r="AI32" s="173" t="s">
        <v>511</v>
      </c>
      <c r="AJ32" s="209" t="str">
        <f t="shared" ca="1" si="5"/>
        <v/>
      </c>
      <c r="AL32" s="274" t="str">
        <f t="shared" si="6"/>
        <v/>
      </c>
    </row>
    <row r="33" spans="1:40" x14ac:dyDescent="0.25">
      <c r="A33" s="22" t="s">
        <v>512</v>
      </c>
      <c r="B33" s="229" t="s">
        <v>513</v>
      </c>
      <c r="C33" s="231"/>
      <c r="D33" s="223">
        <v>25</v>
      </c>
      <c r="E33" s="210" t="s">
        <v>1041</v>
      </c>
      <c r="F33" s="210" t="s">
        <v>1042</v>
      </c>
      <c r="G33" s="210"/>
      <c r="H33" s="234">
        <f>C16</f>
        <v>0</v>
      </c>
      <c r="I33" s="234"/>
      <c r="J33" s="224">
        <f>IF(OR(C16="Yes",C16="NA",C16="Yes - the business has all required licenses / certification",C16="The business is not required to be licensed or certified"),0,1)</f>
        <v>1</v>
      </c>
      <c r="K33" s="224" t="s">
        <v>388</v>
      </c>
      <c r="L33" s="224">
        <f t="shared" si="10"/>
        <v>1</v>
      </c>
      <c r="M33" s="210" t="str">
        <f t="shared" si="1"/>
        <v>Business must be licensed where required</v>
      </c>
      <c r="N33" s="225" t="str">
        <f t="shared" si="2"/>
        <v/>
      </c>
      <c r="O33" s="289">
        <v>571603</v>
      </c>
      <c r="P33" s="270">
        <v>5716</v>
      </c>
      <c r="Q33" s="271" t="s">
        <v>1033</v>
      </c>
      <c r="R33" s="271" t="s">
        <v>1024</v>
      </c>
      <c r="S33" s="272"/>
      <c r="T33" s="272"/>
      <c r="U33" s="272"/>
      <c r="V33" s="272"/>
      <c r="W33" s="274"/>
      <c r="X33" s="274"/>
      <c r="Y33" s="274"/>
      <c r="Z33" s="274"/>
      <c r="AA33" s="274"/>
      <c r="AB33" s="274"/>
      <c r="AC33" s="309" t="s">
        <v>1247</v>
      </c>
      <c r="AD33" s="364">
        <f>$U$297</f>
        <v>0</v>
      </c>
      <c r="AE33" s="211" t="s">
        <v>325</v>
      </c>
      <c r="AF33" s="274" t="s">
        <v>834</v>
      </c>
      <c r="AG33" s="231" t="str">
        <f ca="1">IF($AG$9="Quote","Included","")</f>
        <v/>
      </c>
      <c r="AH33" s="173">
        <v>27</v>
      </c>
      <c r="AI33" s="173" t="s">
        <v>517</v>
      </c>
      <c r="AJ33" s="209" t="str">
        <f t="shared" ca="1" si="5"/>
        <v/>
      </c>
      <c r="AL33" s="274" t="str">
        <f t="shared" si="6"/>
        <v/>
      </c>
    </row>
    <row r="34" spans="1:40" x14ac:dyDescent="0.25">
      <c r="A34" s="22" t="s">
        <v>518</v>
      </c>
      <c r="B34" s="229" t="s">
        <v>519</v>
      </c>
      <c r="C34" s="231"/>
      <c r="D34" s="223">
        <v>26</v>
      </c>
      <c r="E34" s="210" t="s">
        <v>979</v>
      </c>
      <c r="F34" s="210" t="s">
        <v>1043</v>
      </c>
      <c r="G34" s="210"/>
      <c r="H34" s="234">
        <f>C11</f>
        <v>0</v>
      </c>
      <c r="I34" s="234"/>
      <c r="J34" s="224">
        <f>IF(H34="No",1,0)</f>
        <v>0</v>
      </c>
      <c r="K34" s="224" t="s">
        <v>388</v>
      </c>
      <c r="L34" s="224">
        <f t="shared" si="10"/>
        <v>0</v>
      </c>
      <c r="M34" s="210" t="str">
        <f t="shared" si="1"/>
        <v/>
      </c>
      <c r="N34" s="225" t="str">
        <f t="shared" si="2"/>
        <v/>
      </c>
      <c r="O34" s="289">
        <v>739200</v>
      </c>
      <c r="P34" s="270">
        <v>7392</v>
      </c>
      <c r="Q34" s="271" t="s">
        <v>91</v>
      </c>
      <c r="R34" s="271" t="s">
        <v>1025</v>
      </c>
      <c r="S34" s="272"/>
      <c r="T34" s="272"/>
      <c r="U34" s="272"/>
      <c r="V34" s="272"/>
      <c r="AC34" s="309"/>
      <c r="AD34" s="312"/>
      <c r="AE34" s="211" t="s">
        <v>324</v>
      </c>
      <c r="AF34" s="274" t="s">
        <v>1308</v>
      </c>
      <c r="AG34" s="231" t="str">
        <f ca="1">IF($AG$9="Quote",50000,"")</f>
        <v/>
      </c>
      <c r="AH34" s="173">
        <v>28</v>
      </c>
      <c r="AI34" s="173" t="s">
        <v>524</v>
      </c>
      <c r="AJ34" s="209" t="str">
        <f t="shared" ca="1" si="5"/>
        <v/>
      </c>
      <c r="AL34" s="274" t="str">
        <f t="shared" si="6"/>
        <v>Contractor's equipment</v>
      </c>
    </row>
    <row r="35" spans="1:40" x14ac:dyDescent="0.25">
      <c r="A35" s="22" t="s">
        <v>525</v>
      </c>
      <c r="B35" s="229" t="s">
        <v>526</v>
      </c>
      <c r="C35" s="231"/>
      <c r="D35" s="223">
        <v>27</v>
      </c>
      <c r="E35" s="210" t="s">
        <v>625</v>
      </c>
      <c r="F35" s="210" t="s">
        <v>626</v>
      </c>
      <c r="G35" s="210">
        <v>153500</v>
      </c>
      <c r="H35" s="234">
        <f>IF(OR($C$18=G35,$C$25=G35,$C$32=G35,$C$39=G35,$C$46=G35,$C$53=G35,$C$60=G35,$C$67=G35,$C$74=G35,$C$81=G35),1,0)</f>
        <v>0</v>
      </c>
      <c r="I35" s="234">
        <f>C153</f>
        <v>0</v>
      </c>
      <c r="J35" s="224">
        <f>IF(H35&lt;&gt;1,0,IF(I35&lt;&gt;"No",1,0))</f>
        <v>0</v>
      </c>
      <c r="K35" s="224" t="s">
        <v>388</v>
      </c>
      <c r="L35" s="224">
        <f t="shared" si="10"/>
        <v>0</v>
      </c>
      <c r="M35" s="210" t="str">
        <f t="shared" si="1"/>
        <v/>
      </c>
      <c r="N35" s="225" t="str">
        <f t="shared" si="2"/>
        <v/>
      </c>
      <c r="O35" s="289">
        <v>739402</v>
      </c>
      <c r="P35" s="270">
        <v>7394</v>
      </c>
      <c r="Q35" s="271" t="s">
        <v>275</v>
      </c>
      <c r="R35" s="271" t="s">
        <v>498</v>
      </c>
      <c r="S35" s="272"/>
      <c r="T35" s="272"/>
      <c r="U35" s="272"/>
      <c r="V35" s="272"/>
      <c r="AC35" s="309"/>
      <c r="AD35" s="312"/>
      <c r="AE35" s="211" t="s">
        <v>1332</v>
      </c>
      <c r="AF35" s="274" t="s">
        <v>1332</v>
      </c>
      <c r="AG35" s="231" t="str">
        <f ca="1">IF($AG$9="Quote",250,"")</f>
        <v/>
      </c>
      <c r="AH35" s="173">
        <v>29</v>
      </c>
      <c r="AI35" s="272" t="s">
        <v>528</v>
      </c>
      <c r="AJ35" s="209" t="str">
        <f t="shared" ca="1" si="5"/>
        <v/>
      </c>
      <c r="AL35" s="274" t="str">
        <f t="shared" si="6"/>
        <v>Contractor's equipment - co-insurance</v>
      </c>
      <c r="AN35" s="278"/>
    </row>
    <row r="36" spans="1:40" x14ac:dyDescent="0.25">
      <c r="A36" s="22" t="s">
        <v>529</v>
      </c>
      <c r="B36" s="229" t="s">
        <v>530</v>
      </c>
      <c r="C36" s="231"/>
      <c r="D36" s="223">
        <v>28</v>
      </c>
      <c r="E36" s="210" t="s">
        <v>976</v>
      </c>
      <c r="F36" s="210" t="s">
        <v>1129</v>
      </c>
      <c r="G36" s="210">
        <v>173101</v>
      </c>
      <c r="H36" s="234">
        <f>IF(OR($C$18=G36,$C$25=G36,$C$32=G36,$C$39=G36,$C$46=G36,$C$53=G36,$C$60=G36,$C$67=G36,$C$74=G36,$C$81=G36),1,0)</f>
        <v>0</v>
      </c>
      <c r="I36" s="234">
        <f>C154</f>
        <v>0</v>
      </c>
      <c r="J36" s="224">
        <f>IF(H36&lt;&gt;1,0,IF(I36&lt;&gt;"Yes",1,0))</f>
        <v>0</v>
      </c>
      <c r="K36" s="224" t="s">
        <v>388</v>
      </c>
      <c r="L36" s="224">
        <f t="shared" si="10"/>
        <v>0</v>
      </c>
      <c r="M36" s="210" t="str">
        <f t="shared" si="1"/>
        <v/>
      </c>
      <c r="N36" s="225" t="str">
        <f t="shared" si="2"/>
        <v/>
      </c>
      <c r="O36" s="289">
        <v>739401</v>
      </c>
      <c r="P36" s="270">
        <v>7394</v>
      </c>
      <c r="Q36" s="271" t="s">
        <v>304</v>
      </c>
      <c r="R36" s="271" t="s">
        <v>492</v>
      </c>
      <c r="S36" s="272"/>
      <c r="T36" s="272"/>
      <c r="U36" s="272"/>
      <c r="V36" s="272"/>
      <c r="AC36" s="309"/>
      <c r="AD36" s="312"/>
      <c r="AE36" s="211" t="s">
        <v>1284</v>
      </c>
      <c r="AF36" s="274" t="s">
        <v>479</v>
      </c>
      <c r="AG36" s="231" t="str">
        <f ca="1">IF($AG$9="Quote",Calculator!H32,"")</f>
        <v/>
      </c>
      <c r="AH36" s="173">
        <v>30</v>
      </c>
      <c r="AI36" s="173" t="s">
        <v>533</v>
      </c>
      <c r="AJ36" s="209" t="str">
        <f t="shared" ca="1" si="5"/>
        <v/>
      </c>
      <c r="AL36" s="274" t="str">
        <f t="shared" si="6"/>
        <v/>
      </c>
    </row>
    <row r="37" spans="1:40" x14ac:dyDescent="0.25">
      <c r="A37" s="22" t="s">
        <v>534</v>
      </c>
      <c r="B37" s="229" t="s">
        <v>535</v>
      </c>
      <c r="C37" s="231"/>
      <c r="D37" s="223">
        <v>29</v>
      </c>
      <c r="E37" s="210" t="s">
        <v>977</v>
      </c>
      <c r="F37" s="210" t="s">
        <v>1130</v>
      </c>
      <c r="G37" s="210">
        <v>173101</v>
      </c>
      <c r="H37" s="234">
        <f t="shared" ref="H37:H41" si="11">IF(OR($C$18=G37,$C$25=G37,$C$32=G37,$C$39=G37,$C$46=G37,$C$53=G37,$C$60=G37,$C$67=G37,$C$74=G37,$C$81=G37),1,0)</f>
        <v>0</v>
      </c>
      <c r="I37" s="234">
        <f>C155</f>
        <v>0</v>
      </c>
      <c r="J37" s="224">
        <f>IF(H37&lt;&gt;1,0,IF(I37&gt;0,1,0))</f>
        <v>0</v>
      </c>
      <c r="K37" s="224" t="s">
        <v>388</v>
      </c>
      <c r="L37" s="224">
        <f t="shared" si="10"/>
        <v>0</v>
      </c>
      <c r="M37" s="210" t="str">
        <f t="shared" si="1"/>
        <v/>
      </c>
      <c r="N37" s="225" t="str">
        <f t="shared" si="2"/>
        <v/>
      </c>
      <c r="O37" s="289">
        <v>739500</v>
      </c>
      <c r="P37" s="270">
        <v>7395</v>
      </c>
      <c r="Q37" s="271" t="s">
        <v>274</v>
      </c>
      <c r="R37" s="271" t="s">
        <v>1026</v>
      </c>
      <c r="S37" s="272"/>
      <c r="T37" s="272"/>
      <c r="U37" s="272"/>
      <c r="V37" s="272"/>
      <c r="AC37" s="309"/>
      <c r="AD37" s="312"/>
      <c r="AE37" s="211" t="s">
        <v>1184</v>
      </c>
      <c r="AF37" s="274" t="s">
        <v>47</v>
      </c>
      <c r="AG37" s="231" t="str">
        <f ca="1">IF($AG$9="Quote",Calculator!H44,"")</f>
        <v/>
      </c>
      <c r="AH37" s="173">
        <v>31</v>
      </c>
      <c r="AI37" s="173" t="s">
        <v>540</v>
      </c>
      <c r="AJ37" s="209" t="str">
        <f t="shared" ca="1" si="5"/>
        <v/>
      </c>
      <c r="AL37" s="274" t="str">
        <f t="shared" si="6"/>
        <v/>
      </c>
    </row>
    <row r="38" spans="1:40" x14ac:dyDescent="0.25">
      <c r="A38" s="22" t="s">
        <v>541</v>
      </c>
      <c r="B38" s="229" t="s">
        <v>542</v>
      </c>
      <c r="C38" s="342"/>
      <c r="D38" s="223">
        <v>30</v>
      </c>
      <c r="E38" s="210" t="s">
        <v>1079</v>
      </c>
      <c r="F38" s="210" t="s">
        <v>1131</v>
      </c>
      <c r="G38" s="210">
        <v>173101</v>
      </c>
      <c r="H38" s="234">
        <f t="shared" si="11"/>
        <v>0</v>
      </c>
      <c r="I38" s="234">
        <f>C156</f>
        <v>0</v>
      </c>
      <c r="J38" s="224">
        <f>IF(H38&lt;&gt;1,0,IF(I38&gt;10,1,0))</f>
        <v>0</v>
      </c>
      <c r="K38" s="224" t="s">
        <v>388</v>
      </c>
      <c r="L38" s="224">
        <f t="shared" si="10"/>
        <v>0</v>
      </c>
      <c r="M38" s="210" t="str">
        <f t="shared" si="1"/>
        <v/>
      </c>
      <c r="N38" s="225" t="str">
        <f t="shared" si="2"/>
        <v/>
      </c>
      <c r="O38" s="289">
        <v>769200</v>
      </c>
      <c r="P38" s="270">
        <v>7692</v>
      </c>
      <c r="Q38" s="271" t="s">
        <v>97</v>
      </c>
      <c r="R38" s="271" t="s">
        <v>478</v>
      </c>
      <c r="S38" s="272"/>
      <c r="T38" s="272"/>
      <c r="U38" s="272"/>
      <c r="V38" s="272"/>
      <c r="AC38" s="309"/>
      <c r="AD38" s="313"/>
      <c r="AE38" s="211" t="s">
        <v>493</v>
      </c>
      <c r="AF38" s="274" t="s">
        <v>494</v>
      </c>
      <c r="AG38" s="231" t="str">
        <f ca="1">IF($AG$9="Quote",Calculator!H45,"")</f>
        <v/>
      </c>
      <c r="AH38" s="173">
        <v>32</v>
      </c>
      <c r="AI38" s="173" t="s">
        <v>544</v>
      </c>
      <c r="AJ38" s="235" t="str">
        <f t="shared" ca="1" si="5"/>
        <v/>
      </c>
      <c r="AL38" s="274" t="str">
        <f t="shared" si="6"/>
        <v/>
      </c>
    </row>
    <row r="39" spans="1:40" x14ac:dyDescent="0.25">
      <c r="A39" s="22" t="s">
        <v>545</v>
      </c>
      <c r="B39" s="210" t="s">
        <v>546</v>
      </c>
      <c r="C39" s="214"/>
      <c r="D39" s="223">
        <v>31</v>
      </c>
      <c r="E39" s="210" t="s">
        <v>978</v>
      </c>
      <c r="F39" s="210" t="s">
        <v>1132</v>
      </c>
      <c r="G39" s="210">
        <v>173101</v>
      </c>
      <c r="H39" s="234">
        <f t="shared" si="11"/>
        <v>0</v>
      </c>
      <c r="I39" s="234">
        <f>C157</f>
        <v>0</v>
      </c>
      <c r="J39" s="224">
        <f t="shared" ref="J39" si="12">IF(H39&lt;&gt;1,0,IF(I39&lt;&gt;"No",1,0))</f>
        <v>0</v>
      </c>
      <c r="K39" s="224" t="s">
        <v>388</v>
      </c>
      <c r="L39" s="224">
        <f t="shared" si="10"/>
        <v>0</v>
      </c>
      <c r="M39" s="210" t="str">
        <f t="shared" si="1"/>
        <v/>
      </c>
      <c r="N39" s="225" t="str">
        <f t="shared" si="2"/>
        <v/>
      </c>
      <c r="O39" s="270"/>
      <c r="P39" s="270"/>
      <c r="Q39" s="271"/>
      <c r="R39" s="271"/>
      <c r="S39" s="272"/>
      <c r="T39" s="272"/>
      <c r="U39" s="272"/>
      <c r="V39" s="272"/>
      <c r="AC39" s="309"/>
      <c r="AD39" s="312"/>
      <c r="AE39" s="211" t="s">
        <v>1335</v>
      </c>
      <c r="AF39" s="274" t="s">
        <v>167</v>
      </c>
      <c r="AG39" s="231" t="str">
        <f ca="1">IF($AG$9="Quote",Calculator!H53,"")</f>
        <v/>
      </c>
      <c r="AH39" s="173">
        <v>33</v>
      </c>
      <c r="AI39" s="173" t="s">
        <v>548</v>
      </c>
      <c r="AJ39" s="209" t="str">
        <f t="shared" ca="1" si="5"/>
        <v/>
      </c>
      <c r="AL39" s="274" t="str">
        <f t="shared" si="6"/>
        <v/>
      </c>
    </row>
    <row r="40" spans="1:40" x14ac:dyDescent="0.25">
      <c r="A40" s="22" t="s">
        <v>549</v>
      </c>
      <c r="B40" s="229" t="s">
        <v>550</v>
      </c>
      <c r="C40" s="231"/>
      <c r="D40" s="223">
        <v>32</v>
      </c>
      <c r="E40" s="210" t="s">
        <v>980</v>
      </c>
      <c r="F40" s="210" t="s">
        <v>1133</v>
      </c>
      <c r="G40" s="210">
        <v>173101</v>
      </c>
      <c r="H40" s="234">
        <f t="shared" si="11"/>
        <v>0</v>
      </c>
      <c r="I40" s="234">
        <f>IF($C$18=G40,$C$22,IF($C$25=G40,$C$29,IF($C$32=G40,$C$36,IF($C$39=G40,$C$43,IF($C$46=G40,$C$50,IF($C$53=G40,$C$57,IF($C$60=G40,$C$64,IF($C$67=G40,$C$71,IF($C$74=G40,$C$78,IF($C$81=G40,$C$85,0))))))))))</f>
        <v>0</v>
      </c>
      <c r="J40" s="224">
        <f>IF(H40&lt;&gt;1,0,IF(I40&gt;10,1,0))</f>
        <v>0</v>
      </c>
      <c r="K40" s="224" t="s">
        <v>388</v>
      </c>
      <c r="L40" s="224">
        <f t="shared" si="10"/>
        <v>0</v>
      </c>
      <c r="M40" s="210" t="str">
        <f t="shared" si="1"/>
        <v/>
      </c>
      <c r="N40" s="225" t="str">
        <f t="shared" si="2"/>
        <v/>
      </c>
      <c r="O40" s="270"/>
      <c r="P40" s="270"/>
      <c r="Q40" s="271"/>
      <c r="R40" s="271"/>
      <c r="S40" s="272"/>
      <c r="T40" s="272"/>
      <c r="U40" s="272"/>
      <c r="V40" s="272"/>
      <c r="AC40" s="309"/>
      <c r="AD40" s="311"/>
      <c r="AE40" s="211" t="s">
        <v>585</v>
      </c>
      <c r="AF40" s="274" t="s">
        <v>585</v>
      </c>
      <c r="AG40" s="231" t="str">
        <f ca="1">IF($AG$9="Quote",Calculator!H63,"")</f>
        <v/>
      </c>
      <c r="AH40" s="173">
        <v>34</v>
      </c>
      <c r="AI40" s="272" t="s">
        <v>551</v>
      </c>
      <c r="AJ40" s="209" t="str">
        <f t="shared" ca="1" si="5"/>
        <v/>
      </c>
      <c r="AL40" s="274" t="str">
        <f t="shared" si="6"/>
        <v>Contractor's equipment replacement cost</v>
      </c>
      <c r="AN40" s="379" t="s">
        <v>1388</v>
      </c>
    </row>
    <row r="41" spans="1:40" x14ac:dyDescent="0.25">
      <c r="A41" s="22" t="s">
        <v>552</v>
      </c>
      <c r="B41" s="229" t="s">
        <v>553</v>
      </c>
      <c r="C41" s="231"/>
      <c r="D41" s="223">
        <v>33</v>
      </c>
      <c r="E41" s="210" t="s">
        <v>981</v>
      </c>
      <c r="F41" s="210" t="s">
        <v>1134</v>
      </c>
      <c r="G41" s="210">
        <v>173101</v>
      </c>
      <c r="H41" s="234">
        <f t="shared" si="11"/>
        <v>0</v>
      </c>
      <c r="I41" s="234">
        <f>IF($C$18=G41,C23,IF($C$25=G41,C30,IF($C$32=G41,C37,IF($C$39=G41,C44,IF($C$46=G41,C51,IF($C$53=G41,C58,IF($C$60=G41,C65,IF($C$67=G41,C72,IF($C$74=G41,C79,IF($C$81=G41,C86,0))))))))))</f>
        <v>0</v>
      </c>
      <c r="J41" s="224">
        <f>IF(H41&lt;&gt;1,0,IF(I41&gt;0,1,0))</f>
        <v>0</v>
      </c>
      <c r="K41" s="224" t="s">
        <v>388</v>
      </c>
      <c r="L41" s="224">
        <f t="shared" si="10"/>
        <v>0</v>
      </c>
      <c r="M41" s="210" t="str">
        <f t="shared" si="1"/>
        <v/>
      </c>
      <c r="N41" s="225" t="str">
        <f t="shared" si="2"/>
        <v/>
      </c>
      <c r="O41" s="238" t="s">
        <v>1164</v>
      </c>
      <c r="P41" s="270"/>
      <c r="Q41" s="271"/>
      <c r="R41" s="271"/>
      <c r="S41" s="272"/>
      <c r="T41" s="272"/>
      <c r="U41" s="272"/>
      <c r="V41" s="272"/>
      <c r="AC41" s="309"/>
      <c r="AD41" s="312"/>
      <c r="AE41" s="211" t="s">
        <v>1336</v>
      </c>
      <c r="AF41" s="274" t="s">
        <v>731</v>
      </c>
      <c r="AG41" s="231" t="str">
        <f ca="1">IF($AG$9="Quote",Calculator!H68,"")</f>
        <v/>
      </c>
      <c r="AH41" s="173">
        <v>35</v>
      </c>
      <c r="AI41" s="272" t="s">
        <v>555</v>
      </c>
      <c r="AJ41" s="209" t="str">
        <f t="shared" ca="1" si="5"/>
        <v/>
      </c>
      <c r="AL41" s="274" t="str">
        <f t="shared" si="6"/>
        <v>Conviction reward</v>
      </c>
    </row>
    <row r="42" spans="1:40" x14ac:dyDescent="0.25">
      <c r="A42" s="22" t="s">
        <v>556</v>
      </c>
      <c r="B42" s="229" t="s">
        <v>557</v>
      </c>
      <c r="C42" s="231"/>
      <c r="D42" s="223">
        <v>34</v>
      </c>
      <c r="E42" s="210" t="s">
        <v>982</v>
      </c>
      <c r="F42" s="210" t="s">
        <v>1135</v>
      </c>
      <c r="G42" s="210">
        <v>171500</v>
      </c>
      <c r="H42" s="234">
        <f t="shared" ref="H42:H48" si="13">IF(OR($C$18=G42,$C$25=G42,$C$32=G42,$C$39=G42,$C$46=G42,$C$53=G42,$C$60=G42,$C$67=G42,$C$74=G42,$C$81=G42),1,0)</f>
        <v>0</v>
      </c>
      <c r="I42" s="234">
        <f>C158</f>
        <v>0</v>
      </c>
      <c r="J42" s="224">
        <f t="shared" ref="J42:J44" si="14">IF(H42&lt;&gt;1,0,IF(I42&lt;&gt;"No",1,0))</f>
        <v>0</v>
      </c>
      <c r="K42" s="224" t="s">
        <v>388</v>
      </c>
      <c r="L42" s="224">
        <f t="shared" si="10"/>
        <v>0</v>
      </c>
      <c r="M42" s="210" t="str">
        <f t="shared" si="1"/>
        <v/>
      </c>
      <c r="N42" s="225" t="str">
        <f t="shared" si="2"/>
        <v/>
      </c>
      <c r="O42" s="288" t="s">
        <v>655</v>
      </c>
      <c r="P42" s="270" t="s">
        <v>1095</v>
      </c>
      <c r="Q42" s="271" t="s">
        <v>1096</v>
      </c>
      <c r="R42" s="271" t="s">
        <v>1097</v>
      </c>
      <c r="S42" s="272" t="s">
        <v>1098</v>
      </c>
      <c r="T42" s="272" t="s">
        <v>1099</v>
      </c>
      <c r="U42" s="272" t="s">
        <v>1100</v>
      </c>
      <c r="V42" s="272" t="s">
        <v>1101</v>
      </c>
      <c r="W42" s="274"/>
      <c r="X42" s="274"/>
      <c r="Y42" s="274"/>
      <c r="Z42" s="274"/>
      <c r="AA42" s="274"/>
      <c r="AB42" s="274"/>
      <c r="AC42" s="309"/>
      <c r="AD42" s="314"/>
      <c r="AE42" s="211" t="s">
        <v>636</v>
      </c>
      <c r="AF42" s="274" t="s">
        <v>636</v>
      </c>
      <c r="AG42" s="231" t="str">
        <f ca="1">IF($AG$9="Quote",Calculator!H73,"")</f>
        <v/>
      </c>
      <c r="AH42" s="173">
        <v>36</v>
      </c>
      <c r="AI42" s="173" t="s">
        <v>559</v>
      </c>
      <c r="AJ42" s="209" t="str">
        <f t="shared" ca="1" si="5"/>
        <v/>
      </c>
      <c r="AL42" s="274" t="str">
        <f t="shared" si="6"/>
        <v>Data coverage</v>
      </c>
    </row>
    <row r="43" spans="1:40" x14ac:dyDescent="0.25">
      <c r="A43" s="22" t="s">
        <v>560</v>
      </c>
      <c r="B43" s="229" t="s">
        <v>561</v>
      </c>
      <c r="C43" s="231"/>
      <c r="D43" s="223">
        <v>35</v>
      </c>
      <c r="E43" s="210" t="s">
        <v>983</v>
      </c>
      <c r="F43" s="210" t="s">
        <v>1136</v>
      </c>
      <c r="G43" s="210">
        <v>171500</v>
      </c>
      <c r="H43" s="234">
        <f t="shared" si="13"/>
        <v>0</v>
      </c>
      <c r="I43" s="234">
        <f>$C$159</f>
        <v>0</v>
      </c>
      <c r="J43" s="224">
        <f t="shared" si="14"/>
        <v>0</v>
      </c>
      <c r="K43" s="224" t="s">
        <v>388</v>
      </c>
      <c r="L43" s="224">
        <f t="shared" si="10"/>
        <v>0</v>
      </c>
      <c r="M43" s="210" t="str">
        <f t="shared" si="1"/>
        <v/>
      </c>
      <c r="N43" s="225" t="str">
        <f t="shared" si="2"/>
        <v/>
      </c>
      <c r="O43" s="270" t="s">
        <v>1084</v>
      </c>
      <c r="P43" s="270">
        <f>C18</f>
        <v>0</v>
      </c>
      <c r="Q43" s="294">
        <f>C19</f>
        <v>0</v>
      </c>
      <c r="R43" s="294">
        <f>C20</f>
        <v>0</v>
      </c>
      <c r="S43" s="295">
        <f>C21</f>
        <v>0</v>
      </c>
      <c r="T43" s="295">
        <f>C22</f>
        <v>0</v>
      </c>
      <c r="U43" s="295">
        <f>C23</f>
        <v>0</v>
      </c>
      <c r="V43" s="296">
        <f>C24</f>
        <v>0</v>
      </c>
      <c r="W43" s="274"/>
      <c r="X43" s="274"/>
      <c r="Y43" s="274"/>
      <c r="Z43" s="274"/>
      <c r="AA43" s="274"/>
      <c r="AB43" s="274"/>
      <c r="AC43" s="309"/>
      <c r="AD43" s="312"/>
      <c r="AE43" s="272" t="s">
        <v>639</v>
      </c>
      <c r="AF43" s="272" t="s">
        <v>639</v>
      </c>
      <c r="AG43" s="310" t="str">
        <f ca="1">IF($AG$9="Quote",Calculator!$H$74,"")</f>
        <v/>
      </c>
      <c r="AH43" s="173">
        <v>37</v>
      </c>
      <c r="AI43" s="173" t="s">
        <v>564</v>
      </c>
      <c r="AJ43" s="209" t="str">
        <f t="shared" ca="1" si="5"/>
        <v/>
      </c>
      <c r="AL43" s="274" t="str">
        <f t="shared" si="6"/>
        <v>Debris Removal</v>
      </c>
    </row>
    <row r="44" spans="1:40" x14ac:dyDescent="0.25">
      <c r="A44" s="22" t="s">
        <v>565</v>
      </c>
      <c r="B44" s="229" t="s">
        <v>566</v>
      </c>
      <c r="C44" s="231"/>
      <c r="D44" s="223">
        <v>36</v>
      </c>
      <c r="E44" s="210" t="s">
        <v>984</v>
      </c>
      <c r="F44" s="210" t="s">
        <v>1137</v>
      </c>
      <c r="G44" s="210">
        <v>171500</v>
      </c>
      <c r="H44" s="234">
        <f t="shared" si="13"/>
        <v>0</v>
      </c>
      <c r="I44" s="234">
        <f>C160</f>
        <v>0</v>
      </c>
      <c r="J44" s="224">
        <f t="shared" si="14"/>
        <v>0</v>
      </c>
      <c r="K44" s="224" t="s">
        <v>388</v>
      </c>
      <c r="L44" s="224">
        <f t="shared" si="10"/>
        <v>0</v>
      </c>
      <c r="M44" s="210" t="str">
        <f t="shared" si="1"/>
        <v/>
      </c>
      <c r="N44" s="225" t="str">
        <f t="shared" si="2"/>
        <v/>
      </c>
      <c r="O44" s="270" t="s">
        <v>1085</v>
      </c>
      <c r="P44" s="270">
        <f>C25</f>
        <v>0</v>
      </c>
      <c r="Q44" s="294">
        <f>C26</f>
        <v>0</v>
      </c>
      <c r="R44" s="294">
        <f>C27</f>
        <v>0</v>
      </c>
      <c r="S44" s="295">
        <f>C28</f>
        <v>0</v>
      </c>
      <c r="T44" s="295">
        <f>C29</f>
        <v>0</v>
      </c>
      <c r="U44" s="295">
        <f>C30</f>
        <v>0</v>
      </c>
      <c r="V44" s="296">
        <f>C31</f>
        <v>0</v>
      </c>
      <c r="W44" s="274"/>
      <c r="X44" s="274"/>
      <c r="Y44" s="274"/>
      <c r="Z44" s="274"/>
      <c r="AA44" s="274"/>
      <c r="AB44" s="274"/>
      <c r="AC44" s="309"/>
      <c r="AD44" s="312"/>
      <c r="AE44" s="211" t="s">
        <v>572</v>
      </c>
      <c r="AF44" s="274" t="s">
        <v>572</v>
      </c>
      <c r="AG44" s="231" t="str">
        <f ca="1">IF($AG$9="Quote",Calculator!H78,"")</f>
        <v/>
      </c>
      <c r="AH44" s="173">
        <v>38</v>
      </c>
      <c r="AI44" s="173" t="s">
        <v>2</v>
      </c>
      <c r="AJ44" s="209" t="str">
        <f t="shared" ca="1" si="5"/>
        <v/>
      </c>
      <c r="AL44" s="274" t="str">
        <f t="shared" si="6"/>
        <v>Deductible</v>
      </c>
    </row>
    <row r="45" spans="1:40" x14ac:dyDescent="0.25">
      <c r="A45" s="22" t="s">
        <v>568</v>
      </c>
      <c r="B45" s="229" t="s">
        <v>569</v>
      </c>
      <c r="C45" s="342"/>
      <c r="D45" s="223">
        <v>37</v>
      </c>
      <c r="E45" s="210" t="s">
        <v>985</v>
      </c>
      <c r="F45" s="210" t="s">
        <v>1138</v>
      </c>
      <c r="G45" s="210">
        <v>171500</v>
      </c>
      <c r="H45" s="234">
        <f t="shared" si="13"/>
        <v>0</v>
      </c>
      <c r="I45" s="234">
        <f>IF($C$18=G45,$C$21,IF($C$25=G45,$C$28,IF($C$32=G45,$C$35,IF($C$39=G45,$C$42,IF($C$46=G45,$C$49,IF($C$53=G45,$C$56,IF($C$60=G45,$C$63,IF($C$67=G45,$C$70,IF($C$74=G45,$C$77,IF($C$81=G45,$C$84,0))))))))))</f>
        <v>0</v>
      </c>
      <c r="J45" s="224">
        <f>IF(H45&lt;&gt;1,0,IF(I45&gt;10,1,0))</f>
        <v>0</v>
      </c>
      <c r="K45" s="224" t="s">
        <v>388</v>
      </c>
      <c r="L45" s="224">
        <f t="shared" si="10"/>
        <v>0</v>
      </c>
      <c r="M45" s="210" t="str">
        <f t="shared" si="1"/>
        <v/>
      </c>
      <c r="N45" s="225" t="str">
        <f t="shared" si="2"/>
        <v/>
      </c>
      <c r="O45" s="270" t="s">
        <v>1086</v>
      </c>
      <c r="P45" s="270">
        <f>C32</f>
        <v>0</v>
      </c>
      <c r="Q45" s="294">
        <f>C33</f>
        <v>0</v>
      </c>
      <c r="R45" s="294">
        <f>C34</f>
        <v>0</v>
      </c>
      <c r="S45" s="295">
        <f>C35</f>
        <v>0</v>
      </c>
      <c r="T45" s="295">
        <f>C36</f>
        <v>0</v>
      </c>
      <c r="U45" s="295">
        <f>C37</f>
        <v>0</v>
      </c>
      <c r="V45" s="296">
        <f>C38</f>
        <v>0</v>
      </c>
      <c r="W45" s="274"/>
      <c r="X45" s="274"/>
      <c r="Y45" s="274"/>
      <c r="Z45" s="274"/>
      <c r="AA45" s="274"/>
      <c r="AB45" s="274"/>
      <c r="AC45" s="309"/>
      <c r="AD45" s="311"/>
      <c r="AE45" s="211" t="s">
        <v>1244</v>
      </c>
      <c r="AF45" s="274" t="s">
        <v>804</v>
      </c>
      <c r="AG45" s="231" t="str">
        <f ca="1">IF($AG$9="Quote",Calculator!H85,"")</f>
        <v/>
      </c>
      <c r="AH45" s="173">
        <v>39</v>
      </c>
      <c r="AI45" s="173" t="s">
        <v>572</v>
      </c>
      <c r="AJ45" s="209" t="str">
        <f t="shared" ca="1" si="5"/>
        <v/>
      </c>
      <c r="AL45" s="274" t="str">
        <f t="shared" si="6"/>
        <v>Earthquake</v>
      </c>
    </row>
    <row r="46" spans="1:40" x14ac:dyDescent="0.25">
      <c r="A46" s="22" t="s">
        <v>573</v>
      </c>
      <c r="B46" s="210" t="s">
        <v>574</v>
      </c>
      <c r="C46" s="214"/>
      <c r="D46" s="223">
        <v>38</v>
      </c>
      <c r="E46" s="210" t="s">
        <v>986</v>
      </c>
      <c r="F46" s="210" t="s">
        <v>1139</v>
      </c>
      <c r="G46" s="210">
        <v>171500</v>
      </c>
      <c r="H46" s="234">
        <f t="shared" si="13"/>
        <v>0</v>
      </c>
      <c r="I46" s="234">
        <f>C161</f>
        <v>0</v>
      </c>
      <c r="J46" s="224">
        <f t="shared" ref="J46" si="15">IF(H46&lt;&gt;1,0,IF(I46&lt;&gt;"No",1,0))</f>
        <v>0</v>
      </c>
      <c r="K46" s="224" t="s">
        <v>388</v>
      </c>
      <c r="L46" s="224">
        <f t="shared" si="10"/>
        <v>0</v>
      </c>
      <c r="M46" s="210" t="str">
        <f t="shared" si="1"/>
        <v/>
      </c>
      <c r="N46" s="225" t="str">
        <f t="shared" si="2"/>
        <v/>
      </c>
      <c r="O46" s="270" t="s">
        <v>1087</v>
      </c>
      <c r="P46" s="270">
        <f>C39</f>
        <v>0</v>
      </c>
      <c r="Q46" s="294">
        <f>C40</f>
        <v>0</v>
      </c>
      <c r="R46" s="294">
        <f>C41</f>
        <v>0</v>
      </c>
      <c r="S46" s="295">
        <f>C42</f>
        <v>0</v>
      </c>
      <c r="T46" s="295">
        <f>C43</f>
        <v>0</v>
      </c>
      <c r="U46" s="295">
        <f>C44</f>
        <v>0</v>
      </c>
      <c r="V46" s="296">
        <f>C45</f>
        <v>0</v>
      </c>
      <c r="W46" s="274"/>
      <c r="X46" s="274"/>
      <c r="Y46" s="274"/>
      <c r="Z46" s="274"/>
      <c r="AA46" s="274"/>
      <c r="AB46" s="274"/>
      <c r="AC46" s="309"/>
      <c r="AD46" s="311"/>
      <c r="AE46" s="211" t="s">
        <v>1249</v>
      </c>
      <c r="AF46" s="274" t="s">
        <v>621</v>
      </c>
      <c r="AG46" s="231" t="str">
        <f ca="1">IF($AG$9="Quote",Calculator!H90,"")</f>
        <v/>
      </c>
      <c r="AH46" s="173">
        <v>40</v>
      </c>
      <c r="AI46" s="173" t="s">
        <v>576</v>
      </c>
      <c r="AJ46" s="209" t="str">
        <f t="shared" ca="1" si="5"/>
        <v/>
      </c>
      <c r="AL46" s="274" t="str">
        <f t="shared" si="6"/>
        <v>Eco-friendly coverage enhancement</v>
      </c>
    </row>
    <row r="47" spans="1:40" x14ac:dyDescent="0.25">
      <c r="A47" s="22" t="s">
        <v>577</v>
      </c>
      <c r="B47" s="229" t="s">
        <v>578</v>
      </c>
      <c r="C47" s="231"/>
      <c r="D47" s="223">
        <v>39</v>
      </c>
      <c r="E47" s="210" t="s">
        <v>987</v>
      </c>
      <c r="F47" s="210" t="s">
        <v>1140</v>
      </c>
      <c r="G47" s="210">
        <v>171500</v>
      </c>
      <c r="H47" s="234">
        <f>IF(OR($C$18=G47,$C$25=G47,$C$32=G47,$C$39=G47,$C$46=G47,$C$53=G47,$C$60=G47,$C$67=G47,$C$74=G47,$C$81=G47),1,0)</f>
        <v>0</v>
      </c>
      <c r="I47" s="234">
        <f>IF($C$18=G47,$C$22,IF($C$25=G47,$C$29,IF($C$32=G47,$C$36,IF($C$39=G47,$C$43,IF($C$46=G47,$C$50,IF($C$53=G47,$C$57,IF($C$60=G47,$C$64,IF($C$67=G47,$C$71,IF($C$74=G47,$C$78,IF($C$81=G47,$C$85,0))))))))))</f>
        <v>0</v>
      </c>
      <c r="J47" s="224">
        <f>IF(H47&lt;&gt;1,0,IF(I47&gt;0,1,0))</f>
        <v>0</v>
      </c>
      <c r="K47" s="224" t="s">
        <v>388</v>
      </c>
      <c r="L47" s="224">
        <f t="shared" si="10"/>
        <v>0</v>
      </c>
      <c r="M47" s="210" t="str">
        <f t="shared" si="1"/>
        <v/>
      </c>
      <c r="N47" s="225" t="str">
        <f t="shared" si="2"/>
        <v/>
      </c>
      <c r="O47" s="270" t="s">
        <v>1088</v>
      </c>
      <c r="P47" s="270">
        <f>C46</f>
        <v>0</v>
      </c>
      <c r="Q47" s="294">
        <f>C47</f>
        <v>0</v>
      </c>
      <c r="R47" s="294">
        <f>C48</f>
        <v>0</v>
      </c>
      <c r="S47" s="295">
        <f>C49</f>
        <v>0</v>
      </c>
      <c r="T47" s="295">
        <f>C50</f>
        <v>0</v>
      </c>
      <c r="U47" s="295">
        <f>C51</f>
        <v>0</v>
      </c>
      <c r="V47" s="296">
        <f>C52</f>
        <v>0</v>
      </c>
      <c r="W47" s="274"/>
      <c r="X47" s="274"/>
      <c r="Y47" s="274"/>
      <c r="Z47" s="274"/>
      <c r="AA47" s="274"/>
      <c r="AB47" s="274"/>
      <c r="AC47" s="309"/>
      <c r="AD47" s="310"/>
      <c r="AE47" s="211" t="s">
        <v>760</v>
      </c>
      <c r="AF47" s="210" t="s">
        <v>761</v>
      </c>
      <c r="AG47" s="231" t="str">
        <f ca="1">IF($AG$9="Quote",Calculator!H97,"")</f>
        <v/>
      </c>
      <c r="AH47" s="173">
        <v>41</v>
      </c>
      <c r="AI47" s="173" t="s">
        <v>1302</v>
      </c>
      <c r="AJ47" s="209" t="str">
        <f t="shared" ca="1" si="5"/>
        <v/>
      </c>
      <c r="AL47" s="274" t="str">
        <f t="shared" si="6"/>
        <v>Computers and other Electronic Data Processing Equipment</v>
      </c>
    </row>
    <row r="48" spans="1:40" x14ac:dyDescent="0.25">
      <c r="A48" s="22" t="s">
        <v>580</v>
      </c>
      <c r="B48" s="229" t="s">
        <v>581</v>
      </c>
      <c r="C48" s="231"/>
      <c r="D48" s="223">
        <v>40</v>
      </c>
      <c r="E48" s="210" t="s">
        <v>988</v>
      </c>
      <c r="F48" s="210" t="s">
        <v>1141</v>
      </c>
      <c r="G48" s="210">
        <v>171500</v>
      </c>
      <c r="H48" s="234">
        <f t="shared" si="13"/>
        <v>0</v>
      </c>
      <c r="I48" s="234">
        <f t="shared" ref="I48:I56" si="16">C162</f>
        <v>0</v>
      </c>
      <c r="J48" s="224">
        <f t="shared" ref="J48" si="17">IF(H48&lt;&gt;1,0,IF(I48&lt;&gt;"No",1,0))</f>
        <v>0</v>
      </c>
      <c r="K48" s="224" t="s">
        <v>388</v>
      </c>
      <c r="L48" s="224">
        <f t="shared" si="10"/>
        <v>0</v>
      </c>
      <c r="M48" s="210" t="str">
        <f t="shared" si="1"/>
        <v/>
      </c>
      <c r="N48" s="225" t="str">
        <f t="shared" si="2"/>
        <v/>
      </c>
      <c r="O48" s="270" t="s">
        <v>1089</v>
      </c>
      <c r="P48" s="270">
        <f>C53</f>
        <v>0</v>
      </c>
      <c r="Q48" s="294">
        <f>C54</f>
        <v>0</v>
      </c>
      <c r="R48" s="294">
        <f>C55</f>
        <v>0</v>
      </c>
      <c r="S48" s="295">
        <f>C56</f>
        <v>0</v>
      </c>
      <c r="T48" s="295">
        <f>C57</f>
        <v>0</v>
      </c>
      <c r="U48" s="295">
        <f>C58</f>
        <v>0</v>
      </c>
      <c r="V48" s="296">
        <f>C59</f>
        <v>0</v>
      </c>
      <c r="W48" s="274"/>
      <c r="X48" s="274"/>
      <c r="Y48" s="274"/>
      <c r="Z48" s="274"/>
      <c r="AA48" s="274"/>
      <c r="AB48" s="274"/>
      <c r="AC48" s="309"/>
      <c r="AD48" s="311"/>
      <c r="AE48" s="211" t="s">
        <v>764</v>
      </c>
      <c r="AF48" s="398"/>
      <c r="AG48" s="231" t="str">
        <f ca="1">IF($AG$9="Quote",Calculator!H98,"")</f>
        <v/>
      </c>
      <c r="AH48" s="173">
        <v>42</v>
      </c>
      <c r="AI48" s="272" t="s">
        <v>1303</v>
      </c>
      <c r="AJ48" s="209" t="str">
        <f t="shared" ca="1" si="5"/>
        <v/>
      </c>
      <c r="AL48" s="274" t="str">
        <f t="shared" si="6"/>
        <v/>
      </c>
    </row>
    <row r="49" spans="1:40" x14ac:dyDescent="0.25">
      <c r="A49" s="22" t="s">
        <v>582</v>
      </c>
      <c r="B49" s="229" t="s">
        <v>583</v>
      </c>
      <c r="C49" s="231"/>
      <c r="D49" s="223">
        <v>41</v>
      </c>
      <c r="E49" s="210" t="s">
        <v>989</v>
      </c>
      <c r="F49" s="210" t="s">
        <v>1142</v>
      </c>
      <c r="G49" s="210">
        <v>73500</v>
      </c>
      <c r="H49" s="234">
        <f t="shared" ref="H49:H51" si="18">IF(OR($C$18=G49,$C$25=G49,$C$32=G49,$C$39=G49,$C$46=G49,$C$53=G49,$C$60=G49,$C$67=G49,$C$74=G49,$C$81=G49),1,0)</f>
        <v>0</v>
      </c>
      <c r="I49" s="234">
        <f t="shared" si="16"/>
        <v>0</v>
      </c>
      <c r="J49" s="224">
        <f t="shared" ref="J49:J59" si="19">IF(H49&lt;&gt;1,0,IF(I49&lt;&gt;"No",1,0))</f>
        <v>0</v>
      </c>
      <c r="K49" s="224" t="s">
        <v>388</v>
      </c>
      <c r="L49" s="224">
        <f t="shared" si="10"/>
        <v>0</v>
      </c>
      <c r="M49" s="210" t="str">
        <f t="shared" si="1"/>
        <v/>
      </c>
      <c r="N49" s="225" t="str">
        <f t="shared" si="2"/>
        <v/>
      </c>
      <c r="O49" s="270" t="s">
        <v>1090</v>
      </c>
      <c r="P49" s="270">
        <f>C60</f>
        <v>0</v>
      </c>
      <c r="Q49" s="294">
        <f>C61</f>
        <v>0</v>
      </c>
      <c r="R49" s="294">
        <f>C62</f>
        <v>0</v>
      </c>
      <c r="S49" s="295">
        <f>C63</f>
        <v>0</v>
      </c>
      <c r="T49" s="295">
        <f>C64</f>
        <v>0</v>
      </c>
      <c r="U49" s="295">
        <f>C65</f>
        <v>0</v>
      </c>
      <c r="V49" s="296">
        <f>C66</f>
        <v>0</v>
      </c>
      <c r="W49" s="274"/>
      <c r="X49" s="274"/>
      <c r="Y49" s="274"/>
      <c r="Z49" s="274"/>
      <c r="AA49" s="274"/>
      <c r="AB49" s="274"/>
      <c r="AC49" s="309"/>
      <c r="AD49" s="311"/>
      <c r="AE49" s="211" t="s">
        <v>767</v>
      </c>
      <c r="AF49" s="398"/>
      <c r="AG49" s="231" t="str">
        <f ca="1">IF($AG$9="Quote",Calculator!H99,"")</f>
        <v/>
      </c>
      <c r="AH49" s="173">
        <v>43</v>
      </c>
      <c r="AI49" s="173" t="s">
        <v>585</v>
      </c>
      <c r="AJ49" s="209" t="str">
        <f t="shared" ca="1" si="5"/>
        <v/>
      </c>
      <c r="AL49" s="274" t="str">
        <f t="shared" si="6"/>
        <v>Equipment breakdown</v>
      </c>
    </row>
    <row r="50" spans="1:40" x14ac:dyDescent="0.25">
      <c r="A50" s="22" t="s">
        <v>586</v>
      </c>
      <c r="B50" s="229" t="s">
        <v>587</v>
      </c>
      <c r="C50" s="231"/>
      <c r="D50" s="293">
        <v>42</v>
      </c>
      <c r="E50" s="173" t="s">
        <v>990</v>
      </c>
      <c r="F50" s="173" t="s">
        <v>1143</v>
      </c>
      <c r="G50" s="274">
        <v>73500</v>
      </c>
      <c r="H50" s="279">
        <f t="shared" si="18"/>
        <v>0</v>
      </c>
      <c r="I50" s="279">
        <f t="shared" si="16"/>
        <v>0</v>
      </c>
      <c r="J50" s="279">
        <f t="shared" si="19"/>
        <v>0</v>
      </c>
      <c r="K50" s="224" t="s">
        <v>388</v>
      </c>
      <c r="L50" s="224">
        <f t="shared" si="10"/>
        <v>0</v>
      </c>
      <c r="M50" s="210" t="str">
        <f t="shared" si="1"/>
        <v/>
      </c>
      <c r="N50" s="225" t="str">
        <f t="shared" si="2"/>
        <v/>
      </c>
      <c r="O50" s="270" t="s">
        <v>1091</v>
      </c>
      <c r="P50" s="270">
        <f>C67</f>
        <v>0</v>
      </c>
      <c r="Q50" s="294">
        <f>C68</f>
        <v>0</v>
      </c>
      <c r="R50" s="294">
        <f>C69</f>
        <v>0</v>
      </c>
      <c r="S50" s="295">
        <f>C70</f>
        <v>0</v>
      </c>
      <c r="T50" s="295">
        <f>C71</f>
        <v>0</v>
      </c>
      <c r="U50" s="295">
        <f>C72</f>
        <v>0</v>
      </c>
      <c r="V50" s="296">
        <f>C73</f>
        <v>0</v>
      </c>
      <c r="W50" s="274"/>
      <c r="X50" s="274"/>
      <c r="Y50" s="274"/>
      <c r="Z50" s="274"/>
      <c r="AA50" s="274"/>
      <c r="AB50" s="274"/>
      <c r="AC50" s="309"/>
      <c r="AD50" s="311"/>
      <c r="AE50" s="211" t="s">
        <v>771</v>
      </c>
      <c r="AF50" s="210" t="s">
        <v>772</v>
      </c>
      <c r="AG50" s="231" t="str">
        <f ca="1">IF($AG$9="Quote",Calculator!H100,"")</f>
        <v/>
      </c>
      <c r="AH50" s="173">
        <v>44</v>
      </c>
      <c r="AI50" s="173" t="s">
        <v>590</v>
      </c>
      <c r="AJ50" s="209" t="str">
        <f t="shared" ca="1" si="5"/>
        <v/>
      </c>
      <c r="AL50" s="274" t="str">
        <f t="shared" si="6"/>
        <v>Exhibition insurance</v>
      </c>
    </row>
    <row r="51" spans="1:40" x14ac:dyDescent="0.25">
      <c r="A51" s="22" t="s">
        <v>591</v>
      </c>
      <c r="B51" s="229" t="s">
        <v>592</v>
      </c>
      <c r="C51" s="231"/>
      <c r="D51" s="293">
        <v>43</v>
      </c>
      <c r="E51" s="173" t="s">
        <v>991</v>
      </c>
      <c r="F51" s="173" t="s">
        <v>1144</v>
      </c>
      <c r="G51" s="274">
        <v>73500</v>
      </c>
      <c r="H51" s="279">
        <f t="shared" si="18"/>
        <v>0</v>
      </c>
      <c r="I51" s="279">
        <f t="shared" si="16"/>
        <v>0</v>
      </c>
      <c r="J51" s="279">
        <f t="shared" si="19"/>
        <v>0</v>
      </c>
      <c r="K51" s="224" t="s">
        <v>388</v>
      </c>
      <c r="L51" s="224">
        <f t="shared" si="10"/>
        <v>0</v>
      </c>
      <c r="M51" s="210" t="str">
        <f t="shared" si="1"/>
        <v/>
      </c>
      <c r="N51" s="225" t="str">
        <f t="shared" si="2"/>
        <v/>
      </c>
      <c r="O51" s="270" t="s">
        <v>1092</v>
      </c>
      <c r="P51" s="270">
        <f>C74</f>
        <v>0</v>
      </c>
      <c r="Q51" s="294">
        <f>C75</f>
        <v>0</v>
      </c>
      <c r="R51" s="294">
        <f>C76</f>
        <v>0</v>
      </c>
      <c r="S51" s="295">
        <f>C77</f>
        <v>0</v>
      </c>
      <c r="T51" s="295">
        <f>C78</f>
        <v>0</v>
      </c>
      <c r="U51" s="295">
        <f>C79</f>
        <v>0</v>
      </c>
      <c r="V51" s="296">
        <f>C80</f>
        <v>0</v>
      </c>
      <c r="W51" s="274"/>
      <c r="X51" s="274"/>
      <c r="Y51" s="274"/>
      <c r="Z51" s="274"/>
      <c r="AA51" s="274"/>
      <c r="AB51" s="274"/>
      <c r="AC51" s="315"/>
      <c r="AD51" s="311"/>
      <c r="AE51" s="211" t="s">
        <v>775</v>
      </c>
      <c r="AF51" s="398"/>
      <c r="AG51" s="231" t="str">
        <f ca="1">IF($AG$9="Quote",Calculator!H101,"")</f>
        <v/>
      </c>
      <c r="AH51" s="173">
        <v>45</v>
      </c>
      <c r="AI51" s="173" t="s">
        <v>598</v>
      </c>
      <c r="AJ51" s="209" t="str">
        <f t="shared" ca="1" si="5"/>
        <v/>
      </c>
      <c r="AL51" s="274" t="str">
        <f t="shared" si="6"/>
        <v/>
      </c>
    </row>
    <row r="52" spans="1:40" ht="15.75" thickBot="1" x14ac:dyDescent="0.3">
      <c r="A52" s="22" t="s">
        <v>599</v>
      </c>
      <c r="B52" s="229" t="s">
        <v>600</v>
      </c>
      <c r="C52" s="342"/>
      <c r="D52" s="293">
        <v>44</v>
      </c>
      <c r="E52" s="274" t="s">
        <v>992</v>
      </c>
      <c r="F52" s="274" t="s">
        <v>1145</v>
      </c>
      <c r="G52" s="274">
        <v>181102</v>
      </c>
      <c r="H52" s="279">
        <f t="shared" ref="H52:H59" si="20">IF(OR($C$18=G52,$C$25=G52,$C$32=G52,$C$39=G52,$C$46=G52,$C$53=G52,$C$60=G52,$C$67=G52,$C$74=G52,$C$81=G52),1,0)</f>
        <v>0</v>
      </c>
      <c r="I52" s="279">
        <f t="shared" si="16"/>
        <v>0</v>
      </c>
      <c r="J52" s="279">
        <f t="shared" si="19"/>
        <v>0</v>
      </c>
      <c r="K52" s="224" t="s">
        <v>388</v>
      </c>
      <c r="L52" s="224">
        <f t="shared" si="10"/>
        <v>0</v>
      </c>
      <c r="M52" s="210" t="str">
        <f t="shared" si="1"/>
        <v/>
      </c>
      <c r="N52" s="225" t="str">
        <f t="shared" si="2"/>
        <v/>
      </c>
      <c r="O52" s="270" t="s">
        <v>1093</v>
      </c>
      <c r="P52" s="270">
        <f>C81</f>
        <v>0</v>
      </c>
      <c r="Q52" s="294">
        <f>C82</f>
        <v>0</v>
      </c>
      <c r="R52" s="294">
        <f>C83</f>
        <v>0</v>
      </c>
      <c r="S52" s="295">
        <f>C84</f>
        <v>0</v>
      </c>
      <c r="T52" s="295">
        <f>C85</f>
        <v>0</v>
      </c>
      <c r="U52" s="295">
        <f>C86</f>
        <v>0</v>
      </c>
      <c r="V52" s="296">
        <f>C87</f>
        <v>0</v>
      </c>
      <c r="W52" s="274"/>
      <c r="X52" s="274"/>
      <c r="Y52" s="274"/>
      <c r="Z52" s="274"/>
      <c r="AA52" s="274"/>
      <c r="AB52" s="274"/>
      <c r="AC52" s="306"/>
      <c r="AD52" s="316"/>
      <c r="AE52" s="211" t="s">
        <v>780</v>
      </c>
      <c r="AF52" s="210" t="s">
        <v>780</v>
      </c>
      <c r="AG52" s="231" t="str">
        <f ca="1">IF($AG$9="Quote",Calculator!H102,"")</f>
        <v/>
      </c>
      <c r="AH52" s="173">
        <v>46</v>
      </c>
      <c r="AI52" s="173" t="s">
        <v>605</v>
      </c>
      <c r="AJ52" s="209" t="str">
        <f t="shared" ca="1" si="5"/>
        <v/>
      </c>
      <c r="AL52" s="274" t="str">
        <f t="shared" si="6"/>
        <v>Exterior glass</v>
      </c>
    </row>
    <row r="53" spans="1:40" ht="15.75" thickTop="1" x14ac:dyDescent="0.25">
      <c r="A53" s="22" t="s">
        <v>606</v>
      </c>
      <c r="B53" s="210" t="s">
        <v>607</v>
      </c>
      <c r="C53" s="214"/>
      <c r="D53" s="293">
        <v>45</v>
      </c>
      <c r="E53" s="274" t="s">
        <v>993</v>
      </c>
      <c r="F53" s="274" t="s">
        <v>1146</v>
      </c>
      <c r="G53" s="274">
        <v>181102</v>
      </c>
      <c r="H53" s="279">
        <f t="shared" si="20"/>
        <v>0</v>
      </c>
      <c r="I53" s="279">
        <f t="shared" si="16"/>
        <v>0</v>
      </c>
      <c r="J53" s="279">
        <f>IF(H53&lt;&gt;1,0,IF(I53&lt;&gt;"Yes",1,0))</f>
        <v>0</v>
      </c>
      <c r="K53" s="224" t="s">
        <v>388</v>
      </c>
      <c r="L53" s="224">
        <f t="shared" si="10"/>
        <v>0</v>
      </c>
      <c r="M53" s="210" t="str">
        <f t="shared" si="1"/>
        <v/>
      </c>
      <c r="N53" s="225" t="str">
        <f t="shared" si="2"/>
        <v/>
      </c>
      <c r="O53" s="298" t="s">
        <v>1094</v>
      </c>
      <c r="P53" s="299"/>
      <c r="Q53" s="300">
        <f>SUM(Q43:Q52)</f>
        <v>0</v>
      </c>
      <c r="R53" s="301">
        <f>SUMPRODUCT($Q$43:$Q$52,R43:R52)/100</f>
        <v>0</v>
      </c>
      <c r="S53" s="301">
        <f t="shared" ref="S53:U53" si="21">SUMPRODUCT($Q$43:$Q$52,S43:S52)/100</f>
        <v>0</v>
      </c>
      <c r="T53" s="301">
        <f t="shared" si="21"/>
        <v>0</v>
      </c>
      <c r="U53" s="301">
        <f t="shared" si="21"/>
        <v>0</v>
      </c>
      <c r="V53" s="302" t="str">
        <f>IF(AND(V43="No",V44="No",V45="No",V46="No",V47="No",V48="No",V49="No",V50="No",V51="No",V52="No"),"No","Yes")</f>
        <v>Yes</v>
      </c>
      <c r="W53" s="274"/>
      <c r="X53" s="274"/>
      <c r="Y53" s="274"/>
      <c r="Z53" s="274"/>
      <c r="AA53" s="274"/>
      <c r="AB53" s="274"/>
      <c r="AC53" s="306"/>
      <c r="AD53" s="316"/>
      <c r="AE53" s="211" t="s">
        <v>784</v>
      </c>
      <c r="AF53" s="398"/>
      <c r="AG53" s="231" t="str">
        <f ca="1">IF($AG$9="Quote",Calculator!H103,"")</f>
        <v/>
      </c>
      <c r="AH53" s="173">
        <v>47</v>
      </c>
      <c r="AI53" s="173" t="s">
        <v>612</v>
      </c>
      <c r="AJ53" s="209" t="str">
        <f t="shared" ca="1" si="5"/>
        <v/>
      </c>
      <c r="AL53" s="274" t="str">
        <f t="shared" si="6"/>
        <v>Exterior signs</v>
      </c>
    </row>
    <row r="54" spans="1:40" x14ac:dyDescent="0.25">
      <c r="A54" s="22" t="s">
        <v>613</v>
      </c>
      <c r="B54" s="229" t="s">
        <v>614</v>
      </c>
      <c r="C54" s="231"/>
      <c r="D54" s="293">
        <v>46</v>
      </c>
      <c r="E54" s="274" t="s">
        <v>995</v>
      </c>
      <c r="F54" s="274" t="s">
        <v>1147</v>
      </c>
      <c r="G54" s="274">
        <v>181102</v>
      </c>
      <c r="H54" s="279">
        <f t="shared" si="20"/>
        <v>0</v>
      </c>
      <c r="I54" s="279">
        <f t="shared" si="16"/>
        <v>0</v>
      </c>
      <c r="J54" s="279">
        <f t="shared" si="19"/>
        <v>0</v>
      </c>
      <c r="K54" s="224" t="s">
        <v>388</v>
      </c>
      <c r="L54" s="224">
        <f t="shared" si="10"/>
        <v>0</v>
      </c>
      <c r="M54" s="210" t="str">
        <f t="shared" si="1"/>
        <v/>
      </c>
      <c r="N54" s="225" t="str">
        <f t="shared" si="2"/>
        <v/>
      </c>
      <c r="O54" s="270" t="s">
        <v>1102</v>
      </c>
      <c r="P54" s="270"/>
      <c r="Q54" s="271"/>
      <c r="R54" s="297" t="e">
        <f>R53/$Q$53</f>
        <v>#DIV/0!</v>
      </c>
      <c r="S54" s="297" t="e">
        <f>S53/$Q$53</f>
        <v>#DIV/0!</v>
      </c>
      <c r="T54" s="297" t="e">
        <f t="shared" ref="T54:U54" si="22">T53/$Q$53</f>
        <v>#DIV/0!</v>
      </c>
      <c r="U54" s="297" t="e">
        <f t="shared" si="22"/>
        <v>#DIV/0!</v>
      </c>
      <c r="V54" s="272"/>
      <c r="W54" s="274"/>
      <c r="X54" s="274"/>
      <c r="Y54" s="274"/>
      <c r="Z54" s="274"/>
      <c r="AA54" s="274"/>
      <c r="AB54" s="274"/>
      <c r="AC54" s="306"/>
      <c r="AD54" s="316"/>
      <c r="AE54" s="211" t="s">
        <v>787</v>
      </c>
      <c r="AF54" s="210" t="s">
        <v>788</v>
      </c>
      <c r="AG54" s="231" t="str">
        <f ca="1">IF($AG$9="Quote",Calculator!H104,"")</f>
        <v/>
      </c>
      <c r="AH54" s="173">
        <v>48</v>
      </c>
      <c r="AI54" s="173" t="s">
        <v>618</v>
      </c>
      <c r="AJ54" s="209" t="str">
        <f t="shared" ca="1" si="5"/>
        <v/>
      </c>
      <c r="AL54" s="274" t="str">
        <f t="shared" si="6"/>
        <v/>
      </c>
    </row>
    <row r="55" spans="1:40" x14ac:dyDescent="0.25">
      <c r="A55" s="22" t="s">
        <v>619</v>
      </c>
      <c r="B55" s="229" t="s">
        <v>620</v>
      </c>
      <c r="C55" s="231"/>
      <c r="D55" s="293">
        <v>47</v>
      </c>
      <c r="E55" s="274" t="s">
        <v>994</v>
      </c>
      <c r="F55" s="274" t="s">
        <v>1148</v>
      </c>
      <c r="G55" s="274">
        <v>181102</v>
      </c>
      <c r="H55" s="279">
        <f t="shared" si="20"/>
        <v>0</v>
      </c>
      <c r="I55" s="279">
        <f t="shared" si="16"/>
        <v>0</v>
      </c>
      <c r="J55" s="279">
        <f t="shared" si="19"/>
        <v>0</v>
      </c>
      <c r="K55" s="224" t="s">
        <v>388</v>
      </c>
      <c r="L55" s="224">
        <f t="shared" si="10"/>
        <v>0</v>
      </c>
      <c r="M55" s="210" t="str">
        <f t="shared" si="1"/>
        <v/>
      </c>
      <c r="N55" s="225" t="str">
        <f t="shared" si="2"/>
        <v/>
      </c>
      <c r="O55" s="270"/>
      <c r="P55" s="270"/>
      <c r="Q55" s="271"/>
      <c r="R55" s="271"/>
      <c r="S55" s="272"/>
      <c r="T55" s="272"/>
      <c r="U55" s="272"/>
      <c r="V55" s="272"/>
      <c r="W55" s="274"/>
      <c r="X55" s="274"/>
      <c r="Y55" s="274"/>
      <c r="Z55" s="274"/>
      <c r="AA55" s="274"/>
      <c r="AB55" s="274"/>
      <c r="AC55" s="306"/>
      <c r="AD55" s="316"/>
      <c r="AE55" s="211" t="s">
        <v>792</v>
      </c>
      <c r="AF55" s="210" t="s">
        <v>793</v>
      </c>
      <c r="AG55" s="231" t="str">
        <f ca="1">IF($AG$9="Quote",Calculator!H105,"")</f>
        <v/>
      </c>
      <c r="AH55" s="173">
        <v>49</v>
      </c>
      <c r="AI55" s="173" t="s">
        <v>622</v>
      </c>
      <c r="AJ55" s="209" t="str">
        <f t="shared" ca="1" si="5"/>
        <v/>
      </c>
      <c r="AL55" s="274" t="str">
        <f t="shared" si="6"/>
        <v>Fine arts</v>
      </c>
    </row>
    <row r="56" spans="1:40" x14ac:dyDescent="0.25">
      <c r="A56" s="22" t="s">
        <v>623</v>
      </c>
      <c r="B56" s="229" t="s">
        <v>624</v>
      </c>
      <c r="C56" s="231"/>
      <c r="D56" s="293">
        <v>48</v>
      </c>
      <c r="E56" s="274" t="s">
        <v>1027</v>
      </c>
      <c r="F56" s="274" t="s">
        <v>1149</v>
      </c>
      <c r="G56" s="274">
        <v>181102</v>
      </c>
      <c r="H56" s="279">
        <f t="shared" si="20"/>
        <v>0</v>
      </c>
      <c r="I56" s="279">
        <f t="shared" si="16"/>
        <v>0</v>
      </c>
      <c r="J56" s="279">
        <f>IF(H56&lt;&gt;1,0,IF(I56&lt;&gt;"Yes",1,0))</f>
        <v>0</v>
      </c>
      <c r="K56" s="224" t="s">
        <v>388</v>
      </c>
      <c r="L56" s="224">
        <f t="shared" si="10"/>
        <v>0</v>
      </c>
      <c r="M56" s="210" t="str">
        <f t="shared" si="1"/>
        <v/>
      </c>
      <c r="N56" s="225" t="str">
        <f t="shared" si="2"/>
        <v/>
      </c>
      <c r="O56" s="175"/>
      <c r="AC56" s="306"/>
      <c r="AD56" s="316"/>
      <c r="AE56" s="211" t="s">
        <v>797</v>
      </c>
      <c r="AF56" s="210" t="s">
        <v>798</v>
      </c>
      <c r="AG56" s="231" t="str">
        <f ca="1">IF($AG$9="Quote",Calculator!H106,"")</f>
        <v/>
      </c>
      <c r="AH56" s="173">
        <v>50</v>
      </c>
      <c r="AI56" s="173" t="s">
        <v>629</v>
      </c>
      <c r="AJ56" s="209" t="str">
        <f t="shared" ca="1" si="5"/>
        <v/>
      </c>
      <c r="AL56" s="274" t="str">
        <f t="shared" si="6"/>
        <v>Fire department charges</v>
      </c>
    </row>
    <row r="57" spans="1:40" x14ac:dyDescent="0.25">
      <c r="A57" s="22" t="s">
        <v>630</v>
      </c>
      <c r="B57" s="229" t="s">
        <v>631</v>
      </c>
      <c r="C57" s="231"/>
      <c r="D57" s="306">
        <v>49</v>
      </c>
      <c r="E57" s="274" t="s">
        <v>1035</v>
      </c>
      <c r="F57" s="274" t="s">
        <v>1150</v>
      </c>
      <c r="G57" s="274">
        <v>181102</v>
      </c>
      <c r="H57" s="279">
        <f t="shared" si="20"/>
        <v>0</v>
      </c>
      <c r="I57" s="279"/>
      <c r="J57" s="279"/>
      <c r="K57" s="224" t="s">
        <v>388</v>
      </c>
      <c r="L57" s="224">
        <f t="shared" si="10"/>
        <v>0</v>
      </c>
      <c r="M57" s="210" t="str">
        <f t="shared" si="1"/>
        <v/>
      </c>
      <c r="N57" s="225" t="str">
        <f t="shared" si="2"/>
        <v/>
      </c>
      <c r="O57" s="238" t="s">
        <v>734</v>
      </c>
      <c r="AC57" s="306"/>
      <c r="AD57" s="316"/>
      <c r="AE57" s="211" t="s">
        <v>803</v>
      </c>
      <c r="AF57" s="210" t="s">
        <v>798</v>
      </c>
      <c r="AG57" s="231" t="str">
        <f ca="1">IF($AG$9="Quote",Calculator!H107,"")</f>
        <v/>
      </c>
      <c r="AH57" s="173">
        <v>51</v>
      </c>
      <c r="AI57" s="173" t="s">
        <v>633</v>
      </c>
      <c r="AJ57" s="209" t="str">
        <f t="shared" ca="1" si="5"/>
        <v/>
      </c>
      <c r="AL57" s="274" t="str">
        <f t="shared" si="6"/>
        <v>Fire suppression recharge</v>
      </c>
    </row>
    <row r="58" spans="1:40" x14ac:dyDescent="0.25">
      <c r="A58" s="22" t="s">
        <v>634</v>
      </c>
      <c r="B58" s="229" t="s">
        <v>635</v>
      </c>
      <c r="C58" s="231"/>
      <c r="D58" s="293">
        <v>50</v>
      </c>
      <c r="E58" s="274" t="s">
        <v>1036</v>
      </c>
      <c r="F58" s="274" t="s">
        <v>1151</v>
      </c>
      <c r="G58" s="274">
        <v>181102</v>
      </c>
      <c r="H58" s="279">
        <f t="shared" si="20"/>
        <v>0</v>
      </c>
      <c r="I58" s="279">
        <f>C171</f>
        <v>0</v>
      </c>
      <c r="J58" s="279">
        <f t="shared" si="19"/>
        <v>0</v>
      </c>
      <c r="K58" s="224" t="s">
        <v>388</v>
      </c>
      <c r="L58" s="224">
        <f t="shared" si="10"/>
        <v>0</v>
      </c>
      <c r="M58" s="210" t="str">
        <f t="shared" si="1"/>
        <v/>
      </c>
      <c r="N58" s="225" t="str">
        <f t="shared" si="2"/>
        <v/>
      </c>
      <c r="O58" s="151" t="s">
        <v>655</v>
      </c>
      <c r="Q58" s="239" t="s">
        <v>656</v>
      </c>
      <c r="R58" s="240"/>
      <c r="S58" s="61"/>
      <c r="T58" s="240"/>
      <c r="U58" s="61" t="s">
        <v>737</v>
      </c>
      <c r="AC58" s="306"/>
      <c r="AD58" s="316"/>
      <c r="AE58" s="211" t="s">
        <v>806</v>
      </c>
      <c r="AF58" s="210" t="s">
        <v>807</v>
      </c>
      <c r="AG58" s="231" t="str">
        <f ca="1">IF($AG$9="Quote",Calculator!H108,"")</f>
        <v/>
      </c>
      <c r="AH58" s="173">
        <v>52</v>
      </c>
      <c r="AI58" s="173" t="s">
        <v>636</v>
      </c>
      <c r="AJ58" s="209" t="str">
        <f t="shared" ca="1" si="5"/>
        <v/>
      </c>
      <c r="AL58" s="274" t="str">
        <f t="shared" si="6"/>
        <v>Flood</v>
      </c>
    </row>
    <row r="59" spans="1:40" x14ac:dyDescent="0.25">
      <c r="A59" s="22" t="s">
        <v>637</v>
      </c>
      <c r="B59" s="229" t="s">
        <v>638</v>
      </c>
      <c r="C59" s="342"/>
      <c r="D59" s="293">
        <v>51</v>
      </c>
      <c r="E59" s="274" t="s">
        <v>1037</v>
      </c>
      <c r="F59" s="274" t="s">
        <v>1152</v>
      </c>
      <c r="G59" s="274">
        <v>181102</v>
      </c>
      <c r="H59" s="279">
        <f t="shared" si="20"/>
        <v>0</v>
      </c>
      <c r="I59" s="279">
        <f>C172</f>
        <v>0</v>
      </c>
      <c r="J59" s="279">
        <f t="shared" si="19"/>
        <v>0</v>
      </c>
      <c r="K59" s="224" t="s">
        <v>388</v>
      </c>
      <c r="L59" s="224">
        <f t="shared" si="10"/>
        <v>0</v>
      </c>
      <c r="M59" s="210" t="str">
        <f t="shared" si="1"/>
        <v/>
      </c>
      <c r="N59" s="225" t="str">
        <f t="shared" si="2"/>
        <v/>
      </c>
      <c r="O59" s="173" t="s">
        <v>740</v>
      </c>
      <c r="Q59" s="243">
        <f>C127</f>
        <v>0</v>
      </c>
      <c r="R59" s="175" t="s">
        <v>1279</v>
      </c>
      <c r="S59" s="173" t="str">
        <f>IF(Q59="Yes","Yes","No")</f>
        <v>No</v>
      </c>
      <c r="T59" s="175"/>
      <c r="U59" s="243" t="str">
        <f>IF(S59="Yes","Hydrant Protected",IF(S60="Yes","Fire Hall Protected","Unprotected"))</f>
        <v>Fire Hall Protected</v>
      </c>
      <c r="AC59" s="306"/>
      <c r="AD59" s="316"/>
      <c r="AE59" s="211" t="s">
        <v>809</v>
      </c>
      <c r="AF59" s="210" t="s">
        <v>1419</v>
      </c>
      <c r="AG59" s="231" t="str">
        <f ca="1">IF($AG$9="Quote",Calculator!H109,"")</f>
        <v/>
      </c>
      <c r="AH59" s="173">
        <v>53</v>
      </c>
      <c r="AI59" s="272" t="s">
        <v>639</v>
      </c>
      <c r="AJ59" s="209" t="str">
        <f t="shared" ca="1" si="5"/>
        <v/>
      </c>
      <c r="AL59" s="274" t="str">
        <f t="shared" si="6"/>
        <v>Flood deductible</v>
      </c>
      <c r="AN59" s="272"/>
    </row>
    <row r="60" spans="1:40" x14ac:dyDescent="0.25">
      <c r="A60" s="22" t="s">
        <v>640</v>
      </c>
      <c r="B60" s="210" t="s">
        <v>641</v>
      </c>
      <c r="C60" s="214"/>
      <c r="D60" s="306">
        <v>52</v>
      </c>
      <c r="E60" s="274" t="s">
        <v>996</v>
      </c>
      <c r="F60" s="274"/>
      <c r="G60" s="274">
        <v>769200</v>
      </c>
      <c r="H60" s="279">
        <f>IF(OR($C$18=G60,$C$25=G60,$C$32=G60,$C$39=G60,$C$46=G60,$C$53=G60,$C$60=G60,$C$67=G60,$C$74=G60,$C$81=G60),1,0)</f>
        <v>0</v>
      </c>
      <c r="I60" s="279"/>
      <c r="J60" s="279"/>
      <c r="K60" s="224" t="s">
        <v>388</v>
      </c>
      <c r="L60" s="224">
        <f t="shared" si="10"/>
        <v>0</v>
      </c>
      <c r="M60" s="210" t="str">
        <f t="shared" si="1"/>
        <v/>
      </c>
      <c r="N60" s="225" t="str">
        <f t="shared" si="2"/>
        <v/>
      </c>
      <c r="O60" s="173" t="s">
        <v>743</v>
      </c>
      <c r="Q60" s="241">
        <f>C126</f>
        <v>0</v>
      </c>
      <c r="R60" s="175" t="s">
        <v>1278</v>
      </c>
      <c r="S60" s="173" t="str">
        <f>IF(Q60&lt;=12,"Yes","No")</f>
        <v>Yes</v>
      </c>
      <c r="T60" s="175"/>
      <c r="U60" s="175"/>
      <c r="AC60" s="306"/>
      <c r="AD60" s="316"/>
      <c r="AE60" s="211" t="s">
        <v>1212</v>
      </c>
      <c r="AF60" s="274" t="s">
        <v>461</v>
      </c>
      <c r="AG60" s="231" t="str">
        <f ca="1">IF($AG$9="Quote",Calculator!H126,"")</f>
        <v/>
      </c>
      <c r="AH60" s="173">
        <v>54</v>
      </c>
      <c r="AI60" s="173" t="s">
        <v>643</v>
      </c>
      <c r="AJ60" s="209" t="str">
        <f t="shared" ca="1" si="5"/>
        <v/>
      </c>
      <c r="AL60" s="274" t="str">
        <f t="shared" si="6"/>
        <v>Growing plants, trees, shrubs (per item)</v>
      </c>
    </row>
    <row r="61" spans="1:40" x14ac:dyDescent="0.25">
      <c r="A61" s="22" t="s">
        <v>644</v>
      </c>
      <c r="B61" s="229" t="s">
        <v>645</v>
      </c>
      <c r="C61" s="231"/>
      <c r="D61" s="293">
        <v>53</v>
      </c>
      <c r="E61" s="274" t="s">
        <v>997</v>
      </c>
      <c r="F61" s="274" t="s">
        <v>1153</v>
      </c>
      <c r="G61" s="274">
        <v>174300</v>
      </c>
      <c r="H61" s="279">
        <f>IF(OR($C$18=G61,$C$25=G61,$C$32=G61,$C$39=G61,$C$46=G61,$C$53=G61,$C$60=G61,$C$67=G61,$C$74=G61,$C$81=G61),1,0)</f>
        <v>0</v>
      </c>
      <c r="I61" s="279">
        <f>$C$173</f>
        <v>0</v>
      </c>
      <c r="J61" s="279">
        <f>IF(H61&lt;&gt;1,0,IF(I61&gt;3,1,IF(I61=0,1,0)))</f>
        <v>0</v>
      </c>
      <c r="K61" s="224" t="s">
        <v>388</v>
      </c>
      <c r="L61" s="224">
        <f t="shared" si="10"/>
        <v>0</v>
      </c>
      <c r="M61" s="210" t="str">
        <f t="shared" si="1"/>
        <v/>
      </c>
      <c r="N61" s="225" t="str">
        <f t="shared" si="2"/>
        <v/>
      </c>
      <c r="Q61" s="272"/>
      <c r="R61" s="175"/>
      <c r="T61" s="175"/>
      <c r="U61" s="175"/>
      <c r="AC61" s="306"/>
      <c r="AD61" s="316"/>
      <c r="AE61" s="211" t="s">
        <v>527</v>
      </c>
      <c r="AF61" s="274" t="s">
        <v>1302</v>
      </c>
      <c r="AG61" s="231" t="str">
        <f ca="1">IF($AG$9="Quote",Calculator!H127,"")</f>
        <v/>
      </c>
      <c r="AH61" s="173">
        <v>55</v>
      </c>
      <c r="AI61" s="173" t="s">
        <v>646</v>
      </c>
      <c r="AJ61" s="209" t="str">
        <f t="shared" ca="1" si="5"/>
        <v/>
      </c>
      <c r="AL61" s="274" t="str">
        <f t="shared" si="6"/>
        <v/>
      </c>
    </row>
    <row r="62" spans="1:40" x14ac:dyDescent="0.25">
      <c r="A62" s="22" t="s">
        <v>647</v>
      </c>
      <c r="B62" s="229" t="s">
        <v>648</v>
      </c>
      <c r="C62" s="231"/>
      <c r="D62" s="293">
        <v>54</v>
      </c>
      <c r="E62" s="274" t="s">
        <v>998</v>
      </c>
      <c r="F62" s="274" t="s">
        <v>1154</v>
      </c>
      <c r="G62" s="274">
        <v>571602</v>
      </c>
      <c r="H62" s="279">
        <f t="shared" ref="H62:H64" si="23">IF(OR($C$18=G62,$C$25=G62,$C$32=G62,$C$39=G62,$C$46=G62,$C$53=G62,$C$60=G62,$C$67=G62,$C$74=G62,$C$81=G62),1,0)</f>
        <v>0</v>
      </c>
      <c r="I62" s="279">
        <f>$C$177</f>
        <v>0</v>
      </c>
      <c r="J62" s="279">
        <f t="shared" ref="J62:J64" si="24">IF(H62&lt;&gt;1,0,IF(I62&lt;&gt;"No",1,0))</f>
        <v>0</v>
      </c>
      <c r="K62" s="224" t="s">
        <v>388</v>
      </c>
      <c r="L62" s="224">
        <f t="shared" si="10"/>
        <v>0</v>
      </c>
      <c r="M62" s="210" t="str">
        <f t="shared" si="1"/>
        <v/>
      </c>
      <c r="N62" s="225" t="str">
        <f t="shared" si="2"/>
        <v/>
      </c>
      <c r="R62" s="175"/>
      <c r="T62" s="175"/>
      <c r="U62" s="175"/>
      <c r="AC62" s="306"/>
      <c r="AD62" s="316"/>
      <c r="AE62" s="211" t="s">
        <v>523</v>
      </c>
      <c r="AF62" s="274" t="s">
        <v>523</v>
      </c>
      <c r="AG62" s="231" t="str">
        <f ca="1">IF($AG$9="Quote",Calculator!H128,"")</f>
        <v/>
      </c>
      <c r="AH62" s="173">
        <v>56</v>
      </c>
      <c r="AI62" s="173" t="s">
        <v>650</v>
      </c>
      <c r="AJ62" s="209" t="str">
        <f t="shared" ca="1" si="5"/>
        <v/>
      </c>
      <c r="AL62" s="274" t="str">
        <f t="shared" si="6"/>
        <v>Inflation protection</v>
      </c>
    </row>
    <row r="63" spans="1:40" x14ac:dyDescent="0.25">
      <c r="A63" s="22" t="s">
        <v>651</v>
      </c>
      <c r="B63" s="229" t="s">
        <v>652</v>
      </c>
      <c r="C63" s="231"/>
      <c r="D63" s="293">
        <v>55</v>
      </c>
      <c r="E63" s="274" t="s">
        <v>998</v>
      </c>
      <c r="F63" s="274" t="s">
        <v>1154</v>
      </c>
      <c r="G63" s="274">
        <v>571603</v>
      </c>
      <c r="H63" s="279">
        <f t="shared" si="23"/>
        <v>0</v>
      </c>
      <c r="I63" s="279">
        <f>$C$177</f>
        <v>0</v>
      </c>
      <c r="J63" s="279">
        <f t="shared" si="24"/>
        <v>0</v>
      </c>
      <c r="K63" s="224" t="s">
        <v>388</v>
      </c>
      <c r="L63" s="224">
        <f t="shared" si="10"/>
        <v>0</v>
      </c>
      <c r="M63" s="210" t="str">
        <f t="shared" si="1"/>
        <v/>
      </c>
      <c r="N63" s="225" t="str">
        <f t="shared" si="2"/>
        <v/>
      </c>
      <c r="P63" s="151" t="s">
        <v>1277</v>
      </c>
      <c r="R63" s="175"/>
      <c r="T63" s="175"/>
      <c r="U63" s="175"/>
      <c r="AC63" s="306"/>
      <c r="AD63" s="316"/>
      <c r="AE63" s="211" t="s">
        <v>1221</v>
      </c>
      <c r="AF63" s="274" t="s">
        <v>1328</v>
      </c>
      <c r="AG63" s="231" t="str">
        <f ca="1">IF($AG$9="Quote",Calculator!H129,"")</f>
        <v/>
      </c>
      <c r="AH63" s="173">
        <v>57</v>
      </c>
      <c r="AI63" s="173" t="s">
        <v>563</v>
      </c>
      <c r="AJ63" s="209" t="str">
        <f t="shared" ca="1" si="5"/>
        <v/>
      </c>
      <c r="AL63" s="274" t="str">
        <f t="shared" si="6"/>
        <v>Installation form / floater</v>
      </c>
    </row>
    <row r="64" spans="1:40" x14ac:dyDescent="0.25">
      <c r="A64" s="22" t="s">
        <v>653</v>
      </c>
      <c r="B64" s="229" t="s">
        <v>654</v>
      </c>
      <c r="C64" s="231"/>
      <c r="D64" s="304">
        <v>56</v>
      </c>
      <c r="E64" s="274" t="s">
        <v>998</v>
      </c>
      <c r="F64" s="274" t="s">
        <v>1154</v>
      </c>
      <c r="G64" s="274">
        <v>175604</v>
      </c>
      <c r="H64" s="279">
        <f t="shared" si="23"/>
        <v>0</v>
      </c>
      <c r="I64" s="279">
        <f>$C$177</f>
        <v>0</v>
      </c>
      <c r="J64" s="279">
        <f t="shared" si="24"/>
        <v>0</v>
      </c>
      <c r="K64" s="224" t="s">
        <v>388</v>
      </c>
      <c r="L64" s="224">
        <f t="shared" si="10"/>
        <v>0</v>
      </c>
      <c r="M64" s="210" t="str">
        <f t="shared" si="1"/>
        <v/>
      </c>
      <c r="N64" s="225" t="str">
        <f t="shared" si="2"/>
        <v/>
      </c>
      <c r="O64" s="175"/>
      <c r="P64" s="173" t="s">
        <v>1274</v>
      </c>
      <c r="R64" s="173" t="s">
        <v>1275</v>
      </c>
      <c r="T64" s="173" t="s">
        <v>1276</v>
      </c>
      <c r="AC64" s="306"/>
      <c r="AD64" s="316"/>
      <c r="AE64" s="211" t="s">
        <v>1224</v>
      </c>
      <c r="AF64" s="274" t="s">
        <v>539</v>
      </c>
      <c r="AG64" s="231" t="str">
        <f ca="1">IF($AG$9="Quote",Calculator!H137,"")</f>
        <v/>
      </c>
      <c r="AH64" s="173">
        <v>58</v>
      </c>
      <c r="AI64" s="173" t="s">
        <v>660</v>
      </c>
      <c r="AJ64" s="209" t="str">
        <f t="shared" ca="1" si="5"/>
        <v/>
      </c>
      <c r="AL64" s="274" t="str">
        <f t="shared" si="6"/>
        <v/>
      </c>
    </row>
    <row r="65" spans="1:43" x14ac:dyDescent="0.25">
      <c r="A65" s="22" t="s">
        <v>661</v>
      </c>
      <c r="B65" s="229" t="s">
        <v>662</v>
      </c>
      <c r="C65" s="231"/>
      <c r="D65" s="293">
        <v>57</v>
      </c>
      <c r="E65" s="274" t="s">
        <v>999</v>
      </c>
      <c r="F65" s="274" t="s">
        <v>1144</v>
      </c>
      <c r="G65" s="274">
        <v>174100</v>
      </c>
      <c r="H65" s="279">
        <f>IF(OR($C$18=G65,$C$25=G65,$C$32=G65,$C$39=G65,$C$46=G65,$C$53=G65,$C$60=G65,$C$67=G65,$C$74=G65,$C$81=G65),1,0)</f>
        <v>0</v>
      </c>
      <c r="I65" s="279">
        <f>C178</f>
        <v>0</v>
      </c>
      <c r="J65" s="279">
        <f>IF(H65&lt;&gt;1,0,IF(I65="No",1,0))</f>
        <v>0</v>
      </c>
      <c r="K65" s="224" t="s">
        <v>388</v>
      </c>
      <c r="L65" s="224">
        <f t="shared" si="10"/>
        <v>0</v>
      </c>
      <c r="M65" s="210" t="str">
        <f t="shared" si="1"/>
        <v/>
      </c>
      <c r="N65" s="225" t="str">
        <f t="shared" si="2"/>
        <v/>
      </c>
      <c r="O65" s="175"/>
      <c r="AB65" s="244"/>
      <c r="AC65" s="306"/>
      <c r="AD65" s="316"/>
      <c r="AE65" s="211" t="s">
        <v>1337</v>
      </c>
      <c r="AF65" s="274" t="s">
        <v>524</v>
      </c>
      <c r="AG65" s="231" t="str">
        <f ca="1">IF($AG$9="Quote",Calculator!H146,"")</f>
        <v/>
      </c>
      <c r="AH65" s="173">
        <v>59</v>
      </c>
      <c r="AI65" s="173" t="s">
        <v>664</v>
      </c>
      <c r="AJ65" s="209" t="str">
        <f t="shared" ca="1" si="5"/>
        <v/>
      </c>
      <c r="AL65" s="274" t="str">
        <f t="shared" si="6"/>
        <v>Leasehold interest - rents</v>
      </c>
    </row>
    <row r="66" spans="1:43" x14ac:dyDescent="0.25">
      <c r="A66" s="22" t="s">
        <v>665</v>
      </c>
      <c r="B66" s="229" t="s">
        <v>666</v>
      </c>
      <c r="C66" s="342"/>
      <c r="D66" s="293">
        <v>58</v>
      </c>
      <c r="E66" s="274" t="s">
        <v>615</v>
      </c>
      <c r="F66" s="274" t="s">
        <v>1155</v>
      </c>
      <c r="G66" s="274">
        <v>174100</v>
      </c>
      <c r="H66" s="279">
        <f>IF(OR($C$18=G66,$C$25=G66,$C$32=G66,$C$39=G66,$C$46=G66,$C$53=G66,$C$60=G66,$C$67=G66,$C$74=G66,$C$81=G66),1,0)</f>
        <v>0</v>
      </c>
      <c r="I66" s="279">
        <f>C179</f>
        <v>0</v>
      </c>
      <c r="J66" s="279">
        <f>IF(H66&lt;&gt;1,0,IF(I66="Yes",1,0))</f>
        <v>0</v>
      </c>
      <c r="K66" s="224" t="s">
        <v>388</v>
      </c>
      <c r="L66" s="224">
        <f t="shared" si="10"/>
        <v>0</v>
      </c>
      <c r="M66" s="210" t="str">
        <f t="shared" si="1"/>
        <v/>
      </c>
      <c r="N66" s="225" t="str">
        <f t="shared" si="2"/>
        <v/>
      </c>
      <c r="O66" s="238" t="s">
        <v>770</v>
      </c>
      <c r="AB66" s="244"/>
      <c r="AC66" s="306"/>
      <c r="AD66" s="316"/>
      <c r="AE66" s="211" t="s">
        <v>1338</v>
      </c>
      <c r="AF66" s="274" t="s">
        <v>543</v>
      </c>
      <c r="AG66" s="231" t="str">
        <f ca="1">IF($AG$9="Quote",2500,"")</f>
        <v/>
      </c>
      <c r="AH66" s="173">
        <v>60</v>
      </c>
      <c r="AI66" s="173" t="s">
        <v>668</v>
      </c>
      <c r="AJ66" s="209" t="str">
        <f t="shared" ca="1" si="5"/>
        <v/>
      </c>
      <c r="AL66" s="274" t="str">
        <f t="shared" si="6"/>
        <v>Master key coverage</v>
      </c>
    </row>
    <row r="67" spans="1:43" x14ac:dyDescent="0.25">
      <c r="A67" s="22" t="s">
        <v>669</v>
      </c>
      <c r="B67" s="210" t="s">
        <v>670</v>
      </c>
      <c r="C67" s="214"/>
      <c r="D67" s="293">
        <v>59</v>
      </c>
      <c r="E67" s="274" t="s">
        <v>1000</v>
      </c>
      <c r="F67" s="274" t="s">
        <v>1144</v>
      </c>
      <c r="G67" s="274">
        <v>152200</v>
      </c>
      <c r="H67" s="279">
        <f t="shared" ref="H67:H68" si="25">IF(OR($C$18=G67,$C$25=G67,$C$32=G67,$C$39=G67,$C$46=G67,$C$53=G67,$C$60=G67,$C$67=G67,$C$74=G67,$C$81=G67),1,0)</f>
        <v>0</v>
      </c>
      <c r="I67" s="279">
        <f>C180</f>
        <v>0</v>
      </c>
      <c r="J67" s="279">
        <f>IF(H67&lt;&gt;1,0,IF(I67="No",1,0))</f>
        <v>0</v>
      </c>
      <c r="K67" s="224" t="s">
        <v>388</v>
      </c>
      <c r="L67" s="224">
        <f t="shared" si="10"/>
        <v>0</v>
      </c>
      <c r="M67" s="210" t="str">
        <f t="shared" si="1"/>
        <v/>
      </c>
      <c r="N67" s="225" t="str">
        <f t="shared" si="2"/>
        <v/>
      </c>
      <c r="O67" s="151" t="s">
        <v>655</v>
      </c>
      <c r="Q67" s="239" t="s">
        <v>656</v>
      </c>
      <c r="R67" s="240" t="s">
        <v>657</v>
      </c>
      <c r="S67" s="61" t="s">
        <v>658</v>
      </c>
      <c r="T67" s="240"/>
      <c r="U67" s="61" t="s">
        <v>737</v>
      </c>
      <c r="AB67" s="244"/>
      <c r="AC67" s="306"/>
      <c r="AD67" s="316"/>
      <c r="AE67" s="211" t="s">
        <v>37</v>
      </c>
      <c r="AF67" s="274" t="s">
        <v>563</v>
      </c>
      <c r="AG67" s="231" t="str">
        <f ca="1">IF($AG$9="Quote",Calculator!H154,"")</f>
        <v/>
      </c>
      <c r="AH67" s="173">
        <v>61</v>
      </c>
      <c r="AI67" s="173" t="s">
        <v>672</v>
      </c>
      <c r="AJ67" s="209" t="str">
        <f t="shared" ca="1" si="5"/>
        <v/>
      </c>
      <c r="AL67" s="274" t="str">
        <f t="shared" si="6"/>
        <v/>
      </c>
    </row>
    <row r="68" spans="1:43" x14ac:dyDescent="0.25">
      <c r="A68" s="22" t="s">
        <v>673</v>
      </c>
      <c r="B68" s="229" t="s">
        <v>674</v>
      </c>
      <c r="C68" s="231"/>
      <c r="D68" s="293">
        <v>60</v>
      </c>
      <c r="E68" s="274" t="s">
        <v>1034</v>
      </c>
      <c r="F68" s="274" t="s">
        <v>1156</v>
      </c>
      <c r="G68" s="274">
        <v>152200</v>
      </c>
      <c r="H68" s="279">
        <f t="shared" si="25"/>
        <v>0</v>
      </c>
      <c r="I68" s="279">
        <f>C181</f>
        <v>0</v>
      </c>
      <c r="J68" s="279">
        <f>IF(H68&lt;&gt;1,0,IF(I68="Yes",1,0))</f>
        <v>0</v>
      </c>
      <c r="K68" s="224" t="s">
        <v>388</v>
      </c>
      <c r="L68" s="224">
        <f t="shared" si="10"/>
        <v>0</v>
      </c>
      <c r="M68" s="210" t="str">
        <f t="shared" si="1"/>
        <v/>
      </c>
      <c r="N68" s="225" t="str">
        <f t="shared" si="2"/>
        <v/>
      </c>
      <c r="O68" s="173" t="s">
        <v>778</v>
      </c>
      <c r="Q68" s="248">
        <f>C128</f>
        <v>0</v>
      </c>
      <c r="R68" s="22" t="s">
        <v>779</v>
      </c>
      <c r="S68" s="277" t="s">
        <v>79</v>
      </c>
      <c r="T68" s="175"/>
      <c r="U68" s="317" t="str">
        <f>IFERROR(VLOOKUP(Q68,$R$68:$S$75,2,FALSE),"Wood Frame/All Other")</f>
        <v>Wood Frame/All Other</v>
      </c>
      <c r="AB68" s="244"/>
      <c r="AC68" s="306"/>
      <c r="AD68" s="316"/>
      <c r="AE68" s="211" t="s">
        <v>411</v>
      </c>
      <c r="AF68" s="280" t="s">
        <v>411</v>
      </c>
      <c r="AG68" s="231" t="str">
        <f ca="1">IF($AG$9="Quote",100000,"")</f>
        <v/>
      </c>
      <c r="AH68" s="173">
        <v>62</v>
      </c>
      <c r="AI68" s="173" t="s">
        <v>675</v>
      </c>
      <c r="AJ68" s="209" t="str">
        <f t="shared" ca="1" si="5"/>
        <v/>
      </c>
      <c r="AL68" s="274" t="str">
        <f t="shared" si="6"/>
        <v/>
      </c>
    </row>
    <row r="69" spans="1:43" x14ac:dyDescent="0.25">
      <c r="A69" s="22" t="s">
        <v>676</v>
      </c>
      <c r="B69" s="229" t="s">
        <v>677</v>
      </c>
      <c r="C69" s="231"/>
      <c r="D69" s="293">
        <v>61</v>
      </c>
      <c r="E69" s="274" t="s">
        <v>1001</v>
      </c>
      <c r="F69" s="274" t="s">
        <v>1157</v>
      </c>
      <c r="G69" s="274">
        <v>175700</v>
      </c>
      <c r="H69" s="279">
        <f>IF(OR($C$18=G69,$C$25=G69,$C$32=G69,$C$39=G69,$C$46=G69,$C$53=G69,$C$60=G69,$C$67=G69,$C$74=G69,$C$81=G69),1,0)</f>
        <v>0</v>
      </c>
      <c r="I69" s="279">
        <f>$C$159</f>
        <v>0</v>
      </c>
      <c r="J69" s="279">
        <f t="shared" ref="J69" si="26">IF(H69&lt;&gt;1,0,IF(I69&lt;&gt;"No",1,0))</f>
        <v>0</v>
      </c>
      <c r="K69" s="224" t="s">
        <v>388</v>
      </c>
      <c r="L69" s="224">
        <f t="shared" si="10"/>
        <v>0</v>
      </c>
      <c r="M69" s="210" t="str">
        <f t="shared" si="1"/>
        <v/>
      </c>
      <c r="N69" s="225" t="str">
        <f t="shared" si="2"/>
        <v/>
      </c>
      <c r="R69" s="22" t="s">
        <v>783</v>
      </c>
      <c r="S69" s="277" t="s">
        <v>79</v>
      </c>
      <c r="T69" s="175"/>
      <c r="U69" s="175"/>
      <c r="AB69" s="244"/>
      <c r="AC69" s="306"/>
      <c r="AD69" s="316"/>
      <c r="AE69" s="211" t="s">
        <v>1339</v>
      </c>
      <c r="AF69" s="274" t="s">
        <v>633</v>
      </c>
      <c r="AG69" s="231" t="str">
        <f t="shared" ref="AG69:AG100" ca="1" si="27">IF($AG$9="Quote",100000,"")</f>
        <v/>
      </c>
      <c r="AH69" s="173">
        <v>63</v>
      </c>
      <c r="AI69" s="173" t="s">
        <v>679</v>
      </c>
      <c r="AJ69" s="209" t="str">
        <f t="shared" ca="1" si="5"/>
        <v/>
      </c>
      <c r="AL69" s="274" t="str">
        <f t="shared" si="6"/>
        <v>Newly acquired business contents</v>
      </c>
    </row>
    <row r="70" spans="1:43" x14ac:dyDescent="0.25">
      <c r="A70" s="22" t="s">
        <v>680</v>
      </c>
      <c r="B70" s="229" t="s">
        <v>681</v>
      </c>
      <c r="C70" s="231"/>
      <c r="D70" s="293">
        <v>62</v>
      </c>
      <c r="E70" s="274" t="s">
        <v>1002</v>
      </c>
      <c r="F70" s="274" t="s">
        <v>1158</v>
      </c>
      <c r="G70" s="274">
        <v>739401</v>
      </c>
      <c r="H70" s="279">
        <f t="shared" ref="H70:H72" si="28">IF(OR($C$18=G70,$C$25=G70,$C$32=G70,$C$39=G70,$C$46=G70,$C$53=G70,$C$60=G70,$C$67=G70,$C$74=G70,$C$81=G70),1,0)</f>
        <v>0</v>
      </c>
      <c r="I70" s="279">
        <f>C174</f>
        <v>0</v>
      </c>
      <c r="J70" s="279">
        <f>IF(H70&lt;&gt;1,0,IF(I70&lt;&gt;"No",1,0))</f>
        <v>0</v>
      </c>
      <c r="K70" s="224" t="s">
        <v>388</v>
      </c>
      <c r="L70" s="224">
        <f t="shared" si="10"/>
        <v>0</v>
      </c>
      <c r="M70" s="210" t="str">
        <f t="shared" si="1"/>
        <v/>
      </c>
      <c r="N70" s="225" t="str">
        <f t="shared" si="2"/>
        <v/>
      </c>
      <c r="R70" s="22" t="s">
        <v>786</v>
      </c>
      <c r="S70" s="277" t="s">
        <v>84</v>
      </c>
      <c r="T70" s="277"/>
      <c r="U70" s="175"/>
      <c r="AB70" s="244"/>
      <c r="AC70" s="306"/>
      <c r="AD70" s="316"/>
      <c r="AE70" s="211" t="s">
        <v>1340</v>
      </c>
      <c r="AF70" s="274" t="s">
        <v>423</v>
      </c>
      <c r="AG70" s="231" t="str">
        <f t="shared" ca="1" si="27"/>
        <v/>
      </c>
      <c r="AH70" s="173">
        <v>64</v>
      </c>
      <c r="AI70" s="173" t="s">
        <v>682</v>
      </c>
      <c r="AJ70" s="209" t="str">
        <f t="shared" ca="1" si="5"/>
        <v/>
      </c>
      <c r="AL70" s="274" t="str">
        <f t="shared" si="6"/>
        <v/>
      </c>
    </row>
    <row r="71" spans="1:43" x14ac:dyDescent="0.25">
      <c r="A71" s="22" t="s">
        <v>683</v>
      </c>
      <c r="B71" s="229" t="s">
        <v>684</v>
      </c>
      <c r="C71" s="231"/>
      <c r="D71" s="293">
        <v>63</v>
      </c>
      <c r="E71" s="274" t="s">
        <v>1003</v>
      </c>
      <c r="F71" s="274" t="s">
        <v>1159</v>
      </c>
      <c r="G71" s="274">
        <v>739401</v>
      </c>
      <c r="H71" s="279">
        <f t="shared" si="28"/>
        <v>0</v>
      </c>
      <c r="I71" s="279">
        <f>C175</f>
        <v>0</v>
      </c>
      <c r="J71" s="279">
        <f>IF(H71&lt;&gt;1,0,IF(I71&gt;0,1,0))</f>
        <v>0</v>
      </c>
      <c r="K71" s="224" t="s">
        <v>388</v>
      </c>
      <c r="L71" s="224">
        <f t="shared" si="10"/>
        <v>0</v>
      </c>
      <c r="M71" s="210" t="str">
        <f t="shared" si="1"/>
        <v/>
      </c>
      <c r="N71" s="225" t="str">
        <f t="shared" si="2"/>
        <v/>
      </c>
      <c r="R71" s="22" t="s">
        <v>791</v>
      </c>
      <c r="S71" s="277" t="s">
        <v>84</v>
      </c>
      <c r="T71" s="277"/>
      <c r="U71" s="175"/>
      <c r="AB71" s="244"/>
      <c r="AC71" s="306"/>
      <c r="AD71" s="316"/>
      <c r="AE71" s="211" t="s">
        <v>659</v>
      </c>
      <c r="AF71" s="274" t="s">
        <v>435</v>
      </c>
      <c r="AG71" s="231" t="str">
        <f t="shared" ca="1" si="27"/>
        <v/>
      </c>
      <c r="AH71" s="173">
        <v>65</v>
      </c>
      <c r="AI71" s="173" t="s">
        <v>685</v>
      </c>
      <c r="AJ71" s="209" t="str">
        <f t="shared" ca="1" si="5"/>
        <v/>
      </c>
      <c r="AL71" s="274" t="str">
        <f t="shared" si="6"/>
        <v/>
      </c>
    </row>
    <row r="72" spans="1:43" x14ac:dyDescent="0.25">
      <c r="A72" s="22" t="s">
        <v>686</v>
      </c>
      <c r="B72" s="229" t="s">
        <v>687</v>
      </c>
      <c r="C72" s="231"/>
      <c r="D72" s="293">
        <v>64</v>
      </c>
      <c r="E72" s="274" t="s">
        <v>1004</v>
      </c>
      <c r="F72" s="274" t="s">
        <v>1160</v>
      </c>
      <c r="G72" s="274">
        <v>739401</v>
      </c>
      <c r="H72" s="279">
        <f t="shared" si="28"/>
        <v>0</v>
      </c>
      <c r="I72" s="279">
        <f>C176</f>
        <v>0</v>
      </c>
      <c r="J72" s="279">
        <f>IF(H72&lt;&gt;1,0,IF(I72&lt;&gt;"Yes",1,0))</f>
        <v>0</v>
      </c>
      <c r="K72" s="224" t="s">
        <v>388</v>
      </c>
      <c r="L72" s="224">
        <f t="shared" si="10"/>
        <v>0</v>
      </c>
      <c r="M72" s="210" t="str">
        <f t="shared" si="1"/>
        <v/>
      </c>
      <c r="N72" s="225" t="str">
        <f t="shared" si="2"/>
        <v/>
      </c>
      <c r="R72" s="22" t="s">
        <v>796</v>
      </c>
      <c r="S72" s="277" t="s">
        <v>84</v>
      </c>
      <c r="T72" s="277"/>
      <c r="AC72" s="306"/>
      <c r="AD72" s="316"/>
      <c r="AE72" s="211" t="s">
        <v>454</v>
      </c>
      <c r="AF72" s="274" t="s">
        <v>454</v>
      </c>
      <c r="AG72" s="231" t="str">
        <f t="shared" ca="1" si="27"/>
        <v/>
      </c>
      <c r="AH72" s="173">
        <v>66</v>
      </c>
      <c r="AI72" s="173" t="s">
        <v>642</v>
      </c>
      <c r="AJ72" s="209" t="str">
        <f t="shared" ca="1" si="5"/>
        <v/>
      </c>
      <c r="AL72" s="274" t="str">
        <f t="shared" si="6"/>
        <v>Off-premises service interruption</v>
      </c>
    </row>
    <row r="73" spans="1:43" x14ac:dyDescent="0.25">
      <c r="A73" s="22" t="s">
        <v>689</v>
      </c>
      <c r="B73" s="229" t="s">
        <v>690</v>
      </c>
      <c r="C73" s="342"/>
      <c r="D73" s="293">
        <v>65</v>
      </c>
      <c r="E73" s="274" t="s">
        <v>997</v>
      </c>
      <c r="F73" s="274" t="s">
        <v>1153</v>
      </c>
      <c r="G73" s="274">
        <v>176600</v>
      </c>
      <c r="H73" s="279">
        <f>IF(OR($C$18=G73,$C$25=G73,$C$32=G73,$C$39=G73,$C$46=G73,$C$53=G73,$C$60=G73,$C$67=G73,$C$74=G73,$C$81=G73),1,0)</f>
        <v>0</v>
      </c>
      <c r="I73" s="279">
        <f>$C$173</f>
        <v>0</v>
      </c>
      <c r="J73" s="279">
        <f>IF(H73&lt;&gt;1,0,IF(I73&gt;3,1,IF(I73=0,1,0)))</f>
        <v>0</v>
      </c>
      <c r="K73" s="224" t="s">
        <v>388</v>
      </c>
      <c r="L73" s="224">
        <f t="shared" si="10"/>
        <v>0</v>
      </c>
      <c r="M73" s="210" t="str">
        <f t="shared" si="1"/>
        <v/>
      </c>
      <c r="N73" s="225" t="str">
        <f t="shared" si="2"/>
        <v/>
      </c>
      <c r="O73" s="175"/>
      <c r="R73" s="22" t="s">
        <v>802</v>
      </c>
      <c r="S73" s="277" t="s">
        <v>84</v>
      </c>
      <c r="T73" s="175"/>
      <c r="U73" s="379" t="s">
        <v>1379</v>
      </c>
      <c r="AC73" s="306"/>
      <c r="AD73" s="316"/>
      <c r="AE73" s="211" t="s">
        <v>1341</v>
      </c>
      <c r="AF73" s="274" t="s">
        <v>1298</v>
      </c>
      <c r="AG73" s="231" t="str">
        <f t="shared" ca="1" si="27"/>
        <v/>
      </c>
      <c r="AH73" s="173">
        <v>67</v>
      </c>
      <c r="AI73" s="173" t="s">
        <v>692</v>
      </c>
      <c r="AJ73" s="209" t="str">
        <f t="shared" ca="1" si="5"/>
        <v/>
      </c>
      <c r="AL73" s="274" t="str">
        <f t="shared" si="6"/>
        <v>Parcel post</v>
      </c>
    </row>
    <row r="74" spans="1:43" x14ac:dyDescent="0.25">
      <c r="A74" s="22" t="s">
        <v>693</v>
      </c>
      <c r="B74" s="210" t="s">
        <v>694</v>
      </c>
      <c r="C74" s="214"/>
      <c r="D74" s="293">
        <v>66</v>
      </c>
      <c r="E74" s="274" t="s">
        <v>997</v>
      </c>
      <c r="F74" s="274" t="s">
        <v>1153</v>
      </c>
      <c r="G74" s="274">
        <v>153200</v>
      </c>
      <c r="H74" s="279">
        <f t="shared" ref="H74:H75" si="29">IF(OR($C$18=G74,$C$25=G74,$C$32=G74,$C$39=G74,$C$46=G74,$C$53=G74,$C$60=G74,$C$67=G74,$C$74=G74,$C$81=G74),1,0)</f>
        <v>0</v>
      </c>
      <c r="I74" s="279">
        <f>$C$173</f>
        <v>0</v>
      </c>
      <c r="J74" s="279">
        <f>IF(H74&lt;&gt;1,0,IF(I74&gt;3,1,IF(I74=0,1,0)))</f>
        <v>0</v>
      </c>
      <c r="K74" s="224" t="s">
        <v>388</v>
      </c>
      <c r="L74" s="224">
        <f t="shared" si="10"/>
        <v>0</v>
      </c>
      <c r="M74" s="210" t="str">
        <f t="shared" ref="M74:M79" si="30">IF(J74=1,F74,"")</f>
        <v/>
      </c>
      <c r="N74" s="225" t="str">
        <f t="shared" ref="N74:N79" si="31">IF(M74="","",IF(L74=0,F74,""))</f>
        <v/>
      </c>
      <c r="O74" s="175"/>
      <c r="R74" s="22" t="s">
        <v>1378</v>
      </c>
      <c r="S74" s="277" t="s">
        <v>78</v>
      </c>
      <c r="T74" s="175"/>
      <c r="AC74" s="306"/>
      <c r="AD74" s="316"/>
      <c r="AE74" s="211" t="s">
        <v>709</v>
      </c>
      <c r="AF74" s="274" t="s">
        <v>709</v>
      </c>
      <c r="AG74" s="231" t="str">
        <f t="shared" ca="1" si="27"/>
        <v/>
      </c>
      <c r="AH74" s="173">
        <v>68</v>
      </c>
      <c r="AI74" s="173" t="s">
        <v>695</v>
      </c>
      <c r="AJ74" s="209" t="str">
        <f t="shared" ca="1" si="5"/>
        <v/>
      </c>
      <c r="AL74" s="274" t="str">
        <f t="shared" si="6"/>
        <v/>
      </c>
    </row>
    <row r="75" spans="1:43" x14ac:dyDescent="0.25">
      <c r="A75" s="22" t="s">
        <v>696</v>
      </c>
      <c r="B75" s="229" t="s">
        <v>697</v>
      </c>
      <c r="C75" s="231"/>
      <c r="D75" s="293">
        <v>67</v>
      </c>
      <c r="E75" s="274" t="s">
        <v>1005</v>
      </c>
      <c r="F75" s="274" t="s">
        <v>1161</v>
      </c>
      <c r="G75" s="274">
        <v>153200</v>
      </c>
      <c r="H75" s="279">
        <f t="shared" si="29"/>
        <v>0</v>
      </c>
      <c r="I75" s="279">
        <f>C183</f>
        <v>0</v>
      </c>
      <c r="J75" s="279">
        <f>IF(H75&lt;&gt;1,0,IF(I75="Yes",1,0))</f>
        <v>0</v>
      </c>
      <c r="K75" s="224" t="s">
        <v>388</v>
      </c>
      <c r="L75" s="224">
        <f t="shared" si="10"/>
        <v>0</v>
      </c>
      <c r="M75" s="210" t="str">
        <f t="shared" si="30"/>
        <v/>
      </c>
      <c r="N75" s="225" t="str">
        <f t="shared" si="31"/>
        <v/>
      </c>
      <c r="O75" s="175"/>
      <c r="AC75" s="306"/>
      <c r="AD75" s="316"/>
      <c r="AE75" s="211" t="s">
        <v>667</v>
      </c>
      <c r="AF75" s="274" t="s">
        <v>559</v>
      </c>
      <c r="AG75" s="231" t="str">
        <f t="shared" ca="1" si="27"/>
        <v/>
      </c>
      <c r="AH75" s="173">
        <v>69</v>
      </c>
      <c r="AI75" s="173" t="s">
        <v>649</v>
      </c>
      <c r="AJ75" s="209" t="str">
        <f t="shared" ca="1" si="5"/>
        <v/>
      </c>
      <c r="AL75" s="274" t="str">
        <f t="shared" si="6"/>
        <v>Personal effects and property of employees and others</v>
      </c>
      <c r="AQ75" s="173" t="s">
        <v>1387</v>
      </c>
    </row>
    <row r="76" spans="1:43" x14ac:dyDescent="0.25">
      <c r="A76" s="22" t="s">
        <v>699</v>
      </c>
      <c r="B76" s="229" t="s">
        <v>700</v>
      </c>
      <c r="C76" s="231"/>
      <c r="D76" s="293">
        <v>68</v>
      </c>
      <c r="E76" s="274" t="s">
        <v>997</v>
      </c>
      <c r="F76" s="274" t="s">
        <v>1153</v>
      </c>
      <c r="G76" s="274">
        <v>739200</v>
      </c>
      <c r="H76" s="279">
        <f t="shared" ref="H76:H77" si="32">IF(OR($C$18=G76,$C$25=G76,$C$32=G76,$C$39=G76,$C$46=G76,$C$53=G76,$C$60=G76,$C$67=G76,$C$74=G76,$C$81=G76),1,0)</f>
        <v>0</v>
      </c>
      <c r="I76" s="279">
        <f>$C$173</f>
        <v>0</v>
      </c>
      <c r="J76" s="279">
        <f>IF(H76&lt;&gt;1,0,IF(I76&gt;3,1,IF(I76=0,1,0)))</f>
        <v>0</v>
      </c>
      <c r="K76" s="224" t="s">
        <v>388</v>
      </c>
      <c r="L76" s="224">
        <f t="shared" si="10"/>
        <v>0</v>
      </c>
      <c r="M76" s="210" t="str">
        <f t="shared" si="30"/>
        <v/>
      </c>
      <c r="N76" s="225" t="str">
        <f t="shared" si="31"/>
        <v/>
      </c>
      <c r="O76" s="238" t="s">
        <v>826</v>
      </c>
      <c r="AC76" s="306"/>
      <c r="AD76" s="316"/>
      <c r="AE76" s="211" t="s">
        <v>1342</v>
      </c>
      <c r="AF76" s="274" t="s">
        <v>564</v>
      </c>
      <c r="AG76" s="231" t="str">
        <f t="shared" ca="1" si="27"/>
        <v/>
      </c>
      <c r="AH76" s="173">
        <v>70</v>
      </c>
      <c r="AI76" s="173" t="s">
        <v>663</v>
      </c>
      <c r="AJ76" s="209" t="str">
        <f t="shared" ca="1" si="5"/>
        <v/>
      </c>
      <c r="AL76" s="274" t="str">
        <f t="shared" si="6"/>
        <v>Pollution clean-up and removal (insured premises)</v>
      </c>
    </row>
    <row r="77" spans="1:43" x14ac:dyDescent="0.25">
      <c r="A77" s="22" t="s">
        <v>702</v>
      </c>
      <c r="B77" s="229" t="s">
        <v>703</v>
      </c>
      <c r="C77" s="231"/>
      <c r="D77" s="293">
        <v>69</v>
      </c>
      <c r="E77" s="274" t="s">
        <v>1006</v>
      </c>
      <c r="F77" s="274" t="s">
        <v>1162</v>
      </c>
      <c r="G77" s="274">
        <v>739200</v>
      </c>
      <c r="H77" s="279">
        <f t="shared" si="32"/>
        <v>0</v>
      </c>
      <c r="I77" s="279">
        <f>C182</f>
        <v>0</v>
      </c>
      <c r="J77" s="279">
        <f>IF(H77&lt;&gt;1,0,IF(I77="No",1,0))</f>
        <v>0</v>
      </c>
      <c r="K77" s="224" t="s">
        <v>388</v>
      </c>
      <c r="L77" s="224">
        <f t="shared" si="10"/>
        <v>0</v>
      </c>
      <c r="M77" s="210" t="str">
        <f t="shared" si="30"/>
        <v/>
      </c>
      <c r="N77" s="225" t="str">
        <f t="shared" si="31"/>
        <v/>
      </c>
      <c r="O77" s="151" t="s">
        <v>655</v>
      </c>
      <c r="Q77" s="239" t="s">
        <v>656</v>
      </c>
      <c r="R77" s="240"/>
      <c r="S77" s="61" t="s">
        <v>1272</v>
      </c>
      <c r="T77" s="240"/>
      <c r="U77" s="61" t="s">
        <v>737</v>
      </c>
      <c r="AC77" s="306"/>
      <c r="AD77" s="316"/>
      <c r="AE77" s="211" t="s">
        <v>1343</v>
      </c>
      <c r="AF77" s="274" t="s">
        <v>679</v>
      </c>
      <c r="AG77" s="231" t="str">
        <f t="shared" ca="1" si="27"/>
        <v/>
      </c>
      <c r="AH77" s="173">
        <v>71</v>
      </c>
      <c r="AI77" s="173" t="s">
        <v>704</v>
      </c>
      <c r="AJ77" s="209" t="str">
        <f t="shared" ref="AJ77:AJ140" ca="1" si="33">IFERROR(IF($AJ$7&lt;&gt;"Quote","",IF(VLOOKUP(AI77,$AF$7:$AG$237,2,FALSE)=0,"-",VLOOKUP(AI77,$AF$7:$AG$237,2,FALSE))),"-")</f>
        <v/>
      </c>
      <c r="AL77" s="274" t="str">
        <f t="shared" ref="AL77:AL140" si="34">IFERROR(VLOOKUP(AI77,$AF$7:$AF$203,1,FALSE),"")</f>
        <v/>
      </c>
    </row>
    <row r="78" spans="1:43" x14ac:dyDescent="0.25">
      <c r="A78" s="22" t="s">
        <v>705</v>
      </c>
      <c r="B78" s="229" t="s">
        <v>706</v>
      </c>
      <c r="C78" s="231"/>
      <c r="D78" s="293">
        <v>70</v>
      </c>
      <c r="E78" s="274" t="s">
        <v>997</v>
      </c>
      <c r="F78" s="274" t="s">
        <v>1153</v>
      </c>
      <c r="G78" s="274">
        <v>153400</v>
      </c>
      <c r="H78" s="279">
        <f t="shared" ref="H78:H79" si="35">IF(OR($C$18=G78,$C$25=G78,$C$32=G78,$C$39=G78,$C$46=G78,$C$53=G78,$C$60=G78,$C$67=G78,$C$74=G78,$C$81=G78),1,0)</f>
        <v>0</v>
      </c>
      <c r="I78" s="279">
        <f>$C$173</f>
        <v>0</v>
      </c>
      <c r="J78" s="279">
        <f>IF(H78&lt;&gt;1,0,IF(I78&gt;3,1,IF(I78=0,1,0)))</f>
        <v>0</v>
      </c>
      <c r="K78" s="224" t="s">
        <v>388</v>
      </c>
      <c r="L78" s="224">
        <f t="shared" si="10"/>
        <v>0</v>
      </c>
      <c r="M78" s="210" t="str">
        <f t="shared" si="30"/>
        <v/>
      </c>
      <c r="N78" s="225" t="str">
        <f t="shared" si="31"/>
        <v/>
      </c>
      <c r="O78" s="173" t="s">
        <v>830</v>
      </c>
      <c r="Q78" s="249">
        <f>VALUE(C90)</f>
        <v>0</v>
      </c>
      <c r="R78" s="175"/>
      <c r="S78" s="380">
        <v>100000</v>
      </c>
      <c r="T78" s="175"/>
      <c r="U78" s="249">
        <f>IF(Q78&gt;S78,S78,Q78)</f>
        <v>0</v>
      </c>
      <c r="AC78" s="306"/>
      <c r="AD78" s="316"/>
      <c r="AE78" s="211" t="s">
        <v>1344</v>
      </c>
      <c r="AF78" s="274" t="s">
        <v>698</v>
      </c>
      <c r="AG78" s="231" t="str">
        <f t="shared" ca="1" si="27"/>
        <v/>
      </c>
      <c r="AH78" s="173">
        <v>72</v>
      </c>
      <c r="AI78" s="173" t="s">
        <v>701</v>
      </c>
      <c r="AJ78" s="209" t="str">
        <f t="shared" ca="1" si="33"/>
        <v/>
      </c>
      <c r="AL78" s="274" t="str">
        <f t="shared" si="34"/>
        <v>Professional fees for proving a loss</v>
      </c>
    </row>
    <row r="79" spans="1:43" x14ac:dyDescent="0.25">
      <c r="A79" s="22" t="s">
        <v>707</v>
      </c>
      <c r="B79" s="229" t="s">
        <v>708</v>
      </c>
      <c r="C79" s="231"/>
      <c r="D79" s="293">
        <v>71</v>
      </c>
      <c r="E79" s="274" t="s">
        <v>1119</v>
      </c>
      <c r="F79" s="274" t="s">
        <v>1163</v>
      </c>
      <c r="G79" s="274">
        <v>739402</v>
      </c>
      <c r="H79" s="279">
        <f t="shared" si="35"/>
        <v>0</v>
      </c>
      <c r="I79" s="279">
        <f>IF($C$18=G79,$C$20,IF($C$25=G79,$C$27,IF($C$32=G79,$C$34,IF($C$39=G79,$C$41,IF($C$46=G79,$C$48,IF($C$53=G79,$C$55,IF($C$60=G79,$C$62,IF($C$67=G79,$C$69,IF($C$74=G79,$C$76,IF($C$81=G79,$C$83,0))))))))))</f>
        <v>0</v>
      </c>
      <c r="J79" s="279">
        <f>IF(H79&lt;&gt;1,0,IF(I79&lt;100,1,0))</f>
        <v>0</v>
      </c>
      <c r="K79" s="224" t="s">
        <v>388</v>
      </c>
      <c r="L79" s="224">
        <f t="shared" si="10"/>
        <v>0</v>
      </c>
      <c r="M79" s="210" t="str">
        <f t="shared" si="30"/>
        <v/>
      </c>
      <c r="N79" s="225" t="str">
        <f t="shared" si="31"/>
        <v/>
      </c>
      <c r="R79" s="175"/>
      <c r="T79" s="175"/>
      <c r="U79" s="273"/>
      <c r="AC79" s="306"/>
      <c r="AD79" s="316"/>
      <c r="AE79" s="211" t="s">
        <v>622</v>
      </c>
      <c r="AF79" s="274" t="s">
        <v>622</v>
      </c>
      <c r="AG79" s="231" t="str">
        <f t="shared" ca="1" si="27"/>
        <v/>
      </c>
      <c r="AH79" s="173">
        <v>73</v>
      </c>
      <c r="AI79" s="173" t="s">
        <v>688</v>
      </c>
      <c r="AJ79" s="209" t="str">
        <f t="shared" ca="1" si="33"/>
        <v/>
      </c>
      <c r="AL79" s="274" t="str">
        <f t="shared" si="34"/>
        <v>Property off premises and in transit</v>
      </c>
    </row>
    <row r="80" spans="1:43" x14ac:dyDescent="0.25">
      <c r="A80" s="22" t="s">
        <v>710</v>
      </c>
      <c r="B80" s="229" t="s">
        <v>711</v>
      </c>
      <c r="C80" s="342"/>
      <c r="R80" s="175"/>
      <c r="T80" s="175"/>
      <c r="U80" s="175"/>
      <c r="AC80" s="306"/>
      <c r="AD80" s="316"/>
      <c r="AE80" s="211" t="s">
        <v>629</v>
      </c>
      <c r="AF80" s="274" t="s">
        <v>629</v>
      </c>
      <c r="AG80" s="231" t="str">
        <f t="shared" ca="1" si="27"/>
        <v/>
      </c>
      <c r="AH80" s="173">
        <v>74</v>
      </c>
      <c r="AI80" s="173" t="s">
        <v>712</v>
      </c>
      <c r="AJ80" s="209" t="str">
        <f t="shared" ca="1" si="33"/>
        <v/>
      </c>
      <c r="AL80" s="274" t="str">
        <f t="shared" si="34"/>
        <v>Rental reimbursement</v>
      </c>
    </row>
    <row r="81" spans="1:43" x14ac:dyDescent="0.25">
      <c r="A81" s="22" t="s">
        <v>713</v>
      </c>
      <c r="B81" s="210" t="s">
        <v>714</v>
      </c>
      <c r="C81" s="214"/>
      <c r="O81" s="238" t="s">
        <v>837</v>
      </c>
      <c r="R81" s="175"/>
      <c r="T81" s="175"/>
      <c r="AC81" s="306"/>
      <c r="AD81" s="316"/>
      <c r="AE81" s="211" t="s">
        <v>1345</v>
      </c>
      <c r="AF81" s="274" t="s">
        <v>605</v>
      </c>
      <c r="AG81" s="231" t="str">
        <f t="shared" ca="1" si="27"/>
        <v/>
      </c>
      <c r="AH81" s="173">
        <v>75</v>
      </c>
      <c r="AI81" s="173" t="s">
        <v>716</v>
      </c>
      <c r="AJ81" s="209" t="str">
        <f t="shared" ca="1" si="33"/>
        <v/>
      </c>
      <c r="AL81" s="274" t="str">
        <f t="shared" si="34"/>
        <v/>
      </c>
    </row>
    <row r="82" spans="1:43" x14ac:dyDescent="0.25">
      <c r="A82" s="22" t="s">
        <v>717</v>
      </c>
      <c r="B82" s="229" t="s">
        <v>718</v>
      </c>
      <c r="C82" s="231"/>
      <c r="O82" s="151" t="s">
        <v>655</v>
      </c>
      <c r="Q82" s="239" t="s">
        <v>656</v>
      </c>
      <c r="R82" s="240"/>
      <c r="S82" s="281" t="s">
        <v>1272</v>
      </c>
      <c r="T82" s="240"/>
      <c r="U82" s="61" t="s">
        <v>737</v>
      </c>
      <c r="AC82" s="306"/>
      <c r="AD82" s="316"/>
      <c r="AE82" s="211" t="s">
        <v>1346</v>
      </c>
      <c r="AF82" s="274" t="s">
        <v>643</v>
      </c>
      <c r="AG82" s="231" t="str">
        <f t="shared" ca="1" si="27"/>
        <v/>
      </c>
      <c r="AH82" s="173">
        <v>76</v>
      </c>
      <c r="AI82" s="272" t="s">
        <v>719</v>
      </c>
      <c r="AJ82" s="209" t="str">
        <f t="shared" ca="1" si="33"/>
        <v/>
      </c>
      <c r="AL82" s="274" t="str">
        <f t="shared" si="34"/>
        <v>Replacement cost - tools</v>
      </c>
      <c r="AN82" s="272"/>
    </row>
    <row r="83" spans="1:43" x14ac:dyDescent="0.25">
      <c r="A83" s="22" t="s">
        <v>720</v>
      </c>
      <c r="B83" s="229" t="s">
        <v>721</v>
      </c>
      <c r="C83" s="231"/>
      <c r="O83" s="173" t="s">
        <v>843</v>
      </c>
      <c r="Q83" s="249">
        <f>C91</f>
        <v>0</v>
      </c>
      <c r="R83" s="175"/>
      <c r="S83" s="200">
        <v>250000</v>
      </c>
      <c r="T83" s="175"/>
      <c r="U83" s="249">
        <f>IF(Q83&gt;S83,S83,Q83)</f>
        <v>0</v>
      </c>
      <c r="AC83" s="306"/>
      <c r="AD83" s="316"/>
      <c r="AE83" s="211" t="s">
        <v>1347</v>
      </c>
      <c r="AF83" s="274" t="s">
        <v>664</v>
      </c>
      <c r="AG83" s="231" t="str">
        <f t="shared" ca="1" si="27"/>
        <v/>
      </c>
      <c r="AH83" s="173">
        <v>77</v>
      </c>
      <c r="AI83" s="173" t="s">
        <v>722</v>
      </c>
      <c r="AJ83" s="209" t="str">
        <f t="shared" ca="1" si="33"/>
        <v/>
      </c>
      <c r="AL83" s="274" t="str">
        <f t="shared" si="34"/>
        <v/>
      </c>
    </row>
    <row r="84" spans="1:43" x14ac:dyDescent="0.25">
      <c r="A84" s="22" t="s">
        <v>723</v>
      </c>
      <c r="B84" s="229" t="s">
        <v>724</v>
      </c>
      <c r="C84" s="231"/>
      <c r="Q84" s="250"/>
      <c r="R84" s="175"/>
      <c r="T84" s="175"/>
      <c r="U84" s="175"/>
      <c r="AC84" s="306"/>
      <c r="AD84" s="316"/>
      <c r="AE84" s="211" t="s">
        <v>1348</v>
      </c>
      <c r="AF84" s="274" t="s">
        <v>668</v>
      </c>
      <c r="AG84" s="231" t="str">
        <f t="shared" ca="1" si="27"/>
        <v/>
      </c>
      <c r="AH84" s="173">
        <v>78</v>
      </c>
      <c r="AI84" s="173" t="s">
        <v>715</v>
      </c>
      <c r="AJ84" s="209" t="str">
        <f t="shared" ca="1" si="33"/>
        <v/>
      </c>
      <c r="AL84" s="274" t="str">
        <f t="shared" si="34"/>
        <v/>
      </c>
    </row>
    <row r="85" spans="1:43" x14ac:dyDescent="0.25">
      <c r="A85" s="22" t="s">
        <v>725</v>
      </c>
      <c r="B85" s="229" t="s">
        <v>726</v>
      </c>
      <c r="C85" s="231"/>
      <c r="Q85" s="250"/>
      <c r="R85" s="175"/>
      <c r="T85" s="175"/>
      <c r="U85" s="175"/>
      <c r="AC85" s="306"/>
      <c r="AD85" s="316"/>
      <c r="AE85" s="211" t="s">
        <v>671</v>
      </c>
      <c r="AF85" s="398"/>
      <c r="AG85" s="231" t="str">
        <f t="shared" ca="1" si="27"/>
        <v/>
      </c>
      <c r="AH85" s="173">
        <v>79</v>
      </c>
      <c r="AI85" s="173" t="s">
        <v>728</v>
      </c>
      <c r="AJ85" s="209" t="str">
        <f t="shared" ca="1" si="33"/>
        <v/>
      </c>
      <c r="AL85" s="274" t="str">
        <f t="shared" si="34"/>
        <v/>
      </c>
    </row>
    <row r="86" spans="1:43" x14ac:dyDescent="0.25">
      <c r="A86" s="22" t="s">
        <v>729</v>
      </c>
      <c r="B86" s="229" t="s">
        <v>730</v>
      </c>
      <c r="C86" s="231"/>
      <c r="O86" s="238" t="s">
        <v>850</v>
      </c>
      <c r="R86" s="175"/>
      <c r="T86" s="175"/>
      <c r="AC86" s="306"/>
      <c r="AD86" s="316"/>
      <c r="AE86" s="211" t="s">
        <v>1349</v>
      </c>
      <c r="AF86" s="398"/>
      <c r="AG86" s="231" t="str">
        <f t="shared" ca="1" si="27"/>
        <v/>
      </c>
      <c r="AH86" s="173">
        <v>80</v>
      </c>
      <c r="AI86" s="173" t="s">
        <v>731</v>
      </c>
      <c r="AJ86" s="209" t="str">
        <f t="shared" ca="1" si="33"/>
        <v/>
      </c>
      <c r="AL86" s="274" t="str">
        <f t="shared" si="34"/>
        <v>Sewer Backup</v>
      </c>
    </row>
    <row r="87" spans="1:43" x14ac:dyDescent="0.25">
      <c r="A87" s="22" t="s">
        <v>732</v>
      </c>
      <c r="B87" s="229" t="s">
        <v>733</v>
      </c>
      <c r="C87" s="342"/>
      <c r="O87" s="151" t="s">
        <v>655</v>
      </c>
      <c r="Q87" s="239" t="s">
        <v>656</v>
      </c>
      <c r="R87" s="240"/>
      <c r="S87" s="281" t="s">
        <v>1272</v>
      </c>
      <c r="T87" s="240"/>
      <c r="U87" s="61" t="s">
        <v>737</v>
      </c>
      <c r="AC87" s="306"/>
      <c r="AD87" s="316"/>
      <c r="AE87" s="211" t="s">
        <v>1350</v>
      </c>
      <c r="AF87" s="274" t="s">
        <v>642</v>
      </c>
      <c r="AG87" s="231" t="str">
        <f t="shared" ca="1" si="27"/>
        <v/>
      </c>
      <c r="AH87" s="173">
        <v>81</v>
      </c>
      <c r="AI87" s="173" t="s">
        <v>523</v>
      </c>
      <c r="AJ87" s="209" t="str">
        <f t="shared" ca="1" si="33"/>
        <v/>
      </c>
      <c r="AL87" s="274" t="str">
        <f t="shared" si="34"/>
        <v>Stock</v>
      </c>
    </row>
    <row r="88" spans="1:43" x14ac:dyDescent="0.25">
      <c r="A88" s="22" t="s">
        <v>735</v>
      </c>
      <c r="B88" s="229" t="s">
        <v>736</v>
      </c>
      <c r="C88" s="344"/>
      <c r="O88" s="173" t="s">
        <v>554</v>
      </c>
      <c r="Q88" s="255">
        <f>C96</f>
        <v>0</v>
      </c>
      <c r="R88" s="175"/>
      <c r="S88" s="200">
        <v>150000</v>
      </c>
      <c r="T88" s="175"/>
      <c r="U88" s="249">
        <f>IF(Q89&gt;S88,S88,Q89)</f>
        <v>0</v>
      </c>
      <c r="AE88" s="211" t="s">
        <v>1351</v>
      </c>
      <c r="AF88" s="274" t="s">
        <v>692</v>
      </c>
      <c r="AG88" s="231" t="str">
        <f t="shared" ca="1" si="27"/>
        <v/>
      </c>
      <c r="AH88" s="173">
        <v>82</v>
      </c>
      <c r="AI88" s="173" t="s">
        <v>678</v>
      </c>
      <c r="AJ88" s="209" t="str">
        <f t="shared" ca="1" si="33"/>
        <v/>
      </c>
      <c r="AL88" s="274" t="str">
        <f t="shared" si="34"/>
        <v>Stock spoilage</v>
      </c>
    </row>
    <row r="89" spans="1:43" x14ac:dyDescent="0.25">
      <c r="A89" s="22" t="s">
        <v>738</v>
      </c>
      <c r="B89" s="229" t="s">
        <v>739</v>
      </c>
      <c r="C89" s="344"/>
      <c r="E89" s="579" t="s">
        <v>1427</v>
      </c>
      <c r="O89" s="173" t="s">
        <v>1273</v>
      </c>
      <c r="Q89" s="257">
        <f>IFERROR(Q88*1,0)</f>
        <v>0</v>
      </c>
      <c r="R89" s="175"/>
      <c r="T89" s="175"/>
      <c r="U89" s="175"/>
      <c r="AE89" s="211" t="s">
        <v>1352</v>
      </c>
      <c r="AF89" s="274" t="s">
        <v>649</v>
      </c>
      <c r="AG89" s="231" t="str">
        <f t="shared" ca="1" si="27"/>
        <v/>
      </c>
      <c r="AH89" s="173">
        <v>83</v>
      </c>
      <c r="AI89" s="173" t="s">
        <v>741</v>
      </c>
      <c r="AJ89" s="209" t="str">
        <f t="shared" ca="1" si="33"/>
        <v/>
      </c>
      <c r="AL89" s="274" t="str">
        <f t="shared" si="34"/>
        <v/>
      </c>
    </row>
    <row r="90" spans="1:43" x14ac:dyDescent="0.25">
      <c r="A90" s="222">
        <v>1000130</v>
      </c>
      <c r="B90" s="229" t="s">
        <v>742</v>
      </c>
      <c r="C90" s="344"/>
      <c r="E90" s="571" t="s">
        <v>359</v>
      </c>
      <c r="F90" s="572" t="s">
        <v>349</v>
      </c>
      <c r="R90" s="175"/>
      <c r="T90" s="175"/>
      <c r="AE90" s="211" t="s">
        <v>1353</v>
      </c>
      <c r="AF90" s="274" t="s">
        <v>663</v>
      </c>
      <c r="AG90" s="231" t="str">
        <f t="shared" ca="1" si="27"/>
        <v/>
      </c>
      <c r="AH90" s="173">
        <v>84</v>
      </c>
      <c r="AI90" s="173" t="s">
        <v>539</v>
      </c>
      <c r="AJ90" s="209" t="str">
        <f t="shared" ca="1" si="33"/>
        <v/>
      </c>
      <c r="AL90" s="274" t="str">
        <f t="shared" si="34"/>
        <v>Tools aggregate limit</v>
      </c>
    </row>
    <row r="91" spans="1:43" x14ac:dyDescent="0.25">
      <c r="A91" s="222">
        <v>1000140</v>
      </c>
      <c r="B91" s="229" t="s">
        <v>744</v>
      </c>
      <c r="C91" s="344"/>
      <c r="E91" s="571" t="s">
        <v>364</v>
      </c>
      <c r="F91" s="572" t="s">
        <v>1422</v>
      </c>
      <c r="O91" s="238" t="s">
        <v>861</v>
      </c>
      <c r="R91" s="175"/>
      <c r="T91" s="175"/>
      <c r="AE91" s="211" t="s">
        <v>1354</v>
      </c>
      <c r="AF91" s="398"/>
      <c r="AG91" s="231" t="str">
        <f t="shared" ca="1" si="27"/>
        <v/>
      </c>
      <c r="AH91" s="173">
        <v>85</v>
      </c>
      <c r="AI91" s="173" t="s">
        <v>543</v>
      </c>
      <c r="AJ91" s="209" t="str">
        <f t="shared" ca="1" si="33"/>
        <v/>
      </c>
      <c r="AL91" s="274" t="str">
        <f t="shared" si="34"/>
        <v>Tools single item limit</v>
      </c>
    </row>
    <row r="92" spans="1:43" x14ac:dyDescent="0.25">
      <c r="A92" s="22" t="s">
        <v>745</v>
      </c>
      <c r="B92" s="229" t="s">
        <v>746</v>
      </c>
      <c r="C92" s="344"/>
      <c r="E92" s="571" t="s">
        <v>368</v>
      </c>
      <c r="F92" s="572" t="s">
        <v>1423</v>
      </c>
      <c r="O92" s="151" t="s">
        <v>655</v>
      </c>
      <c r="Q92" s="239" t="s">
        <v>656</v>
      </c>
      <c r="R92" s="240"/>
      <c r="S92" s="281" t="s">
        <v>1272</v>
      </c>
      <c r="T92" s="240"/>
      <c r="U92" s="61" t="s">
        <v>737</v>
      </c>
      <c r="AE92" s="211" t="s">
        <v>1355</v>
      </c>
      <c r="AF92" s="274" t="s">
        <v>701</v>
      </c>
      <c r="AG92" s="231" t="str">
        <f t="shared" ca="1" si="27"/>
        <v/>
      </c>
      <c r="AH92" s="173">
        <v>86</v>
      </c>
      <c r="AI92" s="272" t="s">
        <v>547</v>
      </c>
      <c r="AJ92" s="209" t="str">
        <f t="shared" ca="1" si="33"/>
        <v/>
      </c>
      <c r="AL92" s="274" t="str">
        <f t="shared" si="34"/>
        <v>Tools co-insurance</v>
      </c>
      <c r="AN92" s="272"/>
      <c r="AQ92" s="272"/>
    </row>
    <row r="93" spans="1:43" x14ac:dyDescent="0.25">
      <c r="A93" s="22" t="s">
        <v>747</v>
      </c>
      <c r="B93" s="229" t="s">
        <v>748</v>
      </c>
      <c r="C93" s="344"/>
      <c r="E93" s="571" t="s">
        <v>384</v>
      </c>
      <c r="F93" s="572" t="s">
        <v>369</v>
      </c>
      <c r="O93" s="173" t="s">
        <v>864</v>
      </c>
      <c r="Q93" s="255">
        <f>C88</f>
        <v>0</v>
      </c>
      <c r="R93" s="175"/>
      <c r="S93" s="200">
        <v>1500000</v>
      </c>
      <c r="T93" s="175"/>
      <c r="U93" s="249">
        <f>IF(Q93&gt;S93,S93,Q93)</f>
        <v>0</v>
      </c>
      <c r="V93" s="173" t="s">
        <v>1184</v>
      </c>
      <c r="AE93" s="211" t="s">
        <v>1356</v>
      </c>
      <c r="AF93" s="274" t="s">
        <v>712</v>
      </c>
      <c r="AG93" s="231" t="str">
        <f t="shared" ca="1" si="27"/>
        <v/>
      </c>
      <c r="AH93" s="173">
        <v>87</v>
      </c>
      <c r="AI93" s="173" t="s">
        <v>691</v>
      </c>
      <c r="AJ93" s="209" t="str">
        <f t="shared" ca="1" si="33"/>
        <v/>
      </c>
      <c r="AL93" s="274" t="str">
        <f t="shared" si="34"/>
        <v>Valuable papers and records</v>
      </c>
    </row>
    <row r="94" spans="1:43" x14ac:dyDescent="0.25">
      <c r="A94" s="22" t="s">
        <v>750</v>
      </c>
      <c r="B94" s="229" t="s">
        <v>751</v>
      </c>
      <c r="C94" s="344"/>
      <c r="E94" s="571" t="s">
        <v>391</v>
      </c>
      <c r="F94" s="572" t="s">
        <v>369</v>
      </c>
      <c r="O94" s="173" t="s">
        <v>865</v>
      </c>
      <c r="Q94" s="249">
        <f>$C$89</f>
        <v>0</v>
      </c>
      <c r="R94" s="175"/>
      <c r="S94" s="200">
        <v>1500000</v>
      </c>
      <c r="T94" s="175"/>
      <c r="U94" s="249">
        <f>IF(Q94&gt;S94,S94,Q94)</f>
        <v>0</v>
      </c>
      <c r="V94" s="173" t="s">
        <v>1370</v>
      </c>
      <c r="AE94" s="211" t="s">
        <v>1357</v>
      </c>
      <c r="AF94" s="274" t="s">
        <v>417</v>
      </c>
      <c r="AG94" s="231" t="str">
        <f t="shared" ca="1" si="27"/>
        <v/>
      </c>
      <c r="AH94" s="173">
        <v>88</v>
      </c>
      <c r="AI94" s="173" t="s">
        <v>752</v>
      </c>
      <c r="AJ94" s="209" t="str">
        <f t="shared" ca="1" si="33"/>
        <v/>
      </c>
      <c r="AL94" s="274" t="str">
        <f t="shared" si="34"/>
        <v/>
      </c>
    </row>
    <row r="95" spans="1:43" x14ac:dyDescent="0.25">
      <c r="A95" s="22" t="s">
        <v>753</v>
      </c>
      <c r="B95" s="229" t="s">
        <v>754</v>
      </c>
      <c r="C95" s="344"/>
      <c r="E95" s="571" t="s">
        <v>393</v>
      </c>
      <c r="F95" s="573">
        <v>0</v>
      </c>
      <c r="R95" s="175"/>
      <c r="T95" s="175"/>
      <c r="AE95" s="272" t="s">
        <v>555</v>
      </c>
      <c r="AF95" s="272" t="s">
        <v>555</v>
      </c>
      <c r="AG95" s="310" t="str">
        <f ca="1">IF($AG$9="Quote",100000,"")</f>
        <v/>
      </c>
      <c r="AH95" s="173">
        <v>89</v>
      </c>
      <c r="AI95" s="173" t="s">
        <v>727</v>
      </c>
      <c r="AJ95" s="209" t="str">
        <f t="shared" ca="1" si="33"/>
        <v/>
      </c>
      <c r="AL95" s="274" t="str">
        <f t="shared" si="34"/>
        <v/>
      </c>
    </row>
    <row r="96" spans="1:43" x14ac:dyDescent="0.25">
      <c r="A96" s="222">
        <v>1000160</v>
      </c>
      <c r="B96" s="229" t="s">
        <v>755</v>
      </c>
      <c r="C96" s="344"/>
      <c r="E96" s="571" t="s">
        <v>400</v>
      </c>
      <c r="F96" s="572" t="s">
        <v>394</v>
      </c>
      <c r="O96" s="238" t="s">
        <v>871</v>
      </c>
      <c r="R96" s="175"/>
      <c r="T96" s="175"/>
      <c r="AE96" s="211" t="s">
        <v>1358</v>
      </c>
      <c r="AF96" s="274" t="s">
        <v>590</v>
      </c>
      <c r="AG96" s="231" t="str">
        <f t="shared" ca="1" si="27"/>
        <v/>
      </c>
      <c r="AH96" s="173">
        <v>90</v>
      </c>
      <c r="AI96" s="173" t="s">
        <v>757</v>
      </c>
      <c r="AJ96" s="209" t="str">
        <f t="shared" ca="1" si="33"/>
        <v/>
      </c>
      <c r="AL96" s="274" t="str">
        <f t="shared" si="34"/>
        <v/>
      </c>
    </row>
    <row r="97" spans="1:38" x14ac:dyDescent="0.25">
      <c r="A97" s="22" t="s">
        <v>758</v>
      </c>
      <c r="B97" s="229" t="s">
        <v>759</v>
      </c>
      <c r="C97" s="344"/>
      <c r="E97" s="571" t="s">
        <v>407</v>
      </c>
      <c r="F97" s="574" t="s">
        <v>369</v>
      </c>
      <c r="O97" s="151" t="s">
        <v>655</v>
      </c>
      <c r="Q97" s="239" t="s">
        <v>656</v>
      </c>
      <c r="R97" s="240"/>
      <c r="S97" s="61"/>
      <c r="T97" s="240"/>
      <c r="U97" s="61" t="s">
        <v>737</v>
      </c>
      <c r="AE97" s="211" t="s">
        <v>1359</v>
      </c>
      <c r="AF97" s="274" t="s">
        <v>612</v>
      </c>
      <c r="AG97" s="231" t="str">
        <f t="shared" ca="1" si="27"/>
        <v/>
      </c>
      <c r="AH97" s="173">
        <v>91</v>
      </c>
      <c r="AI97" s="173" t="s">
        <v>1304</v>
      </c>
      <c r="AJ97" s="209" t="str">
        <f t="shared" ca="1" si="33"/>
        <v/>
      </c>
      <c r="AL97" s="274" t="str">
        <f t="shared" si="34"/>
        <v>Products &amp; Completed Operations</v>
      </c>
    </row>
    <row r="98" spans="1:38" x14ac:dyDescent="0.25">
      <c r="A98" s="22" t="s">
        <v>762</v>
      </c>
      <c r="B98" s="229" t="s">
        <v>763</v>
      </c>
      <c r="C98" s="342"/>
      <c r="E98" s="571" t="s">
        <v>412</v>
      </c>
      <c r="F98" s="572">
        <v>2005</v>
      </c>
      <c r="O98" s="173" t="s">
        <v>1212</v>
      </c>
      <c r="Q98" s="255">
        <f>C92</f>
        <v>0</v>
      </c>
      <c r="R98" s="175"/>
      <c r="T98" s="175" t="s">
        <v>1212</v>
      </c>
      <c r="U98" s="256">
        <f>Q98</f>
        <v>0</v>
      </c>
      <c r="V98" s="379" t="s">
        <v>1386</v>
      </c>
      <c r="AC98" s="245"/>
      <c r="AD98" s="173"/>
      <c r="AE98" s="211" t="s">
        <v>1360</v>
      </c>
      <c r="AF98" s="274" t="s">
        <v>678</v>
      </c>
      <c r="AG98" s="231" t="str">
        <f t="shared" ca="1" si="27"/>
        <v/>
      </c>
      <c r="AH98" s="173">
        <v>92</v>
      </c>
      <c r="AI98" s="173" t="s">
        <v>765</v>
      </c>
      <c r="AJ98" s="209" t="str">
        <f t="shared" ca="1" si="33"/>
        <v/>
      </c>
      <c r="AL98" s="274" t="str">
        <f t="shared" si="34"/>
        <v/>
      </c>
    </row>
    <row r="99" spans="1:38" x14ac:dyDescent="0.25">
      <c r="A99" s="222">
        <v>1000100</v>
      </c>
      <c r="B99" s="229" t="s">
        <v>766</v>
      </c>
      <c r="C99" s="344"/>
      <c r="E99" s="571" t="s">
        <v>418</v>
      </c>
      <c r="F99" s="572">
        <v>10</v>
      </c>
      <c r="O99" s="173" t="s">
        <v>523</v>
      </c>
      <c r="Q99" s="255">
        <f>C93</f>
        <v>0</v>
      </c>
      <c r="R99" s="175"/>
      <c r="T99" s="175" t="s">
        <v>523</v>
      </c>
      <c r="U99" s="256">
        <f t="shared" ref="U99:U101" si="36">Q99</f>
        <v>0</v>
      </c>
      <c r="AC99" s="245"/>
      <c r="AD99" s="173"/>
      <c r="AE99" s="211" t="s">
        <v>1361</v>
      </c>
      <c r="AF99" s="274" t="s">
        <v>688</v>
      </c>
      <c r="AG99" s="231" t="str">
        <f t="shared" ca="1" si="27"/>
        <v/>
      </c>
      <c r="AH99" s="173">
        <v>93</v>
      </c>
      <c r="AI99" s="173" t="s">
        <v>1305</v>
      </c>
      <c r="AJ99" s="209" t="str">
        <f t="shared" ca="1" si="33"/>
        <v/>
      </c>
      <c r="AL99" s="274" t="str">
        <f t="shared" si="34"/>
        <v>Bodily injury &amp; property damage (CGL)</v>
      </c>
    </row>
    <row r="100" spans="1:38" x14ac:dyDescent="0.25">
      <c r="A100" s="222" t="s">
        <v>768</v>
      </c>
      <c r="B100" s="242" t="s">
        <v>769</v>
      </c>
      <c r="C100" s="344"/>
      <c r="E100" s="571" t="s">
        <v>424</v>
      </c>
      <c r="F100" s="572">
        <v>3</v>
      </c>
      <c r="O100" s="274" t="s">
        <v>527</v>
      </c>
      <c r="P100" s="274"/>
      <c r="Q100" s="255">
        <f>C94</f>
        <v>0</v>
      </c>
      <c r="R100" s="279"/>
      <c r="S100" s="274"/>
      <c r="T100" s="279" t="s">
        <v>527</v>
      </c>
      <c r="U100" s="256">
        <f t="shared" si="36"/>
        <v>0</v>
      </c>
      <c r="V100" s="274"/>
      <c r="W100" s="274"/>
      <c r="X100" s="274"/>
      <c r="Y100" s="274"/>
      <c r="Z100" s="274"/>
      <c r="AA100" s="274"/>
      <c r="AB100" s="274"/>
      <c r="AC100" s="245"/>
      <c r="AD100" s="173"/>
      <c r="AE100" s="211" t="s">
        <v>1362</v>
      </c>
      <c r="AF100" s="274" t="s">
        <v>691</v>
      </c>
      <c r="AG100" s="231" t="str">
        <f t="shared" ca="1" si="27"/>
        <v/>
      </c>
      <c r="AH100" s="173">
        <v>94</v>
      </c>
      <c r="AI100" s="173" t="s">
        <v>773</v>
      </c>
      <c r="AJ100" s="209" t="str">
        <f t="shared" ca="1" si="33"/>
        <v/>
      </c>
      <c r="AL100" s="274" t="str">
        <f t="shared" si="34"/>
        <v/>
      </c>
    </row>
    <row r="101" spans="1:38" x14ac:dyDescent="0.25">
      <c r="A101" s="222">
        <v>1000230</v>
      </c>
      <c r="B101" s="247" t="s">
        <v>774</v>
      </c>
      <c r="C101" s="214"/>
      <c r="E101" s="571" t="s">
        <v>430</v>
      </c>
      <c r="F101" s="574" t="s">
        <v>1426</v>
      </c>
      <c r="O101" s="274" t="s">
        <v>532</v>
      </c>
      <c r="P101" s="274"/>
      <c r="Q101" s="255">
        <f>C95</f>
        <v>0</v>
      </c>
      <c r="R101" s="279"/>
      <c r="S101" s="274"/>
      <c r="T101" s="279" t="s">
        <v>1221</v>
      </c>
      <c r="U101" s="256">
        <f t="shared" si="36"/>
        <v>0</v>
      </c>
      <c r="V101" s="274"/>
      <c r="W101" s="274"/>
      <c r="X101" s="274"/>
      <c r="Y101" s="274"/>
      <c r="Z101" s="274"/>
      <c r="AA101" s="274"/>
      <c r="AB101" s="274"/>
      <c r="AC101" s="245"/>
      <c r="AD101" s="173"/>
      <c r="AE101" s="211" t="s">
        <v>1363</v>
      </c>
      <c r="AF101" s="274" t="s">
        <v>576</v>
      </c>
      <c r="AG101" s="231" t="str">
        <f ca="1">IF($AG$9="Quote",50000,"")</f>
        <v/>
      </c>
      <c r="AH101" s="173">
        <v>95</v>
      </c>
      <c r="AI101" s="173" t="s">
        <v>776</v>
      </c>
      <c r="AJ101" s="209" t="str">
        <f t="shared" ca="1" si="33"/>
        <v/>
      </c>
      <c r="AL101" s="274" t="str">
        <f t="shared" si="34"/>
        <v/>
      </c>
    </row>
    <row r="102" spans="1:38" x14ac:dyDescent="0.25">
      <c r="A102" s="222">
        <v>1000240</v>
      </c>
      <c r="B102" s="210" t="s">
        <v>777</v>
      </c>
      <c r="C102" s="231"/>
      <c r="E102" s="571" t="s">
        <v>437</v>
      </c>
      <c r="F102" s="572" t="s">
        <v>369</v>
      </c>
      <c r="O102" s="274"/>
      <c r="P102" s="274"/>
      <c r="Q102" s="274"/>
      <c r="R102" s="279"/>
      <c r="S102" s="274"/>
      <c r="T102" s="279"/>
      <c r="U102" s="274"/>
      <c r="V102" s="274"/>
      <c r="W102" s="274"/>
      <c r="X102" s="274"/>
      <c r="Y102" s="274"/>
      <c r="Z102" s="274"/>
      <c r="AA102" s="274"/>
      <c r="AB102" s="274"/>
      <c r="AC102" s="245"/>
      <c r="AD102" s="173"/>
      <c r="AE102" s="211" t="s">
        <v>1364</v>
      </c>
      <c r="AF102" s="274" t="s">
        <v>650</v>
      </c>
      <c r="AG102" s="231" t="str">
        <f ca="1">IF($AG$9="Quote","Included","")</f>
        <v/>
      </c>
      <c r="AH102" s="173">
        <v>96</v>
      </c>
      <c r="AI102" s="173" t="s">
        <v>781</v>
      </c>
      <c r="AJ102" s="209" t="str">
        <f t="shared" ca="1" si="33"/>
        <v/>
      </c>
      <c r="AL102" s="274" t="str">
        <f t="shared" si="34"/>
        <v/>
      </c>
    </row>
    <row r="103" spans="1:38" x14ac:dyDescent="0.25">
      <c r="A103" s="222">
        <v>1000250</v>
      </c>
      <c r="B103" s="210" t="s">
        <v>782</v>
      </c>
      <c r="C103" s="231"/>
      <c r="E103" s="571" t="s">
        <v>443</v>
      </c>
      <c r="F103" s="575">
        <v>175200</v>
      </c>
      <c r="O103" s="238" t="s">
        <v>1061</v>
      </c>
      <c r="R103" s="175"/>
      <c r="T103" s="175"/>
      <c r="AC103" s="245"/>
      <c r="AD103" s="173"/>
      <c r="AE103" s="211" t="s">
        <v>1365</v>
      </c>
      <c r="AF103" s="398"/>
      <c r="AG103" s="231" t="str">
        <f t="shared" ref="AG103:AG111" ca="1" si="37">IF($AG$9="Quote","Included","")</f>
        <v/>
      </c>
      <c r="AH103" s="173">
        <v>97</v>
      </c>
      <c r="AI103" s="173" t="s">
        <v>1306</v>
      </c>
      <c r="AJ103" s="209" t="str">
        <f t="shared" ca="1" si="33"/>
        <v/>
      </c>
      <c r="AL103" s="274" t="str">
        <f t="shared" si="34"/>
        <v/>
      </c>
    </row>
    <row r="104" spans="1:38" x14ac:dyDescent="0.25">
      <c r="A104" s="222">
        <v>1000260</v>
      </c>
      <c r="B104" s="210" t="s">
        <v>785</v>
      </c>
      <c r="C104" s="231"/>
      <c r="E104" s="571" t="s">
        <v>449</v>
      </c>
      <c r="F104" s="576">
        <v>50000</v>
      </c>
      <c r="O104" s="151" t="s">
        <v>655</v>
      </c>
      <c r="Q104" s="239" t="s">
        <v>656</v>
      </c>
      <c r="R104" s="240"/>
      <c r="S104" s="61"/>
      <c r="T104" s="240"/>
      <c r="U104" s="281" t="s">
        <v>737</v>
      </c>
      <c r="AC104" s="245"/>
      <c r="AD104" s="173"/>
      <c r="AE104" s="211" t="s">
        <v>1366</v>
      </c>
      <c r="AF104" s="398"/>
      <c r="AG104" s="231" t="str">
        <f t="shared" ca="1" si="37"/>
        <v/>
      </c>
      <c r="AH104" s="173">
        <v>98</v>
      </c>
      <c r="AI104" s="173" t="s">
        <v>789</v>
      </c>
      <c r="AJ104" s="209" t="str">
        <f t="shared" ca="1" si="33"/>
        <v/>
      </c>
      <c r="AL104" s="274" t="str">
        <f t="shared" si="34"/>
        <v/>
      </c>
    </row>
    <row r="105" spans="1:38" x14ac:dyDescent="0.25">
      <c r="A105" s="222">
        <v>1000270</v>
      </c>
      <c r="B105" s="210" t="s">
        <v>790</v>
      </c>
      <c r="C105" s="231"/>
      <c r="E105" s="571" t="s">
        <v>456</v>
      </c>
      <c r="F105" s="576">
        <v>100</v>
      </c>
      <c r="O105" s="173" t="s">
        <v>1062</v>
      </c>
      <c r="Q105" s="292">
        <f t="shared" ref="Q105:Q113" si="38">C133</f>
        <v>0</v>
      </c>
      <c r="R105" s="175" t="s">
        <v>1069</v>
      </c>
      <c r="S105" s="279">
        <f ca="1">YEAR(NOW())-Q105</f>
        <v>2022</v>
      </c>
      <c r="T105" s="175"/>
      <c r="U105" s="256" t="str">
        <f ca="1">IF(S105&lt;=20,"Yes",IF(S105&gt;20,IF(S115="Yes","Yes","No")))</f>
        <v>No</v>
      </c>
      <c r="AC105" s="245"/>
      <c r="AD105" s="173"/>
      <c r="AE105" s="211" t="s">
        <v>1367</v>
      </c>
      <c r="AF105" s="274" t="s">
        <v>840</v>
      </c>
      <c r="AG105" s="231" t="str">
        <f t="shared" ca="1" si="37"/>
        <v/>
      </c>
      <c r="AH105" s="173">
        <v>99</v>
      </c>
      <c r="AI105" s="173" t="s">
        <v>794</v>
      </c>
      <c r="AJ105" s="209" t="str">
        <f t="shared" ca="1" si="33"/>
        <v/>
      </c>
      <c r="AL105" s="274" t="str">
        <f t="shared" si="34"/>
        <v/>
      </c>
    </row>
    <row r="106" spans="1:38" x14ac:dyDescent="0.25">
      <c r="A106" s="222">
        <v>1000280</v>
      </c>
      <c r="B106" s="210" t="s">
        <v>795</v>
      </c>
      <c r="C106" s="231"/>
      <c r="E106" s="571" t="s">
        <v>463</v>
      </c>
      <c r="F106" s="576"/>
      <c r="O106" s="173" t="s">
        <v>1063</v>
      </c>
      <c r="Q106" s="292">
        <f>C134</f>
        <v>0</v>
      </c>
      <c r="R106" s="175" t="s">
        <v>1070</v>
      </c>
      <c r="S106" s="279">
        <f ca="1">YEAR(NOW())-Q106</f>
        <v>2022</v>
      </c>
      <c r="T106" s="175"/>
      <c r="AC106" s="245"/>
      <c r="AD106" s="173"/>
      <c r="AE106" s="211" t="s">
        <v>1259</v>
      </c>
      <c r="AF106" s="274" t="s">
        <v>2</v>
      </c>
      <c r="AG106" s="231" t="str">
        <f ca="1">IF($AG$9="Quote",Calculator!H130,"")</f>
        <v/>
      </c>
      <c r="AH106" s="173">
        <v>100</v>
      </c>
      <c r="AI106" s="173" t="s">
        <v>799</v>
      </c>
      <c r="AJ106" s="209" t="str">
        <f t="shared" ca="1" si="33"/>
        <v/>
      </c>
      <c r="AL106" s="274" t="str">
        <f t="shared" si="34"/>
        <v/>
      </c>
    </row>
    <row r="107" spans="1:38" x14ac:dyDescent="0.25">
      <c r="A107" s="222" t="s">
        <v>800</v>
      </c>
      <c r="B107" s="210" t="s">
        <v>801</v>
      </c>
      <c r="C107" s="231"/>
      <c r="E107" s="571" t="s">
        <v>468</v>
      </c>
      <c r="F107" s="576"/>
      <c r="O107" s="173" t="s">
        <v>1046</v>
      </c>
      <c r="Q107" s="292">
        <f t="shared" si="38"/>
        <v>0</v>
      </c>
      <c r="R107" s="175" t="s">
        <v>1072</v>
      </c>
      <c r="S107" s="279" t="str">
        <f ca="1">IF(AND(S106&lt;=20,Q107&gt;=$Q$114),"Yes","No")</f>
        <v>No</v>
      </c>
      <c r="T107" s="175"/>
      <c r="AC107" s="245"/>
      <c r="AD107" s="173"/>
      <c r="AE107" s="309" t="s">
        <v>1389</v>
      </c>
      <c r="AF107" s="272" t="s">
        <v>447</v>
      </c>
      <c r="AG107" s="231" t="str">
        <f ca="1">IF($AG$9="Quote",Calculator!$H$46,"")</f>
        <v/>
      </c>
      <c r="AH107" s="173">
        <v>101</v>
      </c>
      <c r="AI107" s="173" t="s">
        <v>804</v>
      </c>
      <c r="AJ107" s="209" t="str">
        <f t="shared" ca="1" si="33"/>
        <v/>
      </c>
      <c r="AL107" s="274" t="str">
        <f t="shared" si="34"/>
        <v>Employee benefits liability</v>
      </c>
    </row>
    <row r="108" spans="1:38" x14ac:dyDescent="0.25">
      <c r="A108" s="22" t="s">
        <v>805</v>
      </c>
      <c r="B108" s="229" t="s">
        <v>558</v>
      </c>
      <c r="C108" s="344"/>
      <c r="E108" s="571" t="s">
        <v>471</v>
      </c>
      <c r="F108" s="576"/>
      <c r="O108" s="173" t="s">
        <v>1064</v>
      </c>
      <c r="Q108" s="292">
        <f t="shared" si="38"/>
        <v>0</v>
      </c>
      <c r="R108" s="279" t="s">
        <v>1070</v>
      </c>
      <c r="S108" s="279">
        <f ca="1">YEAR(NOW())-Q108</f>
        <v>2022</v>
      </c>
      <c r="T108" s="175"/>
      <c r="AC108" s="245"/>
      <c r="AE108" s="309" t="s">
        <v>1390</v>
      </c>
      <c r="AF108" s="272" t="s">
        <v>1300</v>
      </c>
      <c r="AG108" s="231" t="str">
        <f ca="1">IF($AG$9="Quote","90%","")</f>
        <v/>
      </c>
      <c r="AH108" s="173">
        <v>102</v>
      </c>
      <c r="AI108" s="173" t="s">
        <v>808</v>
      </c>
      <c r="AJ108" s="209" t="str">
        <f t="shared" ca="1" si="33"/>
        <v/>
      </c>
      <c r="AL108" s="274" t="str">
        <f t="shared" si="34"/>
        <v/>
      </c>
    </row>
    <row r="109" spans="1:38" x14ac:dyDescent="0.25">
      <c r="A109" s="222">
        <v>47000</v>
      </c>
      <c r="B109" s="229" t="s">
        <v>1281</v>
      </c>
      <c r="C109" s="342"/>
      <c r="E109" s="571" t="s">
        <v>475</v>
      </c>
      <c r="F109" s="574"/>
      <c r="O109" s="173" t="s">
        <v>1065</v>
      </c>
      <c r="Q109" s="292">
        <f t="shared" si="38"/>
        <v>0</v>
      </c>
      <c r="R109" s="279" t="s">
        <v>1073</v>
      </c>
      <c r="S109" s="279" t="str">
        <f ca="1">IF(AND(S108&lt;=20,Q109&gt;=$Q$114),"Yes","No")</f>
        <v>No</v>
      </c>
      <c r="T109" s="175"/>
      <c r="AE109" s="309" t="s">
        <v>1391</v>
      </c>
      <c r="AF109" s="272" t="s">
        <v>528</v>
      </c>
      <c r="AG109" s="231" t="str">
        <f ca="1">IF($AG$9="Quote","100%","")</f>
        <v/>
      </c>
      <c r="AH109" s="173">
        <v>103</v>
      </c>
      <c r="AI109" s="173" t="s">
        <v>810</v>
      </c>
      <c r="AJ109" s="209" t="str">
        <f t="shared" ca="1" si="33"/>
        <v/>
      </c>
      <c r="AL109" s="274" t="str">
        <f t="shared" si="34"/>
        <v/>
      </c>
    </row>
    <row r="110" spans="1:38" x14ac:dyDescent="0.25">
      <c r="A110" s="222">
        <v>47030</v>
      </c>
      <c r="B110" s="229" t="s">
        <v>811</v>
      </c>
      <c r="C110" s="231"/>
      <c r="E110" s="571" t="s">
        <v>477</v>
      </c>
      <c r="F110" s="572"/>
      <c r="O110" s="173" t="s">
        <v>1066</v>
      </c>
      <c r="Q110" s="292">
        <f t="shared" si="38"/>
        <v>0</v>
      </c>
      <c r="R110" s="279" t="s">
        <v>1070</v>
      </c>
      <c r="S110" s="279">
        <f ca="1">YEAR(NOW())-Q110</f>
        <v>2022</v>
      </c>
      <c r="T110" s="175"/>
      <c r="AE110" s="309" t="s">
        <v>1392</v>
      </c>
      <c r="AF110" s="272" t="s">
        <v>551</v>
      </c>
      <c r="AG110" s="231" t="str">
        <f t="shared" ca="1" si="37"/>
        <v/>
      </c>
      <c r="AH110" s="173">
        <v>104</v>
      </c>
      <c r="AI110" s="173" t="s">
        <v>812</v>
      </c>
      <c r="AJ110" s="209" t="str">
        <f t="shared" ca="1" si="33"/>
        <v/>
      </c>
      <c r="AL110" s="274" t="str">
        <f t="shared" si="34"/>
        <v/>
      </c>
    </row>
    <row r="111" spans="1:38" x14ac:dyDescent="0.25">
      <c r="A111" s="222">
        <v>47060</v>
      </c>
      <c r="B111" s="229" t="s">
        <v>813</v>
      </c>
      <c r="C111" s="231"/>
      <c r="E111" s="571" t="s">
        <v>482</v>
      </c>
      <c r="F111" s="576"/>
      <c r="O111" s="173" t="s">
        <v>1067</v>
      </c>
      <c r="Q111" s="292">
        <f t="shared" si="38"/>
        <v>0</v>
      </c>
      <c r="R111" s="279" t="s">
        <v>1074</v>
      </c>
      <c r="S111" s="279" t="str">
        <f ca="1">IF(AND(S110&lt;=50,Q111&gt;=$Q$114),"Yes","No")</f>
        <v>No</v>
      </c>
      <c r="T111" s="275" t="s">
        <v>1380</v>
      </c>
      <c r="AE111" s="309" t="s">
        <v>1394</v>
      </c>
      <c r="AF111" s="272" t="s">
        <v>719</v>
      </c>
      <c r="AG111" s="231" t="str">
        <f t="shared" ca="1" si="37"/>
        <v/>
      </c>
      <c r="AH111" s="173">
        <v>105</v>
      </c>
      <c r="AI111" s="173" t="s">
        <v>814</v>
      </c>
      <c r="AJ111" s="209" t="str">
        <f t="shared" ca="1" si="33"/>
        <v/>
      </c>
      <c r="AL111" s="274" t="str">
        <f t="shared" si="34"/>
        <v/>
      </c>
    </row>
    <row r="112" spans="1:38" x14ac:dyDescent="0.25">
      <c r="A112" s="222">
        <v>47090</v>
      </c>
      <c r="B112" s="229" t="s">
        <v>815</v>
      </c>
      <c r="C112" s="231"/>
      <c r="E112" s="571" t="s">
        <v>485</v>
      </c>
      <c r="F112" s="576"/>
      <c r="O112" s="173" t="s">
        <v>1068</v>
      </c>
      <c r="Q112" s="292">
        <f t="shared" si="38"/>
        <v>0</v>
      </c>
      <c r="R112" s="279" t="s">
        <v>1070</v>
      </c>
      <c r="S112" s="279">
        <f ca="1">YEAR(NOW())-Q112</f>
        <v>2022</v>
      </c>
      <c r="T112" s="175"/>
      <c r="AE112" s="309" t="s">
        <v>1395</v>
      </c>
      <c r="AF112" s="272" t="s">
        <v>547</v>
      </c>
      <c r="AG112" s="231" t="str">
        <f ca="1">IF($AG$9="Quote","100%","")</f>
        <v/>
      </c>
      <c r="AH112" s="173">
        <v>106</v>
      </c>
      <c r="AI112" s="173" t="s">
        <v>816</v>
      </c>
      <c r="AJ112" s="209" t="str">
        <f t="shared" ca="1" si="33"/>
        <v/>
      </c>
      <c r="AL112" s="274" t="str">
        <f t="shared" si="34"/>
        <v/>
      </c>
    </row>
    <row r="113" spans="1:40" x14ac:dyDescent="0.25">
      <c r="A113" s="222">
        <v>47120</v>
      </c>
      <c r="B113" s="229" t="s">
        <v>817</v>
      </c>
      <c r="C113" s="231"/>
      <c r="E113" s="571" t="s">
        <v>491</v>
      </c>
      <c r="F113" s="576"/>
      <c r="O113" s="173" t="s">
        <v>1060</v>
      </c>
      <c r="Q113" s="292">
        <f t="shared" si="38"/>
        <v>0</v>
      </c>
      <c r="R113" s="279" t="s">
        <v>1075</v>
      </c>
      <c r="S113" s="279" t="str">
        <f ca="1">IF(AND(S112&lt;=50,Q113&gt;=$Q$114),"Yes","No")</f>
        <v>No</v>
      </c>
      <c r="T113" s="275" t="s">
        <v>1381</v>
      </c>
      <c r="AE113" s="309" t="s">
        <v>1397</v>
      </c>
      <c r="AF113" s="272" t="s">
        <v>1310</v>
      </c>
      <c r="AG113" s="231" t="str">
        <f ca="1">IF($AG$9="Quote",Calculator!$H$16,"")</f>
        <v/>
      </c>
      <c r="AH113" s="173">
        <v>107</v>
      </c>
      <c r="AI113" s="173" t="s">
        <v>416</v>
      </c>
      <c r="AJ113" s="209" t="str">
        <f t="shared" ca="1" si="33"/>
        <v/>
      </c>
      <c r="AL113" s="274" t="str">
        <f t="shared" si="34"/>
        <v>General aggregate of liability</v>
      </c>
    </row>
    <row r="114" spans="1:40" x14ac:dyDescent="0.25">
      <c r="A114" s="222">
        <v>47150</v>
      </c>
      <c r="B114" s="229" t="s">
        <v>818</v>
      </c>
      <c r="C114" s="231"/>
      <c r="E114" s="571" t="s">
        <v>497</v>
      </c>
      <c r="F114" s="576"/>
      <c r="O114" s="173" t="s">
        <v>1078</v>
      </c>
      <c r="Q114" s="278">
        <v>0.8</v>
      </c>
      <c r="R114" s="175"/>
      <c r="T114" s="175"/>
      <c r="AE114" s="272" t="s">
        <v>1333</v>
      </c>
      <c r="AF114" s="272" t="s">
        <v>1333</v>
      </c>
      <c r="AG114" s="383" t="str">
        <f ca="1">IF($AG$9="Quote",TODAY()+90,"")</f>
        <v/>
      </c>
      <c r="AH114" s="173">
        <v>108</v>
      </c>
      <c r="AI114" s="173" t="s">
        <v>1307</v>
      </c>
      <c r="AJ114" s="209" t="str">
        <f t="shared" ca="1" si="33"/>
        <v/>
      </c>
      <c r="AL114" s="274" t="str">
        <f t="shared" si="34"/>
        <v/>
      </c>
    </row>
    <row r="115" spans="1:40" x14ac:dyDescent="0.25">
      <c r="A115" s="222">
        <v>47180</v>
      </c>
      <c r="B115" s="229" t="s">
        <v>819</v>
      </c>
      <c r="C115" s="231"/>
      <c r="E115" s="571" t="s">
        <v>501</v>
      </c>
      <c r="F115" s="576"/>
      <c r="R115" s="175" t="s">
        <v>1071</v>
      </c>
      <c r="S115" s="279" t="str">
        <f ca="1">IF(AND(S107="Yes",S109="Yes",S111="Yes",S113="Yes"),"Yes","No")</f>
        <v>No</v>
      </c>
      <c r="T115" s="175"/>
      <c r="AE115" s="211" t="s">
        <v>1421</v>
      </c>
      <c r="AF115" s="210" t="s">
        <v>1331</v>
      </c>
      <c r="AG115" s="397" t="str">
        <f ca="1">IF($AG$9="Quote",20%,"")</f>
        <v/>
      </c>
      <c r="AH115" s="173">
        <v>109</v>
      </c>
      <c r="AI115" s="173" t="s">
        <v>820</v>
      </c>
      <c r="AJ115" s="209" t="str">
        <f t="shared" ca="1" si="33"/>
        <v/>
      </c>
      <c r="AL115" s="274" t="str">
        <f t="shared" si="34"/>
        <v/>
      </c>
    </row>
    <row r="116" spans="1:40" x14ac:dyDescent="0.25">
      <c r="A116" s="22" t="s">
        <v>821</v>
      </c>
      <c r="B116" s="229" t="s">
        <v>636</v>
      </c>
      <c r="C116" s="231"/>
      <c r="E116" s="571" t="s">
        <v>506</v>
      </c>
      <c r="F116" s="574"/>
      <c r="R116" s="175"/>
      <c r="T116" s="175"/>
      <c r="AE116" s="211"/>
      <c r="AF116" s="210"/>
      <c r="AG116" s="231"/>
      <c r="AH116" s="173">
        <v>110</v>
      </c>
      <c r="AI116" s="173" t="s">
        <v>822</v>
      </c>
      <c r="AJ116" s="209" t="str">
        <f t="shared" ca="1" si="33"/>
        <v/>
      </c>
      <c r="AL116" s="274" t="str">
        <f t="shared" si="34"/>
        <v/>
      </c>
    </row>
    <row r="117" spans="1:40" x14ac:dyDescent="0.25">
      <c r="A117" s="22" t="s">
        <v>823</v>
      </c>
      <c r="B117" s="229" t="s">
        <v>572</v>
      </c>
      <c r="C117" s="231"/>
      <c r="E117" s="571" t="s">
        <v>513</v>
      </c>
      <c r="F117" s="572"/>
      <c r="O117" s="238" t="s">
        <v>894</v>
      </c>
      <c r="R117" s="175"/>
      <c r="T117" s="175"/>
      <c r="AE117" s="211"/>
      <c r="AF117" s="210"/>
      <c r="AG117" s="231"/>
      <c r="AH117" s="173">
        <v>111</v>
      </c>
      <c r="AI117" s="173" t="s">
        <v>479</v>
      </c>
      <c r="AJ117" s="209" t="str">
        <f t="shared" ca="1" si="33"/>
        <v/>
      </c>
      <c r="AL117" s="274" t="str">
        <f t="shared" si="34"/>
        <v>Limited Pollution Liability</v>
      </c>
    </row>
    <row r="118" spans="1:40" x14ac:dyDescent="0.25">
      <c r="A118" s="22" t="s">
        <v>824</v>
      </c>
      <c r="B118" s="229" t="s">
        <v>825</v>
      </c>
      <c r="C118" s="231"/>
      <c r="E118" s="571" t="s">
        <v>519</v>
      </c>
      <c r="F118" s="576"/>
      <c r="O118" s="151" t="s">
        <v>655</v>
      </c>
      <c r="Q118" s="239" t="s">
        <v>656</v>
      </c>
      <c r="R118" s="240" t="s">
        <v>657</v>
      </c>
      <c r="S118" s="61"/>
      <c r="T118" s="240" t="s">
        <v>658</v>
      </c>
      <c r="U118" s="61" t="s">
        <v>737</v>
      </c>
      <c r="AE118" s="211"/>
      <c r="AF118" s="210"/>
      <c r="AG118" s="231"/>
      <c r="AH118" s="173">
        <v>112</v>
      </c>
      <c r="AI118" s="173" t="s">
        <v>434</v>
      </c>
      <c r="AJ118" s="209" t="str">
        <f t="shared" ca="1" si="33"/>
        <v/>
      </c>
      <c r="AL118" s="274" t="str">
        <f t="shared" si="34"/>
        <v>Medical expense per person</v>
      </c>
    </row>
    <row r="119" spans="1:40" x14ac:dyDescent="0.25">
      <c r="A119" s="22" t="s">
        <v>827</v>
      </c>
      <c r="B119" s="229" t="s">
        <v>828</v>
      </c>
      <c r="C119" s="231"/>
      <c r="E119" s="571" t="s">
        <v>526</v>
      </c>
      <c r="F119" s="576"/>
      <c r="O119" s="173" t="s">
        <v>897</v>
      </c>
      <c r="Q119" s="248">
        <f>$C$118</f>
        <v>0</v>
      </c>
      <c r="R119" s="175" t="s">
        <v>898</v>
      </c>
      <c r="T119" s="209" t="s">
        <v>936</v>
      </c>
      <c r="U119" s="258">
        <f>VLOOKUP(Q119,$R$119:$T$122,3,FALSE)</f>
        <v>0</v>
      </c>
      <c r="AE119" s="211"/>
      <c r="AF119" s="210"/>
      <c r="AG119" s="231"/>
      <c r="AH119" s="173">
        <v>113</v>
      </c>
      <c r="AI119" s="173" t="s">
        <v>1308</v>
      </c>
      <c r="AJ119" s="209" t="str">
        <f t="shared" ca="1" si="33"/>
        <v/>
      </c>
      <c r="AL119" s="274" t="str">
        <f t="shared" si="34"/>
        <v>Non-Owned Auto - SEF 94 - Damage to hired autos</v>
      </c>
    </row>
    <row r="120" spans="1:40" x14ac:dyDescent="0.25">
      <c r="A120" s="222">
        <v>1000190</v>
      </c>
      <c r="B120" s="229" t="s">
        <v>829</v>
      </c>
      <c r="C120" s="231"/>
      <c r="E120" s="571" t="s">
        <v>530</v>
      </c>
      <c r="F120" s="576"/>
      <c r="O120" s="272"/>
      <c r="P120" s="272"/>
      <c r="Q120" s="366"/>
      <c r="R120" s="175" t="s">
        <v>900</v>
      </c>
      <c r="T120" s="209" t="s">
        <v>936</v>
      </c>
      <c r="U120" s="175"/>
      <c r="AE120" s="211"/>
      <c r="AF120" s="210"/>
      <c r="AG120" s="231"/>
      <c r="AH120" s="173">
        <v>114</v>
      </c>
      <c r="AI120" s="173" t="s">
        <v>1309</v>
      </c>
      <c r="AJ120" s="209" t="str">
        <f t="shared" ca="1" si="33"/>
        <v/>
      </c>
      <c r="AL120" s="274" t="str">
        <f t="shared" si="34"/>
        <v>Non-Owned Auto - SPF 6</v>
      </c>
    </row>
    <row r="121" spans="1:40" x14ac:dyDescent="0.25">
      <c r="A121" s="222" t="s">
        <v>831</v>
      </c>
      <c r="B121" s="229" t="s">
        <v>832</v>
      </c>
      <c r="C121" s="231"/>
      <c r="E121" s="571" t="s">
        <v>535</v>
      </c>
      <c r="F121" s="576"/>
      <c r="R121" s="175" t="s">
        <v>922</v>
      </c>
      <c r="T121" s="175">
        <v>0</v>
      </c>
      <c r="AE121" s="211"/>
      <c r="AF121" s="210"/>
      <c r="AG121" s="231"/>
      <c r="AH121" s="173">
        <v>115</v>
      </c>
      <c r="AI121" s="173" t="s">
        <v>460</v>
      </c>
      <c r="AJ121" s="209" t="str">
        <f t="shared" ca="1" si="33"/>
        <v/>
      </c>
      <c r="AL121" s="274" t="str">
        <f t="shared" si="34"/>
        <v>Non-Owned Auto - OEF 98B</v>
      </c>
    </row>
    <row r="122" spans="1:40" x14ac:dyDescent="0.25">
      <c r="A122" s="22" t="s">
        <v>833</v>
      </c>
      <c r="B122" s="229" t="s">
        <v>567</v>
      </c>
      <c r="C122" s="344"/>
      <c r="E122" s="571" t="s">
        <v>542</v>
      </c>
      <c r="F122" s="576"/>
      <c r="Q122" s="259"/>
      <c r="R122" s="175">
        <v>0</v>
      </c>
      <c r="T122" s="175">
        <v>0</v>
      </c>
      <c r="AE122" s="211"/>
      <c r="AF122" s="210"/>
      <c r="AG122" s="373"/>
      <c r="AH122" s="173">
        <v>116</v>
      </c>
      <c r="AI122" s="173" t="s">
        <v>834</v>
      </c>
      <c r="AJ122" s="209" t="str">
        <f t="shared" ca="1" si="33"/>
        <v/>
      </c>
      <c r="AL122" s="274" t="str">
        <f t="shared" si="34"/>
        <v>Non-Owned Auto - SEF 96 - Contractual liability</v>
      </c>
    </row>
    <row r="123" spans="1:40" x14ac:dyDescent="0.25">
      <c r="A123" s="22" t="s">
        <v>835</v>
      </c>
      <c r="B123" s="229" t="s">
        <v>836</v>
      </c>
      <c r="C123" s="214"/>
      <c r="E123" s="571" t="s">
        <v>546</v>
      </c>
      <c r="F123" s="574"/>
      <c r="Q123" s="259"/>
      <c r="R123" s="175"/>
      <c r="T123" s="175"/>
      <c r="AE123" s="252"/>
      <c r="AF123" s="253"/>
      <c r="AG123" s="254"/>
      <c r="AH123" s="173">
        <v>117</v>
      </c>
      <c r="AI123" s="173" t="s">
        <v>453</v>
      </c>
      <c r="AJ123" s="209" t="str">
        <f t="shared" ca="1" si="33"/>
        <v/>
      </c>
      <c r="AL123" s="274" t="str">
        <f t="shared" si="34"/>
        <v>Non-Owned Auto - SEF 99 - Excluding long term leased vehicles</v>
      </c>
    </row>
    <row r="124" spans="1:40" x14ac:dyDescent="0.25">
      <c r="A124" s="22" t="s">
        <v>838</v>
      </c>
      <c r="B124" s="229" t="s">
        <v>839</v>
      </c>
      <c r="C124" s="214"/>
      <c r="E124" s="571" t="s">
        <v>550</v>
      </c>
      <c r="F124" s="572"/>
      <c r="R124" s="175"/>
      <c r="T124" s="175"/>
      <c r="AE124" s="211"/>
      <c r="AF124" s="210"/>
      <c r="AG124" s="246"/>
      <c r="AH124" s="173">
        <v>118</v>
      </c>
      <c r="AI124" s="173" t="s">
        <v>840</v>
      </c>
      <c r="AJ124" s="209" t="str">
        <f t="shared" ca="1" si="33"/>
        <v/>
      </c>
      <c r="AL124" s="274" t="str">
        <f t="shared" si="34"/>
        <v>Pandemic exclusion</v>
      </c>
    </row>
    <row r="125" spans="1:40" x14ac:dyDescent="0.25">
      <c r="A125" s="22" t="s">
        <v>841</v>
      </c>
      <c r="B125" s="229" t="s">
        <v>842</v>
      </c>
      <c r="C125" s="214"/>
      <c r="E125" s="571" t="s">
        <v>553</v>
      </c>
      <c r="F125" s="576"/>
      <c r="O125" s="238" t="s">
        <v>919</v>
      </c>
      <c r="R125" s="175"/>
      <c r="T125" s="175"/>
      <c r="AE125" s="211"/>
      <c r="AF125" s="210"/>
      <c r="AG125" s="246"/>
      <c r="AH125" s="173">
        <v>119</v>
      </c>
      <c r="AI125" s="173" t="s">
        <v>429</v>
      </c>
      <c r="AJ125" s="209" t="str">
        <f t="shared" ca="1" si="33"/>
        <v/>
      </c>
      <c r="AL125" s="274" t="str">
        <f t="shared" si="34"/>
        <v>Personal &amp; Advertising injury</v>
      </c>
    </row>
    <row r="126" spans="1:40" x14ac:dyDescent="0.25">
      <c r="A126" s="22" t="s">
        <v>844</v>
      </c>
      <c r="B126" s="229" t="s">
        <v>845</v>
      </c>
      <c r="C126" s="345"/>
      <c r="E126" s="571" t="s">
        <v>557</v>
      </c>
      <c r="F126" s="576"/>
      <c r="O126" s="151" t="s">
        <v>655</v>
      </c>
      <c r="Q126" s="239" t="s">
        <v>656</v>
      </c>
      <c r="R126" s="240" t="s">
        <v>657</v>
      </c>
      <c r="S126" s="61"/>
      <c r="T126" s="240" t="s">
        <v>658</v>
      </c>
      <c r="U126" s="61" t="s">
        <v>737</v>
      </c>
      <c r="AE126" s="211"/>
      <c r="AF126" s="210"/>
      <c r="AG126" s="373"/>
      <c r="AH126" s="173">
        <v>120</v>
      </c>
      <c r="AI126" s="272" t="s">
        <v>1310</v>
      </c>
      <c r="AJ126" s="209" t="str">
        <f t="shared" ca="1" si="33"/>
        <v/>
      </c>
      <c r="AL126" s="274" t="str">
        <f t="shared" si="34"/>
        <v>General Liability Deductible</v>
      </c>
      <c r="AN126" s="272"/>
    </row>
    <row r="127" spans="1:40" x14ac:dyDescent="0.25">
      <c r="A127" s="22" t="s">
        <v>846</v>
      </c>
      <c r="B127" s="229" t="s">
        <v>847</v>
      </c>
      <c r="C127" s="214"/>
      <c r="E127" s="571" t="s">
        <v>561</v>
      </c>
      <c r="F127" s="576"/>
      <c r="O127" s="173" t="s">
        <v>362</v>
      </c>
      <c r="Q127" s="249">
        <f>C99</f>
        <v>0</v>
      </c>
      <c r="R127" s="175" t="s">
        <v>922</v>
      </c>
      <c r="T127" s="175">
        <v>0</v>
      </c>
      <c r="U127" s="261">
        <f>VLOOKUP($Q$134,$R$127:$T$135,3,FALSE)</f>
        <v>0</v>
      </c>
      <c r="AE127" s="211"/>
      <c r="AF127" s="210"/>
      <c r="AG127" s="373"/>
      <c r="AH127" s="173">
        <v>121</v>
      </c>
      <c r="AI127" s="173" t="s">
        <v>1311</v>
      </c>
      <c r="AJ127" s="209" t="str">
        <f t="shared" ca="1" si="33"/>
        <v/>
      </c>
      <c r="AL127" s="274" t="str">
        <f t="shared" si="34"/>
        <v/>
      </c>
    </row>
    <row r="128" spans="1:40" x14ac:dyDescent="0.25">
      <c r="A128" s="22" t="s">
        <v>848</v>
      </c>
      <c r="B128" s="251" t="s">
        <v>849</v>
      </c>
      <c r="C128" s="214"/>
      <c r="E128" s="571" t="s">
        <v>566</v>
      </c>
      <c r="F128" s="576"/>
      <c r="O128" s="173" t="s">
        <v>924</v>
      </c>
      <c r="Q128" s="249">
        <f>C100</f>
        <v>0</v>
      </c>
      <c r="R128" s="175">
        <v>0</v>
      </c>
      <c r="S128" s="262"/>
      <c r="T128" s="175">
        <v>0</v>
      </c>
      <c r="AE128" s="211"/>
      <c r="AF128" s="210"/>
      <c r="AG128" s="373"/>
      <c r="AH128" s="173">
        <v>122</v>
      </c>
      <c r="AI128" s="173" t="s">
        <v>851</v>
      </c>
      <c r="AJ128" s="209" t="str">
        <f t="shared" ca="1" si="33"/>
        <v/>
      </c>
      <c r="AL128" s="274" t="str">
        <f t="shared" si="34"/>
        <v/>
      </c>
    </row>
    <row r="129" spans="1:38" x14ac:dyDescent="0.25">
      <c r="A129" s="22" t="s">
        <v>853</v>
      </c>
      <c r="B129" s="173" t="s">
        <v>854</v>
      </c>
      <c r="E129" s="571" t="s">
        <v>569</v>
      </c>
      <c r="F129" s="576"/>
      <c r="O129" s="173" t="s">
        <v>926</v>
      </c>
      <c r="Q129" s="173">
        <f>IF(Q127="Other",Q128,Q127)</f>
        <v>0</v>
      </c>
      <c r="R129" s="175">
        <v>1000000</v>
      </c>
      <c r="S129" s="262"/>
      <c r="T129" s="175">
        <v>1000000</v>
      </c>
      <c r="AE129" s="211"/>
      <c r="AF129" s="210"/>
      <c r="AG129" s="373"/>
      <c r="AH129" s="173">
        <v>123</v>
      </c>
      <c r="AI129" s="173" t="s">
        <v>441</v>
      </c>
      <c r="AJ129" s="209" t="str">
        <f t="shared" ca="1" si="33"/>
        <v/>
      </c>
      <c r="AL129" s="274" t="str">
        <f t="shared" si="34"/>
        <v>Tenant's legal liability</v>
      </c>
    </row>
    <row r="130" spans="1:38" x14ac:dyDescent="0.25">
      <c r="A130" s="22" t="s">
        <v>856</v>
      </c>
      <c r="B130" s="173" t="s">
        <v>857</v>
      </c>
      <c r="E130" s="571" t="s">
        <v>574</v>
      </c>
      <c r="F130" s="574"/>
      <c r="Q130" s="250"/>
      <c r="R130" s="175">
        <v>2000000</v>
      </c>
      <c r="S130" s="262"/>
      <c r="T130" s="175">
        <v>2000000</v>
      </c>
      <c r="AE130" s="211"/>
      <c r="AF130" s="210"/>
      <c r="AG130" s="373"/>
      <c r="AH130" s="173">
        <v>124</v>
      </c>
      <c r="AI130" s="173" t="s">
        <v>852</v>
      </c>
      <c r="AJ130" s="209" t="str">
        <f t="shared" ca="1" si="33"/>
        <v/>
      </c>
      <c r="AL130" s="274" t="str">
        <f t="shared" si="34"/>
        <v/>
      </c>
    </row>
    <row r="131" spans="1:38" x14ac:dyDescent="0.25">
      <c r="A131" s="22" t="s">
        <v>859</v>
      </c>
      <c r="B131" s="173" t="s">
        <v>860</v>
      </c>
      <c r="E131" s="571" t="s">
        <v>578</v>
      </c>
      <c r="F131" s="572"/>
      <c r="O131" s="173" t="s">
        <v>903</v>
      </c>
      <c r="Q131" s="260">
        <f>IF(Q129&gt;R133,R133,IFERROR(VLOOKUP(Q129,R127:R135,1,FALSE),"No match"))</f>
        <v>0</v>
      </c>
      <c r="R131" s="175">
        <v>3000000</v>
      </c>
      <c r="S131" s="262"/>
      <c r="T131" s="175">
        <v>3000000</v>
      </c>
      <c r="AE131" s="211"/>
      <c r="AF131" s="210"/>
      <c r="AG131" s="373"/>
      <c r="AH131" s="173">
        <v>125</v>
      </c>
      <c r="AI131" s="173" t="s">
        <v>473</v>
      </c>
      <c r="AJ131" s="209" t="str">
        <f t="shared" ca="1" si="33"/>
        <v/>
      </c>
      <c r="AL131" s="274" t="str">
        <f t="shared" si="34"/>
        <v/>
      </c>
    </row>
    <row r="132" spans="1:38" x14ac:dyDescent="0.25">
      <c r="A132" s="22" t="s">
        <v>862</v>
      </c>
      <c r="B132" s="173" t="s">
        <v>863</v>
      </c>
      <c r="E132" s="571" t="s">
        <v>581</v>
      </c>
      <c r="F132" s="576"/>
      <c r="O132" s="173" t="s">
        <v>904</v>
      </c>
      <c r="Q132" s="259">
        <f>MATCH(VLOOKUP(Q129,R127:R135,1,TRUE),R127:R135,0)</f>
        <v>2</v>
      </c>
      <c r="R132" s="175">
        <v>4000000</v>
      </c>
      <c r="S132" s="262"/>
      <c r="T132" s="175">
        <v>4000000</v>
      </c>
      <c r="AE132" s="211"/>
      <c r="AF132" s="210"/>
      <c r="AG132" s="373"/>
      <c r="AH132" s="173">
        <v>126</v>
      </c>
      <c r="AI132" s="173" t="s">
        <v>698</v>
      </c>
      <c r="AJ132" s="209" t="str">
        <f t="shared" ca="1" si="33"/>
        <v/>
      </c>
      <c r="AL132" s="274" t="str">
        <f t="shared" si="34"/>
        <v>Extra expense</v>
      </c>
    </row>
    <row r="133" spans="1:38" x14ac:dyDescent="0.25">
      <c r="A133" s="22" t="s">
        <v>867</v>
      </c>
      <c r="B133" s="173" t="s">
        <v>868</v>
      </c>
      <c r="E133" s="571" t="s">
        <v>583</v>
      </c>
      <c r="F133" s="576"/>
      <c r="O133" s="173" t="s">
        <v>906</v>
      </c>
      <c r="Q133" s="259" cm="1">
        <f t="array" ref="Q133">INDEX(R127:R135,Q132+1)</f>
        <v>1000000</v>
      </c>
      <c r="R133" s="175">
        <v>5000000</v>
      </c>
      <c r="S133" s="262"/>
      <c r="T133" s="175">
        <v>5000000</v>
      </c>
      <c r="AE133" s="211"/>
      <c r="AF133" s="210"/>
      <c r="AG133" s="373"/>
      <c r="AH133" s="173">
        <v>127</v>
      </c>
      <c r="AI133" s="173" t="s">
        <v>709</v>
      </c>
      <c r="AJ133" s="209" t="str">
        <f t="shared" ca="1" si="33"/>
        <v/>
      </c>
      <c r="AL133" s="274" t="str">
        <f t="shared" si="34"/>
        <v>Contingent loss of income</v>
      </c>
    </row>
    <row r="134" spans="1:38" x14ac:dyDescent="0.25">
      <c r="A134" s="275" t="s">
        <v>1049</v>
      </c>
      <c r="B134" s="274" t="s">
        <v>1045</v>
      </c>
      <c r="E134" s="571" t="s">
        <v>587</v>
      </c>
      <c r="F134" s="576"/>
      <c r="O134" s="173" t="s">
        <v>908</v>
      </c>
      <c r="Q134" s="259">
        <f>IF(Q131="No match",Q133,Q131)</f>
        <v>0</v>
      </c>
      <c r="R134" s="175" t="s">
        <v>931</v>
      </c>
      <c r="T134" s="175">
        <v>2000000</v>
      </c>
      <c r="AE134" s="211"/>
      <c r="AF134" s="210"/>
      <c r="AG134" s="373"/>
      <c r="AH134" s="173">
        <v>128</v>
      </c>
      <c r="AI134" s="173" t="s">
        <v>571</v>
      </c>
      <c r="AJ134" s="209" t="str">
        <f t="shared" ca="1" si="33"/>
        <v/>
      </c>
      <c r="AL134" s="274" t="str">
        <f t="shared" si="34"/>
        <v/>
      </c>
    </row>
    <row r="135" spans="1:38" x14ac:dyDescent="0.25">
      <c r="A135" s="275" t="s">
        <v>1050</v>
      </c>
      <c r="B135" s="274" t="s">
        <v>1046</v>
      </c>
      <c r="E135" s="571" t="s">
        <v>592</v>
      </c>
      <c r="F135" s="576"/>
      <c r="R135" s="175" t="s">
        <v>932</v>
      </c>
      <c r="T135" s="175">
        <v>0</v>
      </c>
      <c r="AE135" s="211"/>
      <c r="AF135" s="210"/>
      <c r="AG135" s="373"/>
      <c r="AH135" s="173">
        <v>129</v>
      </c>
      <c r="AI135" s="173" t="s">
        <v>575</v>
      </c>
      <c r="AJ135" s="209" t="str">
        <f t="shared" ca="1" si="33"/>
        <v/>
      </c>
      <c r="AL135" s="274" t="str">
        <f t="shared" si="34"/>
        <v/>
      </c>
    </row>
    <row r="136" spans="1:38" x14ac:dyDescent="0.25">
      <c r="A136" s="275" t="s">
        <v>1051</v>
      </c>
      <c r="B136" s="274" t="s">
        <v>1047</v>
      </c>
      <c r="E136" s="571" t="s">
        <v>600</v>
      </c>
      <c r="F136" s="576"/>
      <c r="R136" s="175"/>
      <c r="T136" s="175"/>
      <c r="AE136" s="211"/>
      <c r="AF136" s="210"/>
      <c r="AG136" s="373"/>
      <c r="AH136" s="173">
        <v>130</v>
      </c>
      <c r="AI136" s="173" t="s">
        <v>866</v>
      </c>
      <c r="AJ136" s="209" t="str">
        <f t="shared" ca="1" si="33"/>
        <v/>
      </c>
      <c r="AL136" s="274" t="str">
        <f t="shared" si="34"/>
        <v>Loss of earnings</v>
      </c>
    </row>
    <row r="137" spans="1:38" x14ac:dyDescent="0.25">
      <c r="A137" s="275" t="s">
        <v>1052</v>
      </c>
      <c r="B137" s="274" t="s">
        <v>1048</v>
      </c>
      <c r="E137" s="571" t="s">
        <v>607</v>
      </c>
      <c r="F137" s="574"/>
      <c r="R137" s="175"/>
      <c r="T137" s="175"/>
      <c r="AE137" s="211"/>
      <c r="AF137" s="210"/>
      <c r="AG137" s="373"/>
      <c r="AH137" s="173">
        <v>131</v>
      </c>
      <c r="AI137" s="173" t="s">
        <v>579</v>
      </c>
      <c r="AJ137" s="209" t="str">
        <f t="shared" ca="1" si="33"/>
        <v/>
      </c>
      <c r="AL137" s="274" t="str">
        <f t="shared" si="34"/>
        <v/>
      </c>
    </row>
    <row r="138" spans="1:38" x14ac:dyDescent="0.25">
      <c r="A138" s="275" t="s">
        <v>1054</v>
      </c>
      <c r="B138" s="274" t="s">
        <v>1055</v>
      </c>
      <c r="E138" s="571" t="s">
        <v>614</v>
      </c>
      <c r="F138" s="572"/>
      <c r="O138" s="238" t="s">
        <v>934</v>
      </c>
      <c r="R138" s="175"/>
      <c r="T138" s="175"/>
      <c r="AE138" s="211"/>
      <c r="AF138" s="210"/>
      <c r="AG138" s="373"/>
      <c r="AH138" s="173">
        <v>132</v>
      </c>
      <c r="AI138" s="173" t="s">
        <v>167</v>
      </c>
      <c r="AJ138" s="209" t="str">
        <f t="shared" ca="1" si="33"/>
        <v/>
      </c>
      <c r="AL138" s="274" t="str">
        <f t="shared" si="34"/>
        <v>Actual Loss Sustained</v>
      </c>
    </row>
    <row r="139" spans="1:38" x14ac:dyDescent="0.25">
      <c r="A139" s="275" t="s">
        <v>1053</v>
      </c>
      <c r="B139" s="274" t="s">
        <v>1056</v>
      </c>
      <c r="E139" s="571" t="s">
        <v>620</v>
      </c>
      <c r="F139" s="576"/>
      <c r="O139" s="151" t="s">
        <v>655</v>
      </c>
      <c r="Q139" s="239" t="s">
        <v>656</v>
      </c>
      <c r="R139" s="240" t="s">
        <v>657</v>
      </c>
      <c r="S139" s="61"/>
      <c r="T139" s="240" t="s">
        <v>658</v>
      </c>
      <c r="U139" s="61" t="s">
        <v>737</v>
      </c>
      <c r="AE139" s="211"/>
      <c r="AF139" s="210"/>
      <c r="AG139" s="373"/>
      <c r="AH139" s="173">
        <v>133</v>
      </c>
      <c r="AI139" s="173" t="s">
        <v>875</v>
      </c>
      <c r="AJ139" s="209" t="str">
        <f t="shared" ca="1" si="33"/>
        <v/>
      </c>
      <c r="AL139" s="274" t="str">
        <f t="shared" si="34"/>
        <v/>
      </c>
    </row>
    <row r="140" spans="1:38" x14ac:dyDescent="0.25">
      <c r="A140" s="275" t="s">
        <v>1057</v>
      </c>
      <c r="B140" s="274" t="s">
        <v>1059</v>
      </c>
      <c r="E140" s="571" t="s">
        <v>624</v>
      </c>
      <c r="F140" s="576"/>
      <c r="O140" s="173" t="s">
        <v>935</v>
      </c>
      <c r="Q140" s="249">
        <f>IF($C$151="Other",VALUE($C$152),$C$151)</f>
        <v>0</v>
      </c>
      <c r="R140" s="175" t="s">
        <v>922</v>
      </c>
      <c r="T140" s="209">
        <v>0</v>
      </c>
      <c r="U140" s="243">
        <f>IFERROR(VLOOKUP($Q$145,$R$140:$T$152,3,FALSE),0)</f>
        <v>0</v>
      </c>
      <c r="V140" s="173" t="s">
        <v>1292</v>
      </c>
      <c r="AE140" s="211"/>
      <c r="AF140" s="210"/>
      <c r="AG140" s="373"/>
      <c r="AH140" s="173">
        <v>134</v>
      </c>
      <c r="AI140" s="173" t="s">
        <v>878</v>
      </c>
      <c r="AJ140" s="209" t="str">
        <f t="shared" ca="1" si="33"/>
        <v/>
      </c>
      <c r="AL140" s="274" t="str">
        <f t="shared" si="34"/>
        <v/>
      </c>
    </row>
    <row r="141" spans="1:38" x14ac:dyDescent="0.25">
      <c r="A141" s="275" t="s">
        <v>1058</v>
      </c>
      <c r="B141" s="274" t="s">
        <v>1060</v>
      </c>
      <c r="E141" s="571" t="s">
        <v>631</v>
      </c>
      <c r="F141" s="576"/>
      <c r="Q141" s="250"/>
      <c r="R141" s="175">
        <v>0</v>
      </c>
      <c r="S141" s="175"/>
      <c r="T141" s="175">
        <v>0</v>
      </c>
      <c r="U141" s="243">
        <f t="shared" ref="U141" si="39">IFERROR(VLOOKUP($Q$145,$R$140:$T$152,3,FALSE),0)</f>
        <v>0</v>
      </c>
      <c r="V141" s="173" t="s">
        <v>1293</v>
      </c>
      <c r="AE141" s="211"/>
      <c r="AF141" s="210"/>
      <c r="AG141" s="373"/>
      <c r="AH141" s="173">
        <v>135</v>
      </c>
      <c r="AI141" s="173" t="s">
        <v>617</v>
      </c>
      <c r="AJ141" s="209" t="str">
        <f t="shared" ref="AJ141:AJ204" ca="1" si="40">IFERROR(IF($AJ$7&lt;&gt;"Quote","",IF(VLOOKUP(AI141,$AF$7:$AG$237,2,FALSE)=0,"-",VLOOKUP(AI141,$AF$7:$AG$237,2,FALSE))),"-")</f>
        <v/>
      </c>
      <c r="AL141" s="274" t="str">
        <f t="shared" ref="AL141:AL204" si="41">IFERROR(VLOOKUP(AI141,$AF$7:$AF$203,1,FALSE),"")</f>
        <v>Depositors forgery</v>
      </c>
    </row>
    <row r="142" spans="1:38" x14ac:dyDescent="0.25">
      <c r="A142" s="22" t="s">
        <v>869</v>
      </c>
      <c r="B142" s="173" t="s">
        <v>870</v>
      </c>
      <c r="E142" s="571" t="s">
        <v>635</v>
      </c>
      <c r="F142" s="576"/>
      <c r="O142" s="173" t="s">
        <v>903</v>
      </c>
      <c r="Q142" s="260">
        <f>IF(Q140&gt;R151,R151,IFERROR(VLOOKUP(Q140,R140:R152,1,FALSE),"No match"))</f>
        <v>0</v>
      </c>
      <c r="R142" s="175" t="s">
        <v>936</v>
      </c>
      <c r="T142" s="209">
        <v>25000</v>
      </c>
      <c r="U142" s="243">
        <f>IFERROR(VLOOKUP($Q$145,$R$140:$T$152,3,FALSE),0)</f>
        <v>0</v>
      </c>
      <c r="V142" s="173" t="s">
        <v>1294</v>
      </c>
      <c r="AE142" s="211"/>
      <c r="AF142" s="210"/>
      <c r="AG142" s="373"/>
      <c r="AH142" s="173">
        <v>136</v>
      </c>
      <c r="AI142" s="173" t="s">
        <v>604</v>
      </c>
      <c r="AJ142" s="209" t="str">
        <f t="shared" ca="1" si="40"/>
        <v/>
      </c>
      <c r="AL142" s="274" t="str">
        <f t="shared" si="41"/>
        <v>Employee dishonesty</v>
      </c>
    </row>
    <row r="143" spans="1:38" x14ac:dyDescent="0.25">
      <c r="A143" s="22" t="s">
        <v>872</v>
      </c>
      <c r="B143" s="173" t="s">
        <v>873</v>
      </c>
      <c r="E143" s="571" t="s">
        <v>638</v>
      </c>
      <c r="F143" s="576"/>
      <c r="O143" s="173" t="s">
        <v>904</v>
      </c>
      <c r="Q143" s="259">
        <f>MATCH(VLOOKUP(Q140,R140:R152,1,TRUE),R140:R152,0)</f>
        <v>2</v>
      </c>
      <c r="R143" s="209">
        <v>1</v>
      </c>
      <c r="T143" s="209">
        <v>25000</v>
      </c>
      <c r="AE143" s="211"/>
      <c r="AF143" s="210"/>
      <c r="AG143" s="373"/>
      <c r="AH143" s="173">
        <v>137</v>
      </c>
      <c r="AI143" s="173" t="s">
        <v>628</v>
      </c>
      <c r="AJ143" s="209" t="str">
        <f t="shared" ca="1" si="40"/>
        <v/>
      </c>
      <c r="AL143" s="274" t="str">
        <f t="shared" si="41"/>
        <v/>
      </c>
    </row>
    <row r="144" spans="1:38" x14ac:dyDescent="0.25">
      <c r="A144" s="22" t="s">
        <v>876</v>
      </c>
      <c r="B144" s="173" t="s">
        <v>877</v>
      </c>
      <c r="E144" s="571" t="s">
        <v>641</v>
      </c>
      <c r="F144" s="574"/>
      <c r="O144" s="173" t="s">
        <v>906</v>
      </c>
      <c r="Q144" s="259" t="str" cm="1">
        <f t="array" ref="Q144">INDEX(R140:R152,Q143+1)</f>
        <v>Include</v>
      </c>
      <c r="R144" s="209">
        <v>25000</v>
      </c>
      <c r="T144" s="209">
        <v>25000</v>
      </c>
      <c r="AE144" s="211"/>
      <c r="AF144" s="210"/>
      <c r="AG144" s="373"/>
      <c r="AH144" s="173">
        <v>138</v>
      </c>
      <c r="AI144" s="173" t="s">
        <v>882</v>
      </c>
      <c r="AJ144" s="209" t="str">
        <f t="shared" ca="1" si="40"/>
        <v/>
      </c>
      <c r="AL144" s="274" t="str">
        <f t="shared" si="41"/>
        <v/>
      </c>
    </row>
    <row r="145" spans="1:38" x14ac:dyDescent="0.25">
      <c r="A145" s="22" t="s">
        <v>879</v>
      </c>
      <c r="B145" s="173" t="s">
        <v>880</v>
      </c>
      <c r="E145" s="571" t="s">
        <v>645</v>
      </c>
      <c r="F145" s="572"/>
      <c r="O145" s="173" t="s">
        <v>908</v>
      </c>
      <c r="Q145" s="259">
        <f>IF(Q142="No match",Q144,Q142)</f>
        <v>0</v>
      </c>
      <c r="R145" s="209">
        <v>50000</v>
      </c>
      <c r="T145" s="209">
        <v>50000</v>
      </c>
      <c r="AE145" s="211"/>
      <c r="AF145" s="210"/>
      <c r="AG145" s="373"/>
      <c r="AH145" s="173">
        <v>139</v>
      </c>
      <c r="AI145" s="173" t="s">
        <v>885</v>
      </c>
      <c r="AJ145" s="209" t="str">
        <f t="shared" ca="1" si="40"/>
        <v/>
      </c>
      <c r="AL145" s="274" t="str">
        <f t="shared" si="41"/>
        <v/>
      </c>
    </row>
    <row r="146" spans="1:38" x14ac:dyDescent="0.25">
      <c r="A146" s="275" t="s">
        <v>1401</v>
      </c>
      <c r="B146" s="377" t="s">
        <v>1402</v>
      </c>
      <c r="E146" s="571" t="s">
        <v>648</v>
      </c>
      <c r="F146" s="576"/>
      <c r="R146" s="209">
        <v>100000</v>
      </c>
      <c r="T146" s="209">
        <v>100000</v>
      </c>
      <c r="AE146" s="211"/>
      <c r="AF146" s="210"/>
      <c r="AG146" s="373"/>
      <c r="AH146" s="173">
        <v>140</v>
      </c>
      <c r="AI146" s="173" t="s">
        <v>632</v>
      </c>
      <c r="AJ146" s="209" t="str">
        <f t="shared" ca="1" si="40"/>
        <v/>
      </c>
      <c r="AL146" s="274" t="str">
        <f t="shared" si="41"/>
        <v/>
      </c>
    </row>
    <row r="147" spans="1:38" x14ac:dyDescent="0.25">
      <c r="A147" s="275" t="s">
        <v>1403</v>
      </c>
      <c r="B147" s="377" t="s">
        <v>1404</v>
      </c>
      <c r="E147" s="571" t="s">
        <v>652</v>
      </c>
      <c r="F147" s="576"/>
      <c r="R147" s="209">
        <v>250000</v>
      </c>
      <c r="T147" s="209">
        <v>100000</v>
      </c>
      <c r="AE147" s="211"/>
      <c r="AF147" s="210"/>
      <c r="AG147" s="373"/>
      <c r="AH147" s="173">
        <v>141</v>
      </c>
      <c r="AI147" s="173" t="s">
        <v>886</v>
      </c>
      <c r="AJ147" s="209" t="str">
        <f t="shared" ca="1" si="40"/>
        <v/>
      </c>
      <c r="AL147" s="274" t="str">
        <f t="shared" si="41"/>
        <v/>
      </c>
    </row>
    <row r="148" spans="1:38" x14ac:dyDescent="0.25">
      <c r="A148" s="275">
        <v>1000170</v>
      </c>
      <c r="B148" s="274" t="s">
        <v>1282</v>
      </c>
      <c r="E148" s="571" t="s">
        <v>654</v>
      </c>
      <c r="F148" s="576"/>
      <c r="R148" s="209">
        <v>500000</v>
      </c>
      <c r="T148" s="209">
        <v>100000</v>
      </c>
      <c r="AE148" s="211"/>
      <c r="AF148" s="210"/>
      <c r="AG148" s="373"/>
      <c r="AH148" s="173">
        <v>142</v>
      </c>
      <c r="AI148" s="173" t="s">
        <v>584</v>
      </c>
      <c r="AJ148" s="209" t="str">
        <f t="shared" ca="1" si="40"/>
        <v/>
      </c>
      <c r="AL148" s="274" t="str">
        <f t="shared" si="41"/>
        <v>Loss inside the premises</v>
      </c>
    </row>
    <row r="149" spans="1:38" x14ac:dyDescent="0.25">
      <c r="A149" s="275">
        <v>1000210</v>
      </c>
      <c r="B149" s="274" t="s">
        <v>1284</v>
      </c>
      <c r="E149" s="571" t="s">
        <v>662</v>
      </c>
      <c r="F149" s="576"/>
      <c r="R149" s="209">
        <v>1000000</v>
      </c>
      <c r="T149" s="209">
        <v>100000</v>
      </c>
      <c r="AE149" s="211"/>
      <c r="AF149" s="210"/>
      <c r="AG149" s="373"/>
      <c r="AH149" s="173">
        <v>143</v>
      </c>
      <c r="AI149" s="173" t="s">
        <v>589</v>
      </c>
      <c r="AJ149" s="209" t="str">
        <f t="shared" ca="1" si="40"/>
        <v/>
      </c>
      <c r="AL149" s="274" t="str">
        <f t="shared" si="41"/>
        <v>Loss outside the premises</v>
      </c>
    </row>
    <row r="150" spans="1:38" x14ac:dyDescent="0.25">
      <c r="A150" s="275" t="s">
        <v>1283</v>
      </c>
      <c r="B150" s="274" t="s">
        <v>1285</v>
      </c>
      <c r="E150" s="571" t="s">
        <v>666</v>
      </c>
      <c r="F150" s="576"/>
      <c r="R150" s="209">
        <v>2000000</v>
      </c>
      <c r="T150" s="209">
        <v>100000</v>
      </c>
      <c r="AE150" s="211"/>
      <c r="AF150" s="210"/>
      <c r="AG150" s="373"/>
      <c r="AH150" s="173">
        <v>144</v>
      </c>
      <c r="AI150" s="173" t="s">
        <v>887</v>
      </c>
      <c r="AJ150" s="209" t="str">
        <f t="shared" ca="1" si="40"/>
        <v/>
      </c>
      <c r="AL150" s="274" t="str">
        <f t="shared" si="41"/>
        <v/>
      </c>
    </row>
    <row r="151" spans="1:38" x14ac:dyDescent="0.25">
      <c r="A151" s="222">
        <v>1000300</v>
      </c>
      <c r="B151" s="173" t="s">
        <v>881</v>
      </c>
      <c r="E151" s="571" t="s">
        <v>670</v>
      </c>
      <c r="F151" s="574"/>
      <c r="R151" s="209">
        <v>5000000</v>
      </c>
      <c r="T151" s="209">
        <v>100000</v>
      </c>
      <c r="AE151" s="211"/>
      <c r="AF151" s="210"/>
      <c r="AG151" s="373"/>
      <c r="AH151" s="173">
        <v>145</v>
      </c>
      <c r="AI151" s="173" t="s">
        <v>570</v>
      </c>
      <c r="AJ151" s="209" t="str">
        <f t="shared" ca="1" si="40"/>
        <v/>
      </c>
      <c r="AL151" s="274" t="str">
        <f t="shared" si="41"/>
        <v/>
      </c>
    </row>
    <row r="152" spans="1:38" x14ac:dyDescent="0.25">
      <c r="A152" s="222" t="s">
        <v>883</v>
      </c>
      <c r="B152" s="173" t="s">
        <v>884</v>
      </c>
      <c r="E152" s="571" t="s">
        <v>674</v>
      </c>
      <c r="F152" s="572"/>
      <c r="R152" s="175" t="s">
        <v>932</v>
      </c>
      <c r="T152" s="209">
        <v>0</v>
      </c>
      <c r="AE152" s="211"/>
      <c r="AF152" s="210"/>
      <c r="AG152" s="373"/>
      <c r="AH152" s="173">
        <v>146</v>
      </c>
      <c r="AI152" s="173" t="s">
        <v>611</v>
      </c>
      <c r="AJ152" s="209" t="str">
        <f t="shared" ca="1" si="40"/>
        <v/>
      </c>
      <c r="AL152" s="274" t="str">
        <f t="shared" si="41"/>
        <v>Money orders &amp; counterfeit currency</v>
      </c>
    </row>
    <row r="153" spans="1:38" x14ac:dyDescent="0.25">
      <c r="A153" s="222">
        <v>14395</v>
      </c>
      <c r="B153" s="274" t="s">
        <v>627</v>
      </c>
      <c r="E153" s="571" t="s">
        <v>677</v>
      </c>
      <c r="F153" s="576"/>
      <c r="R153" s="175"/>
      <c r="T153" s="209"/>
      <c r="AE153" s="211"/>
      <c r="AF153" s="210"/>
      <c r="AG153" s="373"/>
      <c r="AH153" s="173">
        <v>147</v>
      </c>
      <c r="AI153" s="173" t="s">
        <v>597</v>
      </c>
      <c r="AJ153" s="209" t="str">
        <f t="shared" ca="1" si="40"/>
        <v/>
      </c>
      <c r="AL153" s="274" t="str">
        <f t="shared" si="41"/>
        <v/>
      </c>
    </row>
    <row r="154" spans="1:38" x14ac:dyDescent="0.25">
      <c r="A154" s="22">
        <v>12714</v>
      </c>
      <c r="B154" s="274" t="s">
        <v>1080</v>
      </c>
      <c r="E154" s="571" t="s">
        <v>681</v>
      </c>
      <c r="F154" s="576"/>
      <c r="R154" s="175"/>
      <c r="T154" s="175"/>
      <c r="AE154" s="211"/>
      <c r="AF154" s="210"/>
      <c r="AG154" s="373"/>
      <c r="AH154" s="173">
        <v>148</v>
      </c>
      <c r="AI154" s="173" t="s">
        <v>621</v>
      </c>
      <c r="AJ154" s="209" t="str">
        <f t="shared" ca="1" si="40"/>
        <v/>
      </c>
      <c r="AL154" s="274" t="str">
        <f t="shared" si="41"/>
        <v>Third Party Bond</v>
      </c>
    </row>
    <row r="155" spans="1:38" x14ac:dyDescent="0.25">
      <c r="A155" s="275">
        <v>12712</v>
      </c>
      <c r="B155" s="274" t="s">
        <v>1081</v>
      </c>
      <c r="E155" s="571" t="s">
        <v>684</v>
      </c>
      <c r="F155" s="576"/>
      <c r="O155" s="238" t="s">
        <v>937</v>
      </c>
      <c r="R155" s="175"/>
      <c r="T155" s="175"/>
      <c r="AE155" s="211"/>
      <c r="AF155" s="210"/>
      <c r="AG155" s="373"/>
      <c r="AH155" s="173">
        <v>149</v>
      </c>
      <c r="AI155" s="173" t="s">
        <v>888</v>
      </c>
      <c r="AJ155" s="209" t="str">
        <f t="shared" ca="1" si="40"/>
        <v/>
      </c>
      <c r="AL155" s="274" t="str">
        <f t="shared" si="41"/>
        <v/>
      </c>
    </row>
    <row r="156" spans="1:38" x14ac:dyDescent="0.25">
      <c r="A156" s="275">
        <v>12705</v>
      </c>
      <c r="B156" s="274" t="s">
        <v>1082</v>
      </c>
      <c r="E156" s="571" t="s">
        <v>687</v>
      </c>
      <c r="F156" s="576"/>
      <c r="O156" s="151" t="s">
        <v>655</v>
      </c>
      <c r="Q156" s="239" t="s">
        <v>656</v>
      </c>
      <c r="R156" s="240" t="s">
        <v>657</v>
      </c>
      <c r="S156" s="61"/>
      <c r="T156" s="240" t="s">
        <v>658</v>
      </c>
      <c r="U156" s="61" t="s">
        <v>938</v>
      </c>
      <c r="AE156" s="211"/>
      <c r="AF156" s="210"/>
      <c r="AG156" s="373"/>
      <c r="AH156" s="173">
        <v>150</v>
      </c>
      <c r="AI156" s="173" t="s">
        <v>793</v>
      </c>
      <c r="AJ156" s="209" t="str">
        <f t="shared" ca="1" si="40"/>
        <v/>
      </c>
      <c r="AL156" s="274" t="str">
        <f t="shared" si="41"/>
        <v>Legal and regulatory costs</v>
      </c>
    </row>
    <row r="157" spans="1:38" x14ac:dyDescent="0.25">
      <c r="A157" s="275">
        <v>533</v>
      </c>
      <c r="B157" s="274" t="s">
        <v>1083</v>
      </c>
      <c r="E157" s="571" t="s">
        <v>690</v>
      </c>
      <c r="F157" s="576"/>
      <c r="O157" s="173" t="s">
        <v>939</v>
      </c>
      <c r="Q157" s="248">
        <f>C129</f>
        <v>0</v>
      </c>
      <c r="R157" s="173" t="s">
        <v>855</v>
      </c>
      <c r="T157" s="175" t="s">
        <v>466</v>
      </c>
      <c r="U157" s="175" t="str">
        <f>IFERROR(VLOOKUP(Q157,$R$157:$T$161,3,FALSE),"Decline")</f>
        <v>Decline</v>
      </c>
      <c r="AE157" s="211"/>
      <c r="AF157" s="210"/>
      <c r="AG157" s="373"/>
      <c r="AH157" s="173">
        <v>151</v>
      </c>
      <c r="AI157" s="173" t="s">
        <v>788</v>
      </c>
      <c r="AJ157" s="209" t="str">
        <f t="shared" ca="1" si="40"/>
        <v/>
      </c>
      <c r="AL157" s="274" t="str">
        <f t="shared" si="41"/>
        <v>IT Security and Forensic Costs</v>
      </c>
    </row>
    <row r="158" spans="1:38" x14ac:dyDescent="0.25">
      <c r="A158" s="22">
        <v>13510</v>
      </c>
      <c r="B158" s="274" t="s">
        <v>1103</v>
      </c>
      <c r="E158" s="571" t="s">
        <v>694</v>
      </c>
      <c r="F158" s="574"/>
      <c r="O158" s="173" t="s">
        <v>940</v>
      </c>
      <c r="Q158" s="248">
        <f>C130</f>
        <v>0</v>
      </c>
      <c r="R158" s="173" t="s">
        <v>225</v>
      </c>
      <c r="T158" s="175" t="s">
        <v>466</v>
      </c>
      <c r="U158" s="175"/>
      <c r="AE158" s="211"/>
      <c r="AF158" s="210"/>
      <c r="AG158" s="373"/>
      <c r="AH158" s="173">
        <v>152</v>
      </c>
      <c r="AI158" s="173" t="s">
        <v>807</v>
      </c>
      <c r="AJ158" s="209" t="str">
        <f t="shared" ca="1" si="40"/>
        <v/>
      </c>
      <c r="AL158" s="274" t="str">
        <f t="shared" si="41"/>
        <v>Crisis communication costs</v>
      </c>
    </row>
    <row r="159" spans="1:38" ht="30" x14ac:dyDescent="0.25">
      <c r="A159" s="22">
        <v>527</v>
      </c>
      <c r="B159" s="276" t="s">
        <v>1104</v>
      </c>
      <c r="E159" s="571" t="s">
        <v>697</v>
      </c>
      <c r="F159" s="572"/>
      <c r="O159" s="173" t="s">
        <v>941</v>
      </c>
      <c r="Q159" s="248">
        <f>C131</f>
        <v>0</v>
      </c>
      <c r="R159" s="173" t="s">
        <v>942</v>
      </c>
      <c r="T159" s="175" t="s">
        <v>466</v>
      </c>
      <c r="U159" s="175"/>
      <c r="AE159" s="211"/>
      <c r="AF159" s="210"/>
      <c r="AG159" s="373"/>
      <c r="AH159" s="173">
        <v>153</v>
      </c>
      <c r="AI159" s="173" t="s">
        <v>798</v>
      </c>
      <c r="AJ159" s="209" t="str">
        <f t="shared" ca="1" si="40"/>
        <v/>
      </c>
      <c r="AL159" s="274" t="str">
        <f t="shared" si="41"/>
        <v>Privacy breach management costs</v>
      </c>
    </row>
    <row r="160" spans="1:38" x14ac:dyDescent="0.25">
      <c r="A160" s="222">
        <v>13612</v>
      </c>
      <c r="B160" s="276" t="s">
        <v>1105</v>
      </c>
      <c r="E160" s="571" t="s">
        <v>700</v>
      </c>
      <c r="F160" s="576"/>
      <c r="R160" s="173" t="s">
        <v>223</v>
      </c>
      <c r="T160" s="175" t="s">
        <v>943</v>
      </c>
      <c r="U160" s="175"/>
      <c r="AE160" s="211"/>
      <c r="AF160" s="210"/>
      <c r="AG160" s="373"/>
      <c r="AH160" s="173">
        <v>154</v>
      </c>
      <c r="AI160" s="173" t="s">
        <v>889</v>
      </c>
      <c r="AJ160" s="209" t="str">
        <f t="shared" ca="1" si="40"/>
        <v/>
      </c>
      <c r="AL160" s="274" t="str">
        <f t="shared" si="41"/>
        <v/>
      </c>
    </row>
    <row r="161" spans="1:38" x14ac:dyDescent="0.25">
      <c r="A161" s="222">
        <v>13532</v>
      </c>
      <c r="B161" s="276" t="s">
        <v>1106</v>
      </c>
      <c r="E161" s="571" t="s">
        <v>703</v>
      </c>
      <c r="F161" s="576"/>
      <c r="R161" s="173" t="s">
        <v>944</v>
      </c>
      <c r="T161" s="175" t="s">
        <v>943</v>
      </c>
      <c r="U161" s="175"/>
      <c r="AE161" s="211"/>
      <c r="AF161" s="210"/>
      <c r="AG161" s="373"/>
      <c r="AH161" s="173">
        <v>155</v>
      </c>
      <c r="AI161" s="173" t="s">
        <v>890</v>
      </c>
      <c r="AJ161" s="209" t="str">
        <f t="shared" ca="1" si="40"/>
        <v/>
      </c>
      <c r="AL161" s="274" t="str">
        <f t="shared" si="41"/>
        <v/>
      </c>
    </row>
    <row r="162" spans="1:38" x14ac:dyDescent="0.25">
      <c r="A162" s="22">
        <v>13535</v>
      </c>
      <c r="B162" s="276" t="s">
        <v>1107</v>
      </c>
      <c r="E162" s="571" t="s">
        <v>706</v>
      </c>
      <c r="F162" s="576"/>
      <c r="T162" s="175"/>
      <c r="U162" s="175"/>
      <c r="AE162" s="211"/>
      <c r="AF162" s="210"/>
      <c r="AG162" s="373"/>
      <c r="AH162" s="173">
        <v>156</v>
      </c>
      <c r="AI162" s="173" t="s">
        <v>891</v>
      </c>
      <c r="AJ162" s="209" t="str">
        <f t="shared" ca="1" si="40"/>
        <v/>
      </c>
      <c r="AL162" s="274" t="str">
        <f t="shared" si="41"/>
        <v/>
      </c>
    </row>
    <row r="163" spans="1:38" x14ac:dyDescent="0.25">
      <c r="A163" s="22">
        <v>12800</v>
      </c>
      <c r="B163" s="276" t="s">
        <v>1108</v>
      </c>
      <c r="E163" s="571" t="s">
        <v>708</v>
      </c>
      <c r="F163" s="576"/>
      <c r="U163" s="175"/>
      <c r="AE163" s="211"/>
      <c r="AF163" s="210"/>
      <c r="AG163" s="373"/>
      <c r="AH163" s="173">
        <v>157</v>
      </c>
      <c r="AI163" s="173" t="s">
        <v>892</v>
      </c>
      <c r="AJ163" s="209" t="str">
        <f t="shared" ca="1" si="40"/>
        <v/>
      </c>
      <c r="AL163" s="274" t="str">
        <f t="shared" si="41"/>
        <v/>
      </c>
    </row>
    <row r="164" spans="1:38" x14ac:dyDescent="0.25">
      <c r="A164" s="22">
        <v>13910</v>
      </c>
      <c r="B164" s="276" t="s">
        <v>1110</v>
      </c>
      <c r="E164" s="571" t="s">
        <v>711</v>
      </c>
      <c r="F164" s="576"/>
      <c r="R164" s="173" t="s">
        <v>945</v>
      </c>
      <c r="T164" s="175" t="s">
        <v>943</v>
      </c>
      <c r="U164" s="175" t="str">
        <f>IF(Q157="Fuses",VLOOKUP(Q158,$R$164:$T$167,3,FALSE),"Accept")</f>
        <v>Accept</v>
      </c>
      <c r="AE164" s="211"/>
      <c r="AF164" s="210"/>
      <c r="AG164" s="373"/>
      <c r="AH164" s="173">
        <v>158</v>
      </c>
      <c r="AI164" s="173" t="s">
        <v>893</v>
      </c>
      <c r="AJ164" s="209" t="str">
        <f t="shared" ca="1" si="40"/>
        <v/>
      </c>
      <c r="AL164" s="274" t="str">
        <f t="shared" si="41"/>
        <v/>
      </c>
    </row>
    <row r="165" spans="1:38" x14ac:dyDescent="0.25">
      <c r="A165" s="22">
        <v>12000</v>
      </c>
      <c r="B165" s="276" t="s">
        <v>1109</v>
      </c>
      <c r="E165" s="571" t="s">
        <v>714</v>
      </c>
      <c r="F165" s="574"/>
      <c r="R165" s="173" t="s">
        <v>858</v>
      </c>
      <c r="T165" s="175" t="s">
        <v>466</v>
      </c>
      <c r="U165" s="175"/>
      <c r="AE165" s="211"/>
      <c r="AF165" s="210"/>
      <c r="AG165" s="373"/>
      <c r="AH165" s="173">
        <v>159</v>
      </c>
      <c r="AI165" s="173" t="s">
        <v>895</v>
      </c>
      <c r="AJ165" s="209" t="str">
        <f t="shared" ca="1" si="40"/>
        <v/>
      </c>
      <c r="AL165" s="274" t="str">
        <f t="shared" si="41"/>
        <v/>
      </c>
    </row>
    <row r="166" spans="1:38" x14ac:dyDescent="0.25">
      <c r="A166" s="22">
        <v>13100</v>
      </c>
      <c r="B166" s="276" t="s">
        <v>1115</v>
      </c>
      <c r="E166" s="571" t="s">
        <v>718</v>
      </c>
      <c r="F166" s="572"/>
      <c r="R166" s="173" t="s">
        <v>946</v>
      </c>
      <c r="T166" s="175" t="s">
        <v>466</v>
      </c>
      <c r="U166" s="175"/>
      <c r="AE166" s="211"/>
      <c r="AF166" s="210"/>
      <c r="AG166" s="373"/>
      <c r="AH166" s="173">
        <v>160</v>
      </c>
      <c r="AI166" s="173" t="s">
        <v>896</v>
      </c>
      <c r="AJ166" s="209" t="str">
        <f t="shared" ca="1" si="40"/>
        <v/>
      </c>
      <c r="AL166" s="274" t="str">
        <f t="shared" si="41"/>
        <v/>
      </c>
    </row>
    <row r="167" spans="1:38" x14ac:dyDescent="0.25">
      <c r="A167" s="22">
        <v>13721</v>
      </c>
      <c r="B167" s="276" t="s">
        <v>1114</v>
      </c>
      <c r="E167" s="571" t="s">
        <v>721</v>
      </c>
      <c r="F167" s="576"/>
      <c r="R167" s="173" t="s">
        <v>944</v>
      </c>
      <c r="T167" s="175" t="s">
        <v>943</v>
      </c>
      <c r="U167" s="175"/>
      <c r="AE167" s="211"/>
      <c r="AF167" s="210"/>
      <c r="AG167" s="373"/>
      <c r="AH167" s="173">
        <v>161</v>
      </c>
      <c r="AI167" s="173" t="s">
        <v>899</v>
      </c>
      <c r="AJ167" s="209" t="str">
        <f t="shared" ca="1" si="40"/>
        <v/>
      </c>
      <c r="AL167" s="274" t="str">
        <f t="shared" si="41"/>
        <v/>
      </c>
    </row>
    <row r="168" spans="1:38" x14ac:dyDescent="0.25">
      <c r="A168" s="22">
        <v>11700</v>
      </c>
      <c r="B168" s="276" t="s">
        <v>1112</v>
      </c>
      <c r="E168" s="571" t="s">
        <v>724</v>
      </c>
      <c r="F168" s="576"/>
      <c r="T168" s="175"/>
      <c r="U168" s="175"/>
      <c r="AE168" s="211"/>
      <c r="AF168" s="210"/>
      <c r="AG168" s="373"/>
      <c r="AH168" s="173">
        <v>162</v>
      </c>
      <c r="AI168" s="173" t="s">
        <v>901</v>
      </c>
      <c r="AJ168" s="209" t="str">
        <f t="shared" ca="1" si="40"/>
        <v/>
      </c>
      <c r="AL168" s="274" t="str">
        <f t="shared" si="41"/>
        <v/>
      </c>
    </row>
    <row r="169" spans="1:38" x14ac:dyDescent="0.25">
      <c r="A169" s="22">
        <v>10001</v>
      </c>
      <c r="B169" s="303" t="s">
        <v>1111</v>
      </c>
      <c r="E169" s="571" t="s">
        <v>726</v>
      </c>
      <c r="F169" s="576"/>
      <c r="R169" s="173" t="s">
        <v>219</v>
      </c>
      <c r="T169" s="175" t="s">
        <v>466</v>
      </c>
      <c r="U169" s="175" t="str">
        <f>IFERROR(VLOOKUP(Q159,$R$169:$T$173,3,FALSE),"Decline")</f>
        <v>Decline</v>
      </c>
      <c r="AE169" s="211"/>
      <c r="AF169" s="210"/>
      <c r="AG169" s="373"/>
      <c r="AH169" s="173">
        <v>163</v>
      </c>
      <c r="AI169" s="173" t="s">
        <v>902</v>
      </c>
      <c r="AJ169" s="209" t="str">
        <f t="shared" ca="1" si="40"/>
        <v/>
      </c>
      <c r="AL169" s="274" t="str">
        <f t="shared" si="41"/>
        <v/>
      </c>
    </row>
    <row r="170" spans="1:38" x14ac:dyDescent="0.25">
      <c r="A170" s="275">
        <v>13700</v>
      </c>
      <c r="B170" s="276" t="s">
        <v>1113</v>
      </c>
      <c r="E170" s="571" t="s">
        <v>730</v>
      </c>
      <c r="F170" s="576"/>
      <c r="R170" s="173" t="s">
        <v>947</v>
      </c>
      <c r="T170" s="175" t="s">
        <v>943</v>
      </c>
      <c r="U170" s="175"/>
      <c r="AE170" s="211"/>
      <c r="AF170" s="210"/>
      <c r="AG170" s="373"/>
      <c r="AH170" s="173">
        <v>164</v>
      </c>
      <c r="AI170" s="173" t="s">
        <v>761</v>
      </c>
      <c r="AJ170" s="209" t="str">
        <f t="shared" ca="1" si="40"/>
        <v/>
      </c>
      <c r="AL170" s="274" t="str">
        <f t="shared" si="41"/>
        <v>System or data damage and rectification costs</v>
      </c>
    </row>
    <row r="171" spans="1:38" x14ac:dyDescent="0.25">
      <c r="A171" s="22">
        <v>13731</v>
      </c>
      <c r="B171" s="276" t="s">
        <v>1116</v>
      </c>
      <c r="E171" s="571" t="s">
        <v>733</v>
      </c>
      <c r="F171" s="576"/>
      <c r="R171" s="173" t="s">
        <v>948</v>
      </c>
      <c r="T171" s="175" t="s">
        <v>943</v>
      </c>
      <c r="U171" s="175"/>
      <c r="AE171" s="211"/>
      <c r="AF171" s="210"/>
      <c r="AG171" s="373"/>
      <c r="AH171" s="173">
        <v>165</v>
      </c>
      <c r="AI171" s="173" t="s">
        <v>772</v>
      </c>
      <c r="AJ171" s="209" t="str">
        <f t="shared" ca="1" si="40"/>
        <v/>
      </c>
      <c r="AL171" s="274" t="str">
        <f t="shared" si="41"/>
        <v>Income loss and extra expense</v>
      </c>
    </row>
    <row r="172" spans="1:38" x14ac:dyDescent="0.25">
      <c r="A172" s="22">
        <v>13732</v>
      </c>
      <c r="B172" s="276" t="s">
        <v>1117</v>
      </c>
      <c r="E172" s="571" t="s">
        <v>736</v>
      </c>
      <c r="F172" s="574"/>
      <c r="R172" s="173" t="s">
        <v>944</v>
      </c>
      <c r="T172" s="175" t="s">
        <v>943</v>
      </c>
      <c r="U172" s="175"/>
      <c r="AE172" s="211"/>
      <c r="AF172" s="210"/>
      <c r="AG172" s="373"/>
      <c r="AH172" s="173">
        <v>166</v>
      </c>
      <c r="AI172" s="173" t="s">
        <v>905</v>
      </c>
      <c r="AJ172" s="209" t="str">
        <f t="shared" ca="1" si="40"/>
        <v/>
      </c>
      <c r="AL172" s="274" t="str">
        <f t="shared" si="41"/>
        <v/>
      </c>
    </row>
    <row r="173" spans="1:38" x14ac:dyDescent="0.25">
      <c r="A173" s="22">
        <v>13000</v>
      </c>
      <c r="B173" s="276" t="s">
        <v>1118</v>
      </c>
      <c r="E173" s="571" t="s">
        <v>739</v>
      </c>
      <c r="F173" s="577">
        <v>500000</v>
      </c>
      <c r="R173" s="173" t="s">
        <v>949</v>
      </c>
      <c r="T173" s="175" t="s">
        <v>943</v>
      </c>
      <c r="U173" s="175"/>
      <c r="AE173" s="211"/>
      <c r="AF173" s="210"/>
      <c r="AG173" s="373"/>
      <c r="AH173" s="173">
        <v>167</v>
      </c>
      <c r="AI173" s="173" t="s">
        <v>907</v>
      </c>
      <c r="AJ173" s="209" t="str">
        <f t="shared" ca="1" si="40"/>
        <v/>
      </c>
      <c r="AL173" s="274" t="str">
        <f t="shared" si="41"/>
        <v/>
      </c>
    </row>
    <row r="174" spans="1:38" ht="30" x14ac:dyDescent="0.25">
      <c r="A174" s="22">
        <v>11900</v>
      </c>
      <c r="B174" s="276" t="s">
        <v>1120</v>
      </c>
      <c r="E174" s="571" t="s">
        <v>742</v>
      </c>
      <c r="F174" s="577"/>
      <c r="U174" s="175"/>
      <c r="AE174" s="211"/>
      <c r="AF174" s="210"/>
      <c r="AG174" s="373"/>
      <c r="AH174" s="173">
        <v>168</v>
      </c>
      <c r="AI174" s="173" t="s">
        <v>909</v>
      </c>
      <c r="AJ174" s="209" t="str">
        <f t="shared" ca="1" si="40"/>
        <v/>
      </c>
      <c r="AL174" s="274" t="str">
        <f t="shared" si="41"/>
        <v/>
      </c>
    </row>
    <row r="175" spans="1:38" ht="30" x14ac:dyDescent="0.25">
      <c r="A175" s="22">
        <v>11925</v>
      </c>
      <c r="B175" s="276" t="s">
        <v>1121</v>
      </c>
      <c r="E175" s="571" t="s">
        <v>744</v>
      </c>
      <c r="F175" s="577">
        <v>25000</v>
      </c>
      <c r="U175" s="243" t="str">
        <f>IF(OR(U157="Decline",U164="Decline",U169="Decline"),"Decline","Accept")</f>
        <v>Decline</v>
      </c>
      <c r="AE175" s="211"/>
      <c r="AF175" s="210"/>
      <c r="AG175" s="373"/>
      <c r="AH175" s="173">
        <v>169</v>
      </c>
      <c r="AI175" s="173" t="s">
        <v>910</v>
      </c>
      <c r="AJ175" s="209" t="str">
        <f t="shared" ca="1" si="40"/>
        <v/>
      </c>
      <c r="AL175" s="274" t="str">
        <f t="shared" si="41"/>
        <v/>
      </c>
    </row>
    <row r="176" spans="1:38" x14ac:dyDescent="0.25">
      <c r="A176" s="22">
        <v>11912</v>
      </c>
      <c r="B176" s="276" t="s">
        <v>1122</v>
      </c>
      <c r="E176" s="571" t="s">
        <v>746</v>
      </c>
      <c r="F176" s="577">
        <v>50000</v>
      </c>
      <c r="AE176" s="211"/>
      <c r="AF176" s="210"/>
      <c r="AG176" s="373"/>
      <c r="AH176" s="173">
        <v>170</v>
      </c>
      <c r="AI176" s="173" t="s">
        <v>911</v>
      </c>
      <c r="AJ176" s="209" t="str">
        <f t="shared" ca="1" si="40"/>
        <v/>
      </c>
      <c r="AL176" s="274" t="str">
        <f t="shared" si="41"/>
        <v/>
      </c>
    </row>
    <row r="177" spans="1:38" x14ac:dyDescent="0.25">
      <c r="A177" s="305">
        <v>73000</v>
      </c>
      <c r="B177" s="276" t="s">
        <v>1123</v>
      </c>
      <c r="E177" s="571" t="s">
        <v>748</v>
      </c>
      <c r="F177" s="577">
        <v>10000</v>
      </c>
      <c r="O177" s="238" t="s">
        <v>950</v>
      </c>
      <c r="R177" s="175"/>
      <c r="T177" s="175"/>
      <c r="AE177" s="211"/>
      <c r="AF177" s="210"/>
      <c r="AG177" s="373"/>
      <c r="AH177" s="173">
        <v>171</v>
      </c>
      <c r="AI177" s="173" t="s">
        <v>780</v>
      </c>
      <c r="AJ177" s="209" t="str">
        <f t="shared" ca="1" si="40"/>
        <v/>
      </c>
      <c r="AL177" s="274" t="str">
        <f t="shared" si="41"/>
        <v>Network security liability</v>
      </c>
    </row>
    <row r="178" spans="1:38" x14ac:dyDescent="0.25">
      <c r="A178" s="22">
        <v>13315</v>
      </c>
      <c r="B178" s="276" t="s">
        <v>1125</v>
      </c>
      <c r="E178" s="571" t="s">
        <v>751</v>
      </c>
      <c r="F178" s="577">
        <v>2500</v>
      </c>
      <c r="O178" s="151" t="s">
        <v>655</v>
      </c>
      <c r="Q178" s="239" t="s">
        <v>656</v>
      </c>
      <c r="R178" s="240" t="s">
        <v>657</v>
      </c>
      <c r="S178" s="61"/>
      <c r="T178" s="240" t="s">
        <v>658</v>
      </c>
      <c r="U178" s="61" t="s">
        <v>938</v>
      </c>
      <c r="AE178" s="211"/>
      <c r="AF178" s="210"/>
      <c r="AG178" s="373"/>
      <c r="AH178" s="173">
        <v>172</v>
      </c>
      <c r="AI178" s="173" t="s">
        <v>1312</v>
      </c>
      <c r="AJ178" s="209" t="str">
        <f t="shared" ca="1" si="40"/>
        <v/>
      </c>
      <c r="AL178" s="274" t="str">
        <f t="shared" si="41"/>
        <v>Privacy liability</v>
      </c>
    </row>
    <row r="179" spans="1:38" x14ac:dyDescent="0.25">
      <c r="A179" s="22">
        <v>14350</v>
      </c>
      <c r="B179" s="276" t="s">
        <v>1124</v>
      </c>
      <c r="E179" s="571" t="s">
        <v>754</v>
      </c>
      <c r="F179" s="577">
        <v>5000</v>
      </c>
      <c r="O179" s="173" t="s">
        <v>873</v>
      </c>
      <c r="Q179" s="317">
        <f>$C$143</f>
        <v>0</v>
      </c>
      <c r="R179" s="173" t="s">
        <v>874</v>
      </c>
      <c r="T179" s="175" t="s">
        <v>466</v>
      </c>
      <c r="U179" s="387" t="str">
        <f>IFERROR(VLOOKUP(Q179,R179:T190,3,FALSE),"Decline")</f>
        <v>Decline</v>
      </c>
      <c r="AE179" s="211"/>
      <c r="AF179" s="210"/>
      <c r="AG179" s="373"/>
      <c r="AH179" s="173">
        <v>173</v>
      </c>
      <c r="AI179" s="173" t="s">
        <v>912</v>
      </c>
      <c r="AJ179" s="209" t="str">
        <f t="shared" ca="1" si="40"/>
        <v/>
      </c>
      <c r="AL179" s="274" t="str">
        <f t="shared" si="41"/>
        <v/>
      </c>
    </row>
    <row r="180" spans="1:38" x14ac:dyDescent="0.25">
      <c r="A180" s="22">
        <v>12000</v>
      </c>
      <c r="B180" s="276" t="s">
        <v>1109</v>
      </c>
      <c r="E180" s="571" t="s">
        <v>755</v>
      </c>
      <c r="F180" s="577">
        <v>2500</v>
      </c>
      <c r="O180" s="173" t="s">
        <v>1398</v>
      </c>
      <c r="Q180" s="385">
        <f>$C$146</f>
        <v>0</v>
      </c>
      <c r="R180" s="173" t="s">
        <v>951</v>
      </c>
      <c r="T180" s="175" t="s">
        <v>466</v>
      </c>
      <c r="U180" s="175"/>
      <c r="AE180" s="211"/>
      <c r="AF180" s="210"/>
      <c r="AG180" s="373"/>
      <c r="AH180" s="173">
        <v>174</v>
      </c>
      <c r="AI180" s="173" t="s">
        <v>913</v>
      </c>
      <c r="AJ180" s="209" t="str">
        <f t="shared" ca="1" si="40"/>
        <v/>
      </c>
      <c r="AL180" s="274" t="str">
        <f t="shared" si="41"/>
        <v/>
      </c>
    </row>
    <row r="181" spans="1:38" x14ac:dyDescent="0.25">
      <c r="A181" s="22">
        <v>12005</v>
      </c>
      <c r="B181" s="276" t="s">
        <v>1126</v>
      </c>
      <c r="E181" s="571" t="s">
        <v>759</v>
      </c>
      <c r="F181" s="577">
        <v>25000</v>
      </c>
      <c r="O181" s="173" t="s">
        <v>1399</v>
      </c>
      <c r="Q181" s="317">
        <f>$C$145</f>
        <v>0</v>
      </c>
      <c r="R181" s="173" t="s">
        <v>952</v>
      </c>
      <c r="T181" s="175" t="s">
        <v>466</v>
      </c>
      <c r="AE181" s="211"/>
      <c r="AF181" s="210"/>
      <c r="AG181" s="373"/>
      <c r="AH181" s="173">
        <v>175</v>
      </c>
      <c r="AI181" s="173" t="s">
        <v>914</v>
      </c>
      <c r="AJ181" s="209" t="str">
        <f t="shared" ca="1" si="40"/>
        <v/>
      </c>
      <c r="AL181" s="274" t="str">
        <f t="shared" si="41"/>
        <v/>
      </c>
    </row>
    <row r="182" spans="1:38" ht="30" x14ac:dyDescent="0.25">
      <c r="A182" s="22">
        <v>13001</v>
      </c>
      <c r="B182" s="276" t="s">
        <v>1127</v>
      </c>
      <c r="E182" s="571" t="s">
        <v>763</v>
      </c>
      <c r="F182" s="577" t="s">
        <v>936</v>
      </c>
      <c r="O182" s="173" t="s">
        <v>1400</v>
      </c>
      <c r="Q182" s="317">
        <f>$C$147</f>
        <v>0</v>
      </c>
      <c r="R182" s="173" t="s">
        <v>953</v>
      </c>
      <c r="T182" s="175" t="s">
        <v>466</v>
      </c>
      <c r="AE182" s="211"/>
      <c r="AF182" s="210"/>
      <c r="AG182" s="373"/>
      <c r="AH182" s="173">
        <v>176</v>
      </c>
      <c r="AI182" s="173" t="s">
        <v>915</v>
      </c>
      <c r="AJ182" s="209" t="str">
        <f t="shared" ca="1" si="40"/>
        <v/>
      </c>
      <c r="AL182" s="274" t="str">
        <f t="shared" si="41"/>
        <v/>
      </c>
    </row>
    <row r="183" spans="1:38" x14ac:dyDescent="0.25">
      <c r="A183" s="22">
        <v>73020</v>
      </c>
      <c r="B183" s="276" t="s">
        <v>1128</v>
      </c>
      <c r="E183" s="571" t="s">
        <v>766</v>
      </c>
      <c r="F183" s="574" t="s">
        <v>1424</v>
      </c>
      <c r="R183" s="173" t="s">
        <v>954</v>
      </c>
      <c r="T183" s="175" t="s">
        <v>466</v>
      </c>
      <c r="AE183" s="211"/>
      <c r="AF183" s="210"/>
      <c r="AG183" s="373"/>
      <c r="AH183" s="173">
        <v>177</v>
      </c>
      <c r="AI183" s="173" t="s">
        <v>916</v>
      </c>
      <c r="AJ183" s="209" t="str">
        <f t="shared" ca="1" si="40"/>
        <v/>
      </c>
      <c r="AL183" s="274" t="str">
        <f t="shared" si="41"/>
        <v/>
      </c>
    </row>
    <row r="184" spans="1:38" x14ac:dyDescent="0.25">
      <c r="E184" s="571" t="s">
        <v>769</v>
      </c>
      <c r="F184" s="577">
        <v>2000000</v>
      </c>
      <c r="R184" s="173" t="s">
        <v>1377</v>
      </c>
      <c r="T184" s="175" t="s">
        <v>466</v>
      </c>
      <c r="AE184" s="211"/>
      <c r="AF184" s="210"/>
      <c r="AG184" s="373"/>
      <c r="AH184" s="173">
        <v>178</v>
      </c>
      <c r="AI184" s="173" t="s">
        <v>917</v>
      </c>
      <c r="AJ184" s="209" t="str">
        <f t="shared" ca="1" si="40"/>
        <v/>
      </c>
      <c r="AL184" s="274" t="str">
        <f t="shared" si="41"/>
        <v/>
      </c>
    </row>
    <row r="185" spans="1:38" x14ac:dyDescent="0.25">
      <c r="E185" s="571" t="s">
        <v>774</v>
      </c>
      <c r="F185" s="577"/>
      <c r="R185" s="173" t="s">
        <v>955</v>
      </c>
      <c r="T185" s="175" t="s">
        <v>943</v>
      </c>
      <c r="AE185" s="211"/>
      <c r="AF185" s="210"/>
      <c r="AG185" s="373"/>
      <c r="AH185" s="173">
        <v>179</v>
      </c>
      <c r="AI185" s="173" t="s">
        <v>918</v>
      </c>
      <c r="AJ185" s="209" t="str">
        <f t="shared" ca="1" si="40"/>
        <v/>
      </c>
      <c r="AL185" s="274" t="str">
        <f t="shared" si="41"/>
        <v/>
      </c>
    </row>
    <row r="186" spans="1:38" x14ac:dyDescent="0.25">
      <c r="E186" s="571" t="s">
        <v>777</v>
      </c>
      <c r="F186" s="572" t="s">
        <v>1425</v>
      </c>
      <c r="R186" s="173" t="s">
        <v>956</v>
      </c>
      <c r="T186" s="175" t="s">
        <v>943</v>
      </c>
      <c r="AE186" s="211"/>
      <c r="AF186" s="210"/>
      <c r="AG186" s="373"/>
      <c r="AH186" s="173">
        <v>180</v>
      </c>
      <c r="AI186" s="173" t="s">
        <v>920</v>
      </c>
      <c r="AJ186" s="209" t="str">
        <f t="shared" ca="1" si="40"/>
        <v/>
      </c>
      <c r="AL186" s="274" t="str">
        <f t="shared" si="41"/>
        <v/>
      </c>
    </row>
    <row r="187" spans="1:38" x14ac:dyDescent="0.25">
      <c r="E187" s="571" t="s">
        <v>782</v>
      </c>
      <c r="F187" s="576"/>
      <c r="R187" s="173" t="s">
        <v>944</v>
      </c>
      <c r="T187" s="175" t="s">
        <v>943</v>
      </c>
      <c r="AE187" s="211"/>
      <c r="AF187" s="210"/>
      <c r="AG187" s="373"/>
      <c r="AH187" s="173">
        <v>181</v>
      </c>
      <c r="AI187" s="173" t="s">
        <v>921</v>
      </c>
      <c r="AJ187" s="209" t="str">
        <f t="shared" ca="1" si="40"/>
        <v/>
      </c>
      <c r="AL187" s="274" t="str">
        <f t="shared" si="41"/>
        <v/>
      </c>
    </row>
    <row r="188" spans="1:38" x14ac:dyDescent="0.25">
      <c r="E188" s="571" t="s">
        <v>785</v>
      </c>
      <c r="F188" s="576"/>
      <c r="R188" s="173" t="s">
        <v>949</v>
      </c>
      <c r="T188" s="175" t="s">
        <v>943</v>
      </c>
      <c r="AE188" s="211"/>
      <c r="AF188" s="210"/>
      <c r="AG188" s="373"/>
      <c r="AH188" s="173">
        <v>182</v>
      </c>
      <c r="AI188" s="173" t="s">
        <v>923</v>
      </c>
      <c r="AJ188" s="209" t="str">
        <f t="shared" ca="1" si="40"/>
        <v/>
      </c>
      <c r="AL188" s="274" t="str">
        <f t="shared" si="41"/>
        <v/>
      </c>
    </row>
    <row r="189" spans="1:38" x14ac:dyDescent="0.25">
      <c r="E189" s="571" t="s">
        <v>790</v>
      </c>
      <c r="F189" s="576">
        <v>25000</v>
      </c>
      <c r="R189" s="173" t="s">
        <v>223</v>
      </c>
      <c r="T189" s="175" t="s">
        <v>943</v>
      </c>
      <c r="AE189" s="211"/>
      <c r="AF189" s="210"/>
      <c r="AG189" s="373"/>
      <c r="AH189" s="173">
        <v>183</v>
      </c>
      <c r="AI189" s="173" t="s">
        <v>925</v>
      </c>
      <c r="AJ189" s="209" t="str">
        <f t="shared" ca="1" si="40"/>
        <v/>
      </c>
      <c r="AL189" s="274" t="str">
        <f t="shared" si="41"/>
        <v/>
      </c>
    </row>
    <row r="190" spans="1:38" x14ac:dyDescent="0.25">
      <c r="E190" s="571" t="s">
        <v>795</v>
      </c>
      <c r="F190" s="576"/>
      <c r="R190" s="173" t="s">
        <v>239</v>
      </c>
      <c r="T190" s="175" t="s">
        <v>466</v>
      </c>
      <c r="V190" s="272"/>
      <c r="AE190" s="211"/>
      <c r="AF190" s="210"/>
      <c r="AG190" s="373"/>
      <c r="AH190" s="173">
        <v>184</v>
      </c>
      <c r="AI190" s="173" t="s">
        <v>927</v>
      </c>
      <c r="AJ190" s="209" t="str">
        <f t="shared" ca="1" si="40"/>
        <v/>
      </c>
      <c r="AL190" s="274" t="str">
        <f t="shared" si="41"/>
        <v/>
      </c>
    </row>
    <row r="191" spans="1:38" x14ac:dyDescent="0.25">
      <c r="E191" s="571" t="s">
        <v>801</v>
      </c>
      <c r="F191" s="576"/>
      <c r="J191" s="263">
        <v>1000230</v>
      </c>
      <c r="K191" s="264" t="s">
        <v>774</v>
      </c>
      <c r="L191" s="265"/>
      <c r="V191" s="272"/>
      <c r="AE191" s="211"/>
      <c r="AF191" s="210"/>
      <c r="AG191" s="373"/>
      <c r="AH191" s="173">
        <v>185</v>
      </c>
      <c r="AI191" s="173" t="s">
        <v>928</v>
      </c>
      <c r="AJ191" s="209" t="str">
        <f t="shared" ca="1" si="40"/>
        <v/>
      </c>
      <c r="AL191" s="274" t="str">
        <f t="shared" si="41"/>
        <v/>
      </c>
    </row>
    <row r="192" spans="1:38" x14ac:dyDescent="0.25">
      <c r="E192" s="571" t="s">
        <v>558</v>
      </c>
      <c r="F192" s="576"/>
      <c r="J192" s="266" t="s">
        <v>762</v>
      </c>
      <c r="K192" s="267" t="s">
        <v>763</v>
      </c>
      <c r="L192" s="265"/>
      <c r="O192" s="377"/>
      <c r="P192" s="377"/>
      <c r="Q192" s="377"/>
      <c r="R192" s="377"/>
      <c r="S192" s="377"/>
      <c r="T192" s="377"/>
      <c r="U192" s="377"/>
      <c r="V192" s="272"/>
      <c r="W192" s="377"/>
      <c r="X192" s="377"/>
      <c r="Y192" s="377"/>
      <c r="Z192" s="377"/>
      <c r="AA192" s="377"/>
      <c r="AB192" s="377"/>
      <c r="AE192" s="211"/>
      <c r="AF192" s="210"/>
      <c r="AG192" s="373"/>
      <c r="AH192" s="173">
        <v>186</v>
      </c>
      <c r="AI192" s="173" t="s">
        <v>929</v>
      </c>
      <c r="AJ192" s="209" t="str">
        <f t="shared" ca="1" si="40"/>
        <v/>
      </c>
      <c r="AL192" s="274" t="str">
        <f t="shared" si="41"/>
        <v/>
      </c>
    </row>
    <row r="193" spans="5:38" x14ac:dyDescent="0.25">
      <c r="E193" s="571" t="s">
        <v>1281</v>
      </c>
      <c r="F193" s="577"/>
      <c r="J193" s="265"/>
      <c r="K193" s="265"/>
      <c r="L193" s="265"/>
      <c r="O193" s="288" t="s">
        <v>1405</v>
      </c>
      <c r="P193" s="377"/>
      <c r="Q193" s="377"/>
      <c r="R193" s="377"/>
      <c r="S193" s="377"/>
      <c r="T193" s="377"/>
      <c r="U193" s="377"/>
      <c r="V193" s="272"/>
      <c r="W193" s="377"/>
      <c r="X193" s="377"/>
      <c r="Y193" s="377"/>
      <c r="Z193" s="377"/>
      <c r="AA193" s="377"/>
      <c r="AB193" s="377"/>
      <c r="AE193" s="211"/>
      <c r="AF193" s="210"/>
      <c r="AG193" s="373"/>
      <c r="AH193" s="173">
        <v>187</v>
      </c>
      <c r="AI193" s="173" t="s">
        <v>930</v>
      </c>
      <c r="AJ193" s="209" t="str">
        <f t="shared" ca="1" si="40"/>
        <v/>
      </c>
      <c r="AL193" s="274" t="str">
        <f t="shared" si="41"/>
        <v/>
      </c>
    </row>
    <row r="194" spans="5:38" x14ac:dyDescent="0.25">
      <c r="E194" s="571" t="s">
        <v>811</v>
      </c>
      <c r="F194" s="574" t="s">
        <v>167</v>
      </c>
      <c r="J194" s="265"/>
      <c r="K194" s="265"/>
      <c r="L194" s="265"/>
      <c r="O194" s="377" t="s">
        <v>1408</v>
      </c>
      <c r="P194" s="377"/>
      <c r="Q194" s="248" t="str">
        <f>IF(Q181="No","Above ground","Under ground")</f>
        <v>Under ground</v>
      </c>
      <c r="R194" s="377" t="s">
        <v>1406</v>
      </c>
      <c r="S194" s="378"/>
      <c r="T194" s="378" t="s">
        <v>466</v>
      </c>
      <c r="U194" s="388" t="str">
        <f>IF(Q179="Oil",VLOOKUP(Q194,$R$194:$T$195,3,FALSE),"")</f>
        <v/>
      </c>
      <c r="V194" s="272"/>
      <c r="W194" s="377"/>
      <c r="X194" s="377"/>
      <c r="Y194" s="377"/>
      <c r="Z194" s="377"/>
      <c r="AA194" s="377"/>
      <c r="AB194" s="377"/>
      <c r="AE194" s="211"/>
      <c r="AF194" s="210"/>
      <c r="AG194" s="373"/>
      <c r="AH194" s="173">
        <v>188</v>
      </c>
      <c r="AI194" s="173" t="s">
        <v>1313</v>
      </c>
      <c r="AJ194" s="209" t="str">
        <f t="shared" ca="1" si="40"/>
        <v/>
      </c>
      <c r="AL194" s="274" t="str">
        <f t="shared" si="41"/>
        <v/>
      </c>
    </row>
    <row r="195" spans="5:38" x14ac:dyDescent="0.25">
      <c r="E195" s="571" t="s">
        <v>813</v>
      </c>
      <c r="F195" s="576"/>
      <c r="J195" s="263">
        <v>1000240</v>
      </c>
      <c r="K195" s="268" t="s">
        <v>777</v>
      </c>
      <c r="L195" s="265"/>
      <c r="O195" s="272"/>
      <c r="P195" s="272"/>
      <c r="Q195" s="386"/>
      <c r="R195" s="377" t="s">
        <v>1407</v>
      </c>
      <c r="S195" s="378"/>
      <c r="T195" s="378" t="s">
        <v>943</v>
      </c>
      <c r="U195" s="377"/>
      <c r="V195" s="272"/>
      <c r="W195" s="377"/>
      <c r="X195" s="377"/>
      <c r="Y195" s="377"/>
      <c r="Z195" s="377"/>
      <c r="AA195" s="377"/>
      <c r="AB195" s="377"/>
      <c r="AE195" s="211"/>
      <c r="AF195" s="210"/>
      <c r="AG195" s="373"/>
      <c r="AH195" s="173">
        <v>189</v>
      </c>
      <c r="AI195" s="173" t="s">
        <v>1314</v>
      </c>
      <c r="AJ195" s="209" t="str">
        <f t="shared" ca="1" si="40"/>
        <v/>
      </c>
      <c r="AL195" s="274" t="str">
        <f t="shared" si="41"/>
        <v/>
      </c>
    </row>
    <row r="196" spans="5:38" x14ac:dyDescent="0.25">
      <c r="E196" s="571" t="s">
        <v>815</v>
      </c>
      <c r="F196" s="576"/>
      <c r="J196" s="263">
        <v>1000250</v>
      </c>
      <c r="K196" s="268" t="s">
        <v>782</v>
      </c>
      <c r="L196" s="265"/>
      <c r="O196" s="377"/>
      <c r="P196" s="377"/>
      <c r="Q196" s="377"/>
      <c r="R196" s="377"/>
      <c r="S196" s="377"/>
      <c r="T196" s="377"/>
      <c r="U196" s="377"/>
      <c r="V196" s="272"/>
      <c r="W196" s="377"/>
      <c r="X196" s="377"/>
      <c r="Y196" s="377"/>
      <c r="Z196" s="377"/>
      <c r="AA196" s="377"/>
      <c r="AB196" s="377"/>
      <c r="AE196" s="211"/>
      <c r="AF196" s="210"/>
      <c r="AG196" s="373"/>
      <c r="AH196" s="173">
        <v>190</v>
      </c>
      <c r="AI196" s="173" t="s">
        <v>1315</v>
      </c>
      <c r="AJ196" s="209" t="str">
        <f t="shared" ca="1" si="40"/>
        <v/>
      </c>
      <c r="AL196" s="274" t="str">
        <f t="shared" si="41"/>
        <v/>
      </c>
    </row>
    <row r="197" spans="5:38" x14ac:dyDescent="0.25">
      <c r="E197" s="571" t="s">
        <v>817</v>
      </c>
      <c r="F197" s="576"/>
      <c r="J197" s="263">
        <v>1000260</v>
      </c>
      <c r="K197" s="268" t="s">
        <v>785</v>
      </c>
      <c r="L197" s="265"/>
      <c r="O197" s="377"/>
      <c r="P197" s="377"/>
      <c r="Q197" s="377"/>
      <c r="R197" s="377"/>
      <c r="S197" s="377"/>
      <c r="T197" s="377"/>
      <c r="U197" s="377"/>
      <c r="V197" s="377"/>
      <c r="W197" s="377"/>
      <c r="X197" s="377"/>
      <c r="Y197" s="377"/>
      <c r="Z197" s="377"/>
      <c r="AA197" s="377"/>
      <c r="AB197" s="377"/>
      <c r="AE197" s="211"/>
      <c r="AF197" s="210"/>
      <c r="AG197" s="373"/>
      <c r="AH197" s="173">
        <v>191</v>
      </c>
      <c r="AI197" s="173" t="s">
        <v>1316</v>
      </c>
      <c r="AJ197" s="209" t="str">
        <f t="shared" ca="1" si="40"/>
        <v/>
      </c>
      <c r="AL197" s="274" t="str">
        <f t="shared" si="41"/>
        <v/>
      </c>
    </row>
    <row r="198" spans="5:38" x14ac:dyDescent="0.25">
      <c r="E198" s="571" t="s">
        <v>818</v>
      </c>
      <c r="F198" s="576"/>
      <c r="J198" s="263">
        <v>1000270</v>
      </c>
      <c r="K198" s="268" t="s">
        <v>790</v>
      </c>
      <c r="L198" s="265"/>
      <c r="O198" s="377" t="s">
        <v>1409</v>
      </c>
      <c r="P198" s="377"/>
      <c r="Q198" s="385">
        <f ca="1">IFERROR(YEAR(TODAY())-$Q$180,25)</f>
        <v>2022</v>
      </c>
      <c r="R198" s="377" t="s">
        <v>1410</v>
      </c>
      <c r="S198" s="377" t="str">
        <f>IF(Q182="Inside",Q198,"")</f>
        <v/>
      </c>
      <c r="T198" s="378">
        <v>20</v>
      </c>
      <c r="U198" s="388" t="str">
        <f>IF(Q179="Oil",IF(Q182="","Decline",IF(S198="","",IF(S198&gt;T198,"Decline","Accept"))),"")</f>
        <v/>
      </c>
      <c r="V198" s="377"/>
      <c r="W198" s="377"/>
      <c r="X198" s="377"/>
      <c r="Y198" s="377"/>
      <c r="Z198" s="377"/>
      <c r="AA198" s="377"/>
      <c r="AB198" s="377"/>
      <c r="AE198" s="211"/>
      <c r="AF198" s="210"/>
      <c r="AG198" s="373"/>
      <c r="AH198" s="173">
        <v>192</v>
      </c>
      <c r="AI198" s="173" t="s">
        <v>933</v>
      </c>
      <c r="AJ198" s="209" t="str">
        <f t="shared" ca="1" si="40"/>
        <v/>
      </c>
      <c r="AL198" s="274" t="str">
        <f t="shared" si="41"/>
        <v/>
      </c>
    </row>
    <row r="199" spans="5:38" x14ac:dyDescent="0.25">
      <c r="E199" s="571" t="s">
        <v>819</v>
      </c>
      <c r="F199" s="576" t="s">
        <v>936</v>
      </c>
      <c r="J199" s="263">
        <v>1000280</v>
      </c>
      <c r="K199" s="268" t="s">
        <v>795</v>
      </c>
      <c r="L199" s="265"/>
      <c r="O199" s="377"/>
      <c r="P199" s="377"/>
      <c r="Q199" s="377"/>
      <c r="R199" s="377" t="s">
        <v>1411</v>
      </c>
      <c r="S199" s="377" t="str">
        <f>IF(Q182="Outside",Q198,"")</f>
        <v/>
      </c>
      <c r="T199" s="378">
        <v>15</v>
      </c>
      <c r="U199" s="388" t="str">
        <f>IF(S199="","",IF(S199&gt;T199,"Decline","Accept"))</f>
        <v/>
      </c>
      <c r="V199" s="377"/>
      <c r="W199" s="377"/>
      <c r="X199" s="377"/>
      <c r="Y199" s="377"/>
      <c r="Z199" s="377"/>
      <c r="AA199" s="377"/>
      <c r="AB199" s="377"/>
      <c r="AE199" s="211"/>
      <c r="AF199" s="210"/>
      <c r="AG199" s="373"/>
      <c r="AH199" s="173">
        <v>193</v>
      </c>
      <c r="AI199" s="173" t="s">
        <v>1317</v>
      </c>
      <c r="AJ199" s="209" t="str">
        <f t="shared" ca="1" si="40"/>
        <v/>
      </c>
      <c r="AL199" s="274" t="str">
        <f t="shared" si="41"/>
        <v/>
      </c>
    </row>
    <row r="200" spans="5:38" x14ac:dyDescent="0.25">
      <c r="E200" s="571" t="s">
        <v>636</v>
      </c>
      <c r="F200" s="576" t="s">
        <v>936</v>
      </c>
      <c r="J200" s="263" t="s">
        <v>800</v>
      </c>
      <c r="K200" s="268" t="s">
        <v>801</v>
      </c>
      <c r="L200" s="265"/>
      <c r="O200" s="377"/>
      <c r="P200" s="377"/>
      <c r="Q200" s="377"/>
      <c r="R200" s="377"/>
      <c r="S200" s="377"/>
      <c r="T200" s="377"/>
      <c r="U200" s="377"/>
      <c r="V200" s="377"/>
      <c r="W200" s="377"/>
      <c r="X200" s="377"/>
      <c r="Y200" s="377"/>
      <c r="Z200" s="377"/>
      <c r="AA200" s="377"/>
      <c r="AB200" s="377"/>
      <c r="AE200" s="211"/>
      <c r="AF200" s="210"/>
      <c r="AG200" s="373"/>
      <c r="AH200" s="173">
        <v>194</v>
      </c>
      <c r="AI200" s="173" t="s">
        <v>1318</v>
      </c>
      <c r="AJ200" s="209" t="str">
        <f t="shared" ca="1" si="40"/>
        <v/>
      </c>
      <c r="AL200" s="274" t="str">
        <f t="shared" si="41"/>
        <v/>
      </c>
    </row>
    <row r="201" spans="5:38" x14ac:dyDescent="0.25">
      <c r="E201" s="571" t="s">
        <v>572</v>
      </c>
      <c r="F201" s="576" t="s">
        <v>936</v>
      </c>
      <c r="J201" s="265"/>
      <c r="K201" s="265"/>
      <c r="L201" s="265"/>
      <c r="O201" s="377"/>
      <c r="P201" s="377"/>
      <c r="Q201" s="377"/>
      <c r="R201" s="288" t="s">
        <v>1412</v>
      </c>
      <c r="S201" s="377"/>
      <c r="T201" s="377"/>
      <c r="U201" s="248" t="str">
        <f>IF(OR(U179="Decline",U194="Decline",U198="Decline",U199="Decline"),"Decline","Accept")</f>
        <v>Decline</v>
      </c>
      <c r="V201" s="377"/>
      <c r="W201" s="377"/>
      <c r="X201" s="377"/>
      <c r="Y201" s="377"/>
      <c r="Z201" s="377"/>
      <c r="AA201" s="377"/>
      <c r="AB201" s="377"/>
      <c r="AE201" s="211"/>
      <c r="AF201" s="210"/>
      <c r="AG201" s="373"/>
      <c r="AH201" s="173">
        <v>195</v>
      </c>
      <c r="AI201" s="173" t="s">
        <v>494</v>
      </c>
      <c r="AJ201" s="209" t="str">
        <f t="shared" ca="1" si="40"/>
        <v/>
      </c>
      <c r="AL201" s="274" t="str">
        <f t="shared" si="41"/>
        <v>Tenant's Improvements</v>
      </c>
    </row>
    <row r="202" spans="5:38" x14ac:dyDescent="0.25">
      <c r="E202" s="571" t="s">
        <v>825</v>
      </c>
      <c r="F202" s="576" t="s">
        <v>936</v>
      </c>
      <c r="J202" s="265"/>
      <c r="K202" s="265"/>
      <c r="L202" s="265"/>
      <c r="O202" s="377"/>
      <c r="P202" s="377"/>
      <c r="Q202" s="377"/>
      <c r="R202" s="377"/>
      <c r="S202" s="377"/>
      <c r="T202" s="377"/>
      <c r="U202" s="377"/>
      <c r="V202" s="377"/>
      <c r="W202" s="377"/>
      <c r="X202" s="377"/>
      <c r="Y202" s="377"/>
      <c r="Z202" s="377"/>
      <c r="AA202" s="377"/>
      <c r="AB202" s="377"/>
      <c r="AE202" s="211"/>
      <c r="AF202" s="210"/>
      <c r="AG202" s="373"/>
      <c r="AH202" s="173">
        <v>196</v>
      </c>
      <c r="AI202" s="173" t="s">
        <v>1319</v>
      </c>
      <c r="AJ202" s="209" t="str">
        <f t="shared" ca="1" si="40"/>
        <v/>
      </c>
      <c r="AL202" s="274" t="str">
        <f t="shared" si="41"/>
        <v/>
      </c>
    </row>
    <row r="203" spans="5:38" x14ac:dyDescent="0.25">
      <c r="E203" s="571" t="s">
        <v>828</v>
      </c>
      <c r="F203" s="576" t="s">
        <v>898</v>
      </c>
      <c r="J203" s="265"/>
      <c r="K203" s="265"/>
      <c r="L203" s="265"/>
      <c r="O203" s="238" t="s">
        <v>957</v>
      </c>
      <c r="R203" s="175"/>
      <c r="T203" s="175"/>
      <c r="AE203" s="211"/>
      <c r="AF203" s="210"/>
      <c r="AG203" s="373"/>
      <c r="AH203" s="173">
        <v>197</v>
      </c>
      <c r="AI203" s="173" t="s">
        <v>1320</v>
      </c>
      <c r="AJ203" s="209" t="str">
        <f t="shared" ca="1" si="40"/>
        <v/>
      </c>
      <c r="AL203" s="274" t="str">
        <f t="shared" si="41"/>
        <v/>
      </c>
    </row>
    <row r="204" spans="5:38" x14ac:dyDescent="0.25">
      <c r="E204" s="571" t="s">
        <v>829</v>
      </c>
      <c r="F204" s="576"/>
      <c r="J204" s="265"/>
      <c r="K204" s="265"/>
      <c r="L204" s="265"/>
      <c r="O204" s="151" t="s">
        <v>655</v>
      </c>
      <c r="Q204" s="239" t="s">
        <v>656</v>
      </c>
      <c r="R204" s="240" t="s">
        <v>657</v>
      </c>
      <c r="S204" s="240" t="s">
        <v>658</v>
      </c>
      <c r="T204" s="240"/>
      <c r="U204" s="61" t="s">
        <v>737</v>
      </c>
      <c r="AE204" s="211"/>
      <c r="AF204" s="210"/>
      <c r="AG204" s="373"/>
      <c r="AH204" s="173">
        <v>198</v>
      </c>
      <c r="AI204" s="173" t="s">
        <v>1321</v>
      </c>
      <c r="AJ204" s="209" t="str">
        <f t="shared" ca="1" si="40"/>
        <v/>
      </c>
      <c r="AL204" s="274" t="str">
        <f t="shared" si="41"/>
        <v/>
      </c>
    </row>
    <row r="205" spans="5:38" x14ac:dyDescent="0.25">
      <c r="E205" s="571" t="s">
        <v>832</v>
      </c>
      <c r="F205" s="576"/>
      <c r="J205" s="265"/>
      <c r="K205" s="265"/>
      <c r="L205" s="265"/>
      <c r="O205" s="173" t="s">
        <v>958</v>
      </c>
      <c r="Q205" s="269">
        <f>C101</f>
        <v>0</v>
      </c>
      <c r="R205" s="279" t="s">
        <v>922</v>
      </c>
      <c r="S205" s="279">
        <v>10000</v>
      </c>
      <c r="U205" s="317">
        <f>IFERROR(VLOOKUP(Q216,$R$205:$S$213,2,FALSE),0)</f>
        <v>10000</v>
      </c>
      <c r="AE205" s="211"/>
      <c r="AF205" s="210"/>
      <c r="AG205" s="373"/>
      <c r="AH205" s="173">
        <v>199</v>
      </c>
      <c r="AI205" s="173" t="s">
        <v>1322</v>
      </c>
      <c r="AJ205" s="209" t="str">
        <f t="shared" ref="AJ205:AJ217" ca="1" si="42">IFERROR(IF($AJ$7&lt;&gt;"Quote","",IF(VLOOKUP(AI205,$AF$7:$AG$237,2,FALSE)=0,"-",VLOOKUP(AI205,$AF$7:$AG$237,2,FALSE))),"-")</f>
        <v/>
      </c>
      <c r="AL205" s="274" t="str">
        <f t="shared" ref="AL205:AL217" si="43">IFERROR(VLOOKUP(AI205,$AF$7:$AF$203,1,FALSE),"")</f>
        <v/>
      </c>
    </row>
    <row r="206" spans="5:38" x14ac:dyDescent="0.25">
      <c r="E206" s="571" t="s">
        <v>567</v>
      </c>
      <c r="F206" s="576"/>
      <c r="J206" s="265"/>
      <c r="K206" s="265"/>
      <c r="L206" s="265"/>
      <c r="O206" s="173" t="s">
        <v>777</v>
      </c>
      <c r="Q206" s="269">
        <f>C102</f>
        <v>0</v>
      </c>
      <c r="R206" s="279" t="s">
        <v>932</v>
      </c>
      <c r="S206" s="279">
        <v>10000</v>
      </c>
      <c r="AE206" s="211"/>
      <c r="AF206" s="210"/>
      <c r="AG206" s="373"/>
      <c r="AH206" s="173">
        <v>200</v>
      </c>
      <c r="AI206" s="173" t="s">
        <v>1323</v>
      </c>
      <c r="AJ206" s="209" t="str">
        <f t="shared" ca="1" si="42"/>
        <v/>
      </c>
      <c r="AL206" s="274" t="str">
        <f t="shared" si="43"/>
        <v/>
      </c>
    </row>
    <row r="207" spans="5:38" x14ac:dyDescent="0.25">
      <c r="E207" s="571" t="s">
        <v>836</v>
      </c>
      <c r="F207" s="577">
        <v>2500</v>
      </c>
      <c r="O207" s="173" t="s">
        <v>782</v>
      </c>
      <c r="Q207" s="269">
        <f>C103</f>
        <v>0</v>
      </c>
      <c r="R207" s="279">
        <v>0</v>
      </c>
      <c r="S207" s="279">
        <v>10000</v>
      </c>
      <c r="U207" s="262"/>
      <c r="AE207" s="211"/>
      <c r="AF207" s="210"/>
      <c r="AG207" s="373"/>
      <c r="AH207" s="173">
        <v>201</v>
      </c>
      <c r="AI207" s="173" t="s">
        <v>1324</v>
      </c>
      <c r="AJ207" s="209" t="str">
        <f t="shared" ca="1" si="42"/>
        <v/>
      </c>
      <c r="AL207" s="274" t="str">
        <f t="shared" si="43"/>
        <v/>
      </c>
    </row>
    <row r="208" spans="5:38" x14ac:dyDescent="0.25">
      <c r="E208" s="571" t="s">
        <v>839</v>
      </c>
      <c r="F208" s="572" t="s">
        <v>970</v>
      </c>
      <c r="O208" s="173" t="s">
        <v>785</v>
      </c>
      <c r="Q208" s="269">
        <f>C104</f>
        <v>0</v>
      </c>
      <c r="R208" s="209">
        <v>2500</v>
      </c>
      <c r="S208" s="279">
        <v>10000</v>
      </c>
      <c r="AE208" s="211"/>
      <c r="AF208" s="210"/>
      <c r="AG208" s="373"/>
      <c r="AH208" s="173">
        <v>202</v>
      </c>
      <c r="AI208" s="173" t="s">
        <v>1325</v>
      </c>
      <c r="AJ208" s="209" t="str">
        <f t="shared" ca="1" si="42"/>
        <v/>
      </c>
      <c r="AL208" s="274" t="str">
        <f t="shared" si="43"/>
        <v/>
      </c>
    </row>
    <row r="209" spans="5:40" x14ac:dyDescent="0.25">
      <c r="E209" s="571" t="s">
        <v>842</v>
      </c>
      <c r="F209" s="572" t="s">
        <v>394</v>
      </c>
      <c r="O209" s="173" t="s">
        <v>790</v>
      </c>
      <c r="Q209" s="269">
        <f>C105</f>
        <v>0</v>
      </c>
      <c r="R209" s="209">
        <v>5000</v>
      </c>
      <c r="S209" s="279">
        <v>10000</v>
      </c>
      <c r="AE209" s="211"/>
      <c r="AF209" s="210"/>
      <c r="AG209" s="373"/>
      <c r="AH209" s="173">
        <v>203</v>
      </c>
      <c r="AI209" s="173" t="s">
        <v>1326</v>
      </c>
      <c r="AJ209" s="209" t="str">
        <f t="shared" ca="1" si="42"/>
        <v/>
      </c>
      <c r="AL209" s="274" t="str">
        <f t="shared" si="43"/>
        <v/>
      </c>
    </row>
    <row r="210" spans="5:40" x14ac:dyDescent="0.25">
      <c r="E210" s="571" t="s">
        <v>845</v>
      </c>
      <c r="F210" s="572"/>
      <c r="R210" s="209">
        <v>10000</v>
      </c>
      <c r="S210" s="279">
        <v>10000</v>
      </c>
      <c r="T210" s="272"/>
      <c r="U210" s="361"/>
      <c r="V210" s="361"/>
      <c r="AE210" s="211"/>
      <c r="AF210" s="210"/>
      <c r="AG210" s="373"/>
      <c r="AH210" s="173">
        <v>204</v>
      </c>
      <c r="AI210" s="173" t="s">
        <v>1327</v>
      </c>
      <c r="AJ210" s="209" t="str">
        <f t="shared" ca="1" si="42"/>
        <v/>
      </c>
      <c r="AL210" s="274" t="str">
        <f t="shared" si="43"/>
        <v/>
      </c>
    </row>
    <row r="211" spans="5:40" x14ac:dyDescent="0.25">
      <c r="E211" s="571" t="s">
        <v>847</v>
      </c>
      <c r="F211" s="578">
        <v>2</v>
      </c>
      <c r="O211" s="173" t="s">
        <v>959</v>
      </c>
      <c r="Q211" s="262">
        <f>SUM(Q206:Q209)</f>
        <v>0</v>
      </c>
      <c r="R211" s="209">
        <v>50000</v>
      </c>
      <c r="S211" s="279">
        <v>25000</v>
      </c>
      <c r="T211" s="273"/>
      <c r="U211" s="272"/>
      <c r="V211" s="272"/>
      <c r="AE211" s="211"/>
      <c r="AF211" s="210"/>
      <c r="AG211" s="373"/>
      <c r="AH211" s="173">
        <v>205</v>
      </c>
      <c r="AI211" s="173" t="s">
        <v>1328</v>
      </c>
      <c r="AJ211" s="209" t="str">
        <f t="shared" ca="1" si="42"/>
        <v/>
      </c>
      <c r="AL211" s="274" t="str">
        <f t="shared" si="43"/>
        <v xml:space="preserve">Equipment  </v>
      </c>
    </row>
    <row r="212" spans="5:40" x14ac:dyDescent="0.25">
      <c r="E212" s="571" t="s">
        <v>849</v>
      </c>
      <c r="F212" s="572" t="s">
        <v>394</v>
      </c>
      <c r="R212" s="209">
        <v>100000</v>
      </c>
      <c r="S212" s="279">
        <v>25000</v>
      </c>
      <c r="T212" s="273"/>
      <c r="U212" s="272"/>
      <c r="V212" s="272"/>
      <c r="AE212" s="211"/>
      <c r="AF212" s="210"/>
      <c r="AG212" s="373"/>
      <c r="AH212" s="173">
        <v>206</v>
      </c>
      <c r="AI212" s="173" t="s">
        <v>1329</v>
      </c>
      <c r="AJ212" s="209" t="str">
        <f t="shared" ca="1" si="42"/>
        <v/>
      </c>
      <c r="AL212" s="274" t="str">
        <f t="shared" si="43"/>
        <v>Premium quoted</v>
      </c>
    </row>
    <row r="213" spans="5:40" x14ac:dyDescent="0.25">
      <c r="E213" s="571" t="s">
        <v>854</v>
      </c>
      <c r="F213" s="572" t="s">
        <v>783</v>
      </c>
      <c r="O213" s="274" t="s">
        <v>903</v>
      </c>
      <c r="P213" s="274"/>
      <c r="Q213" s="260">
        <f>IF(Q211&gt;R213,R213,IFERROR(VLOOKUP(Q211,R205:R213,1,FALSE),"No match"))</f>
        <v>0</v>
      </c>
      <c r="R213" s="209">
        <v>250000</v>
      </c>
      <c r="S213" s="279">
        <v>25000</v>
      </c>
      <c r="T213" s="273"/>
      <c r="U213" s="272"/>
      <c r="V213" s="272"/>
      <c r="AE213" s="211"/>
      <c r="AF213" s="210"/>
      <c r="AG213" s="373"/>
      <c r="AH213" s="173">
        <v>207</v>
      </c>
      <c r="AI213" s="173" t="s">
        <v>1330</v>
      </c>
      <c r="AJ213" s="209" t="str">
        <f t="shared" ca="1" si="42"/>
        <v/>
      </c>
      <c r="AL213" s="274" t="str">
        <f t="shared" si="43"/>
        <v/>
      </c>
    </row>
    <row r="214" spans="5:40" x14ac:dyDescent="0.25">
      <c r="E214" s="571" t="s">
        <v>857</v>
      </c>
      <c r="F214" s="572" t="s">
        <v>855</v>
      </c>
      <c r="O214" s="274" t="s">
        <v>904</v>
      </c>
      <c r="P214" s="274"/>
      <c r="Q214" s="259">
        <f>MATCH(VLOOKUP(Q211,R205:R213,1,TRUE),R205:R213,0)</f>
        <v>3</v>
      </c>
      <c r="T214" s="272"/>
      <c r="U214" s="272"/>
      <c r="V214" s="272"/>
      <c r="AE214" s="211"/>
      <c r="AF214" s="210"/>
      <c r="AG214" s="373"/>
      <c r="AH214" s="173">
        <v>208</v>
      </c>
      <c r="AI214" s="173" t="s">
        <v>1331</v>
      </c>
      <c r="AJ214" s="232" t="str">
        <f t="shared" ca="1" si="42"/>
        <v/>
      </c>
      <c r="AL214" s="274" t="str">
        <f t="shared" si="43"/>
        <v>Commission rate</v>
      </c>
    </row>
    <row r="215" spans="5:40" x14ac:dyDescent="0.25">
      <c r="E215" s="571" t="s">
        <v>860</v>
      </c>
      <c r="F215" s="572" t="s">
        <v>858</v>
      </c>
      <c r="O215" s="274" t="s">
        <v>906</v>
      </c>
      <c r="P215" s="274"/>
      <c r="Q215" s="259" cm="1">
        <f t="array" ref="Q215">INDEX(R205:R213,Q214+1)</f>
        <v>2500</v>
      </c>
      <c r="T215" s="209"/>
      <c r="U215" s="279"/>
      <c r="V215" s="272"/>
      <c r="W215" s="274"/>
      <c r="X215" s="274"/>
      <c r="Y215" s="274"/>
      <c r="Z215" s="274"/>
      <c r="AA215" s="274"/>
      <c r="AB215" s="274"/>
      <c r="AE215" s="211"/>
      <c r="AF215" s="210"/>
      <c r="AG215" s="373"/>
      <c r="AH215" s="173">
        <v>209</v>
      </c>
      <c r="AI215" s="173" t="s">
        <v>1332</v>
      </c>
      <c r="AJ215" s="209" t="str">
        <f t="shared" ca="1" si="42"/>
        <v/>
      </c>
      <c r="AL215" s="274" t="str">
        <f t="shared" si="43"/>
        <v>Minimum retained premium</v>
      </c>
    </row>
    <row r="216" spans="5:40" x14ac:dyDescent="0.25">
      <c r="E216" s="571" t="s">
        <v>863</v>
      </c>
      <c r="F216" s="572" t="s">
        <v>219</v>
      </c>
      <c r="O216" s="274" t="s">
        <v>908</v>
      </c>
      <c r="P216" s="274"/>
      <c r="Q216" s="259">
        <f>IF(Q213="No match",Q215,Q213)</f>
        <v>0</v>
      </c>
      <c r="T216" s="209"/>
      <c r="U216" s="274"/>
      <c r="V216" s="272"/>
      <c r="W216" s="274"/>
      <c r="X216" s="274"/>
      <c r="Y216" s="274"/>
      <c r="Z216" s="274"/>
      <c r="AA216" s="274"/>
      <c r="AB216" s="274"/>
      <c r="AE216" s="211"/>
      <c r="AF216" s="210"/>
      <c r="AG216" s="373"/>
      <c r="AH216" s="173">
        <v>210</v>
      </c>
      <c r="AI216" s="272" t="s">
        <v>1333</v>
      </c>
      <c r="AJ216" s="384" t="str">
        <f t="shared" ca="1" si="42"/>
        <v/>
      </c>
      <c r="AL216" s="274" t="str">
        <f t="shared" si="43"/>
        <v>Quote expiry date</v>
      </c>
      <c r="AN216" s="272"/>
    </row>
    <row r="217" spans="5:40" x14ac:dyDescent="0.25">
      <c r="E217" s="571" t="s">
        <v>868</v>
      </c>
      <c r="F217" s="572" t="s">
        <v>596</v>
      </c>
      <c r="T217" s="209"/>
      <c r="U217" s="274"/>
      <c r="V217" s="272"/>
      <c r="W217" s="274"/>
      <c r="X217" s="274"/>
      <c r="Y217" s="274"/>
      <c r="Z217" s="274"/>
      <c r="AA217" s="274"/>
      <c r="AB217" s="274"/>
      <c r="AE217" s="211"/>
      <c r="AF217" s="210"/>
      <c r="AG217" s="373"/>
      <c r="AH217" s="173">
        <v>211</v>
      </c>
      <c r="AI217" s="173" t="s">
        <v>1334</v>
      </c>
      <c r="AJ217" s="209" t="str">
        <f t="shared" ca="1" si="42"/>
        <v/>
      </c>
      <c r="AL217" s="274" t="str">
        <f t="shared" si="43"/>
        <v/>
      </c>
    </row>
    <row r="218" spans="5:40" x14ac:dyDescent="0.25">
      <c r="E218" s="571" t="s">
        <v>1045</v>
      </c>
      <c r="F218" s="572">
        <v>2010</v>
      </c>
      <c r="O218" s="274"/>
      <c r="P218" s="274"/>
      <c r="Q218" s="274"/>
      <c r="R218" s="274"/>
      <c r="S218" s="274"/>
      <c r="T218" s="209"/>
      <c r="U218" s="274"/>
      <c r="V218" s="272"/>
      <c r="W218" s="274"/>
      <c r="X218" s="274"/>
      <c r="Y218" s="274"/>
      <c r="Z218" s="274"/>
      <c r="AA218" s="274"/>
      <c r="AB218" s="274"/>
      <c r="AE218" s="211"/>
      <c r="AF218" s="210"/>
      <c r="AG218" s="373"/>
    </row>
    <row r="219" spans="5:40" x14ac:dyDescent="0.25">
      <c r="E219" s="571" t="s">
        <v>1046</v>
      </c>
      <c r="F219" s="572"/>
      <c r="O219" s="238" t="s">
        <v>1280</v>
      </c>
      <c r="P219" s="274"/>
      <c r="Q219" s="274"/>
      <c r="S219" s="274"/>
      <c r="T219" s="209"/>
      <c r="U219" s="274"/>
      <c r="V219" s="272"/>
      <c r="W219" s="274"/>
      <c r="X219" s="274"/>
      <c r="Y219" s="274"/>
      <c r="Z219" s="274"/>
      <c r="AA219" s="274"/>
      <c r="AB219" s="274"/>
      <c r="AE219" s="211"/>
      <c r="AF219" s="210"/>
      <c r="AG219" s="373"/>
    </row>
    <row r="220" spans="5:40" x14ac:dyDescent="0.25">
      <c r="E220" s="571" t="s">
        <v>1047</v>
      </c>
      <c r="F220" s="572"/>
      <c r="O220" s="288" t="s">
        <v>655</v>
      </c>
      <c r="P220" s="274"/>
      <c r="Q220" s="239" t="s">
        <v>656</v>
      </c>
      <c r="R220" s="240" t="s">
        <v>657</v>
      </c>
      <c r="S220" s="240" t="s">
        <v>658</v>
      </c>
      <c r="T220" s="209"/>
      <c r="U220" s="281" t="s">
        <v>737</v>
      </c>
      <c r="V220" s="272"/>
      <c r="W220" s="274"/>
      <c r="X220" s="274"/>
      <c r="Y220" s="274"/>
      <c r="Z220" s="274"/>
      <c r="AA220" s="274"/>
      <c r="AB220" s="274"/>
      <c r="AE220" s="211"/>
      <c r="AF220" s="210"/>
      <c r="AG220" s="373"/>
    </row>
    <row r="221" spans="5:40" x14ac:dyDescent="0.25">
      <c r="E221" s="571" t="s">
        <v>1048</v>
      </c>
      <c r="F221" s="572"/>
      <c r="O221" s="173" t="s">
        <v>795</v>
      </c>
      <c r="Q221" s="269">
        <f>IF(C106="Other",C107,C106)</f>
        <v>0</v>
      </c>
      <c r="R221" s="209" t="s">
        <v>922</v>
      </c>
      <c r="S221" s="279">
        <v>0</v>
      </c>
      <c r="T221" s="209"/>
      <c r="U221" s="317">
        <f>IFERROR(VLOOKUP(Q226,$R$221:$S$229,2,FALSE),0)</f>
        <v>0</v>
      </c>
      <c r="V221" s="272"/>
      <c r="W221" s="274"/>
      <c r="X221" s="274"/>
      <c r="Y221" s="274"/>
      <c r="Z221" s="274"/>
      <c r="AA221" s="274"/>
      <c r="AB221" s="274"/>
      <c r="AE221" s="211"/>
      <c r="AF221" s="210"/>
      <c r="AG221" s="373"/>
    </row>
    <row r="222" spans="5:40" x14ac:dyDescent="0.25">
      <c r="E222" s="571" t="s">
        <v>1055</v>
      </c>
      <c r="F222" s="572"/>
      <c r="O222" s="274"/>
      <c r="P222" s="274"/>
      <c r="Q222" s="274"/>
      <c r="R222" s="279">
        <v>0</v>
      </c>
      <c r="S222" s="279">
        <v>0</v>
      </c>
      <c r="T222" s="209"/>
      <c r="U222" s="274"/>
      <c r="V222" s="272"/>
      <c r="W222" s="274"/>
      <c r="X222" s="274"/>
      <c r="Y222" s="274"/>
      <c r="Z222" s="274"/>
      <c r="AA222" s="274"/>
      <c r="AB222" s="274"/>
      <c r="AE222" s="211"/>
      <c r="AF222" s="210"/>
      <c r="AG222" s="373"/>
    </row>
    <row r="223" spans="5:40" x14ac:dyDescent="0.25">
      <c r="E223" s="571" t="s">
        <v>1056</v>
      </c>
      <c r="F223" s="572"/>
      <c r="O223" s="274" t="s">
        <v>903</v>
      </c>
      <c r="P223" s="274"/>
      <c r="Q223" s="260">
        <f>IF(Q221&gt;R229,R229,IFERROR(VLOOKUP(Q221,R221:R229,1,FALSE),"No match"))</f>
        <v>0</v>
      </c>
      <c r="R223" s="209">
        <v>2500</v>
      </c>
      <c r="S223" s="279">
        <v>5000</v>
      </c>
      <c r="T223" s="209"/>
      <c r="U223" s="274"/>
      <c r="V223" s="272"/>
      <c r="W223" s="274"/>
      <c r="X223" s="274"/>
      <c r="Y223" s="274"/>
      <c r="Z223" s="274"/>
      <c r="AA223" s="274"/>
      <c r="AB223" s="274"/>
      <c r="AE223" s="211"/>
      <c r="AF223" s="210"/>
      <c r="AG223" s="373"/>
    </row>
    <row r="224" spans="5:40" x14ac:dyDescent="0.25">
      <c r="E224" s="571" t="s">
        <v>1059</v>
      </c>
      <c r="F224" s="572"/>
      <c r="O224" s="274" t="s">
        <v>904</v>
      </c>
      <c r="P224" s="274"/>
      <c r="Q224" s="259">
        <f>MATCH(VLOOKUP(Q221,R221:R229,1,TRUE),R221:R229,0)</f>
        <v>2</v>
      </c>
      <c r="R224" s="279">
        <v>5000</v>
      </c>
      <c r="S224" s="279">
        <v>5000</v>
      </c>
      <c r="T224" s="272"/>
      <c r="U224" s="272"/>
      <c r="V224" s="272"/>
      <c r="W224" s="274"/>
      <c r="X224" s="274"/>
      <c r="Y224" s="274"/>
      <c r="Z224" s="274"/>
      <c r="AA224" s="274"/>
      <c r="AB224" s="274"/>
      <c r="AE224" s="211"/>
      <c r="AF224" s="210"/>
      <c r="AG224" s="373"/>
    </row>
    <row r="225" spans="5:33" x14ac:dyDescent="0.25">
      <c r="E225" s="571" t="s">
        <v>1060</v>
      </c>
      <c r="F225" s="572"/>
      <c r="O225" s="274" t="s">
        <v>906</v>
      </c>
      <c r="P225" s="274"/>
      <c r="Q225" s="259" cm="1">
        <f t="array" ref="Q225">INDEX(R221:R229,Q224+1)</f>
        <v>2500</v>
      </c>
      <c r="R225" s="279">
        <v>10000</v>
      </c>
      <c r="S225" s="279">
        <v>10000</v>
      </c>
      <c r="T225" s="272"/>
      <c r="U225" s="272"/>
      <c r="V225" s="272"/>
      <c r="W225" s="274"/>
      <c r="X225" s="274"/>
      <c r="Y225" s="274"/>
      <c r="Z225" s="274"/>
      <c r="AA225" s="274"/>
      <c r="AB225" s="274"/>
      <c r="AE225" s="211"/>
      <c r="AF225" s="210"/>
      <c r="AG225" s="373"/>
    </row>
    <row r="226" spans="5:33" x14ac:dyDescent="0.25">
      <c r="E226" s="571" t="s">
        <v>870</v>
      </c>
      <c r="F226" s="572"/>
      <c r="O226" s="274" t="s">
        <v>908</v>
      </c>
      <c r="P226" s="274"/>
      <c r="Q226" s="259">
        <f>IF(Q223="No match",Q225,Q223)</f>
        <v>0</v>
      </c>
      <c r="R226" s="209">
        <v>25000</v>
      </c>
      <c r="S226" s="279">
        <v>10000</v>
      </c>
      <c r="T226" s="272"/>
      <c r="U226" s="272"/>
      <c r="V226" s="272"/>
      <c r="AE226" s="211"/>
      <c r="AF226" s="210"/>
      <c r="AG226" s="373"/>
    </row>
    <row r="227" spans="5:33" x14ac:dyDescent="0.25">
      <c r="E227" s="571" t="s">
        <v>873</v>
      </c>
      <c r="F227" s="572" t="s">
        <v>369</v>
      </c>
      <c r="R227" s="209">
        <v>50000</v>
      </c>
      <c r="S227" s="279">
        <v>10000</v>
      </c>
      <c r="AE227" s="211"/>
      <c r="AF227" s="210"/>
      <c r="AG227" s="373"/>
    </row>
    <row r="228" spans="5:33" x14ac:dyDescent="0.25">
      <c r="E228" s="571" t="s">
        <v>877</v>
      </c>
      <c r="F228" s="572" t="s">
        <v>874</v>
      </c>
      <c r="R228" s="209">
        <v>100000</v>
      </c>
      <c r="S228" s="279">
        <v>10000</v>
      </c>
      <c r="AE228" s="211"/>
      <c r="AF228" s="210"/>
      <c r="AG228" s="373"/>
    </row>
    <row r="229" spans="5:33" x14ac:dyDescent="0.25">
      <c r="E229" s="571" t="s">
        <v>880</v>
      </c>
      <c r="F229" s="572" t="s">
        <v>369</v>
      </c>
      <c r="R229" s="209">
        <v>250000</v>
      </c>
      <c r="S229" s="279">
        <v>10000</v>
      </c>
      <c r="T229" s="274"/>
      <c r="U229" s="274"/>
      <c r="V229" s="274"/>
      <c r="W229" s="274"/>
      <c r="X229" s="274"/>
      <c r="Y229" s="274"/>
      <c r="Z229" s="274"/>
      <c r="AA229" s="274"/>
      <c r="AB229" s="274"/>
      <c r="AE229" s="211"/>
      <c r="AF229" s="210"/>
      <c r="AG229" s="373"/>
    </row>
    <row r="230" spans="5:33" x14ac:dyDescent="0.25">
      <c r="E230" s="571" t="s">
        <v>1402</v>
      </c>
      <c r="F230" s="572"/>
      <c r="R230" s="274"/>
      <c r="S230" s="274"/>
      <c r="T230" s="274"/>
      <c r="U230" s="274"/>
      <c r="V230" s="274"/>
      <c r="W230" s="274"/>
      <c r="X230" s="274"/>
      <c r="Y230" s="274"/>
      <c r="Z230" s="274"/>
      <c r="AA230" s="274"/>
      <c r="AB230" s="274"/>
      <c r="AE230" s="211"/>
      <c r="AF230" s="210"/>
      <c r="AG230" s="373"/>
    </row>
    <row r="231" spans="5:33" x14ac:dyDescent="0.25">
      <c r="E231" s="571" t="s">
        <v>1404</v>
      </c>
      <c r="F231" s="572"/>
      <c r="O231" s="274"/>
      <c r="P231" s="274"/>
      <c r="Q231" s="274"/>
      <c r="R231" s="274"/>
      <c r="S231" s="274"/>
      <c r="T231" s="274"/>
      <c r="U231" s="274"/>
      <c r="V231" s="274"/>
      <c r="W231" s="274"/>
      <c r="X231" s="274"/>
      <c r="Y231" s="274"/>
      <c r="Z231" s="274"/>
      <c r="AA231" s="274"/>
      <c r="AB231" s="274"/>
      <c r="AE231" s="211"/>
      <c r="AF231" s="210"/>
      <c r="AG231" s="373"/>
    </row>
    <row r="232" spans="5:33" x14ac:dyDescent="0.25">
      <c r="E232" s="571" t="s">
        <v>1282</v>
      </c>
      <c r="F232" s="572"/>
      <c r="O232" s="274"/>
      <c r="P232" s="274"/>
      <c r="Q232" s="274"/>
      <c r="R232" s="274"/>
      <c r="S232" s="274"/>
      <c r="T232" s="274"/>
      <c r="U232" s="274"/>
      <c r="V232" s="274"/>
      <c r="W232" s="274"/>
      <c r="X232" s="274"/>
      <c r="Y232" s="274"/>
      <c r="Z232" s="274"/>
      <c r="AA232" s="274"/>
      <c r="AB232" s="274"/>
      <c r="AE232" s="211"/>
      <c r="AF232" s="210"/>
      <c r="AG232" s="373"/>
    </row>
    <row r="233" spans="5:33" x14ac:dyDescent="0.25">
      <c r="E233" s="571" t="s">
        <v>1284</v>
      </c>
      <c r="F233" s="572"/>
      <c r="O233" s="238" t="s">
        <v>616</v>
      </c>
      <c r="R233" s="175"/>
      <c r="T233" s="175"/>
      <c r="AE233" s="211"/>
      <c r="AF233" s="210"/>
      <c r="AG233" s="373"/>
    </row>
    <row r="234" spans="5:33" x14ac:dyDescent="0.25">
      <c r="E234" s="571" t="s">
        <v>1285</v>
      </c>
      <c r="F234" s="572"/>
      <c r="O234" s="151" t="s">
        <v>655</v>
      </c>
      <c r="Q234" s="239" t="s">
        <v>656</v>
      </c>
      <c r="R234" s="240" t="s">
        <v>657</v>
      </c>
      <c r="S234" s="61"/>
      <c r="T234" s="240" t="s">
        <v>658</v>
      </c>
      <c r="U234" s="61" t="s">
        <v>737</v>
      </c>
      <c r="AE234" s="211"/>
      <c r="AF234" s="210"/>
      <c r="AG234" s="373"/>
    </row>
    <row r="235" spans="5:33" x14ac:dyDescent="0.25">
      <c r="E235" s="571" t="s">
        <v>881</v>
      </c>
      <c r="F235" s="572"/>
      <c r="O235" s="173" t="s">
        <v>616</v>
      </c>
      <c r="Q235" s="249">
        <f>$C$97</f>
        <v>0</v>
      </c>
      <c r="R235" s="175" t="s">
        <v>936</v>
      </c>
      <c r="T235" s="209">
        <f>SUM(U93,U94,U98:U101,Q53*0.33)</f>
        <v>0</v>
      </c>
      <c r="U235" s="261">
        <f>IFERROR(VLOOKUP($Q$235,$R$235:$T$237,3,FALSE),0)</f>
        <v>0</v>
      </c>
      <c r="V235" s="272"/>
      <c r="AE235" s="211"/>
      <c r="AF235" s="210"/>
      <c r="AG235" s="373"/>
    </row>
    <row r="236" spans="5:33" x14ac:dyDescent="0.25">
      <c r="E236" s="571" t="s">
        <v>884</v>
      </c>
      <c r="F236" s="572">
        <v>50000</v>
      </c>
      <c r="Q236" s="250"/>
      <c r="R236" s="175" t="s">
        <v>749</v>
      </c>
      <c r="S236" s="262"/>
      <c r="T236" s="175">
        <v>0</v>
      </c>
      <c r="AE236" s="211"/>
      <c r="AF236" s="210"/>
      <c r="AG236" s="373"/>
    </row>
    <row r="237" spans="5:33" x14ac:dyDescent="0.25">
      <c r="E237" s="571" t="s">
        <v>627</v>
      </c>
      <c r="F237" s="572"/>
      <c r="R237" s="175" t="s">
        <v>922</v>
      </c>
      <c r="S237" s="262"/>
      <c r="T237" s="175">
        <v>0</v>
      </c>
      <c r="AE237" s="211"/>
      <c r="AF237" s="210"/>
      <c r="AG237" s="373"/>
    </row>
    <row r="238" spans="5:33" x14ac:dyDescent="0.25">
      <c r="E238" s="571" t="s">
        <v>1080</v>
      </c>
      <c r="F238" s="572"/>
      <c r="R238" s="175"/>
      <c r="S238" s="262"/>
      <c r="T238" s="175"/>
      <c r="AE238" s="211"/>
      <c r="AF238" s="210"/>
      <c r="AG238" s="373"/>
    </row>
    <row r="239" spans="5:33" x14ac:dyDescent="0.25">
      <c r="E239" s="571" t="s">
        <v>1081</v>
      </c>
      <c r="F239" s="572"/>
      <c r="O239" s="238" t="s">
        <v>960</v>
      </c>
      <c r="R239" s="175"/>
      <c r="T239" s="175"/>
      <c r="AE239" s="211"/>
      <c r="AF239" s="210"/>
      <c r="AG239" s="373"/>
    </row>
    <row r="240" spans="5:33" x14ac:dyDescent="0.25">
      <c r="E240" s="571" t="s">
        <v>1082</v>
      </c>
      <c r="F240" s="572"/>
      <c r="O240" s="151" t="s">
        <v>655</v>
      </c>
      <c r="Q240" s="239" t="s">
        <v>656</v>
      </c>
      <c r="R240" s="240" t="s">
        <v>657</v>
      </c>
      <c r="S240" s="240" t="s">
        <v>658</v>
      </c>
      <c r="T240" s="240"/>
      <c r="U240" s="61" t="s">
        <v>737</v>
      </c>
      <c r="AE240" s="211"/>
      <c r="AF240" s="210"/>
      <c r="AG240" s="373"/>
    </row>
    <row r="241" spans="5:33" x14ac:dyDescent="0.25">
      <c r="E241" s="571" t="s">
        <v>1083</v>
      </c>
      <c r="F241" s="572"/>
      <c r="O241" s="173" t="s">
        <v>960</v>
      </c>
      <c r="Q241" s="256">
        <f>C109</f>
        <v>0</v>
      </c>
      <c r="R241" s="173" t="s">
        <v>167</v>
      </c>
      <c r="S241" s="209" t="s">
        <v>167</v>
      </c>
      <c r="U241" s="258">
        <f>IFERROR(VLOOKUP(Q241,$R$241:$S$245,2,FALSE),0)</f>
        <v>0</v>
      </c>
      <c r="AE241" s="211"/>
      <c r="AF241" s="210"/>
      <c r="AG241" s="373"/>
    </row>
    <row r="242" spans="5:33" x14ac:dyDescent="0.25">
      <c r="E242" s="571" t="s">
        <v>1103</v>
      </c>
      <c r="F242" s="572"/>
      <c r="Q242" s="200"/>
      <c r="R242" s="173" t="s">
        <v>579</v>
      </c>
      <c r="S242" s="209" t="s">
        <v>167</v>
      </c>
      <c r="T242" s="175"/>
      <c r="AE242" s="211"/>
      <c r="AF242" s="210"/>
      <c r="AG242" s="373"/>
    </row>
    <row r="243" spans="5:33" x14ac:dyDescent="0.25">
      <c r="E243" s="571" t="s">
        <v>1104</v>
      </c>
      <c r="F243" s="572"/>
      <c r="Q243" s="200"/>
      <c r="R243" s="173" t="s">
        <v>961</v>
      </c>
      <c r="S243" s="209" t="s">
        <v>167</v>
      </c>
      <c r="T243" s="175"/>
      <c r="AE243" s="211"/>
      <c r="AF243" s="210"/>
      <c r="AG243" s="373"/>
    </row>
    <row r="244" spans="5:33" x14ac:dyDescent="0.25">
      <c r="E244" s="571" t="s">
        <v>1105</v>
      </c>
      <c r="F244" s="572"/>
      <c r="Q244" s="361"/>
      <c r="R244" s="173" t="s">
        <v>932</v>
      </c>
      <c r="S244" s="175">
        <v>0</v>
      </c>
      <c r="T244" s="175"/>
      <c r="AE244" s="211"/>
      <c r="AF244" s="210"/>
      <c r="AG244" s="373"/>
    </row>
    <row r="245" spans="5:33" x14ac:dyDescent="0.25">
      <c r="E245" s="571" t="s">
        <v>1106</v>
      </c>
      <c r="F245" s="572"/>
      <c r="R245" s="173" t="s">
        <v>922</v>
      </c>
      <c r="S245" s="175">
        <v>0</v>
      </c>
      <c r="AE245" s="211"/>
      <c r="AF245" s="210"/>
      <c r="AG245" s="373"/>
    </row>
    <row r="246" spans="5:33" x14ac:dyDescent="0.25">
      <c r="E246" s="571" t="s">
        <v>1107</v>
      </c>
      <c r="F246" s="572"/>
      <c r="AE246" s="211"/>
      <c r="AF246" s="210"/>
      <c r="AG246" s="373"/>
    </row>
    <row r="247" spans="5:33" x14ac:dyDescent="0.25">
      <c r="E247" s="571" t="s">
        <v>1108</v>
      </c>
      <c r="F247" s="572"/>
      <c r="AE247" s="211"/>
      <c r="AF247" s="210"/>
      <c r="AG247" s="373"/>
    </row>
    <row r="248" spans="5:33" x14ac:dyDescent="0.25">
      <c r="E248" s="571" t="s">
        <v>1110</v>
      </c>
      <c r="F248" s="572"/>
      <c r="O248" s="238" t="s">
        <v>962</v>
      </c>
      <c r="R248" s="175"/>
      <c r="T248" s="175"/>
      <c r="AE248" s="211"/>
      <c r="AF248" s="210"/>
      <c r="AG248" s="373"/>
    </row>
    <row r="249" spans="5:33" x14ac:dyDescent="0.25">
      <c r="E249" s="571" t="s">
        <v>1109</v>
      </c>
      <c r="F249" s="572"/>
      <c r="O249" s="151" t="s">
        <v>655</v>
      </c>
      <c r="Q249" s="239" t="s">
        <v>656</v>
      </c>
      <c r="R249" s="240" t="s">
        <v>657</v>
      </c>
      <c r="S249" s="240" t="s">
        <v>658</v>
      </c>
      <c r="T249" s="240"/>
      <c r="U249" s="61" t="s">
        <v>737</v>
      </c>
      <c r="AE249" s="211"/>
      <c r="AF249" s="210"/>
      <c r="AG249" s="373"/>
    </row>
    <row r="250" spans="5:33" x14ac:dyDescent="0.25">
      <c r="E250" s="571" t="s">
        <v>1115</v>
      </c>
      <c r="F250" s="572"/>
      <c r="O250" s="173" t="s">
        <v>963</v>
      </c>
      <c r="Q250" s="256">
        <f>C132</f>
        <v>0</v>
      </c>
      <c r="R250" s="173" t="s">
        <v>596</v>
      </c>
      <c r="S250" s="209" t="s">
        <v>394</v>
      </c>
      <c r="T250" s="209"/>
      <c r="U250" s="249" t="str">
        <f>IFERROR(VLOOKUP(Q250,R250:S254,2,FALSE),"No")</f>
        <v>No</v>
      </c>
      <c r="AE250" s="211"/>
      <c r="AF250" s="210"/>
      <c r="AG250" s="373"/>
    </row>
    <row r="251" spans="5:33" x14ac:dyDescent="0.25">
      <c r="E251" s="571" t="s">
        <v>1114</v>
      </c>
      <c r="F251" s="572"/>
      <c r="Q251" s="131"/>
      <c r="R251" s="173" t="s">
        <v>964</v>
      </c>
      <c r="S251" s="175" t="s">
        <v>369</v>
      </c>
      <c r="T251" s="175"/>
      <c r="AE251" s="211"/>
      <c r="AF251" s="210"/>
      <c r="AG251" s="373"/>
    </row>
    <row r="252" spans="5:33" x14ac:dyDescent="0.25">
      <c r="E252" s="571" t="s">
        <v>1112</v>
      </c>
      <c r="F252" s="572"/>
      <c r="R252" s="173" t="s">
        <v>965</v>
      </c>
      <c r="S252" s="175" t="s">
        <v>369</v>
      </c>
      <c r="AE252" s="211"/>
      <c r="AF252" s="210"/>
      <c r="AG252" s="373"/>
    </row>
    <row r="253" spans="5:33" x14ac:dyDescent="0.25">
      <c r="E253" s="571" t="s">
        <v>1111</v>
      </c>
      <c r="F253" s="572"/>
      <c r="R253" s="173" t="s">
        <v>966</v>
      </c>
      <c r="S253" s="175" t="s">
        <v>369</v>
      </c>
      <c r="AE253" s="211"/>
      <c r="AF253" s="210"/>
      <c r="AG253" s="373"/>
    </row>
    <row r="254" spans="5:33" x14ac:dyDescent="0.25">
      <c r="E254" s="571" t="s">
        <v>1113</v>
      </c>
      <c r="F254" s="572"/>
      <c r="R254" s="173" t="s">
        <v>967</v>
      </c>
      <c r="S254" s="175" t="s">
        <v>369</v>
      </c>
      <c r="AE254" s="211"/>
      <c r="AF254" s="210"/>
      <c r="AG254" s="373"/>
    </row>
    <row r="255" spans="5:33" x14ac:dyDescent="0.25">
      <c r="E255" s="571" t="s">
        <v>1116</v>
      </c>
      <c r="F255" s="572"/>
      <c r="S255" s="175"/>
      <c r="AE255" s="211"/>
      <c r="AF255" s="210"/>
      <c r="AG255" s="373"/>
    </row>
    <row r="256" spans="5:33" x14ac:dyDescent="0.25">
      <c r="E256" s="571" t="s">
        <v>1117</v>
      </c>
      <c r="F256" s="572"/>
      <c r="AE256" s="211"/>
      <c r="AF256" s="210"/>
      <c r="AG256" s="373"/>
    </row>
    <row r="257" spans="5:33" x14ac:dyDescent="0.25">
      <c r="E257" s="571" t="s">
        <v>1118</v>
      </c>
      <c r="F257" s="572"/>
      <c r="O257" s="238" t="s">
        <v>567</v>
      </c>
      <c r="R257" s="175"/>
      <c r="T257" s="175"/>
      <c r="AE257" s="211"/>
      <c r="AF257" s="210"/>
      <c r="AG257" s="373"/>
    </row>
    <row r="258" spans="5:33" x14ac:dyDescent="0.25">
      <c r="E258" s="571" t="s">
        <v>1120</v>
      </c>
      <c r="F258" s="572"/>
      <c r="O258" s="151" t="s">
        <v>655</v>
      </c>
      <c r="Q258" s="239" t="s">
        <v>656</v>
      </c>
      <c r="R258" s="240" t="s">
        <v>657</v>
      </c>
      <c r="S258" s="240" t="s">
        <v>658</v>
      </c>
      <c r="T258" s="240"/>
      <c r="U258" s="61" t="s">
        <v>737</v>
      </c>
      <c r="AE258" s="211"/>
      <c r="AF258" s="210"/>
      <c r="AG258" s="373"/>
    </row>
    <row r="259" spans="5:33" x14ac:dyDescent="0.25">
      <c r="E259" s="571" t="s">
        <v>1121</v>
      </c>
      <c r="F259" s="572"/>
      <c r="O259" s="173" t="s">
        <v>567</v>
      </c>
      <c r="Q259" s="256">
        <f>C122</f>
        <v>0</v>
      </c>
      <c r="R259" s="173">
        <v>0</v>
      </c>
      <c r="S259" s="209">
        <v>1000</v>
      </c>
      <c r="T259" s="209"/>
      <c r="U259" s="249">
        <f>IFERROR(VLOOKUP(Q259,$R$259:$S$267,2,FALSE),1000)</f>
        <v>1000</v>
      </c>
      <c r="AE259" s="211"/>
      <c r="AF259" s="210"/>
      <c r="AG259" s="373"/>
    </row>
    <row r="260" spans="5:33" x14ac:dyDescent="0.25">
      <c r="E260" s="571" t="s">
        <v>1122</v>
      </c>
      <c r="F260" s="572"/>
      <c r="Q260" s="131"/>
      <c r="R260" s="173">
        <v>500</v>
      </c>
      <c r="S260" s="175">
        <v>1000</v>
      </c>
      <c r="T260" s="175"/>
      <c r="AE260" s="211"/>
      <c r="AF260" s="210"/>
      <c r="AG260" s="373"/>
    </row>
    <row r="261" spans="5:33" x14ac:dyDescent="0.25">
      <c r="E261" s="571" t="s">
        <v>1123</v>
      </c>
      <c r="F261" s="572"/>
      <c r="R261" s="173">
        <v>1000</v>
      </c>
      <c r="S261" s="175">
        <v>1000</v>
      </c>
      <c r="AE261" s="211"/>
      <c r="AF261" s="210"/>
      <c r="AG261" s="373"/>
    </row>
    <row r="262" spans="5:33" x14ac:dyDescent="0.25">
      <c r="E262" s="571" t="s">
        <v>1125</v>
      </c>
      <c r="F262" s="572"/>
      <c r="R262" s="173">
        <v>1500</v>
      </c>
      <c r="S262" s="175">
        <v>2500</v>
      </c>
      <c r="AE262" s="211"/>
      <c r="AF262" s="210"/>
      <c r="AG262" s="373"/>
    </row>
    <row r="263" spans="5:33" x14ac:dyDescent="0.25">
      <c r="E263" s="571" t="s">
        <v>1124</v>
      </c>
      <c r="F263" s="572"/>
      <c r="R263" s="173">
        <v>2000</v>
      </c>
      <c r="S263" s="175">
        <v>2500</v>
      </c>
      <c r="AE263" s="211"/>
      <c r="AF263" s="210"/>
      <c r="AG263" s="373"/>
    </row>
    <row r="264" spans="5:33" x14ac:dyDescent="0.25">
      <c r="E264" s="571" t="s">
        <v>1109</v>
      </c>
      <c r="F264" s="572"/>
      <c r="R264" s="173">
        <v>2500</v>
      </c>
      <c r="S264" s="175">
        <v>2500</v>
      </c>
      <c r="AE264" s="211"/>
      <c r="AF264" s="210"/>
      <c r="AG264" s="373"/>
    </row>
    <row r="265" spans="5:33" x14ac:dyDescent="0.25">
      <c r="E265" s="571" t="s">
        <v>1126</v>
      </c>
      <c r="F265" s="572"/>
      <c r="R265" s="173">
        <v>5000</v>
      </c>
      <c r="S265" s="175">
        <v>5000</v>
      </c>
      <c r="AE265" s="211"/>
      <c r="AF265" s="210"/>
      <c r="AG265" s="373"/>
    </row>
    <row r="266" spans="5:33" x14ac:dyDescent="0.25">
      <c r="E266" s="571" t="s">
        <v>1127</v>
      </c>
      <c r="F266" s="572"/>
      <c r="R266" s="173">
        <v>7500</v>
      </c>
      <c r="S266" s="175">
        <v>5000</v>
      </c>
      <c r="AE266" s="211"/>
      <c r="AF266" s="210"/>
      <c r="AG266" s="373"/>
    </row>
    <row r="267" spans="5:33" x14ac:dyDescent="0.25">
      <c r="E267" s="571" t="s">
        <v>1128</v>
      </c>
      <c r="F267" s="572"/>
      <c r="R267" s="173">
        <v>10000</v>
      </c>
      <c r="S267" s="175">
        <v>5000</v>
      </c>
      <c r="AE267" s="211"/>
      <c r="AF267" s="210"/>
      <c r="AG267" s="373"/>
    </row>
    <row r="268" spans="5:33" x14ac:dyDescent="0.25">
      <c r="E268" s="571"/>
      <c r="F268" s="572"/>
      <c r="AE268" s="211"/>
      <c r="AF268" s="210"/>
      <c r="AG268" s="373"/>
    </row>
    <row r="269" spans="5:33" x14ac:dyDescent="0.25">
      <c r="AE269" s="211"/>
      <c r="AF269" s="210"/>
      <c r="AG269" s="373"/>
    </row>
    <row r="270" spans="5:33" x14ac:dyDescent="0.25">
      <c r="AE270" s="211"/>
      <c r="AF270" s="210"/>
      <c r="AG270" s="373"/>
    </row>
    <row r="271" spans="5:33" x14ac:dyDescent="0.25">
      <c r="O271" s="238" t="s">
        <v>968</v>
      </c>
      <c r="R271" s="175"/>
      <c r="T271" s="175"/>
      <c r="AE271" s="211"/>
      <c r="AF271" s="210"/>
      <c r="AG271" s="373"/>
    </row>
    <row r="272" spans="5:33" x14ac:dyDescent="0.25">
      <c r="O272" s="151" t="s">
        <v>655</v>
      </c>
      <c r="Q272" s="239" t="s">
        <v>656</v>
      </c>
      <c r="R272" s="240" t="s">
        <v>657</v>
      </c>
      <c r="S272" s="61"/>
      <c r="T272" s="240" t="s">
        <v>658</v>
      </c>
      <c r="U272" s="61" t="s">
        <v>938</v>
      </c>
      <c r="AE272" s="211"/>
      <c r="AF272" s="210"/>
      <c r="AG272" s="373"/>
    </row>
    <row r="273" spans="15:33" x14ac:dyDescent="0.25">
      <c r="O273" s="173" t="s">
        <v>969</v>
      </c>
      <c r="Q273" s="248">
        <f>$C$123</f>
        <v>0</v>
      </c>
      <c r="R273" s="173" t="s">
        <v>970</v>
      </c>
      <c r="T273" s="175" t="s">
        <v>394</v>
      </c>
      <c r="U273" s="243" t="str">
        <f>IFERROR(VLOOKUP(Q273,R273:T278,3,FALSE),"Yes")</f>
        <v>Yes</v>
      </c>
      <c r="AE273" s="211"/>
      <c r="AF273" s="210"/>
      <c r="AG273" s="373"/>
    </row>
    <row r="274" spans="15:33" x14ac:dyDescent="0.25">
      <c r="Q274" s="262"/>
      <c r="R274" s="173" t="s">
        <v>971</v>
      </c>
      <c r="T274" s="175" t="s">
        <v>369</v>
      </c>
      <c r="U274" s="175"/>
      <c r="AE274" s="211"/>
      <c r="AF274" s="210"/>
      <c r="AG274" s="373"/>
    </row>
    <row r="275" spans="15:33" x14ac:dyDescent="0.25">
      <c r="R275" s="173" t="s">
        <v>972</v>
      </c>
      <c r="T275" s="175" t="s">
        <v>369</v>
      </c>
      <c r="U275" s="379" t="s">
        <v>1382</v>
      </c>
      <c r="AE275" s="211"/>
      <c r="AF275" s="210"/>
      <c r="AG275" s="373"/>
    </row>
    <row r="276" spans="15:33" x14ac:dyDescent="0.25">
      <c r="R276" s="173" t="s">
        <v>973</v>
      </c>
      <c r="T276" s="175" t="s">
        <v>369</v>
      </c>
      <c r="AE276" s="211"/>
      <c r="AF276" s="210"/>
      <c r="AG276" s="373"/>
    </row>
    <row r="277" spans="15:33" x14ac:dyDescent="0.25">
      <c r="R277" s="173" t="s">
        <v>974</v>
      </c>
      <c r="T277" s="175" t="s">
        <v>369</v>
      </c>
      <c r="AE277" s="211"/>
      <c r="AF277" s="210"/>
      <c r="AG277" s="373"/>
    </row>
    <row r="278" spans="15:33" x14ac:dyDescent="0.25">
      <c r="R278" s="173" t="s">
        <v>975</v>
      </c>
      <c r="T278" s="175" t="s">
        <v>369</v>
      </c>
      <c r="AE278" s="211"/>
      <c r="AF278" s="210"/>
      <c r="AG278" s="373"/>
    </row>
    <row r="279" spans="15:33" x14ac:dyDescent="0.25">
      <c r="T279" s="175"/>
      <c r="AE279" s="211"/>
      <c r="AF279" s="210"/>
      <c r="AG279" s="373"/>
    </row>
    <row r="280" spans="15:33" x14ac:dyDescent="0.25">
      <c r="T280" s="175"/>
      <c r="AE280" s="211"/>
      <c r="AF280" s="210"/>
      <c r="AG280" s="373"/>
    </row>
    <row r="281" spans="15:33" x14ac:dyDescent="0.25">
      <c r="O281" s="238" t="s">
        <v>1284</v>
      </c>
      <c r="P281" s="274"/>
      <c r="Q281" s="274"/>
      <c r="R281" s="279"/>
      <c r="S281" s="274"/>
      <c r="T281" s="279"/>
      <c r="U281" s="274"/>
      <c r="V281" s="274"/>
      <c r="W281" s="274"/>
      <c r="X281" s="274"/>
      <c r="Y281" s="274"/>
      <c r="Z281" s="274"/>
      <c r="AA281" s="274"/>
      <c r="AB281" s="274"/>
      <c r="AE281" s="211"/>
      <c r="AF281" s="210"/>
      <c r="AG281" s="373"/>
    </row>
    <row r="282" spans="15:33" x14ac:dyDescent="0.25">
      <c r="O282" s="288" t="s">
        <v>655</v>
      </c>
      <c r="P282" s="274"/>
      <c r="Q282" s="239" t="s">
        <v>656</v>
      </c>
      <c r="R282" s="240" t="s">
        <v>657</v>
      </c>
      <c r="S282" s="281"/>
      <c r="T282" s="240" t="s">
        <v>658</v>
      </c>
      <c r="U282" s="281" t="s">
        <v>737</v>
      </c>
      <c r="V282" s="274"/>
      <c r="W282" s="274"/>
      <c r="X282" s="274"/>
      <c r="Y282" s="274"/>
      <c r="Z282" s="274"/>
      <c r="AA282" s="274"/>
      <c r="AB282" s="274"/>
      <c r="AE282" s="211"/>
      <c r="AF282" s="210"/>
      <c r="AG282" s="373"/>
    </row>
    <row r="283" spans="15:33" x14ac:dyDescent="0.25">
      <c r="O283" s="274" t="s">
        <v>1286</v>
      </c>
      <c r="P283" s="274"/>
      <c r="Q283" s="249">
        <f>C149</f>
        <v>0</v>
      </c>
      <c r="R283" s="279" t="s">
        <v>922</v>
      </c>
      <c r="S283" s="274"/>
      <c r="T283" s="279">
        <v>0</v>
      </c>
      <c r="U283" s="261">
        <f>IFERROR(VLOOKUP($Q$290,$R$283:$T$293,3,FALSE),0)</f>
        <v>0</v>
      </c>
      <c r="V283" s="274"/>
      <c r="W283" s="274"/>
      <c r="X283" s="274"/>
      <c r="Y283" s="274"/>
      <c r="Z283" s="274"/>
      <c r="AA283" s="274"/>
      <c r="AB283" s="274"/>
      <c r="AE283" s="211"/>
      <c r="AF283" s="210"/>
      <c r="AG283" s="373"/>
    </row>
    <row r="284" spans="15:33" x14ac:dyDescent="0.25">
      <c r="O284" s="274" t="s">
        <v>1287</v>
      </c>
      <c r="P284" s="274"/>
      <c r="Q284" s="249">
        <f>C150</f>
        <v>0</v>
      </c>
      <c r="R284" s="279">
        <v>0</v>
      </c>
      <c r="S284" s="262"/>
      <c r="T284" s="279">
        <v>0</v>
      </c>
      <c r="U284" s="274"/>
      <c r="V284" s="274"/>
      <c r="W284" s="274"/>
      <c r="X284" s="274"/>
      <c r="Y284" s="274"/>
      <c r="Z284" s="274"/>
      <c r="AA284" s="274"/>
      <c r="AB284" s="274"/>
      <c r="AE284" s="211"/>
      <c r="AF284" s="210"/>
      <c r="AG284" s="373"/>
    </row>
    <row r="285" spans="15:33" x14ac:dyDescent="0.25">
      <c r="O285" s="274" t="s">
        <v>1288</v>
      </c>
      <c r="P285" s="274"/>
      <c r="Q285" s="274">
        <f>IF(Q283="Other",Q284,Q283)</f>
        <v>0</v>
      </c>
      <c r="R285" s="279">
        <v>25000</v>
      </c>
      <c r="S285" s="262"/>
      <c r="T285" s="279">
        <f>$U$127</f>
        <v>0</v>
      </c>
      <c r="U285" s="379" t="s">
        <v>1383</v>
      </c>
      <c r="V285" s="274"/>
      <c r="W285" s="274"/>
      <c r="X285" s="274"/>
      <c r="Y285" s="274"/>
      <c r="Z285" s="274"/>
      <c r="AA285" s="274"/>
      <c r="AB285" s="274"/>
      <c r="AE285" s="211"/>
      <c r="AF285" s="210"/>
      <c r="AG285" s="373"/>
    </row>
    <row r="286" spans="15:33" x14ac:dyDescent="0.25">
      <c r="O286" s="274"/>
      <c r="P286" s="274"/>
      <c r="Q286" s="250"/>
      <c r="R286" s="279">
        <v>50000</v>
      </c>
      <c r="S286" s="262"/>
      <c r="T286" s="279">
        <f t="shared" ref="T286:T292" si="44">$U$127</f>
        <v>0</v>
      </c>
      <c r="U286" s="274"/>
      <c r="V286" s="274"/>
      <c r="W286" s="274"/>
      <c r="X286" s="274"/>
      <c r="Y286" s="274"/>
      <c r="Z286" s="274"/>
      <c r="AA286" s="274"/>
      <c r="AB286" s="274"/>
      <c r="AE286" s="211"/>
      <c r="AF286" s="210"/>
      <c r="AG286" s="373"/>
    </row>
    <row r="287" spans="15:33" x14ac:dyDescent="0.25">
      <c r="O287" s="274" t="s">
        <v>903</v>
      </c>
      <c r="P287" s="274"/>
      <c r="Q287" s="260">
        <f>IF(Q285&gt;R292,R292,IFERROR(VLOOKUP(Q285,R283:R293,1,FALSE),"No match"))</f>
        <v>0</v>
      </c>
      <c r="R287" s="279">
        <v>100000</v>
      </c>
      <c r="S287" s="262"/>
      <c r="T287" s="279">
        <f t="shared" si="44"/>
        <v>0</v>
      </c>
      <c r="U287" s="274"/>
      <c r="V287" s="274"/>
      <c r="W287" s="274"/>
      <c r="X287" s="274"/>
      <c r="Y287" s="274"/>
      <c r="Z287" s="274"/>
      <c r="AA287" s="274"/>
      <c r="AB287" s="274"/>
      <c r="AE287" s="211"/>
      <c r="AF287" s="210"/>
      <c r="AG287" s="373"/>
    </row>
    <row r="288" spans="15:33" x14ac:dyDescent="0.25">
      <c r="O288" s="274" t="s">
        <v>904</v>
      </c>
      <c r="P288" s="274"/>
      <c r="Q288" s="259">
        <f>MATCH(VLOOKUP(Q285,R283:R293,1,TRUE),R283:R293,0)</f>
        <v>2</v>
      </c>
      <c r="R288" s="279">
        <v>250000</v>
      </c>
      <c r="S288" s="262"/>
      <c r="T288" s="279">
        <f t="shared" si="44"/>
        <v>0</v>
      </c>
      <c r="U288" s="274"/>
      <c r="V288" s="274"/>
      <c r="W288" s="274"/>
      <c r="X288" s="274"/>
      <c r="Y288" s="274"/>
      <c r="Z288" s="274"/>
      <c r="AA288" s="274"/>
      <c r="AB288" s="274"/>
      <c r="AE288" s="211"/>
      <c r="AF288" s="210"/>
      <c r="AG288" s="373"/>
    </row>
    <row r="289" spans="15:33" x14ac:dyDescent="0.25">
      <c r="O289" s="274" t="s">
        <v>906</v>
      </c>
      <c r="P289" s="274"/>
      <c r="Q289" s="259" cm="1">
        <f t="array" ref="Q289">INDEX(R283:R293,Q288+1)</f>
        <v>25000</v>
      </c>
      <c r="R289" s="279">
        <v>500000</v>
      </c>
      <c r="S289" s="262"/>
      <c r="T289" s="279">
        <f t="shared" si="44"/>
        <v>0</v>
      </c>
      <c r="U289" s="274"/>
      <c r="V289" s="274"/>
      <c r="W289" s="274"/>
      <c r="X289" s="274"/>
      <c r="Y289" s="274"/>
      <c r="Z289" s="274"/>
      <c r="AA289" s="274"/>
      <c r="AB289" s="274"/>
      <c r="AE289" s="211"/>
      <c r="AF289" s="210"/>
      <c r="AG289" s="373"/>
    </row>
    <row r="290" spans="15:33" x14ac:dyDescent="0.25">
      <c r="O290" s="274" t="s">
        <v>908</v>
      </c>
      <c r="P290" s="274"/>
      <c r="Q290" s="259">
        <f>IF(Q287="No match",Q289,Q287)</f>
        <v>0</v>
      </c>
      <c r="R290" s="279">
        <v>1000000</v>
      </c>
      <c r="S290" s="274"/>
      <c r="T290" s="279">
        <f t="shared" si="44"/>
        <v>0</v>
      </c>
      <c r="U290" s="274"/>
      <c r="V290" s="274"/>
      <c r="W290" s="274"/>
      <c r="X290" s="274"/>
      <c r="Y290" s="274"/>
      <c r="Z290" s="274"/>
      <c r="AA290" s="274"/>
      <c r="AB290" s="274"/>
      <c r="AE290" s="211"/>
      <c r="AF290" s="210"/>
      <c r="AG290" s="373"/>
    </row>
    <row r="291" spans="15:33" x14ac:dyDescent="0.25">
      <c r="O291" s="274"/>
      <c r="P291" s="274"/>
      <c r="Q291" s="274"/>
      <c r="R291" s="279">
        <v>2000000</v>
      </c>
      <c r="S291" s="274"/>
      <c r="T291" s="279">
        <f t="shared" si="44"/>
        <v>0</v>
      </c>
      <c r="U291" s="274"/>
      <c r="V291" s="274"/>
      <c r="W291" s="274"/>
      <c r="X291" s="274"/>
      <c r="Y291" s="274"/>
      <c r="Z291" s="274"/>
      <c r="AA291" s="274"/>
      <c r="AB291" s="274"/>
      <c r="AE291" s="211"/>
      <c r="AF291" s="210"/>
      <c r="AG291" s="373"/>
    </row>
    <row r="292" spans="15:33" x14ac:dyDescent="0.25">
      <c r="R292" s="279">
        <v>5000000</v>
      </c>
      <c r="T292" s="279">
        <f t="shared" si="44"/>
        <v>0</v>
      </c>
      <c r="AE292" s="211"/>
      <c r="AF292" s="210"/>
      <c r="AG292" s="373"/>
    </row>
    <row r="293" spans="15:33" x14ac:dyDescent="0.25">
      <c r="R293" s="279" t="s">
        <v>932</v>
      </c>
      <c r="T293" s="173">
        <v>0</v>
      </c>
      <c r="AE293" s="211"/>
      <c r="AF293" s="210"/>
      <c r="AG293" s="373"/>
    </row>
    <row r="294" spans="15:33" x14ac:dyDescent="0.25">
      <c r="AE294" s="211"/>
      <c r="AF294" s="210"/>
      <c r="AG294" s="373"/>
    </row>
    <row r="295" spans="15:33" x14ac:dyDescent="0.25">
      <c r="O295" s="238" t="s">
        <v>1244</v>
      </c>
      <c r="P295" s="274"/>
      <c r="Q295" s="274"/>
      <c r="R295" s="279"/>
      <c r="S295" s="274"/>
      <c r="T295" s="279"/>
      <c r="U295" s="274"/>
      <c r="V295" s="274"/>
      <c r="W295" s="274"/>
      <c r="X295" s="274"/>
      <c r="Y295" s="274"/>
      <c r="Z295" s="274"/>
      <c r="AA295" s="274"/>
      <c r="AB295" s="274"/>
      <c r="AE295" s="211"/>
      <c r="AF295" s="210"/>
      <c r="AG295" s="373"/>
    </row>
    <row r="296" spans="15:33" x14ac:dyDescent="0.25">
      <c r="O296" s="288" t="s">
        <v>655</v>
      </c>
      <c r="P296" s="274"/>
      <c r="Q296" s="239" t="s">
        <v>656</v>
      </c>
      <c r="R296" s="240" t="s">
        <v>657</v>
      </c>
      <c r="S296" s="281"/>
      <c r="T296" s="240" t="s">
        <v>658</v>
      </c>
      <c r="U296" s="281" t="s">
        <v>737</v>
      </c>
      <c r="V296" s="274"/>
      <c r="W296" s="274"/>
      <c r="X296" s="274"/>
      <c r="Y296" s="274"/>
      <c r="Z296" s="274"/>
      <c r="AA296" s="274"/>
      <c r="AB296" s="274"/>
      <c r="AE296" s="211"/>
      <c r="AF296" s="210"/>
      <c r="AG296" s="373"/>
    </row>
    <row r="297" spans="15:33" x14ac:dyDescent="0.25">
      <c r="O297" s="274" t="s">
        <v>1289</v>
      </c>
      <c r="P297" s="274"/>
      <c r="Q297" s="249">
        <f>$C$148</f>
        <v>0</v>
      </c>
      <c r="R297" s="279" t="s">
        <v>922</v>
      </c>
      <c r="S297" s="274"/>
      <c r="T297" s="279">
        <v>0</v>
      </c>
      <c r="U297" s="261">
        <f>IFERROR(VLOOKUP($Q$297,$R$297:$T$305,3,FALSE),0)</f>
        <v>0</v>
      </c>
      <c r="V297" s="274"/>
      <c r="W297" s="274"/>
      <c r="X297" s="274"/>
      <c r="Y297" s="274"/>
      <c r="Z297" s="274"/>
      <c r="AA297" s="274"/>
      <c r="AB297" s="274"/>
      <c r="AE297" s="211"/>
      <c r="AF297" s="210"/>
      <c r="AG297" s="373"/>
    </row>
    <row r="298" spans="15:33" x14ac:dyDescent="0.25">
      <c r="O298" s="274"/>
      <c r="P298" s="274"/>
      <c r="Q298" s="365"/>
      <c r="R298" s="279">
        <v>0</v>
      </c>
      <c r="S298" s="262"/>
      <c r="T298" s="279">
        <v>0</v>
      </c>
      <c r="U298" s="274"/>
      <c r="V298" s="274"/>
      <c r="W298" s="274"/>
      <c r="X298" s="274"/>
      <c r="Y298" s="274"/>
      <c r="Z298" s="274"/>
      <c r="AA298" s="274"/>
      <c r="AB298" s="274"/>
      <c r="AE298" s="211"/>
      <c r="AF298" s="210"/>
      <c r="AG298" s="373"/>
    </row>
    <row r="299" spans="15:33" x14ac:dyDescent="0.25">
      <c r="O299" s="272"/>
      <c r="P299" s="272"/>
      <c r="Q299" s="366"/>
      <c r="R299" s="279">
        <v>1000000</v>
      </c>
      <c r="S299" s="262"/>
      <c r="T299" s="279">
        <f t="shared" ref="T299:T305" si="45">$U$127</f>
        <v>0</v>
      </c>
      <c r="U299" s="274"/>
      <c r="V299" s="274"/>
      <c r="W299" s="274"/>
      <c r="X299" s="274"/>
      <c r="Y299" s="274"/>
      <c r="Z299" s="274"/>
      <c r="AA299" s="274"/>
      <c r="AB299" s="274"/>
      <c r="AE299" s="211"/>
      <c r="AF299" s="210"/>
      <c r="AG299" s="373"/>
    </row>
    <row r="300" spans="15:33" x14ac:dyDescent="0.25">
      <c r="O300" s="272"/>
      <c r="P300" s="272"/>
      <c r="Q300" s="272"/>
      <c r="R300" s="279">
        <v>2000000</v>
      </c>
      <c r="S300" s="262"/>
      <c r="T300" s="279">
        <f t="shared" si="45"/>
        <v>0</v>
      </c>
      <c r="U300" s="274"/>
      <c r="V300" s="274"/>
      <c r="W300" s="274"/>
      <c r="X300" s="274"/>
      <c r="Y300" s="274"/>
      <c r="Z300" s="274"/>
      <c r="AA300" s="274"/>
      <c r="AB300" s="274"/>
      <c r="AE300" s="211"/>
      <c r="AF300" s="210"/>
      <c r="AG300" s="373"/>
    </row>
    <row r="301" spans="15:33" x14ac:dyDescent="0.25">
      <c r="O301" s="272"/>
      <c r="P301" s="272"/>
      <c r="Q301" s="366"/>
      <c r="R301" s="279">
        <v>3000000</v>
      </c>
      <c r="S301" s="262"/>
      <c r="T301" s="279">
        <f t="shared" si="45"/>
        <v>0</v>
      </c>
      <c r="U301" s="274"/>
      <c r="V301" s="274"/>
      <c r="W301" s="274"/>
      <c r="X301" s="274"/>
      <c r="Y301" s="274"/>
      <c r="Z301" s="274"/>
      <c r="AA301" s="274"/>
      <c r="AB301" s="274"/>
      <c r="AE301" s="211"/>
      <c r="AF301" s="210"/>
      <c r="AG301" s="373"/>
    </row>
    <row r="302" spans="15:33" x14ac:dyDescent="0.25">
      <c r="O302" s="272"/>
      <c r="P302" s="272"/>
      <c r="Q302" s="366"/>
      <c r="R302" s="279">
        <v>4000000</v>
      </c>
      <c r="S302" s="262"/>
      <c r="T302" s="279">
        <f t="shared" si="45"/>
        <v>0</v>
      </c>
      <c r="U302" s="274"/>
      <c r="V302" s="274"/>
      <c r="W302" s="274"/>
      <c r="X302" s="274"/>
      <c r="Y302" s="274"/>
      <c r="Z302" s="274"/>
      <c r="AA302" s="274"/>
      <c r="AB302" s="274"/>
      <c r="AE302" s="211"/>
      <c r="AF302" s="210"/>
      <c r="AG302" s="373"/>
    </row>
    <row r="303" spans="15:33" x14ac:dyDescent="0.25">
      <c r="O303" s="272"/>
      <c r="P303" s="272"/>
      <c r="Q303" s="366"/>
      <c r="R303" s="279">
        <v>5000000</v>
      </c>
      <c r="S303" s="262"/>
      <c r="T303" s="279">
        <f t="shared" si="45"/>
        <v>0</v>
      </c>
      <c r="U303" s="274"/>
      <c r="V303" s="274"/>
      <c r="W303" s="274"/>
      <c r="X303" s="274"/>
      <c r="Y303" s="274"/>
      <c r="Z303" s="274"/>
      <c r="AA303" s="274"/>
      <c r="AB303" s="274"/>
      <c r="AE303" s="211"/>
      <c r="AF303" s="210"/>
      <c r="AG303" s="373"/>
    </row>
    <row r="304" spans="15:33" x14ac:dyDescent="0.25">
      <c r="O304" s="272"/>
      <c r="P304" s="272"/>
      <c r="Q304" s="272"/>
      <c r="R304" s="279">
        <v>10000000</v>
      </c>
      <c r="S304" s="274"/>
      <c r="T304" s="279">
        <f t="shared" si="45"/>
        <v>0</v>
      </c>
      <c r="U304" s="274"/>
      <c r="V304" s="274"/>
      <c r="W304" s="274"/>
      <c r="X304" s="274"/>
      <c r="Y304" s="274"/>
      <c r="Z304" s="274"/>
      <c r="AA304" s="274"/>
      <c r="AB304" s="274"/>
      <c r="AE304" s="236"/>
      <c r="AF304" s="237"/>
      <c r="AG304" s="374"/>
    </row>
    <row r="305" spans="15:28" x14ac:dyDescent="0.25">
      <c r="O305" s="274"/>
      <c r="P305" s="274"/>
      <c r="Q305" s="274"/>
      <c r="R305" s="279" t="s">
        <v>932</v>
      </c>
      <c r="S305" s="274"/>
      <c r="T305" s="279">
        <f t="shared" si="45"/>
        <v>0</v>
      </c>
      <c r="U305" s="274"/>
      <c r="V305" s="274"/>
      <c r="W305" s="274"/>
      <c r="X305" s="274"/>
      <c r="Y305" s="274"/>
      <c r="Z305" s="274"/>
      <c r="AA305" s="274"/>
      <c r="AB305" s="274"/>
    </row>
    <row r="306" spans="15:28" x14ac:dyDescent="0.25">
      <c r="O306" s="274"/>
      <c r="P306" s="274"/>
      <c r="Q306" s="274"/>
      <c r="R306" s="279"/>
      <c r="S306" s="274"/>
      <c r="T306" s="279"/>
      <c r="U306" s="274"/>
      <c r="V306" s="274"/>
      <c r="W306" s="274"/>
      <c r="X306" s="274"/>
      <c r="Y306" s="274"/>
      <c r="Z306" s="274"/>
      <c r="AA306" s="274"/>
      <c r="AB306" s="274"/>
    </row>
    <row r="307" spans="15:28" x14ac:dyDescent="0.25">
      <c r="O307" s="274"/>
      <c r="P307" s="274"/>
      <c r="Q307" s="274"/>
      <c r="R307" s="279"/>
      <c r="S307" s="274"/>
      <c r="T307" s="274"/>
      <c r="U307" s="274"/>
      <c r="V307" s="274"/>
      <c r="W307" s="274"/>
      <c r="X307" s="274"/>
      <c r="Y307" s="274"/>
      <c r="Z307" s="274"/>
      <c r="AA307" s="274"/>
      <c r="AB307" s="274"/>
    </row>
    <row r="308" spans="15:28" x14ac:dyDescent="0.25">
      <c r="O308" s="238" t="s">
        <v>1290</v>
      </c>
    </row>
    <row r="309" spans="15:28" x14ac:dyDescent="0.25">
      <c r="O309" s="288" t="s">
        <v>655</v>
      </c>
      <c r="P309" s="274"/>
      <c r="Q309" s="239" t="s">
        <v>656</v>
      </c>
      <c r="R309" s="240" t="s">
        <v>657</v>
      </c>
      <c r="S309" s="240" t="s">
        <v>658</v>
      </c>
      <c r="T309" s="240"/>
      <c r="U309" s="281" t="s">
        <v>737</v>
      </c>
      <c r="V309" s="274"/>
    </row>
    <row r="310" spans="15:28" x14ac:dyDescent="0.25">
      <c r="O310" s="173" t="s">
        <v>1171</v>
      </c>
      <c r="Q310" s="258">
        <f>C116</f>
        <v>0</v>
      </c>
      <c r="R310" s="173" t="s">
        <v>936</v>
      </c>
      <c r="S310" s="173" t="s">
        <v>936</v>
      </c>
      <c r="T310" s="286" t="s">
        <v>636</v>
      </c>
      <c r="U310" s="248">
        <f>IFERROR(VLOOKUP(Q310,R310:S312,2,FALSE),0)</f>
        <v>0</v>
      </c>
    </row>
    <row r="311" spans="15:28" x14ac:dyDescent="0.25">
      <c r="O311" s="173" t="s">
        <v>1172</v>
      </c>
      <c r="Q311" s="258">
        <f>C117</f>
        <v>0</v>
      </c>
      <c r="R311" s="173" t="s">
        <v>922</v>
      </c>
      <c r="S311" s="173">
        <v>0</v>
      </c>
      <c r="T311" s="173" t="s">
        <v>1291</v>
      </c>
      <c r="U311" s="248">
        <f>IFERROR(VLOOKUP(Q311,R310:S312,2,FALSE),0)</f>
        <v>0</v>
      </c>
    </row>
    <row r="312" spans="15:28" x14ac:dyDescent="0.25">
      <c r="R312" s="279">
        <v>0</v>
      </c>
      <c r="S312" s="173">
        <v>0</v>
      </c>
    </row>
  </sheetData>
  <mergeCells count="8">
    <mergeCell ref="AH2:AK2"/>
    <mergeCell ref="I5:N5"/>
    <mergeCell ref="I6:N6"/>
    <mergeCell ref="D8:E8"/>
    <mergeCell ref="B2:C2"/>
    <mergeCell ref="D2:N2"/>
    <mergeCell ref="AC2:AD2"/>
    <mergeCell ref="AE2:AG2"/>
  </mergeCells>
  <conditionalFormatting sqref="J80:J124 J9:J26 J50:J51">
    <cfRule type="containsBlanks" dxfId="8" priority="46">
      <formula>LEN(TRIM(J9))=0</formula>
    </cfRule>
    <cfRule type="cellIs" dxfId="7" priority="47" operator="equal">
      <formula>1</formula>
    </cfRule>
    <cfRule type="cellIs" dxfId="6" priority="48" operator="equal">
      <formula>0</formula>
    </cfRule>
  </conditionalFormatting>
  <conditionalFormatting sqref="J52:J79">
    <cfRule type="containsBlanks" dxfId="5" priority="4">
      <formula>LEN(TRIM(J52))=0</formula>
    </cfRule>
    <cfRule type="cellIs" dxfId="4" priority="5" operator="equal">
      <formula>1</formula>
    </cfRule>
    <cfRule type="cellIs" dxfId="3" priority="6" operator="equal">
      <formula>0</formula>
    </cfRule>
  </conditionalFormatting>
  <conditionalFormatting sqref="J27:J49">
    <cfRule type="containsBlanks" dxfId="2" priority="1">
      <formula>LEN(TRIM(J27))=0</formula>
    </cfRule>
    <cfRule type="cellIs" dxfId="1" priority="2" operator="equal">
      <formula>1</formula>
    </cfRule>
    <cfRule type="cellIs" dxfId="0" priority="3" operator="equal">
      <formula>0</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5DA-7F69-42DD-A10B-CED41BDC3A14}">
  <sheetPr codeName="Sheet7"/>
  <dimension ref="A2:Q184"/>
  <sheetViews>
    <sheetView topLeftCell="A154" zoomScale="115" zoomScaleNormal="115" workbookViewId="0">
      <selection activeCell="D103" sqref="D103"/>
    </sheetView>
  </sheetViews>
  <sheetFormatPr defaultColWidth="9" defaultRowHeight="15" x14ac:dyDescent="0.25"/>
  <cols>
    <col min="1" max="1" width="48" style="282" customWidth="1"/>
    <col min="2" max="2" width="36.140625" style="274" customWidth="1"/>
    <col min="3" max="3" width="16.42578125" style="274" customWidth="1"/>
    <col min="4" max="4" width="20.28515625" style="274" customWidth="1"/>
    <col min="5" max="5" width="3.140625" style="274" customWidth="1"/>
    <col min="6" max="6" width="12.28515625" style="282" customWidth="1"/>
    <col min="7" max="7" width="3.7109375" style="282" customWidth="1"/>
    <col min="8" max="8" width="19.5703125" style="282" customWidth="1"/>
    <col min="9" max="9" width="12.28515625" style="274" customWidth="1"/>
    <col min="10" max="10" width="32.28515625" style="274" customWidth="1"/>
    <col min="11" max="11" width="71.28515625" style="284" customWidth="1"/>
    <col min="12" max="12" width="12" style="274" customWidth="1"/>
    <col min="13" max="13" width="14.28515625" style="274" customWidth="1"/>
    <col min="14" max="14" width="11.140625" style="274" bestFit="1" customWidth="1"/>
    <col min="15" max="17" width="9" style="274"/>
    <col min="18" max="18" width="16.7109375" style="274" customWidth="1"/>
    <col min="19" max="19" width="18.7109375" style="274" customWidth="1"/>
    <col min="20" max="16384" width="9" style="274"/>
  </cols>
  <sheetData>
    <row r="2" spans="1:15" x14ac:dyDescent="0.25">
      <c r="F2" s="282" t="s">
        <v>1</v>
      </c>
      <c r="H2" s="282" t="s">
        <v>1199</v>
      </c>
      <c r="K2" s="274"/>
    </row>
    <row r="3" spans="1:15" x14ac:dyDescent="0.25">
      <c r="A3" s="322" t="s">
        <v>382</v>
      </c>
      <c r="B3" s="282"/>
      <c r="C3" s="282"/>
      <c r="D3" s="282"/>
      <c r="E3" s="282"/>
      <c r="K3" s="274"/>
    </row>
    <row r="4" spans="1:15" x14ac:dyDescent="0.25">
      <c r="A4" s="280" t="s">
        <v>1236</v>
      </c>
      <c r="B4" s="280"/>
      <c r="C4" s="280"/>
      <c r="D4" s="280"/>
      <c r="E4" s="280"/>
      <c r="F4" s="326">
        <v>750</v>
      </c>
      <c r="G4" s="327"/>
      <c r="H4" s="335"/>
      <c r="K4" s="379" t="s">
        <v>1384</v>
      </c>
      <c r="N4" s="85"/>
      <c r="O4" s="85"/>
    </row>
    <row r="5" spans="1:15" x14ac:dyDescent="0.25">
      <c r="B5" s="282"/>
      <c r="C5" s="282"/>
      <c r="D5" s="282"/>
      <c r="E5" s="282"/>
      <c r="K5" s="274"/>
    </row>
    <row r="6" spans="1:15" x14ac:dyDescent="0.25">
      <c r="A6" s="322" t="s">
        <v>1235</v>
      </c>
      <c r="F6" s="324"/>
      <c r="G6" s="325"/>
      <c r="H6" s="325"/>
      <c r="K6" s="274"/>
      <c r="M6" s="85"/>
      <c r="N6" s="85"/>
      <c r="O6" s="85"/>
    </row>
    <row r="7" spans="1:15" x14ac:dyDescent="0.25">
      <c r="F7" s="324"/>
      <c r="G7" s="325"/>
      <c r="H7" s="325"/>
      <c r="K7" s="274"/>
      <c r="M7" s="85"/>
      <c r="N7" s="85"/>
      <c r="O7" s="85"/>
    </row>
    <row r="8" spans="1:15" x14ac:dyDescent="0.25">
      <c r="A8" s="282" t="s">
        <v>766</v>
      </c>
      <c r="B8" s="331">
        <f>Map!AD29</f>
        <v>0</v>
      </c>
      <c r="F8" s="324"/>
      <c r="G8" s="325"/>
      <c r="H8" s="325"/>
      <c r="K8" s="274"/>
      <c r="M8" s="85"/>
      <c r="N8" s="85"/>
      <c r="O8" s="85"/>
    </row>
    <row r="9" spans="1:15" x14ac:dyDescent="0.25">
      <c r="A9" s="286" t="s">
        <v>1237</v>
      </c>
      <c r="B9" s="295">
        <v>2000000</v>
      </c>
      <c r="F9" s="324"/>
      <c r="G9" s="325"/>
      <c r="H9" s="325"/>
      <c r="K9" s="274"/>
      <c r="M9" s="85"/>
      <c r="N9" s="85"/>
      <c r="O9" s="85"/>
    </row>
    <row r="10" spans="1:15" x14ac:dyDescent="0.25">
      <c r="A10" s="286" t="s">
        <v>1219</v>
      </c>
      <c r="B10" s="339">
        <f>IF(B8&gt;B9,B8-B9,0)</f>
        <v>0</v>
      </c>
      <c r="F10" s="324"/>
      <c r="G10" s="325"/>
      <c r="H10" s="325"/>
      <c r="K10" s="274"/>
      <c r="M10" s="85"/>
      <c r="N10" s="85"/>
      <c r="O10" s="85"/>
    </row>
    <row r="11" spans="1:15" x14ac:dyDescent="0.25">
      <c r="A11" s="280" t="s">
        <v>1187</v>
      </c>
      <c r="B11" s="280"/>
      <c r="C11" s="280"/>
      <c r="D11" s="280"/>
      <c r="E11" s="280"/>
      <c r="F11" s="338">
        <f>IF(B8&lt;=2000000,0,IF(B8=3000000,100,IF(B8=4000000,200,300)))</f>
        <v>0</v>
      </c>
      <c r="G11" s="327"/>
      <c r="H11" s="328">
        <f>B8</f>
        <v>0</v>
      </c>
      <c r="I11" s="274" t="s">
        <v>1372</v>
      </c>
      <c r="K11" s="274"/>
      <c r="N11" s="85"/>
      <c r="O11" s="85"/>
    </row>
    <row r="12" spans="1:15" x14ac:dyDescent="0.25">
      <c r="B12" s="282"/>
      <c r="C12" s="282"/>
      <c r="D12" s="282"/>
      <c r="E12" s="282"/>
      <c r="F12" s="368"/>
      <c r="G12" s="325"/>
      <c r="H12" s="367">
        <f>H11</f>
        <v>0</v>
      </c>
      <c r="I12" s="274" t="s">
        <v>1373</v>
      </c>
      <c r="K12" s="274"/>
      <c r="N12" s="85"/>
      <c r="O12" s="85"/>
    </row>
    <row r="13" spans="1:15" x14ac:dyDescent="0.25">
      <c r="B13" s="282"/>
      <c r="C13" s="282"/>
      <c r="D13" s="282"/>
      <c r="E13" s="282"/>
      <c r="F13" s="368"/>
      <c r="G13" s="325"/>
      <c r="H13" s="367">
        <f>H11</f>
        <v>0</v>
      </c>
      <c r="I13" s="274" t="s">
        <v>1374</v>
      </c>
      <c r="K13" s="274"/>
      <c r="N13" s="85"/>
      <c r="O13" s="85"/>
    </row>
    <row r="14" spans="1:15" x14ac:dyDescent="0.25">
      <c r="B14" s="282"/>
      <c r="C14" s="282"/>
      <c r="D14" s="282"/>
      <c r="E14" s="282"/>
      <c r="F14" s="368"/>
      <c r="G14" s="325"/>
      <c r="H14" s="367">
        <f>MIN(5000000,($H$11+1000000))</f>
        <v>1000000</v>
      </c>
      <c r="I14" s="274" t="s">
        <v>1375</v>
      </c>
      <c r="K14" s="274"/>
      <c r="N14" s="85"/>
      <c r="O14" s="85"/>
    </row>
    <row r="15" spans="1:15" x14ac:dyDescent="0.25">
      <c r="B15" s="282"/>
      <c r="C15" s="282"/>
      <c r="D15" s="282"/>
      <c r="E15" s="282"/>
      <c r="F15" s="368"/>
      <c r="G15" s="325"/>
      <c r="H15" s="367">
        <f>MIN(5000000,($H$11+1000000))</f>
        <v>1000000</v>
      </c>
      <c r="I15" s="274" t="s">
        <v>1376</v>
      </c>
      <c r="K15" s="274"/>
      <c r="N15" s="85"/>
      <c r="O15" s="85"/>
    </row>
    <row r="16" spans="1:15" x14ac:dyDescent="0.25">
      <c r="B16" s="282"/>
      <c r="C16" s="282"/>
      <c r="D16" s="282"/>
      <c r="E16" s="282"/>
      <c r="H16" s="367">
        <f>Map!AD32</f>
        <v>1000</v>
      </c>
      <c r="I16" s="274" t="s">
        <v>1396</v>
      </c>
      <c r="K16" s="274"/>
    </row>
    <row r="17" spans="1:15" x14ac:dyDescent="0.25">
      <c r="A17" s="322" t="s">
        <v>1238</v>
      </c>
      <c r="F17" s="324"/>
      <c r="G17" s="325"/>
      <c r="H17" s="325"/>
      <c r="K17" s="274"/>
      <c r="M17" s="85"/>
      <c r="N17" s="85"/>
      <c r="O17" s="85"/>
    </row>
    <row r="18" spans="1:15" x14ac:dyDescent="0.25">
      <c r="C18" s="281" t="s">
        <v>1240</v>
      </c>
      <c r="F18" s="324"/>
      <c r="G18" s="325"/>
      <c r="H18" s="325"/>
      <c r="K18" s="274" t="s">
        <v>1242</v>
      </c>
      <c r="M18" s="85"/>
      <c r="N18" s="85"/>
      <c r="O18" s="85"/>
    </row>
    <row r="19" spans="1:15" x14ac:dyDescent="0.25">
      <c r="A19" s="282" t="s">
        <v>1239</v>
      </c>
      <c r="B19" s="331">
        <f>Map!AD30</f>
        <v>0</v>
      </c>
      <c r="C19" s="279"/>
      <c r="F19" s="324"/>
      <c r="G19" s="325"/>
      <c r="H19" s="325"/>
      <c r="K19" s="274">
        <v>2</v>
      </c>
      <c r="L19" s="274">
        <v>100</v>
      </c>
      <c r="M19" s="85"/>
      <c r="N19" s="85"/>
      <c r="O19" s="85"/>
    </row>
    <row r="20" spans="1:15" x14ac:dyDescent="0.25">
      <c r="A20" s="286" t="s">
        <v>1084</v>
      </c>
      <c r="B20" s="340" t="str">
        <f>Map!I10</f>
        <v/>
      </c>
      <c r="C20" s="279" t="str">
        <f>IF(B20="","",IFERROR(VLOOKUP(B20,'Risk Class Chart'!$D$5:$E$32,2,FALSE),5))</f>
        <v/>
      </c>
      <c r="F20" s="324"/>
      <c r="G20" s="325"/>
      <c r="H20" s="325"/>
      <c r="K20" s="274">
        <v>3</v>
      </c>
      <c r="L20" s="274">
        <v>150</v>
      </c>
      <c r="M20" s="85"/>
      <c r="N20" s="85"/>
      <c r="O20" s="85"/>
    </row>
    <row r="21" spans="1:15" x14ac:dyDescent="0.25">
      <c r="A21" s="286" t="s">
        <v>1085</v>
      </c>
      <c r="B21" s="340" t="str">
        <f>Map!I11</f>
        <v/>
      </c>
      <c r="C21" s="279" t="str">
        <f>IF(B21="","",IFERROR(VLOOKUP(B21,'Risk Class Chart'!$D$5:$E$32,2,FALSE),5))</f>
        <v/>
      </c>
      <c r="F21" s="324"/>
      <c r="G21" s="325"/>
      <c r="H21" s="325"/>
      <c r="K21" s="274">
        <v>4</v>
      </c>
      <c r="L21" s="274">
        <v>200</v>
      </c>
      <c r="M21" s="85"/>
      <c r="N21" s="85"/>
      <c r="O21" s="85"/>
    </row>
    <row r="22" spans="1:15" x14ac:dyDescent="0.25">
      <c r="A22" s="286" t="s">
        <v>1086</v>
      </c>
      <c r="B22" s="340" t="str">
        <f>Map!I12</f>
        <v/>
      </c>
      <c r="C22" s="279" t="str">
        <f>IF(B22="","",IFERROR(VLOOKUP(B22,'Risk Class Chart'!$D$5:$E$32,2,FALSE),5))</f>
        <v/>
      </c>
      <c r="F22" s="324"/>
      <c r="G22" s="325"/>
      <c r="H22" s="325"/>
      <c r="K22" s="274">
        <v>5</v>
      </c>
      <c r="L22" s="274" t="s">
        <v>1243</v>
      </c>
      <c r="M22" s="85"/>
      <c r="N22" s="85"/>
      <c r="O22" s="85"/>
    </row>
    <row r="23" spans="1:15" x14ac:dyDescent="0.25">
      <c r="A23" s="286" t="s">
        <v>1087</v>
      </c>
      <c r="B23" s="340" t="str">
        <f>Map!I13</f>
        <v/>
      </c>
      <c r="C23" s="279" t="str">
        <f>IF(B23="","",IFERROR(VLOOKUP(B23,'Risk Class Chart'!$D$5:$E$32,2,FALSE),5))</f>
        <v/>
      </c>
      <c r="F23" s="324"/>
      <c r="G23" s="325"/>
      <c r="H23" s="325"/>
      <c r="K23" s="274">
        <v>6</v>
      </c>
      <c r="L23" s="274" t="s">
        <v>1243</v>
      </c>
      <c r="M23" s="85"/>
      <c r="N23" s="85"/>
      <c r="O23" s="85"/>
    </row>
    <row r="24" spans="1:15" x14ac:dyDescent="0.25">
      <c r="A24" s="286" t="s">
        <v>1088</v>
      </c>
      <c r="B24" s="340" t="str">
        <f>Map!I14</f>
        <v/>
      </c>
      <c r="C24" s="279" t="str">
        <f>IF(B24="","",IFERROR(VLOOKUP(B24,'Risk Class Chart'!$D$5:$E$32,2,FALSE),5))</f>
        <v/>
      </c>
      <c r="F24" s="324"/>
      <c r="G24" s="325"/>
      <c r="H24" s="325"/>
      <c r="M24" s="85"/>
      <c r="N24" s="85"/>
      <c r="O24" s="85"/>
    </row>
    <row r="25" spans="1:15" x14ac:dyDescent="0.25">
      <c r="A25" s="286" t="s">
        <v>1089</v>
      </c>
      <c r="B25" s="340" t="str">
        <f>Map!I15</f>
        <v/>
      </c>
      <c r="C25" s="279" t="str">
        <f>IF(B25="","",IFERROR(VLOOKUP(B25,'Risk Class Chart'!$D$5:$E$32,2,FALSE),5))</f>
        <v/>
      </c>
      <c r="F25" s="324"/>
      <c r="G25" s="325"/>
      <c r="H25" s="325"/>
      <c r="M25" s="85"/>
      <c r="N25" s="85"/>
      <c r="O25" s="85"/>
    </row>
    <row r="26" spans="1:15" x14ac:dyDescent="0.25">
      <c r="A26" s="286" t="s">
        <v>1090</v>
      </c>
      <c r="B26" s="340" t="str">
        <f>Map!I16</f>
        <v/>
      </c>
      <c r="C26" s="279" t="str">
        <f>IF(B26="","",IFERROR(VLOOKUP(B26,'Risk Class Chart'!$D$5:$E$32,2,FALSE),5))</f>
        <v/>
      </c>
      <c r="F26" s="324"/>
      <c r="G26" s="325"/>
      <c r="H26" s="325"/>
      <c r="M26" s="85"/>
      <c r="N26" s="85"/>
      <c r="O26" s="85"/>
    </row>
    <row r="27" spans="1:15" x14ac:dyDescent="0.25">
      <c r="A27" s="286" t="s">
        <v>1091</v>
      </c>
      <c r="B27" s="340" t="str">
        <f>Map!I17</f>
        <v/>
      </c>
      <c r="C27" s="279" t="str">
        <f>IF(B27="","",IFERROR(VLOOKUP(B27,'Risk Class Chart'!$D$5:$E$32,2,FALSE),5))</f>
        <v/>
      </c>
      <c r="F27" s="324"/>
      <c r="G27" s="325"/>
      <c r="H27" s="325"/>
      <c r="M27" s="85"/>
      <c r="N27" s="85"/>
      <c r="O27" s="85"/>
    </row>
    <row r="28" spans="1:15" x14ac:dyDescent="0.25">
      <c r="A28" s="286" t="s">
        <v>1092</v>
      </c>
      <c r="B28" s="340" t="str">
        <f>Map!I18</f>
        <v/>
      </c>
      <c r="C28" s="279" t="str">
        <f>IF(B28="","",IFERROR(VLOOKUP(B28,'Risk Class Chart'!$D$5:$E$32,2,FALSE),5))</f>
        <v/>
      </c>
      <c r="F28" s="324"/>
      <c r="G28" s="325"/>
      <c r="H28" s="325"/>
      <c r="M28" s="85"/>
      <c r="N28" s="85"/>
      <c r="O28" s="85"/>
    </row>
    <row r="29" spans="1:15" x14ac:dyDescent="0.25">
      <c r="A29" s="286" t="s">
        <v>1093</v>
      </c>
      <c r="B29" s="340" t="str">
        <f>Map!I19</f>
        <v/>
      </c>
      <c r="C29" s="279" t="str">
        <f>IF(B29="","",IFERROR(VLOOKUP(B29,'Risk Class Chart'!$D$5:$E$32,2,FALSE),5))</f>
        <v/>
      </c>
      <c r="F29" s="324"/>
      <c r="G29" s="325"/>
      <c r="H29" s="325"/>
      <c r="M29" s="85"/>
      <c r="N29" s="85"/>
      <c r="O29" s="85"/>
    </row>
    <row r="30" spans="1:15" x14ac:dyDescent="0.25">
      <c r="A30" s="286" t="s">
        <v>1241</v>
      </c>
      <c r="B30" s="295"/>
      <c r="C30" s="279">
        <f>MAX(C19:C29)</f>
        <v>0</v>
      </c>
      <c r="F30" s="324"/>
      <c r="G30" s="325"/>
      <c r="H30" s="325"/>
      <c r="M30" s="85"/>
      <c r="N30" s="85"/>
      <c r="O30" s="85"/>
    </row>
    <row r="31" spans="1:15" x14ac:dyDescent="0.25">
      <c r="A31" s="286"/>
      <c r="B31" s="339"/>
      <c r="F31" s="324"/>
      <c r="G31" s="325"/>
      <c r="H31" s="325"/>
      <c r="M31" s="85"/>
      <c r="N31" s="85"/>
      <c r="O31" s="85"/>
    </row>
    <row r="32" spans="1:15" x14ac:dyDescent="0.25">
      <c r="A32" s="280" t="s">
        <v>1187</v>
      </c>
      <c r="B32" s="280"/>
      <c r="C32" s="280"/>
      <c r="D32" s="280"/>
      <c r="E32" s="280"/>
      <c r="F32" s="338">
        <f>IF(B19&gt;0,IF(C30&gt;4,0,IF(C30&lt;=4,VLOOKUP(C30,$K$19:$L$23,2,FALSE),0)),0)</f>
        <v>0</v>
      </c>
      <c r="G32" s="327"/>
      <c r="H32" s="328" t="str">
        <f>IF(B19&gt;0,IF(C30&gt;4,"Refer",B19),"-")</f>
        <v>-</v>
      </c>
      <c r="N32" s="85"/>
      <c r="O32" s="85"/>
    </row>
    <row r="33" spans="1:15" x14ac:dyDescent="0.25">
      <c r="B33" s="282"/>
      <c r="C33" s="282"/>
      <c r="D33" s="282"/>
      <c r="E33" s="282"/>
    </row>
    <row r="34" spans="1:15" x14ac:dyDescent="0.25">
      <c r="A34" s="321"/>
      <c r="B34" s="288"/>
      <c r="C34" s="288"/>
    </row>
    <row r="35" spans="1:15" x14ac:dyDescent="0.25">
      <c r="A35" s="322" t="s">
        <v>1184</v>
      </c>
      <c r="B35" s="288"/>
      <c r="C35" s="288"/>
      <c r="K35" s="288" t="s">
        <v>1211</v>
      </c>
    </row>
    <row r="36" spans="1:15" x14ac:dyDescent="0.25">
      <c r="A36" s="321"/>
      <c r="B36" s="288"/>
      <c r="C36" s="288"/>
      <c r="F36" s="324"/>
      <c r="G36" s="324"/>
      <c r="H36" s="324"/>
      <c r="K36" s="274" t="s">
        <v>1188</v>
      </c>
      <c r="L36" s="274">
        <v>0.15</v>
      </c>
    </row>
    <row r="37" spans="1:15" x14ac:dyDescent="0.25">
      <c r="A37" s="323" t="s">
        <v>1165</v>
      </c>
      <c r="B37" s="329">
        <f>Map!AD6</f>
        <v>0</v>
      </c>
      <c r="C37" s="288"/>
      <c r="F37" s="324"/>
      <c r="G37" s="324"/>
      <c r="H37" s="324"/>
      <c r="K37" s="274" t="s">
        <v>1189</v>
      </c>
      <c r="L37" s="274">
        <v>0.25</v>
      </c>
    </row>
    <row r="38" spans="1:15" x14ac:dyDescent="0.25">
      <c r="A38" s="323" t="s">
        <v>1369</v>
      </c>
      <c r="B38" s="329">
        <f>Map!AD7</f>
        <v>0</v>
      </c>
      <c r="C38" s="288"/>
      <c r="F38" s="324"/>
      <c r="G38" s="324"/>
      <c r="H38" s="324"/>
      <c r="K38" s="274" t="s">
        <v>1190</v>
      </c>
      <c r="L38" s="274">
        <v>0.4</v>
      </c>
    </row>
    <row r="39" spans="1:15" x14ac:dyDescent="0.25">
      <c r="A39" s="323" t="s">
        <v>1371</v>
      </c>
      <c r="B39" s="329">
        <f>SUM(B37:B38)</f>
        <v>0</v>
      </c>
      <c r="C39" s="288"/>
      <c r="F39" s="324"/>
      <c r="G39" s="324"/>
      <c r="H39" s="324"/>
      <c r="K39" s="274" t="s">
        <v>1191</v>
      </c>
      <c r="L39" s="274">
        <v>0.2</v>
      </c>
    </row>
    <row r="40" spans="1:15" x14ac:dyDescent="0.25">
      <c r="A40" s="323" t="s">
        <v>1185</v>
      </c>
      <c r="B40" s="330" t="str">
        <f>Map!AD8</f>
        <v>Wood Frame/All Other</v>
      </c>
      <c r="C40" s="288"/>
      <c r="F40" s="324"/>
      <c r="G40" s="324"/>
      <c r="H40" s="324"/>
      <c r="K40" s="274" t="s">
        <v>1192</v>
      </c>
      <c r="L40" s="274">
        <v>0.35</v>
      </c>
    </row>
    <row r="41" spans="1:15" x14ac:dyDescent="0.25">
      <c r="A41" s="323" t="s">
        <v>1186</v>
      </c>
      <c r="B41" s="329" t="str">
        <f>Map!AD9</f>
        <v>Fire Hall Protected</v>
      </c>
      <c r="C41" s="288"/>
      <c r="F41" s="324"/>
      <c r="G41" s="324"/>
      <c r="H41" s="324"/>
      <c r="K41" s="274" t="s">
        <v>1193</v>
      </c>
      <c r="L41" s="274">
        <v>0.65</v>
      </c>
    </row>
    <row r="42" spans="1:15" x14ac:dyDescent="0.25">
      <c r="A42" s="282" t="s">
        <v>1198</v>
      </c>
      <c r="B42" s="275" t="str">
        <f>CONCATENATE(B40," ",B41)</f>
        <v>Wood Frame/All Other Fire Hall Protected</v>
      </c>
      <c r="F42" s="324"/>
      <c r="G42" s="325"/>
      <c r="H42" s="325"/>
      <c r="K42" s="274" t="s">
        <v>1194</v>
      </c>
      <c r="L42" s="274">
        <v>0.3</v>
      </c>
      <c r="N42" s="85"/>
      <c r="O42" s="85"/>
    </row>
    <row r="43" spans="1:15" x14ac:dyDescent="0.25">
      <c r="A43" s="282" t="s">
        <v>1197</v>
      </c>
      <c r="B43" s="275">
        <f>VLOOKUP(B42,$K$36:$L$44,2,FALSE)</f>
        <v>0.65</v>
      </c>
      <c r="F43" s="324"/>
      <c r="G43" s="325"/>
      <c r="H43" s="325"/>
      <c r="K43" s="274" t="s">
        <v>1195</v>
      </c>
      <c r="L43" s="274">
        <v>0.65</v>
      </c>
      <c r="N43" s="85"/>
      <c r="O43" s="85"/>
    </row>
    <row r="44" spans="1:15" x14ac:dyDescent="0.25">
      <c r="A44" s="280" t="s">
        <v>1187</v>
      </c>
      <c r="B44" s="280"/>
      <c r="C44" s="280"/>
      <c r="D44" s="280"/>
      <c r="E44" s="280"/>
      <c r="F44" s="326">
        <f>B39*B43/100</f>
        <v>0</v>
      </c>
      <c r="G44" s="327"/>
      <c r="H44" s="328" t="str">
        <f>IF(F44&gt;0,B37,"-")</f>
        <v>-</v>
      </c>
      <c r="I44" s="274" t="s">
        <v>1184</v>
      </c>
      <c r="K44" s="274" t="s">
        <v>1196</v>
      </c>
      <c r="L44" s="274">
        <v>1.2</v>
      </c>
      <c r="N44" s="85"/>
      <c r="O44" s="85"/>
    </row>
    <row r="45" spans="1:15" x14ac:dyDescent="0.25">
      <c r="F45" s="324"/>
      <c r="G45" s="325"/>
      <c r="H45" s="382" t="str">
        <f>IF(F44&gt;0,B38,"-")</f>
        <v>-</v>
      </c>
      <c r="I45" s="274" t="s">
        <v>494</v>
      </c>
      <c r="N45" s="85"/>
      <c r="O45" s="85"/>
    </row>
    <row r="46" spans="1:15" x14ac:dyDescent="0.25">
      <c r="F46" s="324"/>
      <c r="G46" s="325"/>
      <c r="H46" s="367" t="str">
        <f>IF(SUM(H44:H45)&gt;0,"Included","-")</f>
        <v>-</v>
      </c>
      <c r="I46" s="274" t="s">
        <v>1393</v>
      </c>
      <c r="M46" s="85"/>
      <c r="N46" s="85"/>
      <c r="O46" s="85"/>
    </row>
    <row r="47" spans="1:15" x14ac:dyDescent="0.25">
      <c r="A47" s="322" t="s">
        <v>26</v>
      </c>
      <c r="F47" s="324"/>
      <c r="G47" s="325"/>
      <c r="H47" s="325"/>
      <c r="K47" s="274"/>
      <c r="M47" s="85"/>
      <c r="N47" s="85"/>
      <c r="O47" s="85"/>
    </row>
    <row r="48" spans="1:15" x14ac:dyDescent="0.25">
      <c r="F48" s="324"/>
      <c r="G48" s="325"/>
      <c r="H48" s="325"/>
      <c r="K48" s="274"/>
      <c r="M48" s="85"/>
      <c r="N48" s="85"/>
      <c r="O48" s="85"/>
    </row>
    <row r="49" spans="1:17" x14ac:dyDescent="0.25">
      <c r="A49" s="282" t="s">
        <v>1200</v>
      </c>
      <c r="B49" s="331">
        <f>Map!AD11</f>
        <v>0</v>
      </c>
      <c r="F49" s="324"/>
      <c r="G49" s="325"/>
      <c r="H49" s="325"/>
      <c r="K49" s="274"/>
      <c r="M49" s="85"/>
      <c r="N49" s="85"/>
      <c r="O49" s="85"/>
    </row>
    <row r="50" spans="1:17" x14ac:dyDescent="0.25">
      <c r="A50" s="282" t="s">
        <v>522</v>
      </c>
      <c r="B50" s="331">
        <f>Map!AD10</f>
        <v>0</v>
      </c>
      <c r="F50" s="324"/>
      <c r="G50" s="325"/>
      <c r="H50" s="325"/>
      <c r="K50" s="274"/>
      <c r="M50" s="85"/>
    </row>
    <row r="51" spans="1:17" x14ac:dyDescent="0.25">
      <c r="A51" s="286" t="s">
        <v>1201</v>
      </c>
      <c r="B51" s="200">
        <f>B50*30%</f>
        <v>0</v>
      </c>
      <c r="D51" s="284"/>
      <c r="F51" s="324"/>
      <c r="G51" s="325"/>
      <c r="H51" s="325"/>
      <c r="K51" s="274"/>
      <c r="M51" s="85"/>
    </row>
    <row r="52" spans="1:17" x14ac:dyDescent="0.25">
      <c r="A52" s="286" t="s">
        <v>11</v>
      </c>
      <c r="B52" s="284">
        <v>0.67</v>
      </c>
      <c r="F52" s="324"/>
      <c r="G52" s="325"/>
      <c r="H52" s="325"/>
      <c r="K52" s="274"/>
      <c r="M52" s="85"/>
    </row>
    <row r="53" spans="1:17" x14ac:dyDescent="0.25">
      <c r="A53" s="280" t="s">
        <v>1187</v>
      </c>
      <c r="B53" s="280"/>
      <c r="C53" s="280"/>
      <c r="D53" s="280"/>
      <c r="E53" s="280"/>
      <c r="F53" s="326">
        <f>IF(B49="Actual Loss Sustained",B51*B52/100,0)</f>
        <v>0</v>
      </c>
      <c r="G53" s="327"/>
      <c r="H53" s="328" t="str">
        <f>IF(F53&gt;0,"Included","-")</f>
        <v>-</v>
      </c>
      <c r="I53" s="274" t="s">
        <v>1368</v>
      </c>
      <c r="K53" s="379" t="s">
        <v>1385</v>
      </c>
      <c r="N53" s="85"/>
      <c r="O53" s="85"/>
    </row>
    <row r="54" spans="1:17" x14ac:dyDescent="0.25">
      <c r="B54" s="282"/>
      <c r="C54" s="282"/>
      <c r="D54" s="282"/>
      <c r="E54" s="282"/>
      <c r="F54" s="375"/>
      <c r="G54" s="325"/>
      <c r="H54" s="367">
        <f>IF(H53="-",10000,"-")</f>
        <v>10000</v>
      </c>
      <c r="I54" s="274" t="s">
        <v>961</v>
      </c>
      <c r="K54" s="274"/>
      <c r="N54" s="85"/>
      <c r="O54" s="85"/>
    </row>
    <row r="55" spans="1:17" x14ac:dyDescent="0.25">
      <c r="G55" s="318"/>
      <c r="H55" s="318"/>
      <c r="K55" s="274"/>
      <c r="Q55" s="285"/>
    </row>
    <row r="56" spans="1:17" x14ac:dyDescent="0.25">
      <c r="A56" s="322" t="s">
        <v>756</v>
      </c>
      <c r="F56" s="324"/>
      <c r="G56" s="325"/>
      <c r="H56" s="325"/>
      <c r="K56" s="274"/>
      <c r="Q56" s="8"/>
    </row>
    <row r="57" spans="1:17" x14ac:dyDescent="0.25">
      <c r="F57" s="324"/>
      <c r="G57" s="325"/>
      <c r="H57" s="325"/>
      <c r="K57" s="274"/>
      <c r="Q57" s="8"/>
    </row>
    <row r="58" spans="1:17" x14ac:dyDescent="0.25">
      <c r="A58" s="282" t="s">
        <v>1202</v>
      </c>
      <c r="B58" s="331">
        <f>Map!AD12</f>
        <v>0</v>
      </c>
      <c r="F58" s="324"/>
      <c r="G58" s="325"/>
      <c r="H58" s="325"/>
      <c r="K58" s="274"/>
      <c r="Q58" s="8"/>
    </row>
    <row r="59" spans="1:17" x14ac:dyDescent="0.25">
      <c r="A59" s="286" t="s">
        <v>1203</v>
      </c>
      <c r="B59" s="287">
        <v>3.9699999999999999E-2</v>
      </c>
      <c r="F59" s="324"/>
      <c r="G59" s="325"/>
      <c r="H59" s="325"/>
      <c r="K59" s="274" t="s">
        <v>1207</v>
      </c>
      <c r="Q59" s="8"/>
    </row>
    <row r="60" spans="1:17" x14ac:dyDescent="0.25">
      <c r="A60" s="286" t="s">
        <v>1204</v>
      </c>
      <c r="B60" s="287">
        <v>1.9900000000000001E-2</v>
      </c>
      <c r="D60" s="284"/>
      <c r="F60" s="324"/>
      <c r="G60" s="325"/>
      <c r="H60" s="325"/>
      <c r="K60" s="274"/>
      <c r="Q60" s="8"/>
    </row>
    <row r="61" spans="1:17" x14ac:dyDescent="0.25">
      <c r="A61" s="280" t="s">
        <v>1187</v>
      </c>
      <c r="B61" s="280"/>
      <c r="C61" s="280"/>
      <c r="D61" s="280"/>
      <c r="E61" s="280"/>
      <c r="F61" s="333">
        <f>IF(B58="Not required",0,IF(B58&lt;1000000,B58*B59/100,IF(B58&gt;1000000,(1000000*B59/100)+((B58-1000000)*B60)/100)))</f>
        <v>0</v>
      </c>
      <c r="G61" s="327"/>
      <c r="H61" s="335"/>
      <c r="K61" s="274"/>
      <c r="Q61" s="8"/>
    </row>
    <row r="62" spans="1:17" x14ac:dyDescent="0.25">
      <c r="A62" s="286" t="s">
        <v>1205</v>
      </c>
      <c r="F62" s="283">
        <v>40</v>
      </c>
      <c r="G62" s="318"/>
      <c r="H62" s="318"/>
      <c r="K62" s="274"/>
      <c r="M62" s="85"/>
    </row>
    <row r="63" spans="1:17" x14ac:dyDescent="0.25">
      <c r="A63" s="280" t="s">
        <v>1206</v>
      </c>
      <c r="B63" s="280"/>
      <c r="C63" s="280"/>
      <c r="D63" s="280"/>
      <c r="E63" s="280"/>
      <c r="F63" s="334">
        <f>IF(F61=0,0,MAX(F61:F62))</f>
        <v>0</v>
      </c>
      <c r="G63" s="327"/>
      <c r="H63" s="328" t="str">
        <f>IF(F63&gt;0,"Included","-")</f>
        <v>-</v>
      </c>
      <c r="K63" s="274"/>
      <c r="Q63" s="8"/>
    </row>
    <row r="64" spans="1:17" x14ac:dyDescent="0.25">
      <c r="F64" s="283"/>
      <c r="G64" s="318"/>
      <c r="H64" s="318"/>
      <c r="K64" s="274"/>
      <c r="M64" s="85"/>
    </row>
    <row r="65" spans="1:17" x14ac:dyDescent="0.25">
      <c r="A65" s="322" t="s">
        <v>731</v>
      </c>
      <c r="F65" s="283"/>
      <c r="G65" s="318"/>
      <c r="H65" s="318"/>
      <c r="K65" s="274"/>
      <c r="M65" s="85"/>
    </row>
    <row r="66" spans="1:17" x14ac:dyDescent="0.25">
      <c r="F66" s="283"/>
      <c r="G66" s="318"/>
      <c r="H66" s="318"/>
      <c r="K66" s="274"/>
      <c r="M66" s="85"/>
    </row>
    <row r="67" spans="1:17" x14ac:dyDescent="0.25">
      <c r="A67" s="286" t="s">
        <v>1208</v>
      </c>
      <c r="B67" s="331">
        <f>Map!AD13</f>
        <v>0</v>
      </c>
      <c r="F67" s="283"/>
      <c r="G67" s="318"/>
      <c r="H67" s="318"/>
      <c r="K67" s="274"/>
      <c r="M67" s="85"/>
    </row>
    <row r="68" spans="1:17" x14ac:dyDescent="0.25">
      <c r="A68" s="280" t="s">
        <v>1206</v>
      </c>
      <c r="B68" s="280"/>
      <c r="C68" s="280"/>
      <c r="D68" s="280"/>
      <c r="E68" s="280"/>
      <c r="F68" s="334">
        <f>IF(B67="Include",50,0)</f>
        <v>0</v>
      </c>
      <c r="G68" s="327"/>
      <c r="H68" s="328" t="str">
        <f>IF(F68&gt;0,"Included","-")</f>
        <v>-</v>
      </c>
      <c r="K68" s="274"/>
      <c r="Q68" s="8"/>
    </row>
    <row r="69" spans="1:17" x14ac:dyDescent="0.25">
      <c r="F69" s="283"/>
      <c r="G69" s="318"/>
      <c r="H69" s="318"/>
      <c r="K69" s="274"/>
      <c r="M69" s="85"/>
    </row>
    <row r="70" spans="1:17" x14ac:dyDescent="0.25">
      <c r="A70" s="322" t="s">
        <v>636</v>
      </c>
      <c r="F70" s="283"/>
      <c r="G70" s="318"/>
      <c r="H70" s="318"/>
      <c r="K70" s="274"/>
      <c r="M70" s="85"/>
    </row>
    <row r="71" spans="1:17" x14ac:dyDescent="0.25">
      <c r="F71" s="283"/>
      <c r="G71" s="318"/>
      <c r="H71" s="318"/>
      <c r="K71" s="274"/>
      <c r="M71" s="85"/>
    </row>
    <row r="72" spans="1:17" x14ac:dyDescent="0.25">
      <c r="A72" s="286" t="s">
        <v>1209</v>
      </c>
      <c r="B72" s="331">
        <f>Map!AD14</f>
        <v>0</v>
      </c>
      <c r="F72" s="283"/>
      <c r="G72" s="318"/>
      <c r="H72" s="318"/>
      <c r="K72" s="274"/>
      <c r="M72" s="85"/>
    </row>
    <row r="73" spans="1:17" x14ac:dyDescent="0.25">
      <c r="A73" s="280" t="s">
        <v>1206</v>
      </c>
      <c r="B73" s="280"/>
      <c r="C73" s="280"/>
      <c r="D73" s="280"/>
      <c r="E73" s="280"/>
      <c r="F73" s="334">
        <f>IF(B72="Include",25,0)</f>
        <v>0</v>
      </c>
      <c r="G73" s="327"/>
      <c r="H73" s="328" t="str">
        <f>IF(F73&gt;0,"Included","-")</f>
        <v>-</v>
      </c>
      <c r="I73" s="274" t="s">
        <v>3</v>
      </c>
      <c r="K73" s="274"/>
      <c r="Q73" s="8"/>
    </row>
    <row r="74" spans="1:17" x14ac:dyDescent="0.25">
      <c r="F74" s="283"/>
      <c r="G74" s="318"/>
      <c r="H74" s="381" t="str">
        <f>IF(H73="Included",10000,"-")</f>
        <v>-</v>
      </c>
      <c r="I74" s="274" t="s">
        <v>2</v>
      </c>
      <c r="K74" s="274"/>
      <c r="M74" s="85"/>
    </row>
    <row r="75" spans="1:17" x14ac:dyDescent="0.25">
      <c r="A75" s="322" t="s">
        <v>572</v>
      </c>
      <c r="F75" s="283"/>
      <c r="G75" s="318"/>
      <c r="H75" s="318"/>
      <c r="K75" s="274"/>
      <c r="M75" s="85"/>
    </row>
    <row r="76" spans="1:17" x14ac:dyDescent="0.25">
      <c r="F76" s="283"/>
      <c r="G76" s="318"/>
      <c r="H76" s="318"/>
      <c r="K76" s="274"/>
      <c r="M76" s="85"/>
    </row>
    <row r="77" spans="1:17" x14ac:dyDescent="0.25">
      <c r="A77" s="286" t="s">
        <v>1210</v>
      </c>
      <c r="B77" s="331">
        <f>Map!AD15</f>
        <v>0</v>
      </c>
      <c r="F77" s="283"/>
      <c r="G77" s="318"/>
      <c r="H77" s="318"/>
      <c r="K77" s="274"/>
      <c r="M77" s="85"/>
    </row>
    <row r="78" spans="1:17" x14ac:dyDescent="0.25">
      <c r="A78" s="280" t="s">
        <v>1206</v>
      </c>
      <c r="B78" s="280"/>
      <c r="C78" s="280"/>
      <c r="D78" s="280"/>
      <c r="E78" s="280"/>
      <c r="F78" s="334">
        <f>IF(B77="Include",25,0)</f>
        <v>0</v>
      </c>
      <c r="G78" s="327"/>
      <c r="H78" s="328" t="str">
        <f>IF(F78&gt;0,"Included","-")</f>
        <v>-</v>
      </c>
      <c r="I78" s="274" t="s">
        <v>3</v>
      </c>
      <c r="K78" s="274"/>
      <c r="Q78" s="8"/>
    </row>
    <row r="79" spans="1:17" x14ac:dyDescent="0.25">
      <c r="G79" s="283"/>
      <c r="H79" s="357"/>
      <c r="I79" s="274" t="s">
        <v>2</v>
      </c>
      <c r="K79" s="274"/>
    </row>
    <row r="80" spans="1:17" x14ac:dyDescent="0.25">
      <c r="A80" s="322" t="s">
        <v>1244</v>
      </c>
      <c r="F80" s="324"/>
      <c r="G80" s="325"/>
      <c r="H80" s="325"/>
      <c r="M80" s="85"/>
      <c r="N80" s="85"/>
      <c r="O80" s="85"/>
    </row>
    <row r="81" spans="1:15" x14ac:dyDescent="0.25">
      <c r="F81" s="324"/>
      <c r="G81" s="325"/>
      <c r="H81" s="325"/>
      <c r="M81" s="85"/>
      <c r="N81" s="85"/>
      <c r="O81" s="85"/>
    </row>
    <row r="82" spans="1:15" x14ac:dyDescent="0.25">
      <c r="A82" s="282" t="s">
        <v>1245</v>
      </c>
      <c r="B82" s="331">
        <f>Map!AD33</f>
        <v>0</v>
      </c>
      <c r="F82" s="324"/>
      <c r="G82" s="325"/>
      <c r="H82" s="325"/>
      <c r="M82" s="85"/>
      <c r="N82" s="85"/>
      <c r="O82" s="85"/>
    </row>
    <row r="83" spans="1:15" x14ac:dyDescent="0.25">
      <c r="A83" s="282" t="s">
        <v>1246</v>
      </c>
      <c r="B83" s="331">
        <f>Map!AD16</f>
        <v>0</v>
      </c>
      <c r="F83" s="324"/>
      <c r="G83" s="325"/>
      <c r="H83" s="325"/>
      <c r="M83" s="85"/>
    </row>
    <row r="84" spans="1:15" x14ac:dyDescent="0.25">
      <c r="A84" s="286" t="s">
        <v>1248</v>
      </c>
      <c r="B84" s="284">
        <v>55</v>
      </c>
      <c r="F84" s="324"/>
      <c r="G84" s="325"/>
      <c r="H84" s="325"/>
      <c r="M84" s="85"/>
    </row>
    <row r="85" spans="1:15" x14ac:dyDescent="0.25">
      <c r="A85" s="280" t="s">
        <v>1187</v>
      </c>
      <c r="B85" s="280"/>
      <c r="C85" s="280"/>
      <c r="D85" s="280"/>
      <c r="E85" s="280"/>
      <c r="F85" s="326">
        <f>IF(B82="Include",B83*B84/100,0)</f>
        <v>0</v>
      </c>
      <c r="G85" s="327"/>
      <c r="H85" s="328" t="str">
        <f>IF(F85&gt;0,"Included","-")</f>
        <v>-</v>
      </c>
      <c r="N85" s="85"/>
      <c r="O85" s="85"/>
    </row>
    <row r="86" spans="1:15" x14ac:dyDescent="0.25">
      <c r="F86" s="319"/>
      <c r="G86" s="283"/>
      <c r="H86" s="283"/>
    </row>
    <row r="87" spans="1:15" x14ac:dyDescent="0.25">
      <c r="A87" s="322" t="s">
        <v>1249</v>
      </c>
      <c r="F87" s="324"/>
      <c r="G87" s="325"/>
      <c r="H87" s="325"/>
      <c r="M87" s="85"/>
      <c r="N87" s="85"/>
      <c r="O87" s="85"/>
    </row>
    <row r="88" spans="1:15" x14ac:dyDescent="0.25">
      <c r="F88" s="324"/>
      <c r="G88" s="325"/>
      <c r="H88" s="325"/>
      <c r="M88" s="85"/>
      <c r="N88" s="85"/>
      <c r="O88" s="85"/>
    </row>
    <row r="89" spans="1:15" x14ac:dyDescent="0.25">
      <c r="A89" s="282" t="s">
        <v>1250</v>
      </c>
      <c r="B89" s="331">
        <f>Map!AD17</f>
        <v>0</v>
      </c>
      <c r="F89" s="324"/>
      <c r="G89" s="325"/>
      <c r="H89" s="325"/>
      <c r="M89" s="85"/>
      <c r="N89" s="85"/>
      <c r="O89" s="85"/>
    </row>
    <row r="90" spans="1:15" x14ac:dyDescent="0.25">
      <c r="A90" s="280" t="s">
        <v>1187</v>
      </c>
      <c r="B90" s="280"/>
      <c r="C90" s="280"/>
      <c r="D90" s="280"/>
      <c r="E90" s="280"/>
      <c r="F90" s="326">
        <f>IF(B89=5000,75,IF(B89=10000,100,0))</f>
        <v>0</v>
      </c>
      <c r="G90" s="327"/>
      <c r="H90" s="328" t="str">
        <f>IF(F90&gt;0,B89,"-")</f>
        <v>-</v>
      </c>
      <c r="N90" s="85"/>
      <c r="O90" s="85"/>
    </row>
    <row r="91" spans="1:15" x14ac:dyDescent="0.25">
      <c r="A91" s="286"/>
      <c r="B91" s="50"/>
      <c r="C91" s="50"/>
      <c r="D91" s="50"/>
      <c r="F91" s="283"/>
    </row>
    <row r="92" spans="1:15" x14ac:dyDescent="0.25">
      <c r="A92" s="322" t="s">
        <v>1251</v>
      </c>
      <c r="F92" s="324"/>
      <c r="G92" s="325"/>
      <c r="H92" s="325"/>
      <c r="M92" s="85"/>
      <c r="N92" s="85"/>
      <c r="O92" s="85"/>
    </row>
    <row r="93" spans="1:15" x14ac:dyDescent="0.25">
      <c r="F93" s="324"/>
      <c r="G93" s="325"/>
      <c r="H93" s="325"/>
      <c r="N93" s="85"/>
      <c r="O93" s="85"/>
    </row>
    <row r="94" spans="1:15" x14ac:dyDescent="0.25">
      <c r="A94" s="282" t="s">
        <v>1271</v>
      </c>
      <c r="B94" s="331">
        <f>Map!AD18</f>
        <v>0</v>
      </c>
      <c r="F94" s="324"/>
      <c r="G94" s="325"/>
      <c r="H94" s="325"/>
      <c r="K94" s="274"/>
      <c r="N94" s="85"/>
      <c r="O94" s="85"/>
    </row>
    <row r="95" spans="1:15" x14ac:dyDescent="0.25">
      <c r="A95" s="286" t="s">
        <v>1270</v>
      </c>
      <c r="B95" s="331">
        <f>Map!AD19</f>
        <v>0</v>
      </c>
      <c r="F95" s="324"/>
      <c r="G95" s="325"/>
      <c r="H95" s="325"/>
      <c r="K95" s="274"/>
      <c r="N95" s="85"/>
      <c r="O95" s="85"/>
    </row>
    <row r="96" spans="1:15" x14ac:dyDescent="0.25">
      <c r="A96" s="286" t="s">
        <v>1266</v>
      </c>
      <c r="B96" s="331">
        <f>Map!AD20</f>
        <v>0</v>
      </c>
      <c r="F96" s="324"/>
      <c r="G96" s="325"/>
      <c r="H96" s="325"/>
      <c r="K96" s="274"/>
    </row>
    <row r="97" spans="1:15" x14ac:dyDescent="0.25">
      <c r="A97" s="280" t="s">
        <v>1187</v>
      </c>
      <c r="B97" s="280"/>
      <c r="C97" s="280"/>
      <c r="D97" s="280"/>
      <c r="E97" s="280"/>
      <c r="F97" s="356">
        <f>IFERROR(VLOOKUP(B94,$K$108:$L$111,2,FALSE)+VLOOKUP(B95,$K$103:$L$106,2,FALSE)+VLOOKUP(B96,$K$98:$L$101,2,FALSE),0)</f>
        <v>0</v>
      </c>
      <c r="G97" s="327"/>
      <c r="H97" s="396">
        <f>B94</f>
        <v>0</v>
      </c>
      <c r="I97" s="274" t="s">
        <v>760</v>
      </c>
      <c r="K97" s="288" t="s">
        <v>1267</v>
      </c>
      <c r="N97" s="85"/>
      <c r="O97" s="85"/>
    </row>
    <row r="98" spans="1:15" x14ac:dyDescent="0.25">
      <c r="A98" s="286"/>
      <c r="B98" s="50"/>
      <c r="C98" s="50"/>
      <c r="D98" s="50"/>
      <c r="F98" s="283"/>
      <c r="H98" s="395">
        <f>IF($B$94=25000,2500,IF($B$94=50000,2500,IF($B$94=100000,5000,0)))</f>
        <v>0</v>
      </c>
      <c r="I98" s="274" t="s">
        <v>764</v>
      </c>
      <c r="K98" s="200">
        <v>0</v>
      </c>
      <c r="L98" s="200">
        <v>0</v>
      </c>
    </row>
    <row r="99" spans="1:15" x14ac:dyDescent="0.25">
      <c r="A99" s="286"/>
      <c r="B99" s="50"/>
      <c r="C99" s="50"/>
      <c r="D99" s="50"/>
      <c r="F99" s="283"/>
      <c r="H99" s="395">
        <f>IF($B$94&gt;0,"Included",0)</f>
        <v>0</v>
      </c>
      <c r="I99" s="274" t="s">
        <v>767</v>
      </c>
      <c r="K99" s="200">
        <v>25000</v>
      </c>
      <c r="L99" s="200">
        <v>79</v>
      </c>
    </row>
    <row r="100" spans="1:15" x14ac:dyDescent="0.25">
      <c r="A100" s="286"/>
      <c r="B100" s="50"/>
      <c r="C100" s="50"/>
      <c r="D100" s="50"/>
      <c r="F100" s="283"/>
      <c r="H100" s="395">
        <f>IF($B$94=25000,10000,IF($B$94=50000,10000,IF($B$94=100000,20000,0)))</f>
        <v>0</v>
      </c>
      <c r="I100" s="274" t="s">
        <v>771</v>
      </c>
      <c r="K100" s="200">
        <v>50000</v>
      </c>
      <c r="L100" s="200">
        <v>114</v>
      </c>
    </row>
    <row r="101" spans="1:15" x14ac:dyDescent="0.25">
      <c r="F101" s="283"/>
      <c r="H101" s="395">
        <f>IF($B$94=25000,5000,IF($B$94=50000,5000,IF($B$94=100000,10000,0)))</f>
        <v>0</v>
      </c>
      <c r="I101" s="274" t="s">
        <v>775</v>
      </c>
      <c r="J101" s="282"/>
      <c r="K101" s="200">
        <v>100000</v>
      </c>
      <c r="L101" s="200">
        <v>158</v>
      </c>
      <c r="M101" s="85"/>
    </row>
    <row r="102" spans="1:15" x14ac:dyDescent="0.25">
      <c r="F102" s="283"/>
      <c r="H102" s="395">
        <f>B95</f>
        <v>0</v>
      </c>
      <c r="I102" s="274" t="s">
        <v>780</v>
      </c>
      <c r="J102" s="282"/>
      <c r="K102" s="394" t="s">
        <v>1268</v>
      </c>
      <c r="L102" s="200"/>
      <c r="M102" s="85"/>
    </row>
    <row r="103" spans="1:15" x14ac:dyDescent="0.25">
      <c r="F103" s="283"/>
      <c r="H103" s="395">
        <f>IF($B$94&gt;0,"Included",0)</f>
        <v>0</v>
      </c>
      <c r="I103" s="274" t="s">
        <v>784</v>
      </c>
      <c r="J103" s="282"/>
      <c r="K103" s="200">
        <v>0</v>
      </c>
      <c r="L103" s="200">
        <v>0</v>
      </c>
      <c r="M103" s="85"/>
    </row>
    <row r="104" spans="1:15" x14ac:dyDescent="0.25">
      <c r="F104" s="283"/>
      <c r="H104" s="395">
        <f>IF($B$96&gt;0,$B$96*10%,0)</f>
        <v>0</v>
      </c>
      <c r="I104" s="274" t="s">
        <v>787</v>
      </c>
      <c r="J104" s="282"/>
      <c r="K104" s="200">
        <v>25000</v>
      </c>
      <c r="L104" s="200">
        <v>67</v>
      </c>
      <c r="M104" s="85"/>
    </row>
    <row r="105" spans="1:15" x14ac:dyDescent="0.25">
      <c r="F105" s="283"/>
      <c r="H105" s="395">
        <f>IF($B$96&gt;0,$B$96*10%,0)</f>
        <v>0</v>
      </c>
      <c r="I105" s="274" t="s">
        <v>792</v>
      </c>
      <c r="J105" s="282"/>
      <c r="K105" s="200">
        <v>50000</v>
      </c>
      <c r="L105" s="200">
        <v>177</v>
      </c>
      <c r="M105" s="85"/>
    </row>
    <row r="106" spans="1:15" x14ac:dyDescent="0.25">
      <c r="F106" s="283"/>
      <c r="H106" s="395">
        <f>B96</f>
        <v>0</v>
      </c>
      <c r="I106" s="274" t="s">
        <v>797</v>
      </c>
      <c r="J106" s="282"/>
      <c r="K106" s="200">
        <v>100000</v>
      </c>
      <c r="L106" s="200">
        <v>215</v>
      </c>
      <c r="M106" s="85"/>
    </row>
    <row r="107" spans="1:15" x14ac:dyDescent="0.25">
      <c r="F107" s="283"/>
      <c r="H107" s="395">
        <f>B96</f>
        <v>0</v>
      </c>
      <c r="I107" s="274" t="s">
        <v>803</v>
      </c>
      <c r="J107" s="282"/>
      <c r="K107" s="394" t="s">
        <v>1269</v>
      </c>
      <c r="L107" s="200"/>
      <c r="M107" s="85"/>
    </row>
    <row r="108" spans="1:15" x14ac:dyDescent="0.25">
      <c r="F108" s="283"/>
      <c r="H108" s="395">
        <f>IF($B$96&gt;0,$B$96*10%,0)</f>
        <v>0</v>
      </c>
      <c r="I108" s="274" t="s">
        <v>806</v>
      </c>
      <c r="J108" s="282"/>
      <c r="K108" s="200">
        <v>0</v>
      </c>
      <c r="L108" s="200">
        <v>0</v>
      </c>
      <c r="M108" s="85"/>
    </row>
    <row r="109" spans="1:15" x14ac:dyDescent="0.25">
      <c r="F109" s="283"/>
      <c r="H109" s="395">
        <f>B96</f>
        <v>0</v>
      </c>
      <c r="I109" s="274" t="s">
        <v>809</v>
      </c>
      <c r="J109" s="282"/>
      <c r="K109" s="200">
        <v>25000</v>
      </c>
      <c r="L109" s="200">
        <v>132</v>
      </c>
      <c r="M109" s="85"/>
    </row>
    <row r="110" spans="1:15" x14ac:dyDescent="0.25">
      <c r="F110" s="283"/>
      <c r="I110" s="282"/>
      <c r="J110" s="282"/>
      <c r="K110" s="200">
        <v>50000</v>
      </c>
      <c r="L110" s="200">
        <v>144</v>
      </c>
      <c r="M110" s="85"/>
    </row>
    <row r="111" spans="1:15" x14ac:dyDescent="0.25">
      <c r="A111" s="133"/>
      <c r="B111" s="136"/>
      <c r="C111" s="136"/>
      <c r="D111" s="50"/>
      <c r="F111" s="283"/>
      <c r="I111" s="282"/>
      <c r="J111" s="282"/>
      <c r="K111" s="200">
        <v>100000</v>
      </c>
      <c r="L111" s="200">
        <v>319</v>
      </c>
      <c r="M111" s="85"/>
    </row>
    <row r="112" spans="1:15" x14ac:dyDescent="0.25">
      <c r="A112" s="133"/>
      <c r="B112" s="136"/>
      <c r="C112" s="136"/>
      <c r="D112" s="50"/>
      <c r="F112" s="283"/>
      <c r="I112" s="282"/>
      <c r="J112" s="282"/>
      <c r="K112" s="274"/>
      <c r="M112" s="85"/>
    </row>
    <row r="113" spans="1:14" x14ac:dyDescent="0.25">
      <c r="A113" s="322" t="s">
        <v>1212</v>
      </c>
      <c r="B113" s="288"/>
      <c r="C113" s="288"/>
      <c r="I113" s="85"/>
      <c r="J113" s="85"/>
      <c r="K113" s="274"/>
      <c r="M113" s="85"/>
    </row>
    <row r="114" spans="1:14" x14ac:dyDescent="0.25">
      <c r="A114" s="321"/>
      <c r="B114" s="288"/>
      <c r="C114" s="288"/>
      <c r="F114" s="324"/>
      <c r="G114" s="324"/>
      <c r="H114" s="324"/>
      <c r="I114" s="85"/>
      <c r="J114" s="85"/>
      <c r="K114" s="274"/>
      <c r="L114" s="274" t="s">
        <v>1222</v>
      </c>
      <c r="M114" s="274" t="s">
        <v>1417</v>
      </c>
      <c r="N114" s="274" t="s">
        <v>1418</v>
      </c>
    </row>
    <row r="115" spans="1:14" x14ac:dyDescent="0.25">
      <c r="A115" s="323" t="s">
        <v>1213</v>
      </c>
      <c r="B115" s="329">
        <f>Map!AD21</f>
        <v>0</v>
      </c>
      <c r="C115" s="288"/>
      <c r="F115" s="324"/>
      <c r="G115" s="324"/>
      <c r="H115" s="324"/>
      <c r="I115" s="85"/>
      <c r="J115" s="85"/>
      <c r="K115" s="274" t="s">
        <v>1212</v>
      </c>
      <c r="L115" s="200">
        <f>Map!C92</f>
        <v>0</v>
      </c>
      <c r="M115" s="350" t="e">
        <f>L115/$L$119</f>
        <v>#DIV/0!</v>
      </c>
      <c r="N115" s="200" t="e">
        <f>$N$119*M115</f>
        <v>#DIV/0!</v>
      </c>
    </row>
    <row r="116" spans="1:14" x14ac:dyDescent="0.25">
      <c r="A116" s="323" t="s">
        <v>1214</v>
      </c>
      <c r="B116" s="329">
        <f>Map!AD22</f>
        <v>0</v>
      </c>
      <c r="C116" s="288"/>
      <c r="F116" s="324"/>
      <c r="G116" s="324"/>
      <c r="H116" s="324"/>
      <c r="I116" s="85"/>
      <c r="J116" s="85"/>
      <c r="K116" s="274" t="s">
        <v>523</v>
      </c>
      <c r="L116" s="200">
        <f>Map!C93</f>
        <v>0</v>
      </c>
      <c r="M116" s="350" t="e">
        <f t="shared" ref="M116:M118" si="0">L116/$L$119</f>
        <v>#DIV/0!</v>
      </c>
      <c r="N116" s="200" t="e">
        <f t="shared" ref="N116:N118" si="1">$N$119*M116</f>
        <v>#DIV/0!</v>
      </c>
    </row>
    <row r="117" spans="1:14" x14ac:dyDescent="0.25">
      <c r="A117" s="336" t="s">
        <v>1215</v>
      </c>
      <c r="B117" s="329">
        <f>Map!AD23</f>
        <v>0</v>
      </c>
      <c r="C117" s="288"/>
      <c r="F117" s="324"/>
      <c r="G117" s="324"/>
      <c r="H117" s="324"/>
      <c r="I117" s="85"/>
      <c r="J117" s="85"/>
      <c r="K117" s="274" t="s">
        <v>527</v>
      </c>
      <c r="L117" s="200">
        <f>Map!C94</f>
        <v>0</v>
      </c>
      <c r="M117" s="350" t="e">
        <f t="shared" si="0"/>
        <v>#DIV/0!</v>
      </c>
      <c r="N117" s="200" t="e">
        <f t="shared" si="1"/>
        <v>#DIV/0!</v>
      </c>
    </row>
    <row r="118" spans="1:14" x14ac:dyDescent="0.25">
      <c r="A118" s="336" t="s">
        <v>1216</v>
      </c>
      <c r="B118" s="329">
        <f>Map!AD24</f>
        <v>0</v>
      </c>
      <c r="C118" s="288"/>
      <c r="F118" s="324"/>
      <c r="G118" s="324"/>
      <c r="H118" s="324"/>
      <c r="I118" s="85"/>
      <c r="J118" s="85"/>
      <c r="K118" s="274" t="s">
        <v>532</v>
      </c>
      <c r="L118" s="200">
        <f>Map!C95</f>
        <v>0</v>
      </c>
      <c r="M118" s="350" t="e">
        <f t="shared" si="0"/>
        <v>#DIV/0!</v>
      </c>
      <c r="N118" s="200" t="e">
        <f t="shared" si="1"/>
        <v>#DIV/0!</v>
      </c>
    </row>
    <row r="119" spans="1:14" x14ac:dyDescent="0.25">
      <c r="A119" s="336" t="s">
        <v>1217</v>
      </c>
      <c r="B119" s="337">
        <f>SUM(B115:B118)</f>
        <v>0</v>
      </c>
      <c r="C119" s="288"/>
      <c r="F119" s="324"/>
      <c r="G119" s="324"/>
      <c r="H119" s="324"/>
      <c r="I119" s="85"/>
      <c r="J119" s="85"/>
      <c r="K119" s="274" t="s">
        <v>1223</v>
      </c>
      <c r="L119" s="200">
        <f>SUM(L115:L118)</f>
        <v>0</v>
      </c>
      <c r="M119" s="350" t="e">
        <f>SUM(M115:M118)</f>
        <v>#DIV/0!</v>
      </c>
      <c r="N119" s="200">
        <f>MAX(B119:B120)</f>
        <v>10000</v>
      </c>
    </row>
    <row r="120" spans="1:14" x14ac:dyDescent="0.25">
      <c r="A120" s="336" t="s">
        <v>1218</v>
      </c>
      <c r="B120" s="337">
        <v>10000</v>
      </c>
      <c r="C120" s="288"/>
      <c r="F120" s="324"/>
      <c r="G120" s="324"/>
      <c r="H120" s="324"/>
      <c r="I120" s="85"/>
      <c r="J120" s="85"/>
      <c r="K120" s="274"/>
    </row>
    <row r="121" spans="1:14" x14ac:dyDescent="0.25">
      <c r="A121" s="336" t="s">
        <v>1220</v>
      </c>
      <c r="B121" s="337">
        <f>IF(B119&gt;B120,B119-B120,0)</f>
        <v>0</v>
      </c>
      <c r="C121" s="288"/>
      <c r="F121" s="324"/>
      <c r="G121" s="324"/>
      <c r="H121" s="324"/>
      <c r="I121" s="85"/>
      <c r="J121" s="85"/>
    </row>
    <row r="122" spans="1:14" x14ac:dyDescent="0.25">
      <c r="A122" s="323" t="s">
        <v>1185</v>
      </c>
      <c r="B122" s="330" t="str">
        <f>Map!AD8</f>
        <v>Wood Frame/All Other</v>
      </c>
      <c r="C122" s="288"/>
      <c r="F122" s="324"/>
      <c r="G122" s="324"/>
      <c r="H122" s="324"/>
      <c r="I122" s="85"/>
      <c r="J122" s="85"/>
      <c r="K122" s="85"/>
      <c r="L122" s="85"/>
      <c r="M122" s="85"/>
    </row>
    <row r="123" spans="1:14" x14ac:dyDescent="0.25">
      <c r="A123" s="323" t="s">
        <v>1186</v>
      </c>
      <c r="B123" s="329" t="str">
        <f>Map!AD9</f>
        <v>Fire Hall Protected</v>
      </c>
      <c r="C123" s="288"/>
      <c r="F123" s="324"/>
      <c r="G123" s="324"/>
      <c r="H123" s="324"/>
      <c r="I123" s="85"/>
      <c r="J123" s="85"/>
      <c r="K123" s="85"/>
      <c r="L123" s="85"/>
      <c r="M123" s="85"/>
    </row>
    <row r="124" spans="1:14" x14ac:dyDescent="0.25">
      <c r="A124" s="282" t="s">
        <v>1198</v>
      </c>
      <c r="B124" s="275" t="str">
        <f>CONCATENATE(B122," ",B123)</f>
        <v>Wood Frame/All Other Fire Hall Protected</v>
      </c>
      <c r="F124" s="324"/>
      <c r="G124" s="325"/>
      <c r="H124" s="325"/>
      <c r="I124" s="85"/>
      <c r="J124" s="85"/>
      <c r="K124" s="85"/>
      <c r="L124" s="85"/>
      <c r="M124" s="85"/>
    </row>
    <row r="125" spans="1:14" x14ac:dyDescent="0.25">
      <c r="A125" s="282" t="s">
        <v>1197</v>
      </c>
      <c r="B125" s="275">
        <f>VLOOKUP(B124,$K$36:$L$44,2,FALSE)</f>
        <v>0.65</v>
      </c>
      <c r="F125" s="324"/>
      <c r="G125" s="325"/>
      <c r="H125" s="325"/>
      <c r="I125" s="85"/>
      <c r="J125" s="85"/>
      <c r="K125" s="85"/>
      <c r="L125" s="85"/>
      <c r="M125" s="85"/>
    </row>
    <row r="126" spans="1:14" x14ac:dyDescent="0.25">
      <c r="A126" s="280" t="s">
        <v>1187</v>
      </c>
      <c r="B126" s="280"/>
      <c r="C126" s="280"/>
      <c r="D126" s="280"/>
      <c r="E126" s="280"/>
      <c r="F126" s="326">
        <f>B121*B125/100</f>
        <v>0</v>
      </c>
      <c r="G126" s="327"/>
      <c r="H126" s="328" t="e">
        <f>N115</f>
        <v>#DIV/0!</v>
      </c>
      <c r="I126" s="85" t="s">
        <v>1212</v>
      </c>
      <c r="J126" s="85"/>
      <c r="K126" s="85"/>
      <c r="L126" s="85"/>
      <c r="M126" s="85"/>
    </row>
    <row r="127" spans="1:14" x14ac:dyDescent="0.25">
      <c r="A127" s="286"/>
      <c r="B127" s="50"/>
      <c r="C127" s="50"/>
      <c r="D127" s="50"/>
      <c r="F127" s="283"/>
      <c r="G127" s="318"/>
      <c r="H127" s="393" t="e">
        <f>N117</f>
        <v>#DIV/0!</v>
      </c>
      <c r="I127" s="85" t="s">
        <v>527</v>
      </c>
      <c r="J127" s="85"/>
      <c r="K127" s="85"/>
      <c r="L127" s="85"/>
      <c r="M127" s="85"/>
    </row>
    <row r="128" spans="1:14" x14ac:dyDescent="0.25">
      <c r="A128" s="286"/>
      <c r="B128" s="50"/>
      <c r="C128" s="50"/>
      <c r="D128" s="50"/>
      <c r="F128" s="283"/>
      <c r="G128" s="318"/>
      <c r="H128" s="393" t="e">
        <f>N116</f>
        <v>#DIV/0!</v>
      </c>
      <c r="I128" s="85" t="s">
        <v>523</v>
      </c>
      <c r="J128" s="85"/>
      <c r="K128" s="85"/>
      <c r="L128" s="85"/>
      <c r="M128" s="85"/>
    </row>
    <row r="129" spans="1:15" x14ac:dyDescent="0.25">
      <c r="A129" s="286"/>
      <c r="B129" s="50"/>
      <c r="C129" s="50"/>
      <c r="D129" s="50"/>
      <c r="F129" s="283"/>
      <c r="G129" s="318"/>
      <c r="H129" s="393" t="e">
        <f>N118</f>
        <v>#DIV/0!</v>
      </c>
      <c r="I129" s="85" t="s">
        <v>1221</v>
      </c>
      <c r="J129" s="85"/>
      <c r="K129" s="85"/>
      <c r="L129" s="85"/>
      <c r="M129" s="85"/>
    </row>
    <row r="130" spans="1:15" x14ac:dyDescent="0.25">
      <c r="A130" s="286"/>
      <c r="B130" s="50"/>
      <c r="C130" s="50"/>
      <c r="D130" s="50"/>
      <c r="F130" s="283"/>
      <c r="G130" s="318"/>
      <c r="H130" s="393">
        <f>Map!AD32</f>
        <v>1000</v>
      </c>
      <c r="I130" s="85" t="s">
        <v>2</v>
      </c>
      <c r="J130" s="85"/>
      <c r="K130" s="85"/>
      <c r="L130" s="85"/>
      <c r="M130" s="85"/>
    </row>
    <row r="131" spans="1:15" x14ac:dyDescent="0.25">
      <c r="A131" s="322" t="s">
        <v>1224</v>
      </c>
      <c r="F131" s="324"/>
      <c r="G131" s="325"/>
      <c r="H131" s="325"/>
      <c r="K131" s="274"/>
      <c r="M131" s="85"/>
      <c r="N131" s="85"/>
      <c r="O131" s="85"/>
    </row>
    <row r="132" spans="1:15" x14ac:dyDescent="0.25">
      <c r="F132" s="324"/>
      <c r="G132" s="325"/>
      <c r="H132" s="325"/>
      <c r="K132" s="274"/>
      <c r="M132" s="85"/>
      <c r="N132" s="85"/>
      <c r="O132" s="85"/>
    </row>
    <row r="133" spans="1:15" x14ac:dyDescent="0.25">
      <c r="A133" s="282" t="s">
        <v>1225</v>
      </c>
      <c r="B133" s="331">
        <f>Map!AD25</f>
        <v>0</v>
      </c>
      <c r="F133" s="324"/>
      <c r="G133" s="325"/>
      <c r="H133" s="325"/>
      <c r="K133" s="274" t="s">
        <v>1229</v>
      </c>
      <c r="M133" s="85"/>
      <c r="N133" s="85"/>
      <c r="O133" s="85"/>
    </row>
    <row r="134" spans="1:15" x14ac:dyDescent="0.25">
      <c r="A134" s="282" t="s">
        <v>1218</v>
      </c>
      <c r="B134" s="200">
        <v>10000</v>
      </c>
      <c r="F134" s="324"/>
      <c r="G134" s="325"/>
      <c r="H134" s="325"/>
      <c r="K134" s="274"/>
      <c r="M134" s="85"/>
    </row>
    <row r="135" spans="1:15" x14ac:dyDescent="0.25">
      <c r="A135" s="286" t="s">
        <v>1220</v>
      </c>
      <c r="B135" s="339">
        <f>IF(B133&gt;B134,B133-B134,0)</f>
        <v>0</v>
      </c>
      <c r="D135" s="284"/>
      <c r="F135" s="324"/>
      <c r="G135" s="325"/>
      <c r="H135" s="325"/>
      <c r="K135" s="274"/>
      <c r="M135" s="85"/>
    </row>
    <row r="136" spans="1:15" x14ac:dyDescent="0.25">
      <c r="A136" s="286" t="s">
        <v>11</v>
      </c>
      <c r="B136" s="284">
        <v>2.1</v>
      </c>
      <c r="F136" s="324"/>
      <c r="G136" s="325"/>
      <c r="H136" s="325"/>
      <c r="K136" s="274"/>
      <c r="M136" s="85"/>
    </row>
    <row r="137" spans="1:15" x14ac:dyDescent="0.25">
      <c r="A137" s="280" t="s">
        <v>1187</v>
      </c>
      <c r="B137" s="280"/>
      <c r="C137" s="280"/>
      <c r="D137" s="280"/>
      <c r="E137" s="280"/>
      <c r="F137" s="338">
        <f>B135*B136/100</f>
        <v>0</v>
      </c>
      <c r="G137" s="327"/>
      <c r="H137" s="376">
        <f>IF(F137=0,10000,B133)</f>
        <v>10000</v>
      </c>
      <c r="K137" s="274"/>
      <c r="N137" s="85"/>
      <c r="O137" s="85"/>
    </row>
    <row r="138" spans="1:15" x14ac:dyDescent="0.25">
      <c r="A138" s="286"/>
      <c r="B138" s="50"/>
      <c r="C138" s="50"/>
      <c r="D138" s="50"/>
      <c r="F138" s="283"/>
      <c r="G138" s="318"/>
      <c r="H138" s="318"/>
      <c r="I138" s="85"/>
      <c r="J138" s="85"/>
      <c r="K138" s="85"/>
      <c r="L138" s="85"/>
      <c r="M138" s="85"/>
    </row>
    <row r="139" spans="1:15" x14ac:dyDescent="0.25">
      <c r="A139" s="286"/>
      <c r="B139" s="50"/>
      <c r="C139" s="50"/>
      <c r="D139" s="50"/>
      <c r="F139" s="283"/>
      <c r="G139" s="318"/>
      <c r="H139" s="318"/>
      <c r="I139" s="85"/>
      <c r="J139" s="85"/>
      <c r="K139" s="85"/>
      <c r="L139" s="85"/>
      <c r="M139" s="85"/>
    </row>
    <row r="140" spans="1:15" x14ac:dyDescent="0.25">
      <c r="A140" s="322" t="s">
        <v>1226</v>
      </c>
      <c r="F140" s="324"/>
      <c r="G140" s="325"/>
      <c r="H140" s="325"/>
      <c r="K140" s="274"/>
      <c r="M140" s="85"/>
      <c r="N140" s="85"/>
      <c r="O140" s="85"/>
    </row>
    <row r="141" spans="1:15" x14ac:dyDescent="0.25">
      <c r="F141" s="324"/>
      <c r="G141" s="325"/>
      <c r="H141" s="325"/>
      <c r="K141" s="274"/>
      <c r="M141" s="85"/>
      <c r="N141" s="85"/>
      <c r="O141" s="85"/>
    </row>
    <row r="142" spans="1:15" x14ac:dyDescent="0.25">
      <c r="A142" s="282" t="s">
        <v>1227</v>
      </c>
      <c r="B142" s="331">
        <f>Map!AD26</f>
        <v>0</v>
      </c>
      <c r="F142" s="324"/>
      <c r="G142" s="325"/>
      <c r="H142" s="325"/>
      <c r="K142" s="274"/>
      <c r="M142" s="85"/>
      <c r="N142" s="85"/>
      <c r="O142" s="85"/>
    </row>
    <row r="143" spans="1:15" x14ac:dyDescent="0.25">
      <c r="A143" s="282" t="s">
        <v>1218</v>
      </c>
      <c r="B143" s="200">
        <v>10000</v>
      </c>
      <c r="F143" s="324"/>
      <c r="G143" s="325"/>
      <c r="H143" s="325"/>
      <c r="K143" s="274" t="s">
        <v>1228</v>
      </c>
      <c r="M143" s="85"/>
    </row>
    <row r="144" spans="1:15" x14ac:dyDescent="0.25">
      <c r="A144" s="286" t="s">
        <v>1220</v>
      </c>
      <c r="B144" s="339">
        <f>IF(B142&gt;B143,B142-B143,0)</f>
        <v>0</v>
      </c>
      <c r="D144" s="284"/>
      <c r="F144" s="324"/>
      <c r="G144" s="325"/>
      <c r="H144" s="325"/>
      <c r="K144" s="274"/>
      <c r="M144" s="85"/>
    </row>
    <row r="145" spans="1:15" x14ac:dyDescent="0.25">
      <c r="A145" s="286" t="s">
        <v>11</v>
      </c>
      <c r="B145" s="284">
        <v>0.53</v>
      </c>
      <c r="F145" s="324"/>
      <c r="G145" s="325"/>
      <c r="H145" s="325"/>
      <c r="K145" s="274"/>
      <c r="M145" s="85"/>
    </row>
    <row r="146" spans="1:15" x14ac:dyDescent="0.25">
      <c r="A146" s="280" t="s">
        <v>1187</v>
      </c>
      <c r="B146" s="280"/>
      <c r="C146" s="280"/>
      <c r="D146" s="280"/>
      <c r="E146" s="280"/>
      <c r="F146" s="338">
        <f>B144*B145/100</f>
        <v>0</v>
      </c>
      <c r="G146" s="327"/>
      <c r="H146" s="376">
        <f>IF(F146=0,10000,B142)</f>
        <v>10000</v>
      </c>
      <c r="K146" s="274"/>
      <c r="N146" s="85"/>
      <c r="O146" s="85"/>
    </row>
    <row r="147" spans="1:15" x14ac:dyDescent="0.25">
      <c r="A147" s="286"/>
      <c r="B147" s="50"/>
      <c r="C147" s="50"/>
      <c r="D147" s="50"/>
      <c r="F147" s="283"/>
      <c r="G147" s="318"/>
      <c r="H147" s="318"/>
      <c r="I147" s="85"/>
      <c r="J147" s="85"/>
      <c r="K147" s="85"/>
      <c r="L147" s="85"/>
      <c r="M147" s="85"/>
    </row>
    <row r="148" spans="1:15" x14ac:dyDescent="0.25">
      <c r="A148" s="322" t="s">
        <v>37</v>
      </c>
      <c r="F148" s="324"/>
      <c r="G148" s="325"/>
      <c r="H148" s="325"/>
      <c r="K148" s="274"/>
      <c r="M148" s="85"/>
      <c r="N148" s="85"/>
      <c r="O148" s="85"/>
    </row>
    <row r="149" spans="1:15" x14ac:dyDescent="0.25">
      <c r="F149" s="324"/>
      <c r="G149" s="325"/>
      <c r="H149" s="325"/>
      <c r="K149" s="274"/>
      <c r="M149" s="85"/>
      <c r="N149" s="85"/>
      <c r="O149" s="85"/>
    </row>
    <row r="150" spans="1:15" x14ac:dyDescent="0.25">
      <c r="A150" s="282" t="s">
        <v>1230</v>
      </c>
      <c r="B150" s="331">
        <f>Map!AD27</f>
        <v>0</v>
      </c>
      <c r="F150" s="324"/>
      <c r="G150" s="325"/>
      <c r="H150" s="325"/>
      <c r="K150" s="274"/>
      <c r="M150" s="85"/>
      <c r="N150" s="85"/>
      <c r="O150" s="85"/>
    </row>
    <row r="151" spans="1:15" x14ac:dyDescent="0.25">
      <c r="A151" s="282" t="s">
        <v>1218</v>
      </c>
      <c r="B151" s="200">
        <v>25000</v>
      </c>
      <c r="F151" s="324"/>
      <c r="G151" s="325"/>
      <c r="H151" s="325"/>
      <c r="K151" s="274" t="s">
        <v>1231</v>
      </c>
      <c r="M151" s="85"/>
    </row>
    <row r="152" spans="1:15" x14ac:dyDescent="0.25">
      <c r="A152" s="286" t="s">
        <v>1220</v>
      </c>
      <c r="B152" s="339">
        <f>IF(B150&gt;B151,B150-B151,0)</f>
        <v>0</v>
      </c>
      <c r="D152" s="284"/>
      <c r="F152" s="324"/>
      <c r="G152" s="325"/>
      <c r="H152" s="325"/>
      <c r="K152" s="274"/>
      <c r="M152" s="85"/>
    </row>
    <row r="153" spans="1:15" x14ac:dyDescent="0.25">
      <c r="A153" s="286" t="s">
        <v>11</v>
      </c>
      <c r="B153" s="284">
        <v>0.7</v>
      </c>
      <c r="F153" s="324"/>
      <c r="G153" s="325"/>
      <c r="H153" s="325"/>
      <c r="K153" s="274"/>
      <c r="M153" s="85"/>
    </row>
    <row r="154" spans="1:15" x14ac:dyDescent="0.25">
      <c r="A154" s="280" t="s">
        <v>1187</v>
      </c>
      <c r="B154" s="280"/>
      <c r="C154" s="280"/>
      <c r="D154" s="280"/>
      <c r="E154" s="280"/>
      <c r="F154" s="338">
        <f>B152*B153/100</f>
        <v>0</v>
      </c>
      <c r="G154" s="327"/>
      <c r="H154" s="328">
        <f>IF(F154=0,25000,B150)</f>
        <v>25000</v>
      </c>
      <c r="K154" s="274"/>
      <c r="N154" s="85"/>
      <c r="O154" s="85"/>
    </row>
    <row r="155" spans="1:15" x14ac:dyDescent="0.25">
      <c r="A155" s="286"/>
      <c r="B155" s="50"/>
      <c r="C155" s="50"/>
      <c r="D155" s="50"/>
      <c r="F155" s="283"/>
      <c r="G155" s="318"/>
      <c r="H155" s="318"/>
      <c r="I155" s="85"/>
      <c r="J155" s="85"/>
      <c r="K155" s="85"/>
      <c r="L155" s="85"/>
      <c r="M155" s="85"/>
    </row>
    <row r="156" spans="1:15" x14ac:dyDescent="0.25">
      <c r="A156" s="286"/>
      <c r="B156" s="50"/>
      <c r="C156" s="50"/>
      <c r="D156" s="50"/>
      <c r="F156" s="283"/>
      <c r="G156" s="318"/>
      <c r="H156" s="318"/>
      <c r="I156" s="85"/>
      <c r="J156" s="85"/>
      <c r="K156" s="85"/>
      <c r="L156" s="85"/>
      <c r="M156" s="85"/>
    </row>
    <row r="157" spans="1:15" x14ac:dyDescent="0.25">
      <c r="A157" s="322" t="s">
        <v>1232</v>
      </c>
      <c r="F157" s="324"/>
      <c r="G157" s="325"/>
      <c r="H157" s="325"/>
      <c r="K157" s="274"/>
      <c r="M157" s="85"/>
      <c r="N157" s="85"/>
      <c r="O157" s="85"/>
    </row>
    <row r="158" spans="1:15" x14ac:dyDescent="0.25">
      <c r="F158" s="324"/>
      <c r="G158" s="325"/>
      <c r="H158" s="325"/>
      <c r="K158" s="274" t="s">
        <v>1234</v>
      </c>
      <c r="M158" s="85"/>
      <c r="N158" s="85"/>
      <c r="O158" s="85"/>
    </row>
    <row r="159" spans="1:15" x14ac:dyDescent="0.25">
      <c r="A159" s="282" t="s">
        <v>1233</v>
      </c>
      <c r="B159" s="331">
        <f>Map!AD28</f>
        <v>10000</v>
      </c>
      <c r="F159" s="324"/>
      <c r="G159" s="325"/>
      <c r="H159" s="325"/>
      <c r="K159" s="274"/>
      <c r="M159" s="85"/>
      <c r="N159" s="85"/>
      <c r="O159" s="85"/>
    </row>
    <row r="160" spans="1:15" x14ac:dyDescent="0.25">
      <c r="A160" s="280" t="s">
        <v>1187</v>
      </c>
      <c r="B160" s="280"/>
      <c r="C160" s="280"/>
      <c r="D160" s="280"/>
      <c r="E160" s="280"/>
      <c r="F160" s="338">
        <f>IF(H160=10000,0,100)</f>
        <v>0</v>
      </c>
      <c r="G160" s="327"/>
      <c r="H160" s="328">
        <f>IF($B$159=10000,10000,IF($B$159=25000,25000,10000))</f>
        <v>10000</v>
      </c>
      <c r="I160" s="274" t="s">
        <v>41</v>
      </c>
      <c r="K160" s="274"/>
      <c r="N160" s="85"/>
      <c r="O160" s="85"/>
    </row>
    <row r="161" spans="1:15" x14ac:dyDescent="0.25">
      <c r="B161" s="282"/>
      <c r="C161" s="282"/>
      <c r="D161" s="282"/>
      <c r="E161" s="282"/>
      <c r="F161" s="368"/>
      <c r="G161" s="325"/>
      <c r="H161" s="367">
        <f t="shared" ref="H161:H164" si="2">IF($B$159=10000,10000,IF($B$159=25000,25000,10000))</f>
        <v>10000</v>
      </c>
      <c r="I161" s="274" t="s">
        <v>40</v>
      </c>
      <c r="K161" s="274"/>
      <c r="N161" s="85"/>
      <c r="O161" s="85"/>
    </row>
    <row r="162" spans="1:15" x14ac:dyDescent="0.25">
      <c r="B162" s="282"/>
      <c r="C162" s="282"/>
      <c r="D162" s="282"/>
      <c r="E162" s="282"/>
      <c r="F162" s="368"/>
      <c r="G162" s="325"/>
      <c r="H162" s="367">
        <f t="shared" si="2"/>
        <v>10000</v>
      </c>
      <c r="I162" s="274" t="s">
        <v>42</v>
      </c>
      <c r="K162" s="274"/>
      <c r="N162" s="85"/>
      <c r="O162" s="85"/>
    </row>
    <row r="163" spans="1:15" x14ac:dyDescent="0.25">
      <c r="B163" s="282"/>
      <c r="C163" s="282"/>
      <c r="D163" s="282"/>
      <c r="E163" s="282"/>
      <c r="F163" s="368"/>
      <c r="G163" s="325"/>
      <c r="H163" s="367">
        <f t="shared" si="2"/>
        <v>10000</v>
      </c>
      <c r="I163" s="274" t="s">
        <v>44</v>
      </c>
      <c r="K163" s="274"/>
      <c r="N163" s="85"/>
      <c r="O163" s="85"/>
    </row>
    <row r="164" spans="1:15" x14ac:dyDescent="0.25">
      <c r="B164" s="282"/>
      <c r="C164" s="282"/>
      <c r="D164" s="282"/>
      <c r="E164" s="282"/>
      <c r="F164" s="368"/>
      <c r="G164" s="325"/>
      <c r="H164" s="367">
        <f t="shared" si="2"/>
        <v>10000</v>
      </c>
      <c r="I164" s="274" t="s">
        <v>43</v>
      </c>
      <c r="K164" s="274"/>
      <c r="N164" s="85"/>
      <c r="O164" s="85"/>
    </row>
    <row r="165" spans="1:15" x14ac:dyDescent="0.25">
      <c r="A165" s="286"/>
      <c r="B165" s="50"/>
      <c r="C165" s="50"/>
      <c r="D165" s="50"/>
      <c r="F165" s="283"/>
      <c r="G165" s="318"/>
      <c r="H165" s="318"/>
      <c r="I165" s="85"/>
      <c r="J165" s="85"/>
      <c r="K165" s="85"/>
      <c r="L165" s="85"/>
      <c r="M165" s="85"/>
    </row>
    <row r="166" spans="1:15" x14ac:dyDescent="0.25">
      <c r="A166" s="286"/>
      <c r="B166" s="50"/>
      <c r="C166" s="50"/>
      <c r="D166" s="50"/>
      <c r="F166" s="283"/>
      <c r="G166" s="318"/>
      <c r="H166" s="318"/>
      <c r="I166" s="85"/>
      <c r="J166" s="85"/>
      <c r="K166" s="85"/>
      <c r="L166" s="85"/>
      <c r="M166" s="85"/>
    </row>
    <row r="167" spans="1:15" x14ac:dyDescent="0.25">
      <c r="A167" s="322" t="s">
        <v>1252</v>
      </c>
      <c r="F167" s="324"/>
      <c r="G167" s="325"/>
      <c r="H167" s="325"/>
      <c r="K167" s="274"/>
      <c r="M167" s="85"/>
      <c r="N167" s="85"/>
      <c r="O167" s="85"/>
    </row>
    <row r="168" spans="1:15" x14ac:dyDescent="0.25">
      <c r="A168" s="286" t="s">
        <v>1255</v>
      </c>
      <c r="B168" s="50"/>
      <c r="C168" s="50"/>
      <c r="D168" s="50"/>
      <c r="F168" s="332">
        <f>F4</f>
        <v>750</v>
      </c>
      <c r="G168" s="318"/>
      <c r="I168" s="85"/>
      <c r="J168" s="85"/>
      <c r="K168" s="85"/>
      <c r="L168" s="85"/>
      <c r="M168" s="85"/>
    </row>
    <row r="169" spans="1:15" x14ac:dyDescent="0.25">
      <c r="A169" s="286" t="s">
        <v>1253</v>
      </c>
      <c r="B169" s="50"/>
      <c r="C169" s="50"/>
      <c r="D169" s="50"/>
      <c r="F169" s="332">
        <f>SUM(F11,F32,F44,F53,F68,F73,F78,F85,F90,F126,F137,F146,F154,F160)</f>
        <v>0</v>
      </c>
      <c r="G169" s="318"/>
      <c r="H169" s="389">
        <f>SUM(F168:F169)</f>
        <v>750</v>
      </c>
      <c r="I169" s="85" t="s">
        <v>1413</v>
      </c>
      <c r="J169" s="85"/>
      <c r="K169" s="85"/>
      <c r="L169" s="85"/>
      <c r="M169" s="85"/>
    </row>
    <row r="170" spans="1:15" x14ac:dyDescent="0.25">
      <c r="A170" s="286" t="s">
        <v>1254</v>
      </c>
      <c r="B170" s="390"/>
      <c r="C170" s="390"/>
      <c r="D170" s="390"/>
      <c r="E170" s="282"/>
      <c r="F170" s="332">
        <f>SUM(F63,F97)</f>
        <v>0</v>
      </c>
      <c r="G170" s="318"/>
      <c r="H170" s="318"/>
      <c r="I170" s="85"/>
      <c r="J170" s="85"/>
      <c r="K170" s="85"/>
      <c r="L170" s="85"/>
      <c r="M170" s="85"/>
    </row>
    <row r="171" spans="1:15" x14ac:dyDescent="0.25">
      <c r="A171" s="286"/>
      <c r="B171" s="390"/>
      <c r="C171" s="390"/>
      <c r="D171" s="390"/>
      <c r="E171" s="282"/>
      <c r="F171" s="391"/>
      <c r="G171" s="318"/>
      <c r="H171" s="318"/>
      <c r="I171" s="85"/>
      <c r="J171" s="85"/>
      <c r="K171" s="85"/>
      <c r="L171" s="85"/>
      <c r="M171" s="85"/>
    </row>
    <row r="172" spans="1:15" x14ac:dyDescent="0.25">
      <c r="A172" s="286"/>
      <c r="B172" s="50"/>
      <c r="C172" s="50"/>
      <c r="D172" s="50"/>
      <c r="F172" s="283"/>
      <c r="G172" s="318"/>
      <c r="H172" s="318"/>
      <c r="I172" s="85"/>
      <c r="J172" s="85"/>
      <c r="K172" s="85"/>
      <c r="L172" s="85"/>
      <c r="M172" s="85"/>
    </row>
    <row r="173" spans="1:15" x14ac:dyDescent="0.25">
      <c r="A173" s="322" t="s">
        <v>1256</v>
      </c>
      <c r="C173" s="281" t="s">
        <v>1260</v>
      </c>
      <c r="F173" s="324"/>
      <c r="G173" s="325"/>
      <c r="H173" s="325"/>
      <c r="K173" s="274"/>
      <c r="M173" s="85"/>
      <c r="N173" s="85"/>
      <c r="O173" s="85"/>
    </row>
    <row r="174" spans="1:15" x14ac:dyDescent="0.25">
      <c r="A174" s="286" t="s">
        <v>1257</v>
      </c>
      <c r="B174" s="50"/>
      <c r="C174" s="350"/>
      <c r="D174" s="50"/>
      <c r="F174" s="283"/>
      <c r="G174" s="318"/>
      <c r="H174" s="318"/>
      <c r="I174" s="85"/>
      <c r="J174" s="85"/>
      <c r="K174" s="392"/>
      <c r="L174" s="85"/>
      <c r="M174" s="85"/>
    </row>
    <row r="175" spans="1:15" x14ac:dyDescent="0.25">
      <c r="A175" s="286" t="s">
        <v>1258</v>
      </c>
      <c r="B175" s="349">
        <f>Map!AD31</f>
        <v>0</v>
      </c>
      <c r="C175" s="350">
        <f>IF(B175&gt;=3,10%,0)</f>
        <v>0</v>
      </c>
      <c r="D175" s="50"/>
      <c r="F175" s="363">
        <f>C175*H169</f>
        <v>0</v>
      </c>
      <c r="G175" s="318"/>
      <c r="H175" s="389">
        <f>SUM(H169)-F175</f>
        <v>750</v>
      </c>
      <c r="I175" s="85" t="s">
        <v>1414</v>
      </c>
      <c r="J175" s="85"/>
      <c r="L175" s="85"/>
      <c r="M175" s="85"/>
    </row>
    <row r="176" spans="1:15" x14ac:dyDescent="0.25">
      <c r="A176" s="286" t="s">
        <v>1259</v>
      </c>
      <c r="B176" s="50">
        <f>Map!AD32</f>
        <v>1000</v>
      </c>
      <c r="C176" s="350">
        <f>IF(B176=2500,10%,IF(B176=5000,15%,0%))</f>
        <v>0</v>
      </c>
      <c r="D176" s="50"/>
      <c r="F176" s="363">
        <f>C176*SUM($H$175)</f>
        <v>0</v>
      </c>
      <c r="G176" s="318"/>
      <c r="H176" s="389">
        <f>H175-F176</f>
        <v>750</v>
      </c>
      <c r="I176" s="85" t="s">
        <v>1415</v>
      </c>
      <c r="J176" s="85"/>
      <c r="K176" s="392"/>
      <c r="L176" s="85"/>
      <c r="M176" s="85"/>
    </row>
    <row r="177" spans="1:15" x14ac:dyDescent="0.25">
      <c r="A177" s="346" t="s">
        <v>1261</v>
      </c>
      <c r="B177" s="347"/>
      <c r="C177" s="362"/>
      <c r="D177" s="347"/>
      <c r="E177" s="280"/>
      <c r="F177" s="363">
        <f>SUM(F175:F176)</f>
        <v>0</v>
      </c>
      <c r="G177" s="320"/>
      <c r="H177" s="320"/>
      <c r="I177" s="85"/>
      <c r="J177" s="85"/>
      <c r="K177" s="85"/>
      <c r="L177" s="85"/>
      <c r="M177" s="85"/>
    </row>
    <row r="178" spans="1:15" x14ac:dyDescent="0.25">
      <c r="A178" s="286"/>
      <c r="B178" s="50"/>
      <c r="C178" s="50"/>
      <c r="D178" s="50"/>
      <c r="F178" s="283"/>
      <c r="G178" s="318"/>
      <c r="H178" s="318"/>
      <c r="I178" s="85"/>
      <c r="J178" s="85"/>
      <c r="K178" s="85"/>
      <c r="L178" s="85"/>
      <c r="M178" s="85"/>
    </row>
    <row r="179" spans="1:15" x14ac:dyDescent="0.25">
      <c r="A179" s="286"/>
      <c r="B179" s="50"/>
      <c r="C179" s="50"/>
      <c r="D179" s="50"/>
      <c r="F179" s="283"/>
      <c r="G179" s="318"/>
      <c r="H179" s="318"/>
      <c r="I179" s="85"/>
      <c r="J179" s="85"/>
      <c r="K179" s="85"/>
      <c r="L179" s="85"/>
      <c r="M179" s="85"/>
    </row>
    <row r="180" spans="1:15" x14ac:dyDescent="0.25">
      <c r="A180" s="322" t="s">
        <v>1262</v>
      </c>
      <c r="C180" s="281"/>
      <c r="F180" s="324"/>
      <c r="G180" s="325"/>
      <c r="H180" s="325"/>
      <c r="K180" s="274"/>
      <c r="M180" s="85"/>
      <c r="N180" s="85"/>
      <c r="O180" s="85"/>
    </row>
    <row r="181" spans="1:15" x14ac:dyDescent="0.25">
      <c r="A181" s="286" t="s">
        <v>1263</v>
      </c>
      <c r="B181" s="50"/>
      <c r="C181" s="50"/>
      <c r="D181" s="50"/>
      <c r="F181" s="283">
        <f>(H169-F177)+F170</f>
        <v>750</v>
      </c>
      <c r="G181" s="318"/>
      <c r="H181" s="318"/>
      <c r="I181" s="85" t="s">
        <v>1416</v>
      </c>
      <c r="J181" s="85"/>
      <c r="K181" s="85"/>
      <c r="L181" s="85"/>
      <c r="M181" s="85"/>
    </row>
    <row r="182" spans="1:15" x14ac:dyDescent="0.25">
      <c r="A182" s="286" t="s">
        <v>1264</v>
      </c>
      <c r="B182" s="50"/>
      <c r="C182" s="50"/>
      <c r="D182" s="50"/>
      <c r="F182" s="283">
        <v>750</v>
      </c>
      <c r="G182" s="318"/>
      <c r="H182" s="318"/>
      <c r="I182" s="85"/>
      <c r="J182" s="85"/>
      <c r="K182" s="85"/>
      <c r="L182" s="85"/>
      <c r="M182" s="85"/>
    </row>
    <row r="183" spans="1:15" s="288" customFormat="1" x14ac:dyDescent="0.25">
      <c r="A183" s="351" t="s">
        <v>1265</v>
      </c>
      <c r="B183" s="352"/>
      <c r="C183" s="352"/>
      <c r="D183" s="352"/>
      <c r="E183" s="353"/>
      <c r="F183" s="348">
        <f>MAX(F181:F182)</f>
        <v>750</v>
      </c>
      <c r="G183" s="354"/>
      <c r="H183" s="354"/>
      <c r="I183" s="355"/>
      <c r="J183" s="355"/>
      <c r="K183" s="355"/>
      <c r="L183" s="355"/>
      <c r="M183" s="355"/>
    </row>
    <row r="184" spans="1:15" x14ac:dyDescent="0.25">
      <c r="K184" s="274"/>
      <c r="M184" s="8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64075-F69E-4218-AD32-C5A85AD7D618}">
  <sheetPr codeName="Sheet1"/>
  <dimension ref="A1:O52"/>
  <sheetViews>
    <sheetView workbookViewId="0">
      <selection activeCell="A41" sqref="A41:K41"/>
    </sheetView>
  </sheetViews>
  <sheetFormatPr defaultRowHeight="15" x14ac:dyDescent="0.25"/>
  <cols>
    <col min="15" max="15" width="0" hidden="1" customWidth="1"/>
  </cols>
  <sheetData>
    <row r="1" spans="1:15" ht="25.5" x14ac:dyDescent="0.35">
      <c r="A1" s="505" t="s">
        <v>171</v>
      </c>
      <c r="B1" s="506"/>
      <c r="C1" s="506"/>
      <c r="D1" s="506"/>
      <c r="E1" s="506"/>
      <c r="F1" s="506"/>
      <c r="G1" s="506"/>
      <c r="H1" s="506"/>
      <c r="I1" s="506"/>
      <c r="J1" s="506"/>
      <c r="K1" s="507"/>
    </row>
    <row r="2" spans="1:15" ht="20.25" x14ac:dyDescent="0.3">
      <c r="A2" s="508"/>
      <c r="B2" s="509"/>
      <c r="C2" s="509"/>
      <c r="D2" s="509"/>
      <c r="E2" s="509"/>
      <c r="F2" s="509"/>
      <c r="G2" s="509"/>
      <c r="H2" s="509"/>
      <c r="I2" s="509"/>
      <c r="J2" s="509"/>
      <c r="K2" s="97"/>
    </row>
    <row r="3" spans="1:15" ht="15.75" x14ac:dyDescent="0.25">
      <c r="A3" s="451" t="s">
        <v>172</v>
      </c>
      <c r="B3" s="446"/>
      <c r="C3" s="510" t="s">
        <v>331</v>
      </c>
      <c r="D3" s="510"/>
      <c r="E3" s="510"/>
      <c r="F3" s="510"/>
      <c r="G3" s="510"/>
      <c r="H3" s="510"/>
      <c r="I3" s="510"/>
      <c r="J3" s="510"/>
      <c r="K3" s="511"/>
    </row>
    <row r="4" spans="1:15" ht="15.75" x14ac:dyDescent="0.25">
      <c r="A4" s="493" t="s">
        <v>173</v>
      </c>
      <c r="B4" s="446"/>
      <c r="C4" s="502" t="s">
        <v>332</v>
      </c>
      <c r="D4" s="446"/>
      <c r="E4" s="446"/>
      <c r="F4" s="446"/>
      <c r="G4" s="446"/>
      <c r="H4" s="446"/>
      <c r="I4" s="446"/>
      <c r="J4" s="446"/>
      <c r="K4" s="447"/>
    </row>
    <row r="5" spans="1:15" ht="15.75" x14ac:dyDescent="0.25">
      <c r="A5" s="493" t="s">
        <v>174</v>
      </c>
      <c r="B5" s="446"/>
      <c r="C5" s="501" t="s">
        <v>332</v>
      </c>
      <c r="D5" s="438"/>
      <c r="E5" s="438"/>
      <c r="F5" s="438"/>
      <c r="G5" s="438"/>
      <c r="H5" s="438"/>
      <c r="I5" s="438"/>
      <c r="J5" s="438"/>
      <c r="K5" s="439"/>
    </row>
    <row r="6" spans="1:15" ht="15.75" x14ac:dyDescent="0.25">
      <c r="A6" s="98" t="s">
        <v>175</v>
      </c>
      <c r="B6" s="502">
        <v>647463429</v>
      </c>
      <c r="C6" s="438"/>
      <c r="D6" s="438"/>
      <c r="E6" s="439"/>
      <c r="F6" s="99" t="s">
        <v>176</v>
      </c>
      <c r="G6" s="503" t="s">
        <v>333</v>
      </c>
      <c r="H6" s="446"/>
      <c r="I6" s="446"/>
      <c r="J6" s="446"/>
      <c r="K6" s="447"/>
    </row>
    <row r="7" spans="1:15" ht="15.75" x14ac:dyDescent="0.25">
      <c r="A7" s="493" t="s">
        <v>177</v>
      </c>
      <c r="B7" s="446"/>
      <c r="C7" s="504" t="s">
        <v>334</v>
      </c>
      <c r="D7" s="446"/>
      <c r="E7" s="446"/>
      <c r="F7" s="446"/>
      <c r="G7" s="446"/>
      <c r="H7" s="446"/>
      <c r="I7" s="446"/>
      <c r="J7" s="446"/>
      <c r="K7" s="447"/>
    </row>
    <row r="8" spans="1:15" ht="15.75" x14ac:dyDescent="0.25">
      <c r="A8" s="493" t="s">
        <v>5</v>
      </c>
      <c r="B8" s="446"/>
      <c r="C8" s="494"/>
      <c r="D8" s="495"/>
      <c r="E8" s="495"/>
      <c r="F8" s="495"/>
      <c r="G8" s="99" t="s">
        <v>178</v>
      </c>
      <c r="H8" s="496"/>
      <c r="I8" s="496"/>
      <c r="J8" s="496"/>
      <c r="K8" s="497"/>
    </row>
    <row r="9" spans="1:15" ht="15.75" x14ac:dyDescent="0.25">
      <c r="A9" s="498" t="s">
        <v>179</v>
      </c>
      <c r="B9" s="446"/>
      <c r="C9" s="100"/>
      <c r="D9" s="499" t="s">
        <v>180</v>
      </c>
      <c r="E9" s="422"/>
      <c r="F9" s="422"/>
      <c r="G9" s="101" t="s">
        <v>181</v>
      </c>
      <c r="H9" s="500" t="s">
        <v>182</v>
      </c>
      <c r="I9" s="446"/>
      <c r="J9" s="446"/>
      <c r="K9" s="447"/>
    </row>
    <row r="10" spans="1:15" ht="15.75" x14ac:dyDescent="0.25">
      <c r="A10" s="470" t="s">
        <v>183</v>
      </c>
      <c r="B10" s="436"/>
      <c r="C10" s="436"/>
      <c r="D10" s="436"/>
      <c r="E10" s="436"/>
      <c r="F10" s="436"/>
      <c r="G10" s="436"/>
      <c r="H10" s="436"/>
      <c r="I10" s="436"/>
      <c r="J10" s="436"/>
      <c r="K10" s="437"/>
    </row>
    <row r="11" spans="1:15" x14ac:dyDescent="0.25">
      <c r="A11" s="471" t="s">
        <v>184</v>
      </c>
      <c r="B11" s="425"/>
      <c r="C11" s="425"/>
      <c r="D11" s="425"/>
      <c r="E11" s="425"/>
      <c r="F11" s="425"/>
      <c r="G11" s="425"/>
      <c r="H11" s="425"/>
      <c r="I11" s="425"/>
      <c r="J11" s="425"/>
      <c r="K11" s="426"/>
    </row>
    <row r="12" spans="1:15" x14ac:dyDescent="0.25">
      <c r="A12" s="472"/>
      <c r="B12" s="438"/>
      <c r="C12" s="438"/>
      <c r="D12" s="438"/>
      <c r="E12" s="438"/>
      <c r="F12" s="438"/>
      <c r="G12" s="438"/>
      <c r="H12" s="438"/>
      <c r="I12" s="438"/>
      <c r="J12" s="438"/>
      <c r="K12" s="439"/>
    </row>
    <row r="13" spans="1:15" ht="15.75" x14ac:dyDescent="0.25">
      <c r="A13" s="473" t="s">
        <v>185</v>
      </c>
      <c r="B13" s="436"/>
      <c r="C13" s="436"/>
      <c r="D13" s="436"/>
      <c r="E13" s="474" t="s">
        <v>184</v>
      </c>
      <c r="F13" s="475"/>
      <c r="G13" s="475"/>
      <c r="H13" s="475"/>
      <c r="I13" s="475"/>
      <c r="J13" s="475"/>
      <c r="K13" s="476"/>
    </row>
    <row r="14" spans="1:15" ht="15.75" x14ac:dyDescent="0.25">
      <c r="A14" s="103"/>
      <c r="B14" s="99"/>
      <c r="C14" s="99"/>
      <c r="D14" s="99"/>
      <c r="E14" s="477"/>
      <c r="F14" s="478"/>
      <c r="G14" s="478"/>
      <c r="H14" s="478"/>
      <c r="I14" s="478"/>
      <c r="J14" s="478"/>
      <c r="K14" s="479"/>
    </row>
    <row r="15" spans="1:15" ht="18.75" x14ac:dyDescent="0.3">
      <c r="A15" s="480" t="s">
        <v>186</v>
      </c>
      <c r="B15" s="429"/>
      <c r="C15" s="429"/>
      <c r="D15" s="429"/>
      <c r="E15" s="429"/>
      <c r="F15" s="429"/>
      <c r="G15" s="429"/>
      <c r="H15" s="429"/>
      <c r="I15" s="429"/>
      <c r="J15" s="429"/>
      <c r="K15" s="481"/>
      <c r="O15" s="120" t="s">
        <v>216</v>
      </c>
    </row>
    <row r="16" spans="1:15" ht="18.75" x14ac:dyDescent="0.3">
      <c r="A16" s="104"/>
      <c r="B16" s="482"/>
      <c r="C16" s="483"/>
      <c r="D16" s="104"/>
      <c r="E16" s="104"/>
      <c r="F16" s="103"/>
      <c r="G16" s="445" t="s">
        <v>187</v>
      </c>
      <c r="H16" s="484"/>
      <c r="I16" s="105"/>
      <c r="J16" s="472"/>
      <c r="K16" s="439"/>
      <c r="O16" s="120" t="s">
        <v>217</v>
      </c>
    </row>
    <row r="17" spans="1:15" ht="18.75" x14ac:dyDescent="0.3">
      <c r="A17" s="485" t="s">
        <v>188</v>
      </c>
      <c r="B17" s="436"/>
      <c r="C17" s="436"/>
      <c r="D17" s="436"/>
      <c r="E17" s="436"/>
      <c r="F17" s="436"/>
      <c r="G17" s="436"/>
      <c r="H17" s="436"/>
      <c r="I17" s="436"/>
      <c r="J17" s="436"/>
      <c r="K17" s="437"/>
      <c r="O17" s="120" t="s">
        <v>218</v>
      </c>
    </row>
    <row r="18" spans="1:15" ht="15.75" x14ac:dyDescent="0.25">
      <c r="A18" s="486">
        <v>20000000</v>
      </c>
      <c r="B18" s="487"/>
      <c r="C18" s="487"/>
      <c r="D18" s="487"/>
      <c r="E18" s="487"/>
      <c r="F18" s="487"/>
      <c r="G18" s="487"/>
      <c r="H18" s="487"/>
      <c r="I18" s="438"/>
      <c r="J18" s="438"/>
      <c r="K18" s="439"/>
    </row>
    <row r="19" spans="1:15" ht="18.75" x14ac:dyDescent="0.3">
      <c r="A19" s="488" t="s">
        <v>189</v>
      </c>
      <c r="B19" s="431"/>
      <c r="C19" s="431"/>
      <c r="D19" s="431"/>
      <c r="E19" s="431"/>
      <c r="F19" s="106" t="s">
        <v>190</v>
      </c>
      <c r="G19" s="107" t="s">
        <v>191</v>
      </c>
      <c r="H19" s="489" t="s">
        <v>192</v>
      </c>
      <c r="I19" s="431"/>
      <c r="J19" s="431"/>
      <c r="K19" s="432"/>
      <c r="O19" s="120" t="s">
        <v>219</v>
      </c>
    </row>
    <row r="20" spans="1:15" ht="18.75" x14ac:dyDescent="0.3">
      <c r="A20" s="490" t="s">
        <v>184</v>
      </c>
      <c r="B20" s="491"/>
      <c r="C20" s="491"/>
      <c r="D20" s="491"/>
      <c r="E20" s="491"/>
      <c r="F20" s="491"/>
      <c r="G20" s="491"/>
      <c r="H20" s="491"/>
      <c r="I20" s="491"/>
      <c r="J20" s="491"/>
      <c r="K20" s="492"/>
      <c r="O20" s="120" t="s">
        <v>220</v>
      </c>
    </row>
    <row r="21" spans="1:15" ht="18.75" x14ac:dyDescent="0.3">
      <c r="A21" s="460" t="s">
        <v>193</v>
      </c>
      <c r="B21" s="461"/>
      <c r="C21" s="461"/>
      <c r="D21" s="461"/>
      <c r="E21" s="108" t="s">
        <v>194</v>
      </c>
      <c r="F21" s="108" t="s">
        <v>195</v>
      </c>
      <c r="G21" s="109"/>
      <c r="H21" s="462" t="s">
        <v>196</v>
      </c>
      <c r="I21" s="463"/>
      <c r="J21" s="463"/>
      <c r="K21" s="464"/>
      <c r="O21" s="120" t="s">
        <v>221</v>
      </c>
    </row>
    <row r="22" spans="1:15" ht="18.75" x14ac:dyDescent="0.3">
      <c r="A22" s="468" t="s">
        <v>197</v>
      </c>
      <c r="B22" s="469"/>
      <c r="C22" s="469"/>
      <c r="D22" s="469"/>
      <c r="E22" s="469"/>
      <c r="F22" s="469"/>
      <c r="G22" s="110" t="s">
        <v>198</v>
      </c>
      <c r="H22" s="465"/>
      <c r="I22" s="466"/>
      <c r="J22" s="466"/>
      <c r="K22" s="467"/>
      <c r="O22" s="120" t="s">
        <v>222</v>
      </c>
    </row>
    <row r="23" spans="1:15" ht="18.75" x14ac:dyDescent="0.3">
      <c r="A23" s="453" t="s">
        <v>199</v>
      </c>
      <c r="B23" s="454"/>
      <c r="C23" s="454"/>
      <c r="D23" s="454"/>
      <c r="E23" s="454"/>
      <c r="F23" s="454"/>
      <c r="G23" s="454"/>
      <c r="H23" s="454"/>
      <c r="I23" s="454"/>
      <c r="J23" s="454"/>
      <c r="K23" s="455"/>
      <c r="O23" s="120" t="s">
        <v>223</v>
      </c>
    </row>
    <row r="24" spans="1:15" ht="15.75" x14ac:dyDescent="0.25">
      <c r="A24" s="456" t="s">
        <v>200</v>
      </c>
      <c r="B24" s="429"/>
      <c r="C24" s="457"/>
      <c r="D24" s="458"/>
      <c r="E24" s="456" t="s">
        <v>201</v>
      </c>
      <c r="F24" s="429"/>
      <c r="G24" s="457"/>
      <c r="H24" s="459"/>
      <c r="I24" s="456" t="s">
        <v>202</v>
      </c>
      <c r="J24" s="429"/>
      <c r="K24" s="111"/>
    </row>
    <row r="25" spans="1:15" ht="18.75" x14ac:dyDescent="0.3">
      <c r="A25" s="440"/>
      <c r="B25" s="425"/>
      <c r="C25" s="425"/>
      <c r="D25" s="425"/>
      <c r="E25" s="425"/>
      <c r="F25" s="425"/>
      <c r="G25" s="425"/>
      <c r="H25" s="425"/>
      <c r="I25" s="425"/>
      <c r="J25" s="425"/>
      <c r="K25" s="426"/>
      <c r="O25" s="120" t="s">
        <v>224</v>
      </c>
    </row>
    <row r="26" spans="1:15" ht="18.75" x14ac:dyDescent="0.3">
      <c r="A26" s="435" t="s">
        <v>203</v>
      </c>
      <c r="B26" s="441"/>
      <c r="C26" s="442"/>
      <c r="D26" s="424"/>
      <c r="E26" s="425"/>
      <c r="F26" s="425"/>
      <c r="G26" s="425"/>
      <c r="H26" s="425"/>
      <c r="I26" s="425"/>
      <c r="J26" s="425"/>
      <c r="K26" s="426"/>
      <c r="O26" s="120" t="s">
        <v>225</v>
      </c>
    </row>
    <row r="27" spans="1:15" ht="18.75" x14ac:dyDescent="0.3">
      <c r="A27" s="112" t="s">
        <v>204</v>
      </c>
      <c r="B27" s="113"/>
      <c r="C27" s="113"/>
      <c r="D27" s="113"/>
      <c r="E27" s="113"/>
      <c r="F27" s="113"/>
      <c r="G27" s="443" t="s">
        <v>205</v>
      </c>
      <c r="H27" s="444"/>
      <c r="I27" s="113"/>
      <c r="J27" s="113"/>
      <c r="K27" s="114"/>
      <c r="O27" s="120" t="s">
        <v>226</v>
      </c>
    </row>
    <row r="28" spans="1:15" ht="15.75" x14ac:dyDescent="0.25">
      <c r="A28" s="115" t="s">
        <v>206</v>
      </c>
      <c r="B28" s="445" t="s">
        <v>228</v>
      </c>
      <c r="C28" s="446"/>
      <c r="D28" s="446"/>
      <c r="E28" s="447"/>
      <c r="F28" s="67"/>
      <c r="G28" s="448"/>
      <c r="H28" s="449"/>
      <c r="I28" s="434"/>
      <c r="J28" s="425"/>
      <c r="K28" s="426"/>
    </row>
    <row r="29" spans="1:15" ht="18.75" x14ac:dyDescent="0.3">
      <c r="A29" s="115" t="s">
        <v>207</v>
      </c>
      <c r="B29" s="445" t="s">
        <v>236</v>
      </c>
      <c r="C29" s="446"/>
      <c r="D29" s="446"/>
      <c r="E29" s="447"/>
      <c r="F29" s="67"/>
      <c r="G29" s="448"/>
      <c r="H29" s="449"/>
      <c r="I29" s="450"/>
      <c r="J29" s="425"/>
      <c r="K29" s="426"/>
      <c r="O29" s="120" t="s">
        <v>227</v>
      </c>
    </row>
    <row r="30" spans="1:15" ht="18.75" x14ac:dyDescent="0.3">
      <c r="A30" s="115" t="s">
        <v>208</v>
      </c>
      <c r="B30" s="421" t="s">
        <v>225</v>
      </c>
      <c r="C30" s="422"/>
      <c r="D30" s="422"/>
      <c r="E30" s="423"/>
      <c r="F30" s="116"/>
      <c r="G30" s="448"/>
      <c r="H30" s="449"/>
      <c r="I30" s="450"/>
      <c r="J30" s="425"/>
      <c r="K30" s="426"/>
      <c r="O30" s="120" t="s">
        <v>228</v>
      </c>
    </row>
    <row r="31" spans="1:15" ht="18.75" x14ac:dyDescent="0.3">
      <c r="A31" s="117" t="s">
        <v>209</v>
      </c>
      <c r="B31" s="451" t="s">
        <v>220</v>
      </c>
      <c r="C31" s="422"/>
      <c r="D31" s="422"/>
      <c r="E31" s="423"/>
      <c r="F31" s="118"/>
      <c r="G31" s="452"/>
      <c r="H31" s="449"/>
      <c r="I31" s="450"/>
      <c r="J31" s="425"/>
      <c r="K31" s="426"/>
      <c r="O31" s="120" t="s">
        <v>229</v>
      </c>
    </row>
    <row r="32" spans="1:15" ht="18.75" x14ac:dyDescent="0.3">
      <c r="A32" s="424"/>
      <c r="B32" s="425"/>
      <c r="C32" s="425"/>
      <c r="D32" s="425"/>
      <c r="E32" s="425"/>
      <c r="F32" s="425"/>
      <c r="G32" s="425"/>
      <c r="H32" s="425"/>
      <c r="I32" s="425"/>
      <c r="J32" s="425"/>
      <c r="K32" s="426"/>
      <c r="O32" s="120" t="s">
        <v>230</v>
      </c>
    </row>
    <row r="33" spans="1:15" ht="15.75" x14ac:dyDescent="0.25">
      <c r="A33" s="433" t="s">
        <v>210</v>
      </c>
      <c r="B33" s="432"/>
      <c r="C33" s="434"/>
      <c r="D33" s="425"/>
      <c r="E33" s="425"/>
      <c r="F33" s="425"/>
      <c r="G33" s="425"/>
      <c r="H33" s="425"/>
      <c r="I33" s="425"/>
      <c r="J33" s="425"/>
      <c r="K33" s="426"/>
    </row>
    <row r="34" spans="1:15" ht="18.75" x14ac:dyDescent="0.3">
      <c r="A34" s="421" t="s">
        <v>217</v>
      </c>
      <c r="B34" s="422"/>
      <c r="C34" s="422"/>
      <c r="D34" s="422"/>
      <c r="E34" s="422"/>
      <c r="F34" s="422"/>
      <c r="G34" s="422"/>
      <c r="H34" s="423"/>
      <c r="I34" s="424"/>
      <c r="J34" s="425"/>
      <c r="K34" s="426"/>
      <c r="O34" s="120" t="s">
        <v>156</v>
      </c>
    </row>
    <row r="35" spans="1:15" ht="18.75" x14ac:dyDescent="0.3">
      <c r="A35" s="427"/>
      <c r="B35" s="428"/>
      <c r="C35" s="429"/>
      <c r="D35" s="429"/>
      <c r="E35" s="113"/>
      <c r="F35" s="118"/>
      <c r="G35" s="113"/>
      <c r="H35" s="113"/>
      <c r="I35" s="113"/>
      <c r="J35" s="113"/>
      <c r="K35" s="114"/>
      <c r="O35" s="120" t="s">
        <v>231</v>
      </c>
    </row>
    <row r="36" spans="1:15" ht="18.75" x14ac:dyDescent="0.3">
      <c r="A36" s="415" t="s">
        <v>211</v>
      </c>
      <c r="B36" s="416"/>
      <c r="C36" s="416"/>
      <c r="D36" s="416"/>
      <c r="E36" s="416"/>
      <c r="F36" s="416"/>
      <c r="G36" s="425"/>
      <c r="H36" s="425"/>
      <c r="I36" s="425"/>
      <c r="J36" s="425"/>
      <c r="K36" s="426"/>
      <c r="O36" s="120" t="s">
        <v>232</v>
      </c>
    </row>
    <row r="37" spans="1:15" ht="18.75" x14ac:dyDescent="0.3">
      <c r="A37" s="430" t="s">
        <v>212</v>
      </c>
      <c r="B37" s="431"/>
      <c r="C37" s="432"/>
      <c r="D37" s="416"/>
      <c r="E37" s="425"/>
      <c r="F37" s="425"/>
      <c r="G37" s="425"/>
      <c r="H37" s="425"/>
      <c r="I37" s="425"/>
      <c r="J37" s="425"/>
      <c r="K37" s="426"/>
      <c r="O37" s="120" t="s">
        <v>157</v>
      </c>
    </row>
    <row r="38" spans="1:15" ht="18.75" x14ac:dyDescent="0.3">
      <c r="A38" s="435" t="s">
        <v>213</v>
      </c>
      <c r="B38" s="436"/>
      <c r="C38" s="436"/>
      <c r="D38" s="437"/>
      <c r="E38" s="419"/>
      <c r="F38" s="438"/>
      <c r="G38" s="438"/>
      <c r="H38" s="438"/>
      <c r="I38" s="438"/>
      <c r="J38" s="438"/>
      <c r="K38" s="439"/>
      <c r="O38" s="120" t="s">
        <v>233</v>
      </c>
    </row>
    <row r="39" spans="1:15" ht="18.75" x14ac:dyDescent="0.3">
      <c r="A39" s="119"/>
      <c r="B39" s="93"/>
      <c r="C39" s="93"/>
      <c r="D39" s="93"/>
      <c r="E39" s="93"/>
      <c r="F39" s="93"/>
      <c r="G39" s="93"/>
      <c r="H39" s="116"/>
      <c r="I39" s="93"/>
      <c r="J39" s="93"/>
      <c r="K39" s="36"/>
    </row>
    <row r="40" spans="1:15" ht="18.75" x14ac:dyDescent="0.3">
      <c r="A40" s="119" t="s">
        <v>214</v>
      </c>
      <c r="B40" s="93"/>
      <c r="C40" s="93"/>
      <c r="D40" s="93"/>
      <c r="E40" s="93"/>
      <c r="F40" s="93"/>
      <c r="G40" s="93"/>
      <c r="H40" s="116" t="s">
        <v>191</v>
      </c>
      <c r="I40" s="93"/>
      <c r="J40" s="93"/>
      <c r="K40" s="36"/>
      <c r="O40" s="120" t="s">
        <v>234</v>
      </c>
    </row>
    <row r="41" spans="1:15" ht="18.75" x14ac:dyDescent="0.3">
      <c r="A41" s="415" t="s">
        <v>215</v>
      </c>
      <c r="B41" s="416"/>
      <c r="C41" s="416"/>
      <c r="D41" s="416"/>
      <c r="E41" s="416"/>
      <c r="F41" s="416"/>
      <c r="G41" s="416"/>
      <c r="H41" s="416"/>
      <c r="I41" s="416"/>
      <c r="J41" s="416"/>
      <c r="K41" s="417"/>
      <c r="O41" s="120" t="s">
        <v>235</v>
      </c>
    </row>
    <row r="42" spans="1:15" ht="18.75" x14ac:dyDescent="0.3">
      <c r="A42" s="418"/>
      <c r="B42" s="419"/>
      <c r="C42" s="419"/>
      <c r="D42" s="419"/>
      <c r="E42" s="419"/>
      <c r="F42" s="419"/>
      <c r="G42" s="419"/>
      <c r="H42" s="419"/>
      <c r="I42" s="419"/>
      <c r="J42" s="419"/>
      <c r="K42" s="420"/>
      <c r="O42" s="120" t="s">
        <v>236</v>
      </c>
    </row>
    <row r="43" spans="1:15" ht="18.75" x14ac:dyDescent="0.3">
      <c r="O43" s="120" t="s">
        <v>237</v>
      </c>
    </row>
    <row r="44" spans="1:15" ht="18.75" x14ac:dyDescent="0.3">
      <c r="O44" s="120" t="s">
        <v>238</v>
      </c>
    </row>
    <row r="45" spans="1:15" ht="18.75" x14ac:dyDescent="0.3">
      <c r="O45" s="120" t="s">
        <v>239</v>
      </c>
    </row>
    <row r="46" spans="1:15" ht="18.75" x14ac:dyDescent="0.3">
      <c r="O46" s="120" t="s">
        <v>223</v>
      </c>
    </row>
    <row r="48" spans="1:15" ht="18.75" x14ac:dyDescent="0.3">
      <c r="O48" s="120" t="s">
        <v>219</v>
      </c>
    </row>
    <row r="49" spans="15:15" ht="18.75" x14ac:dyDescent="0.3">
      <c r="O49" s="120" t="s">
        <v>220</v>
      </c>
    </row>
    <row r="50" spans="15:15" ht="18.75" x14ac:dyDescent="0.3">
      <c r="O50" s="120" t="s">
        <v>221</v>
      </c>
    </row>
    <row r="51" spans="15:15" ht="18.75" x14ac:dyDescent="0.3">
      <c r="O51" s="120" t="s">
        <v>222</v>
      </c>
    </row>
    <row r="52" spans="15:15" ht="18.75" x14ac:dyDescent="0.3">
      <c r="O52" s="120" t="s">
        <v>223</v>
      </c>
    </row>
  </sheetData>
  <mergeCells count="67">
    <mergeCell ref="A1:K1"/>
    <mergeCell ref="A2:J2"/>
    <mergeCell ref="A3:B3"/>
    <mergeCell ref="C3:K3"/>
    <mergeCell ref="A4:B4"/>
    <mergeCell ref="C4:K4"/>
    <mergeCell ref="A5:B5"/>
    <mergeCell ref="C5:K5"/>
    <mergeCell ref="B6:E6"/>
    <mergeCell ref="G6:K6"/>
    <mergeCell ref="A7:B7"/>
    <mergeCell ref="C7:K7"/>
    <mergeCell ref="A8:B8"/>
    <mergeCell ref="C8:F8"/>
    <mergeCell ref="H8:K8"/>
    <mergeCell ref="A9:B9"/>
    <mergeCell ref="D9:F9"/>
    <mergeCell ref="H9:I9"/>
    <mergeCell ref="J9:K9"/>
    <mergeCell ref="A21:D21"/>
    <mergeCell ref="H21:K22"/>
    <mergeCell ref="A22:F22"/>
    <mergeCell ref="A10:K10"/>
    <mergeCell ref="A11:K12"/>
    <mergeCell ref="A13:D13"/>
    <mergeCell ref="E13:K14"/>
    <mergeCell ref="A15:K15"/>
    <mergeCell ref="B16:C16"/>
    <mergeCell ref="G16:H16"/>
    <mergeCell ref="J16:K16"/>
    <mergeCell ref="A17:K17"/>
    <mergeCell ref="A18:K18"/>
    <mergeCell ref="A19:E19"/>
    <mergeCell ref="H19:K19"/>
    <mergeCell ref="A20:K20"/>
    <mergeCell ref="A23:K23"/>
    <mergeCell ref="A24:B24"/>
    <mergeCell ref="C24:D24"/>
    <mergeCell ref="E24:F24"/>
    <mergeCell ref="G24:H24"/>
    <mergeCell ref="I24:J24"/>
    <mergeCell ref="A25:K25"/>
    <mergeCell ref="A26:C26"/>
    <mergeCell ref="D26:K26"/>
    <mergeCell ref="G27:H27"/>
    <mergeCell ref="B28:E28"/>
    <mergeCell ref="G28:H28"/>
    <mergeCell ref="I28:K31"/>
    <mergeCell ref="B29:E29"/>
    <mergeCell ref="G29:H29"/>
    <mergeCell ref="B30:E30"/>
    <mergeCell ref="G30:H30"/>
    <mergeCell ref="B31:E31"/>
    <mergeCell ref="G31:H31"/>
    <mergeCell ref="A32:K32"/>
    <mergeCell ref="A33:B33"/>
    <mergeCell ref="C33:K33"/>
    <mergeCell ref="A38:D38"/>
    <mergeCell ref="E38:K38"/>
    <mergeCell ref="A41:K41"/>
    <mergeCell ref="A42:K42"/>
    <mergeCell ref="A34:H34"/>
    <mergeCell ref="I34:K34"/>
    <mergeCell ref="A35:D35"/>
    <mergeCell ref="A36:K36"/>
    <mergeCell ref="A37:C37"/>
    <mergeCell ref="D37:K37"/>
  </mergeCells>
  <dataValidations count="7">
    <dataValidation type="list" allowBlank="1" showInputMessage="1" showErrorMessage="1" sqref="G35" xr:uid="{11356FB6-E47E-4283-AE2D-181C920E2C5B}">
      <formula1>$O$43:$O$47</formula1>
    </dataValidation>
    <dataValidation type="list" allowBlank="1" showInputMessage="1" error="Select from Drop Down" sqref="G24:H24" xr:uid="{2936284C-967B-47EC-A247-B3BD69A3C784}">
      <formula1>$O$34:$O$38</formula1>
    </dataValidation>
    <dataValidation type="list" allowBlank="1" showInputMessage="1" sqref="B28:E28" xr:uid="{50D25010-4438-4954-8643-0F5004AC848D}">
      <formula1>$O$29:$O$32</formula1>
    </dataValidation>
    <dataValidation type="list" allowBlank="1" showInputMessage="1" sqref="B29:E29" xr:uid="{BBD5BE31-C84E-4B07-95D2-4DAD54ED00FC}">
      <formula1>$O$40:$O$46</formula1>
    </dataValidation>
    <dataValidation type="list" allowBlank="1" showInputMessage="1" sqref="B30:E30" xr:uid="{772B9DA2-05BC-4FFD-8F0B-EC8A19294AC8}">
      <formula1>$O$25:$O$27</formula1>
    </dataValidation>
    <dataValidation type="list" allowBlank="1" showInputMessage="1" sqref="B31:E31" xr:uid="{94348CAC-49D4-4DBF-AF7B-E236A416FA1E}">
      <formula1>$O$19:$O$23</formula1>
    </dataValidation>
    <dataValidation type="list" allowBlank="1" showInputMessage="1" sqref="A34:H34" xr:uid="{6FD3EDBC-4512-453A-B548-8061F40FED8F}">
      <formula1>$O$15:$O$17</formula1>
    </dataValidation>
  </dataValidations>
  <hyperlinks>
    <hyperlink ref="G6" r:id="rId1" xr:uid="{888A1BDB-A79E-476A-885D-6C6F43DB48DF}"/>
    <hyperlink ref="C7" r:id="rId2" xr:uid="{35793A00-CD26-4773-AA48-E4C0B384E995}"/>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6145" r:id="rId5" name="Check Box 1">
              <controlPr defaultSize="0" autoFill="0" autoLine="0" autoPict="0">
                <anchor moveWithCells="1">
                  <from>
                    <xdr:col>4</xdr:col>
                    <xdr:colOff>247650</xdr:colOff>
                    <xdr:row>19</xdr:row>
                    <xdr:rowOff>180975</xdr:rowOff>
                  </from>
                  <to>
                    <xdr:col>5</xdr:col>
                    <xdr:colOff>447675</xdr:colOff>
                    <xdr:row>20</xdr:row>
                    <xdr:rowOff>161925</xdr:rowOff>
                  </to>
                </anchor>
              </controlPr>
            </control>
          </mc:Choice>
        </mc:AlternateContent>
        <mc:AlternateContent xmlns:mc="http://schemas.openxmlformats.org/markup-compatibility/2006">
          <mc:Choice Requires="x14">
            <control shapeId="6146" r:id="rId6" name="Check Box 2">
              <controlPr defaultSize="0" autoFill="0" autoLine="0" autoPict="0">
                <anchor moveWithCells="1">
                  <from>
                    <xdr:col>5</xdr:col>
                    <xdr:colOff>161925</xdr:colOff>
                    <xdr:row>17</xdr:row>
                    <xdr:rowOff>257175</xdr:rowOff>
                  </from>
                  <to>
                    <xdr:col>6</xdr:col>
                    <xdr:colOff>419100</xdr:colOff>
                    <xdr:row>19</xdr:row>
                    <xdr:rowOff>28575</xdr:rowOff>
                  </to>
                </anchor>
              </controlPr>
            </control>
          </mc:Choice>
        </mc:AlternateContent>
        <mc:AlternateContent xmlns:mc="http://schemas.openxmlformats.org/markup-compatibility/2006">
          <mc:Choice Requires="x14">
            <control shapeId="6147" r:id="rId7" name="Check Box 3">
              <controlPr defaultSize="0" autoFill="0" autoLine="0" autoPict="0">
                <anchor moveWithCells="1">
                  <from>
                    <xdr:col>6</xdr:col>
                    <xdr:colOff>161925</xdr:colOff>
                    <xdr:row>17</xdr:row>
                    <xdr:rowOff>257175</xdr:rowOff>
                  </from>
                  <to>
                    <xdr:col>7</xdr:col>
                    <xdr:colOff>457200</xdr:colOff>
                    <xdr:row>19</xdr:row>
                    <xdr:rowOff>38100</xdr:rowOff>
                  </to>
                </anchor>
              </controlPr>
            </control>
          </mc:Choice>
        </mc:AlternateContent>
        <mc:AlternateContent xmlns:mc="http://schemas.openxmlformats.org/markup-compatibility/2006">
          <mc:Choice Requires="x14">
            <control shapeId="6148" r:id="rId8" name="Check Box 4">
              <controlPr defaultSize="0" autoFill="0" autoLine="0" autoPict="0">
                <anchor moveWithCells="1">
                  <from>
                    <xdr:col>6</xdr:col>
                    <xdr:colOff>161925</xdr:colOff>
                    <xdr:row>20</xdr:row>
                    <xdr:rowOff>190500</xdr:rowOff>
                  </from>
                  <to>
                    <xdr:col>7</xdr:col>
                    <xdr:colOff>428625</xdr:colOff>
                    <xdr:row>21</xdr:row>
                    <xdr:rowOff>200025</xdr:rowOff>
                  </to>
                </anchor>
              </controlPr>
            </control>
          </mc:Choice>
        </mc:AlternateContent>
        <mc:AlternateContent xmlns:mc="http://schemas.openxmlformats.org/markup-compatibility/2006">
          <mc:Choice Requires="x14">
            <control shapeId="6149" r:id="rId9" name="Check Box 5">
              <controlPr defaultSize="0" autoFill="0" autoLine="0" autoPict="0">
                <anchor moveWithCells="1">
                  <from>
                    <xdr:col>6</xdr:col>
                    <xdr:colOff>466725</xdr:colOff>
                    <xdr:row>20</xdr:row>
                    <xdr:rowOff>171450</xdr:rowOff>
                  </from>
                  <to>
                    <xdr:col>8</xdr:col>
                    <xdr:colOff>123825</xdr:colOff>
                    <xdr:row>21</xdr:row>
                    <xdr:rowOff>180975</xdr:rowOff>
                  </to>
                </anchor>
              </controlPr>
            </control>
          </mc:Choice>
        </mc:AlternateContent>
        <mc:AlternateContent xmlns:mc="http://schemas.openxmlformats.org/markup-compatibility/2006">
          <mc:Choice Requires="x14">
            <control shapeId="6150" r:id="rId10" name="Check Box 6">
              <controlPr defaultSize="0" autoFill="0" autoLine="0" autoPict="0">
                <anchor moveWithCells="1">
                  <from>
                    <xdr:col>6</xdr:col>
                    <xdr:colOff>285750</xdr:colOff>
                    <xdr:row>7</xdr:row>
                    <xdr:rowOff>171450</xdr:rowOff>
                  </from>
                  <to>
                    <xdr:col>7</xdr:col>
                    <xdr:colOff>600075</xdr:colOff>
                    <xdr:row>9</xdr:row>
                    <xdr:rowOff>28575</xdr:rowOff>
                  </to>
                </anchor>
              </controlPr>
            </control>
          </mc:Choice>
        </mc:AlternateContent>
        <mc:AlternateContent xmlns:mc="http://schemas.openxmlformats.org/markup-compatibility/2006">
          <mc:Choice Requires="x14">
            <control shapeId="6151" r:id="rId11" name="Check Box 7">
              <controlPr defaultSize="0" autoFill="0" autoLine="0" autoPict="0">
                <anchor moveWithCells="1">
                  <from>
                    <xdr:col>5</xdr:col>
                    <xdr:colOff>371475</xdr:colOff>
                    <xdr:row>7</xdr:row>
                    <xdr:rowOff>152400</xdr:rowOff>
                  </from>
                  <to>
                    <xdr:col>7</xdr:col>
                    <xdr:colOff>142875</xdr:colOff>
                    <xdr:row>9</xdr:row>
                    <xdr:rowOff>47625</xdr:rowOff>
                  </to>
                </anchor>
              </controlPr>
            </control>
          </mc:Choice>
        </mc:AlternateContent>
        <mc:AlternateContent xmlns:mc="http://schemas.openxmlformats.org/markup-compatibility/2006">
          <mc:Choice Requires="x14">
            <control shapeId="6152" r:id="rId12" name="Check Box 8">
              <controlPr defaultSize="0" autoFill="0" autoLine="0" autoPict="0">
                <anchor moveWithCells="1">
                  <from>
                    <xdr:col>5</xdr:col>
                    <xdr:colOff>257175</xdr:colOff>
                    <xdr:row>19</xdr:row>
                    <xdr:rowOff>142875</xdr:rowOff>
                  </from>
                  <to>
                    <xdr:col>6</xdr:col>
                    <xdr:colOff>581025</xdr:colOff>
                    <xdr:row>20</xdr:row>
                    <xdr:rowOff>209550</xdr:rowOff>
                  </to>
                </anchor>
              </controlPr>
            </control>
          </mc:Choice>
        </mc:AlternateContent>
        <mc:AlternateContent xmlns:mc="http://schemas.openxmlformats.org/markup-compatibility/2006">
          <mc:Choice Requires="x14">
            <control shapeId="6153" r:id="rId13" name="Check Box 9">
              <controlPr defaultSize="0" autoFill="0" autoLine="0" autoPict="0">
                <anchor moveWithCells="1">
                  <from>
                    <xdr:col>3</xdr:col>
                    <xdr:colOff>76200</xdr:colOff>
                    <xdr:row>8</xdr:row>
                    <xdr:rowOff>190500</xdr:rowOff>
                  </from>
                  <to>
                    <xdr:col>4</xdr:col>
                    <xdr:colOff>381000</xdr:colOff>
                    <xdr:row>10</xdr:row>
                    <xdr:rowOff>38100</xdr:rowOff>
                  </to>
                </anchor>
              </controlPr>
            </control>
          </mc:Choice>
        </mc:AlternateContent>
        <mc:AlternateContent xmlns:mc="http://schemas.openxmlformats.org/markup-compatibility/2006">
          <mc:Choice Requires="x14">
            <control shapeId="6154" r:id="rId14" name="Check Box 10">
              <controlPr defaultSize="0" autoFill="0" autoLine="0" autoPict="0">
                <anchor moveWithCells="1">
                  <from>
                    <xdr:col>3</xdr:col>
                    <xdr:colOff>438150</xdr:colOff>
                    <xdr:row>8</xdr:row>
                    <xdr:rowOff>152400</xdr:rowOff>
                  </from>
                  <to>
                    <xdr:col>5</xdr:col>
                    <xdr:colOff>152400</xdr:colOff>
                    <xdr:row>10</xdr:row>
                    <xdr:rowOff>57150</xdr:rowOff>
                  </to>
                </anchor>
              </controlPr>
            </control>
          </mc:Choice>
        </mc:AlternateContent>
        <mc:AlternateContent xmlns:mc="http://schemas.openxmlformats.org/markup-compatibility/2006">
          <mc:Choice Requires="x14">
            <control shapeId="6155" r:id="rId15" name="Check Box 11">
              <controlPr defaultSize="0" autoFill="0" autoLine="0" autoPict="0">
                <anchor moveWithCells="1">
                  <from>
                    <xdr:col>6</xdr:col>
                    <xdr:colOff>104775</xdr:colOff>
                    <xdr:row>38</xdr:row>
                    <xdr:rowOff>161925</xdr:rowOff>
                  </from>
                  <to>
                    <xdr:col>7</xdr:col>
                    <xdr:colOff>428625</xdr:colOff>
                    <xdr:row>40</xdr:row>
                    <xdr:rowOff>76200</xdr:rowOff>
                  </to>
                </anchor>
              </controlPr>
            </control>
          </mc:Choice>
        </mc:AlternateContent>
        <mc:AlternateContent xmlns:mc="http://schemas.openxmlformats.org/markup-compatibility/2006">
          <mc:Choice Requires="x14">
            <control shapeId="6156" r:id="rId16" name="Check Box 12">
              <controlPr defaultSize="0" autoFill="0" autoLine="0" autoPict="0">
                <anchor moveWithCells="1">
                  <from>
                    <xdr:col>7</xdr:col>
                    <xdr:colOff>257175</xdr:colOff>
                    <xdr:row>38</xdr:row>
                    <xdr:rowOff>171450</xdr:rowOff>
                  </from>
                  <to>
                    <xdr:col>8</xdr:col>
                    <xdr:colOff>581025</xdr:colOff>
                    <xdr:row>40</xdr:row>
                    <xdr:rowOff>85725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H66"/>
  <sheetViews>
    <sheetView view="pageLayout" topLeftCell="A4" zoomScaleNormal="100" workbookViewId="0">
      <selection activeCell="B16" sqref="B16"/>
    </sheetView>
  </sheetViews>
  <sheetFormatPr defaultRowHeight="15" x14ac:dyDescent="0.25"/>
  <cols>
    <col min="1" max="1" width="22.7109375" customWidth="1"/>
    <col min="2" max="2" width="55.140625" style="2" customWidth="1"/>
    <col min="3" max="3" width="10.85546875" style="20" customWidth="1"/>
    <col min="4" max="4" width="10.28515625" style="12" customWidth="1"/>
    <col min="5" max="5" width="14.42578125" style="16" bestFit="1" customWidth="1"/>
    <col min="6" max="6" width="11.5703125" style="14" bestFit="1" customWidth="1"/>
    <col min="7" max="7" width="12.85546875" style="8" bestFit="1" customWidth="1"/>
    <col min="8" max="8" width="11.140625" style="1" customWidth="1"/>
    <col min="9" max="9" width="10.5703125" bestFit="1" customWidth="1"/>
    <col min="13" max="13" width="12.7109375" customWidth="1"/>
  </cols>
  <sheetData>
    <row r="1" spans="1:7" x14ac:dyDescent="0.25">
      <c r="A1" s="6" t="s">
        <v>15</v>
      </c>
      <c r="B1" s="23"/>
      <c r="C1" s="26"/>
      <c r="D1" s="26"/>
      <c r="E1" s="26"/>
    </row>
    <row r="2" spans="1:7" x14ac:dyDescent="0.25">
      <c r="A2" s="7" t="s">
        <v>6</v>
      </c>
      <c r="B2" s="22"/>
      <c r="C2"/>
      <c r="D2"/>
      <c r="E2"/>
    </row>
    <row r="3" spans="1:7" x14ac:dyDescent="0.25">
      <c r="A3" s="7" t="s">
        <v>48</v>
      </c>
      <c r="B3" s="22"/>
      <c r="C3" s="513" t="s">
        <v>5</v>
      </c>
      <c r="D3" s="513"/>
      <c r="E3" s="28" t="s">
        <v>51</v>
      </c>
      <c r="F3" s="28"/>
      <c r="G3" s="28"/>
    </row>
    <row r="4" spans="1:7" x14ac:dyDescent="0.25">
      <c r="A4" s="7" t="s">
        <v>7</v>
      </c>
      <c r="B4" s="24">
        <f ca="1">TODAY()</f>
        <v>44663</v>
      </c>
    </row>
    <row r="5" spans="1:7" x14ac:dyDescent="0.25">
      <c r="A5" s="7" t="s">
        <v>29</v>
      </c>
      <c r="B5" s="24">
        <f ca="1">B4+90</f>
        <v>44753</v>
      </c>
      <c r="C5" s="513" t="s">
        <v>13</v>
      </c>
      <c r="D5" s="513"/>
      <c r="E5" s="28" t="s">
        <v>51</v>
      </c>
      <c r="F5" s="28"/>
      <c r="G5" s="28"/>
    </row>
    <row r="6" spans="1:7" x14ac:dyDescent="0.25">
      <c r="A6" s="7" t="s">
        <v>8</v>
      </c>
      <c r="B6" s="22"/>
    </row>
    <row r="7" spans="1:7" x14ac:dyDescent="0.25">
      <c r="A7" s="7" t="s">
        <v>9</v>
      </c>
      <c r="B7" s="22"/>
      <c r="C7" s="513" t="s">
        <v>14</v>
      </c>
      <c r="D7" s="513"/>
      <c r="E7" s="28" t="s">
        <v>51</v>
      </c>
      <c r="F7" s="28"/>
      <c r="G7" s="28"/>
    </row>
    <row r="8" spans="1:7" ht="30" x14ac:dyDescent="0.25">
      <c r="A8" s="21" t="s">
        <v>10</v>
      </c>
      <c r="B8" s="68"/>
      <c r="C8" s="27"/>
      <c r="D8" s="27"/>
      <c r="E8" s="27"/>
    </row>
    <row r="9" spans="1:7" x14ac:dyDescent="0.25">
      <c r="A9" s="7" t="s">
        <v>49</v>
      </c>
      <c r="B9" s="4" t="s">
        <v>50</v>
      </c>
      <c r="C9" s="17"/>
      <c r="D9" s="9"/>
      <c r="E9" s="15"/>
    </row>
    <row r="11" spans="1:7" x14ac:dyDescent="0.25">
      <c r="A11" s="2" t="s">
        <v>0</v>
      </c>
      <c r="B11" s="2" t="s">
        <v>3</v>
      </c>
      <c r="C11" s="18" t="s">
        <v>2</v>
      </c>
      <c r="D11" s="10" t="s">
        <v>16</v>
      </c>
      <c r="E11" s="16" t="s">
        <v>4</v>
      </c>
      <c r="F11" s="14" t="s">
        <v>11</v>
      </c>
      <c r="G11" s="8" t="s">
        <v>1</v>
      </c>
    </row>
    <row r="12" spans="1:7" x14ac:dyDescent="0.25">
      <c r="A12" s="3" t="s">
        <v>27</v>
      </c>
      <c r="C12" s="18"/>
      <c r="D12" s="10"/>
      <c r="G12" s="16"/>
    </row>
    <row r="13" spans="1:7" x14ac:dyDescent="0.25">
      <c r="A13" s="3"/>
      <c r="B13" s="2" t="s">
        <v>154</v>
      </c>
      <c r="C13" s="18"/>
      <c r="D13" s="10"/>
      <c r="G13" s="8" t="s">
        <v>34</v>
      </c>
    </row>
    <row r="14" spans="1:7" x14ac:dyDescent="0.25">
      <c r="A14" s="3"/>
      <c r="B14" s="2" t="s">
        <v>155</v>
      </c>
      <c r="C14" s="18"/>
      <c r="D14" s="10"/>
      <c r="G14" s="8" t="s">
        <v>34</v>
      </c>
    </row>
    <row r="15" spans="1:7" x14ac:dyDescent="0.25">
      <c r="A15" s="3"/>
      <c r="C15" s="18"/>
      <c r="D15" s="10"/>
      <c r="G15" s="16"/>
    </row>
    <row r="16" spans="1:7" x14ac:dyDescent="0.25">
      <c r="A16" s="3" t="s">
        <v>25</v>
      </c>
      <c r="B16" s="2" t="s">
        <v>33</v>
      </c>
      <c r="C16" s="18">
        <v>1000</v>
      </c>
      <c r="D16" s="10">
        <v>0.9</v>
      </c>
      <c r="E16" s="16">
        <v>10000</v>
      </c>
      <c r="G16" s="16" t="s">
        <v>34</v>
      </c>
    </row>
    <row r="17" spans="1:7" x14ac:dyDescent="0.25">
      <c r="A17" s="3"/>
      <c r="B17" s="2" t="s">
        <v>35</v>
      </c>
      <c r="C17" s="18"/>
      <c r="D17" s="11"/>
      <c r="G17" s="16" t="s">
        <v>34</v>
      </c>
    </row>
    <row r="18" spans="1:7" x14ac:dyDescent="0.25">
      <c r="A18" s="3"/>
      <c r="B18" s="2" t="s">
        <v>267</v>
      </c>
      <c r="C18" s="18">
        <f>$C$16</f>
        <v>1000</v>
      </c>
      <c r="E18" s="16">
        <v>100000</v>
      </c>
      <c r="G18" s="16" t="s">
        <v>34</v>
      </c>
    </row>
    <row r="19" spans="1:7" ht="18" customHeight="1" x14ac:dyDescent="0.25">
      <c r="A19" s="3"/>
      <c r="B19" s="2" t="s">
        <v>36</v>
      </c>
      <c r="C19" s="18">
        <f>$C$16</f>
        <v>1000</v>
      </c>
      <c r="D19" s="10">
        <v>0.9</v>
      </c>
      <c r="E19" s="16">
        <v>10000</v>
      </c>
      <c r="G19" s="16" t="s">
        <v>34</v>
      </c>
    </row>
    <row r="20" spans="1:7" ht="30" x14ac:dyDescent="0.25">
      <c r="A20" s="3"/>
      <c r="B20" s="2" t="s">
        <v>123</v>
      </c>
      <c r="C20" s="18">
        <f>$C$16</f>
        <v>1000</v>
      </c>
      <c r="D20" s="10">
        <v>0.9</v>
      </c>
      <c r="E20" s="18">
        <v>10000</v>
      </c>
      <c r="G20" s="16" t="s">
        <v>34</v>
      </c>
    </row>
    <row r="21" spans="1:7" x14ac:dyDescent="0.25">
      <c r="A21" s="3"/>
      <c r="B21" s="2" t="s">
        <v>37</v>
      </c>
      <c r="C21" s="18">
        <f>$C$16</f>
        <v>1000</v>
      </c>
      <c r="D21" s="10">
        <v>0.9</v>
      </c>
      <c r="E21" s="16">
        <v>25000</v>
      </c>
      <c r="G21" s="16" t="s">
        <v>34</v>
      </c>
    </row>
    <row r="22" spans="1:7" x14ac:dyDescent="0.25">
      <c r="A22" s="3"/>
      <c r="B22" s="2" t="s">
        <v>45</v>
      </c>
      <c r="C22" s="18"/>
      <c r="D22" s="10"/>
      <c r="G22" s="16" t="s">
        <v>34</v>
      </c>
    </row>
    <row r="23" spans="1:7" x14ac:dyDescent="0.25">
      <c r="A23" s="3"/>
      <c r="C23" s="18"/>
      <c r="D23" s="10"/>
      <c r="G23" s="16"/>
    </row>
    <row r="24" spans="1:7" x14ac:dyDescent="0.25">
      <c r="A24" s="3" t="s">
        <v>30</v>
      </c>
      <c r="B24" s="2" t="s">
        <v>39</v>
      </c>
      <c r="C24" s="18"/>
      <c r="D24" s="10"/>
      <c r="G24" s="16"/>
    </row>
    <row r="25" spans="1:7" x14ac:dyDescent="0.25">
      <c r="A25" s="3"/>
      <c r="B25" s="2" t="s">
        <v>41</v>
      </c>
      <c r="C25" s="18">
        <f>$C$16</f>
        <v>1000</v>
      </c>
      <c r="D25" s="10"/>
      <c r="E25" s="16">
        <v>10000</v>
      </c>
      <c r="G25" s="16" t="s">
        <v>34</v>
      </c>
    </row>
    <row r="26" spans="1:7" x14ac:dyDescent="0.25">
      <c r="A26" s="3"/>
      <c r="B26" s="2" t="s">
        <v>40</v>
      </c>
      <c r="C26" s="18">
        <f>$C$16</f>
        <v>1000</v>
      </c>
      <c r="D26" s="10"/>
      <c r="E26" s="16">
        <v>10000</v>
      </c>
      <c r="G26" s="16" t="s">
        <v>34</v>
      </c>
    </row>
    <row r="27" spans="1:7" x14ac:dyDescent="0.25">
      <c r="A27" s="3"/>
      <c r="B27" s="2" t="s">
        <v>42</v>
      </c>
      <c r="C27" s="18">
        <f>$C$16</f>
        <v>1000</v>
      </c>
      <c r="D27" s="10"/>
      <c r="E27" s="16">
        <v>10000</v>
      </c>
      <c r="G27" s="16" t="s">
        <v>34</v>
      </c>
    </row>
    <row r="28" spans="1:7" x14ac:dyDescent="0.25">
      <c r="A28" s="3"/>
      <c r="B28" s="2" t="s">
        <v>44</v>
      </c>
      <c r="C28" s="18">
        <f>$C$16</f>
        <v>1000</v>
      </c>
      <c r="D28" s="10"/>
      <c r="E28" s="16">
        <v>10000</v>
      </c>
      <c r="G28" s="16" t="s">
        <v>34</v>
      </c>
    </row>
    <row r="29" spans="1:7" x14ac:dyDescent="0.25">
      <c r="A29" s="3"/>
      <c r="B29" s="2" t="s">
        <v>43</v>
      </c>
      <c r="C29" s="18">
        <f>$C$16</f>
        <v>1000</v>
      </c>
      <c r="D29" s="10"/>
      <c r="E29" s="16">
        <v>10000</v>
      </c>
      <c r="G29" s="16" t="s">
        <v>34</v>
      </c>
    </row>
    <row r="30" spans="1:7" x14ac:dyDescent="0.25">
      <c r="A30" s="3"/>
      <c r="C30" s="19"/>
      <c r="G30" s="16"/>
    </row>
    <row r="31" spans="1:7" x14ac:dyDescent="0.25">
      <c r="A31" s="3" t="s">
        <v>26</v>
      </c>
      <c r="B31" s="2" t="s">
        <v>38</v>
      </c>
      <c r="C31" s="18">
        <f>$C$16</f>
        <v>1000</v>
      </c>
      <c r="D31" s="13"/>
      <c r="E31" s="16">
        <v>10000</v>
      </c>
      <c r="G31" s="16" t="s">
        <v>34</v>
      </c>
    </row>
    <row r="32" spans="1:7" x14ac:dyDescent="0.25">
      <c r="A32" s="3"/>
      <c r="C32" s="18"/>
      <c r="D32" s="10"/>
      <c r="G32" s="16"/>
    </row>
    <row r="33" spans="1:8" x14ac:dyDescent="0.25">
      <c r="A33" s="3" t="s">
        <v>17</v>
      </c>
      <c r="B33" s="2" t="s">
        <v>32</v>
      </c>
      <c r="C33" s="18"/>
      <c r="D33" s="10"/>
      <c r="G33" s="16" t="s">
        <v>34</v>
      </c>
    </row>
    <row r="34" spans="1:8" x14ac:dyDescent="0.25">
      <c r="A34" s="3"/>
      <c r="B34" s="2" t="s">
        <v>18</v>
      </c>
      <c r="C34" s="18">
        <f>$C$16</f>
        <v>1000</v>
      </c>
      <c r="D34" s="10"/>
      <c r="E34" s="16">
        <v>2000000</v>
      </c>
      <c r="G34" s="16" t="s">
        <v>34</v>
      </c>
    </row>
    <row r="35" spans="1:8" x14ac:dyDescent="0.25">
      <c r="A35" s="3"/>
      <c r="B35" s="2" t="s">
        <v>19</v>
      </c>
      <c r="C35" s="18"/>
      <c r="D35" s="10"/>
      <c r="E35" s="16">
        <f>$E$34</f>
        <v>2000000</v>
      </c>
      <c r="G35" s="16" t="s">
        <v>34</v>
      </c>
    </row>
    <row r="36" spans="1:8" x14ac:dyDescent="0.25">
      <c r="A36" s="3"/>
      <c r="B36" s="2" t="s">
        <v>20</v>
      </c>
      <c r="C36" s="18"/>
      <c r="D36" s="10"/>
      <c r="E36" s="16">
        <v>25000</v>
      </c>
      <c r="G36" s="16" t="s">
        <v>34</v>
      </c>
    </row>
    <row r="37" spans="1:8" x14ac:dyDescent="0.25">
      <c r="A37" s="3"/>
      <c r="B37" s="2" t="s">
        <v>21</v>
      </c>
      <c r="C37" s="18">
        <f>$C$16</f>
        <v>1000</v>
      </c>
      <c r="D37" s="10"/>
      <c r="E37" s="16">
        <v>500000</v>
      </c>
      <c r="G37" s="16" t="s">
        <v>34</v>
      </c>
    </row>
    <row r="38" spans="1:8" x14ac:dyDescent="0.25">
      <c r="A38" s="3"/>
      <c r="B38" s="2" t="s">
        <v>22</v>
      </c>
      <c r="C38" s="18"/>
      <c r="D38" s="10"/>
      <c r="E38" s="16">
        <f>$E$34+1000000</f>
        <v>3000000</v>
      </c>
      <c r="G38" s="16" t="s">
        <v>34</v>
      </c>
    </row>
    <row r="39" spans="1:8" x14ac:dyDescent="0.25">
      <c r="A39" s="3"/>
      <c r="B39" s="2" t="s">
        <v>31</v>
      </c>
      <c r="C39" s="18"/>
      <c r="D39" s="10"/>
      <c r="E39" s="16">
        <f>$E$34+1000000</f>
        <v>3000000</v>
      </c>
      <c r="G39" s="16" t="s">
        <v>34</v>
      </c>
    </row>
    <row r="40" spans="1:8" ht="15.75" customHeight="1" x14ac:dyDescent="0.25">
      <c r="A40" s="3"/>
      <c r="B40" s="2" t="s">
        <v>323</v>
      </c>
      <c r="C40" s="18"/>
      <c r="D40" s="10"/>
      <c r="G40" s="8" t="s">
        <v>34</v>
      </c>
    </row>
    <row r="41" spans="1:8" ht="15.75" customHeight="1" x14ac:dyDescent="0.25">
      <c r="A41" s="3"/>
      <c r="B41" s="2" t="s">
        <v>23</v>
      </c>
      <c r="C41" s="18"/>
      <c r="D41" s="10"/>
      <c r="E41" s="16">
        <f>$E$34</f>
        <v>2000000</v>
      </c>
      <c r="G41" s="16" t="s">
        <v>34</v>
      </c>
    </row>
    <row r="42" spans="1:8" ht="15.75" customHeight="1" x14ac:dyDescent="0.25">
      <c r="A42" s="3"/>
      <c r="B42" s="2" t="s">
        <v>46</v>
      </c>
      <c r="C42" s="18"/>
      <c r="D42" s="10"/>
      <c r="G42" s="16" t="s">
        <v>34</v>
      </c>
    </row>
    <row r="43" spans="1:8" s="125" customFormat="1" ht="15.75" customHeight="1" x14ac:dyDescent="0.25">
      <c r="A43" s="3"/>
      <c r="B43" s="2" t="s">
        <v>24</v>
      </c>
      <c r="C43" s="18"/>
      <c r="D43" s="10"/>
      <c r="E43" s="16"/>
      <c r="F43" s="14"/>
      <c r="G43" s="16" t="s">
        <v>34</v>
      </c>
      <c r="H43" s="1"/>
    </row>
    <row r="44" spans="1:8" ht="15.75" customHeight="1" x14ac:dyDescent="0.25">
      <c r="A44" s="162"/>
      <c r="B44" s="172" t="s">
        <v>325</v>
      </c>
      <c r="C44" s="18"/>
      <c r="D44" s="10"/>
      <c r="G44" s="16" t="s">
        <v>34</v>
      </c>
    </row>
    <row r="45" spans="1:8" x14ac:dyDescent="0.25">
      <c r="A45" s="162"/>
      <c r="B45" s="172" t="s">
        <v>324</v>
      </c>
      <c r="C45" s="18">
        <v>1000</v>
      </c>
      <c r="D45" s="10"/>
      <c r="E45" s="16">
        <v>50000</v>
      </c>
      <c r="G45" s="16"/>
    </row>
    <row r="46" spans="1:8" x14ac:dyDescent="0.25">
      <c r="A46" s="3"/>
      <c r="C46" s="18"/>
      <c r="D46" s="10"/>
      <c r="G46" s="16">
        <v>750</v>
      </c>
    </row>
    <row r="47" spans="1:8" ht="20.25" customHeight="1" x14ac:dyDescent="0.25">
      <c r="A47" t="s">
        <v>28</v>
      </c>
      <c r="B47" s="29">
        <v>250</v>
      </c>
      <c r="C47" s="18"/>
      <c r="D47" s="10"/>
    </row>
    <row r="48" spans="1:8" ht="24.75" customHeight="1" x14ac:dyDescent="0.25">
      <c r="A48" s="5" t="s">
        <v>12</v>
      </c>
      <c r="B48" s="30">
        <f>SUM(G:G)</f>
        <v>750</v>
      </c>
      <c r="C48" s="18"/>
    </row>
    <row r="49" spans="1:5" x14ac:dyDescent="0.25">
      <c r="A49" s="512" t="s">
        <v>290</v>
      </c>
      <c r="B49" s="512"/>
      <c r="C49" s="19"/>
    </row>
    <row r="50" spans="1:5" ht="45" customHeight="1" x14ac:dyDescent="0.25">
      <c r="A50" s="512"/>
      <c r="B50" s="512"/>
      <c r="C50" s="19"/>
    </row>
    <row r="51" spans="1:5" ht="29.25" customHeight="1" x14ac:dyDescent="0.25">
      <c r="A51" s="512"/>
      <c r="B51" s="512"/>
      <c r="C51" s="19"/>
    </row>
    <row r="52" spans="1:5" ht="42" customHeight="1" x14ac:dyDescent="0.25">
      <c r="A52" s="512"/>
      <c r="B52" s="512"/>
      <c r="C52" s="19"/>
    </row>
    <row r="64" spans="1:5" x14ac:dyDescent="0.25">
      <c r="E64" s="25"/>
    </row>
    <row r="66" spans="5:5" x14ac:dyDescent="0.25">
      <c r="E66" s="25"/>
    </row>
  </sheetData>
  <mergeCells count="4">
    <mergeCell ref="A49:B52"/>
    <mergeCell ref="C3:D3"/>
    <mergeCell ref="C5:D5"/>
    <mergeCell ref="C7:D7"/>
  </mergeCells>
  <pageMargins left="0.70866141732283472" right="0.70866141732283472" top="1.2458333333333333" bottom="0.74803149606299213" header="0.31496062992125984" footer="0.31496062992125984"/>
  <pageSetup scale="66" orientation="portrait" r:id="rId1"/>
  <headerFooter>
    <oddHeader>&amp;L&amp;G&amp;R&amp;K04-021535 Hanlon Creek Blvd
Guelph, Ontario N1C 0A1
Tel: (519) 836-2860
1-800-267-5706</oddHeader>
  </headerFooter>
  <legacyDrawingHF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F9CCB-3183-45B3-ADEC-F47AC38635AB}">
  <sheetPr codeName="Sheet3"/>
  <dimension ref="A1:C27"/>
  <sheetViews>
    <sheetView topLeftCell="A13" zoomScale="110" zoomScaleNormal="110" workbookViewId="0">
      <selection activeCell="A7" sqref="A7"/>
    </sheetView>
  </sheetViews>
  <sheetFormatPr defaultRowHeight="15" x14ac:dyDescent="0.25"/>
  <cols>
    <col min="1" max="1" width="63.140625" customWidth="1"/>
    <col min="2" max="2" width="83.28515625" customWidth="1"/>
  </cols>
  <sheetData>
    <row r="1" spans="1:3" ht="63.75" customHeight="1" x14ac:dyDescent="0.25">
      <c r="A1" s="514" t="s">
        <v>124</v>
      </c>
      <c r="B1" s="514"/>
    </row>
    <row r="2" spans="1:3" x14ac:dyDescent="0.25">
      <c r="A2" s="2"/>
      <c r="B2" s="2"/>
    </row>
    <row r="3" spans="1:3" x14ac:dyDescent="0.25">
      <c r="A3" s="80" t="s">
        <v>125</v>
      </c>
      <c r="B3" s="80" t="s">
        <v>153</v>
      </c>
    </row>
    <row r="4" spans="1:3" ht="119.25" customHeight="1" x14ac:dyDescent="0.25">
      <c r="A4" s="26" t="s">
        <v>126</v>
      </c>
      <c r="B4" s="2" t="s">
        <v>282</v>
      </c>
      <c r="C4" s="155"/>
    </row>
    <row r="5" spans="1:3" ht="158.25" customHeight="1" x14ac:dyDescent="0.25">
      <c r="A5" s="26" t="s">
        <v>327</v>
      </c>
      <c r="B5" s="2" t="s">
        <v>283</v>
      </c>
    </row>
    <row r="6" spans="1:3" ht="150" x14ac:dyDescent="0.25">
      <c r="A6" s="26" t="s">
        <v>127</v>
      </c>
      <c r="B6" s="2" t="s">
        <v>128</v>
      </c>
    </row>
    <row r="7" spans="1:3" ht="30" x14ac:dyDescent="0.25">
      <c r="A7" s="26" t="s">
        <v>129</v>
      </c>
      <c r="B7" s="2" t="s">
        <v>130</v>
      </c>
    </row>
    <row r="8" spans="1:3" ht="60" x14ac:dyDescent="0.25">
      <c r="A8" s="26" t="s">
        <v>131</v>
      </c>
      <c r="B8" s="2" t="s">
        <v>132</v>
      </c>
    </row>
    <row r="9" spans="1:3" ht="30" x14ac:dyDescent="0.25">
      <c r="A9" s="26" t="s">
        <v>133</v>
      </c>
      <c r="B9" s="2" t="s">
        <v>134</v>
      </c>
    </row>
    <row r="10" spans="1:3" x14ac:dyDescent="0.25">
      <c r="A10" s="26" t="s">
        <v>135</v>
      </c>
      <c r="B10" s="2" t="s">
        <v>284</v>
      </c>
    </row>
    <row r="11" spans="1:3" x14ac:dyDescent="0.25">
      <c r="A11" s="26" t="s">
        <v>136</v>
      </c>
      <c r="B11" s="2" t="s">
        <v>137</v>
      </c>
    </row>
    <row r="12" spans="1:3" x14ac:dyDescent="0.25">
      <c r="A12" s="26" t="s">
        <v>326</v>
      </c>
      <c r="B12" s="2"/>
    </row>
    <row r="13" spans="1:3" x14ac:dyDescent="0.25">
      <c r="A13" s="26" t="s">
        <v>138</v>
      </c>
      <c r="B13" s="2" t="s">
        <v>139</v>
      </c>
    </row>
    <row r="14" spans="1:3" ht="45" x14ac:dyDescent="0.25">
      <c r="A14" s="26" t="s">
        <v>140</v>
      </c>
      <c r="B14" s="2" t="s">
        <v>141</v>
      </c>
    </row>
    <row r="15" spans="1:3" x14ac:dyDescent="0.25">
      <c r="A15" s="26" t="s">
        <v>142</v>
      </c>
      <c r="B15" s="2"/>
    </row>
    <row r="16" spans="1:3" x14ac:dyDescent="0.25">
      <c r="A16" s="26" t="s">
        <v>143</v>
      </c>
      <c r="B16" s="2" t="s">
        <v>130</v>
      </c>
    </row>
    <row r="17" spans="1:2" x14ac:dyDescent="0.25">
      <c r="A17" s="26" t="s">
        <v>144</v>
      </c>
      <c r="B17" s="2" t="s">
        <v>145</v>
      </c>
    </row>
    <row r="18" spans="1:2" ht="60" x14ac:dyDescent="0.25">
      <c r="A18" s="26" t="s">
        <v>146</v>
      </c>
      <c r="B18" s="2" t="s">
        <v>147</v>
      </c>
    </row>
    <row r="19" spans="1:2" x14ac:dyDescent="0.25">
      <c r="A19" s="26" t="s">
        <v>148</v>
      </c>
      <c r="B19" s="2"/>
    </row>
    <row r="20" spans="1:2" ht="30" x14ac:dyDescent="0.25">
      <c r="A20" s="26" t="s">
        <v>149</v>
      </c>
      <c r="B20" s="2" t="s">
        <v>137</v>
      </c>
    </row>
    <row r="21" spans="1:2" ht="30" x14ac:dyDescent="0.25">
      <c r="A21" s="26" t="s">
        <v>150</v>
      </c>
      <c r="B21" s="2"/>
    </row>
    <row r="22" spans="1:2" ht="32.25" customHeight="1" x14ac:dyDescent="0.25">
      <c r="A22" s="26" t="s">
        <v>151</v>
      </c>
      <c r="B22" s="2" t="s">
        <v>152</v>
      </c>
    </row>
    <row r="23" spans="1:2" x14ac:dyDescent="0.25">
      <c r="A23" s="26"/>
    </row>
    <row r="24" spans="1:2" x14ac:dyDescent="0.25">
      <c r="A24" s="26"/>
    </row>
    <row r="25" spans="1:2" x14ac:dyDescent="0.25">
      <c r="A25" s="26"/>
    </row>
    <row r="26" spans="1:2" x14ac:dyDescent="0.25">
      <c r="A26" s="26"/>
    </row>
    <row r="27" spans="1:2" x14ac:dyDescent="0.25">
      <c r="A27" s="26"/>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166B-9727-4400-B0EE-A46A8A228E39}">
  <sheetPr codeName="Sheet4"/>
  <dimension ref="A2:X121"/>
  <sheetViews>
    <sheetView topLeftCell="A4" zoomScaleNormal="100" workbookViewId="0">
      <selection activeCell="B10" sqref="B10"/>
    </sheetView>
  </sheetViews>
  <sheetFormatPr defaultColWidth="9" defaultRowHeight="15" x14ac:dyDescent="0.25"/>
  <cols>
    <col min="1" max="1" width="25.7109375" customWidth="1"/>
    <col min="2" max="2" width="16" customWidth="1"/>
    <col min="3" max="3" width="8.5703125" customWidth="1"/>
    <col min="4" max="4" width="7" customWidth="1"/>
    <col min="5" max="5" width="16.42578125" customWidth="1"/>
    <col min="6" max="6" width="15.7109375" customWidth="1"/>
    <col min="7" max="7" width="11" customWidth="1"/>
    <col min="8" max="8" width="9.7109375" customWidth="1"/>
    <col min="9" max="9" width="11.5703125" customWidth="1"/>
    <col min="10" max="10" width="3.140625" customWidth="1"/>
    <col min="11" max="11" width="12.28515625" customWidth="1"/>
    <col min="12" max="13" width="12.28515625" style="81" customWidth="1"/>
    <col min="14" max="14" width="27.85546875" customWidth="1"/>
    <col min="15" max="15" width="6" customWidth="1"/>
    <col min="16" max="16" width="14.7109375" style="84" customWidth="1"/>
    <col min="17" max="17" width="12" customWidth="1"/>
    <col min="18" max="18" width="14.28515625" customWidth="1"/>
    <col min="23" max="23" width="16.7109375" customWidth="1"/>
    <col min="24" max="24" width="18.7109375" customWidth="1"/>
  </cols>
  <sheetData>
    <row r="2" spans="1:20" x14ac:dyDescent="0.25">
      <c r="M2" s="161"/>
      <c r="N2" s="161"/>
      <c r="O2" s="161"/>
      <c r="P2" s="161"/>
      <c r="Q2" s="161"/>
    </row>
    <row r="3" spans="1:20" ht="18.75" x14ac:dyDescent="0.3">
      <c r="A3" s="526" t="s">
        <v>89</v>
      </c>
      <c r="B3" s="446"/>
      <c r="C3" s="446"/>
      <c r="D3" s="446"/>
      <c r="E3" s="447"/>
      <c r="F3" s="57"/>
      <c r="G3" s="150" t="s">
        <v>88</v>
      </c>
      <c r="H3" s="150" t="s">
        <v>88</v>
      </c>
      <c r="I3" s="150" t="s">
        <v>88</v>
      </c>
      <c r="J3" s="57"/>
      <c r="K3" s="56" t="s">
        <v>87</v>
      </c>
      <c r="L3" s="82"/>
      <c r="M3" s="161"/>
      <c r="N3" s="161"/>
      <c r="O3" s="161"/>
      <c r="P3" s="161"/>
      <c r="Q3" s="161"/>
    </row>
    <row r="4" spans="1:20" s="95" customFormat="1" x14ac:dyDescent="0.25">
      <c r="A4" s="82"/>
      <c r="B4" s="82"/>
      <c r="C4" s="82"/>
      <c r="D4" s="82"/>
      <c r="E4" s="82"/>
      <c r="F4" s="82"/>
      <c r="G4" s="82"/>
      <c r="H4" s="82"/>
      <c r="I4" s="82"/>
      <c r="J4" s="82"/>
      <c r="K4" s="82"/>
      <c r="L4" s="82"/>
      <c r="M4" s="161"/>
      <c r="N4" s="161"/>
      <c r="O4" s="161"/>
      <c r="P4" s="161"/>
      <c r="Q4" s="161"/>
      <c r="R4" s="161"/>
    </row>
    <row r="5" spans="1:20" ht="18.75" x14ac:dyDescent="0.3">
      <c r="A5" s="124" t="s">
        <v>268</v>
      </c>
      <c r="K5" s="36"/>
      <c r="L5" s="82"/>
      <c r="M5" s="161"/>
      <c r="N5" s="161"/>
      <c r="O5" s="161"/>
      <c r="P5" s="161"/>
      <c r="Q5" s="161"/>
      <c r="R5" s="161"/>
    </row>
    <row r="6" spans="1:20" x14ac:dyDescent="0.25">
      <c r="A6" s="46" t="s">
        <v>47</v>
      </c>
      <c r="B6" s="531" t="s">
        <v>86</v>
      </c>
      <c r="C6" s="532"/>
      <c r="D6" s="532"/>
      <c r="E6" s="533"/>
      <c r="G6" s="146" t="s">
        <v>83</v>
      </c>
      <c r="H6" s="147" t="s">
        <v>82</v>
      </c>
      <c r="I6" s="527" t="s">
        <v>81</v>
      </c>
      <c r="K6" s="36"/>
      <c r="L6" s="82"/>
      <c r="M6" s="161"/>
      <c r="N6" s="161"/>
      <c r="O6" s="161"/>
      <c r="P6" s="161"/>
      <c r="Q6" s="161"/>
      <c r="R6" s="161"/>
    </row>
    <row r="7" spans="1:20" x14ac:dyDescent="0.25">
      <c r="A7" s="39"/>
      <c r="B7" s="534"/>
      <c r="C7" s="535"/>
      <c r="D7" s="535"/>
      <c r="E7" s="536"/>
      <c r="F7" s="145" t="s">
        <v>85</v>
      </c>
      <c r="G7" s="148" t="s">
        <v>80</v>
      </c>
      <c r="H7" s="149" t="s">
        <v>80</v>
      </c>
      <c r="I7" s="528"/>
      <c r="K7" s="36"/>
      <c r="L7" s="82"/>
      <c r="M7" s="161"/>
      <c r="N7" s="161"/>
      <c r="O7" s="161"/>
      <c r="P7" s="161"/>
      <c r="Q7" s="161"/>
      <c r="R7" s="161"/>
      <c r="S7" s="88"/>
    </row>
    <row r="8" spans="1:20" x14ac:dyDescent="0.25">
      <c r="A8" s="39" t="s">
        <v>79</v>
      </c>
      <c r="F8" s="48">
        <v>500000</v>
      </c>
      <c r="G8" s="130">
        <v>0.15</v>
      </c>
      <c r="H8" s="130">
        <v>0.25</v>
      </c>
      <c r="I8" s="130">
        <v>0.4</v>
      </c>
      <c r="K8" s="43">
        <v>0</v>
      </c>
      <c r="L8" s="83"/>
      <c r="M8" s="161"/>
      <c r="N8" s="161"/>
      <c r="O8" s="161"/>
      <c r="P8" s="161"/>
      <c r="Q8" s="161"/>
      <c r="R8" s="161"/>
      <c r="S8" s="88"/>
    </row>
    <row r="9" spans="1:20" x14ac:dyDescent="0.25">
      <c r="A9" s="39" t="s">
        <v>84</v>
      </c>
      <c r="F9" s="48" t="s">
        <v>52</v>
      </c>
      <c r="G9" s="130">
        <v>0.2</v>
      </c>
      <c r="H9" s="130">
        <v>0.35</v>
      </c>
      <c r="I9" s="130">
        <v>0.65</v>
      </c>
      <c r="K9" s="43">
        <v>0</v>
      </c>
      <c r="L9" s="83"/>
      <c r="M9" s="161"/>
      <c r="N9" s="161"/>
      <c r="O9" s="161"/>
      <c r="P9" s="161"/>
      <c r="Q9" s="161"/>
      <c r="R9" s="161"/>
      <c r="S9" s="88"/>
    </row>
    <row r="10" spans="1:20" x14ac:dyDescent="0.25">
      <c r="A10" s="39" t="s">
        <v>78</v>
      </c>
      <c r="F10" s="48" t="s">
        <v>52</v>
      </c>
      <c r="G10" s="130">
        <v>0.3</v>
      </c>
      <c r="H10" s="130">
        <v>0.65</v>
      </c>
      <c r="I10" s="130">
        <v>1.2</v>
      </c>
      <c r="K10" s="43">
        <v>0</v>
      </c>
      <c r="L10" s="83"/>
      <c r="M10" s="161"/>
      <c r="N10" s="161"/>
      <c r="O10" s="161"/>
      <c r="P10" s="161"/>
      <c r="Q10" s="161"/>
      <c r="R10" s="161"/>
    </row>
    <row r="11" spans="1:20" x14ac:dyDescent="0.25">
      <c r="A11" s="35" t="s">
        <v>330</v>
      </c>
      <c r="B11" s="151"/>
      <c r="C11" s="151"/>
      <c r="E11" s="164"/>
      <c r="K11" s="36"/>
      <c r="L11" s="82"/>
      <c r="M11" s="161"/>
      <c r="N11" s="161"/>
      <c r="O11" s="161"/>
      <c r="P11" s="161"/>
      <c r="Q11" s="161"/>
    </row>
    <row r="12" spans="1:20" x14ac:dyDescent="0.25">
      <c r="A12" s="91"/>
      <c r="B12" s="121"/>
      <c r="K12" s="36"/>
      <c r="L12" s="85"/>
      <c r="M12" s="161"/>
      <c r="N12" s="161"/>
      <c r="O12" s="161"/>
      <c r="P12" s="161"/>
      <c r="Q12" s="161"/>
      <c r="R12" s="161"/>
      <c r="S12" s="85"/>
      <c r="T12" s="85"/>
    </row>
    <row r="13" spans="1:20" x14ac:dyDescent="0.25">
      <c r="A13" s="96" t="s">
        <v>26</v>
      </c>
      <c r="G13" s="53"/>
      <c r="K13" s="36"/>
      <c r="L13" s="85"/>
      <c r="M13" s="161"/>
      <c r="N13" s="161"/>
      <c r="O13" s="161"/>
      <c r="P13" s="161"/>
      <c r="Q13" s="161"/>
      <c r="R13" s="85"/>
      <c r="S13" s="85"/>
      <c r="T13" s="85"/>
    </row>
    <row r="14" spans="1:20" x14ac:dyDescent="0.25">
      <c r="A14" s="94" t="s">
        <v>167</v>
      </c>
      <c r="B14" s="95"/>
      <c r="C14" s="95"/>
      <c r="D14" s="95"/>
      <c r="E14" s="165" t="s">
        <v>291</v>
      </c>
      <c r="F14" s="95" t="s">
        <v>168</v>
      </c>
      <c r="G14" s="95"/>
      <c r="H14" s="95"/>
      <c r="I14" s="95"/>
      <c r="J14" s="95"/>
      <c r="K14" s="102"/>
      <c r="L14" s="85"/>
      <c r="M14" s="161"/>
      <c r="N14" s="161"/>
      <c r="O14" s="161"/>
      <c r="P14" s="161"/>
      <c r="Q14" s="161"/>
      <c r="R14" s="85"/>
      <c r="S14" s="85"/>
      <c r="T14" s="85"/>
    </row>
    <row r="15" spans="1:20" x14ac:dyDescent="0.25">
      <c r="A15" s="39" t="s">
        <v>261</v>
      </c>
      <c r="B15" s="48">
        <v>50000</v>
      </c>
      <c r="C15" s="121"/>
      <c r="D15" s="121"/>
      <c r="E15" s="48">
        <f>B15*30%</f>
        <v>15000</v>
      </c>
      <c r="F15" s="92"/>
      <c r="G15" s="84">
        <v>0.67</v>
      </c>
      <c r="H15" s="92"/>
      <c r="I15" s="92"/>
      <c r="K15" s="43">
        <f>E15*G15/100</f>
        <v>100.5</v>
      </c>
      <c r="L15" s="85"/>
      <c r="M15" s="161"/>
      <c r="N15" s="161"/>
      <c r="O15" s="161"/>
      <c r="P15" s="161"/>
      <c r="Q15" s="161"/>
      <c r="R15" s="85"/>
      <c r="S15" s="85"/>
      <c r="T15" s="85"/>
    </row>
    <row r="16" spans="1:20" s="121" customFormat="1" x14ac:dyDescent="0.25">
      <c r="A16" s="122"/>
      <c r="G16" s="84"/>
      <c r="K16" s="43"/>
      <c r="L16" s="85"/>
      <c r="M16" s="161"/>
      <c r="N16" s="161"/>
      <c r="O16" s="161"/>
      <c r="P16" s="161"/>
      <c r="Q16" s="161"/>
      <c r="R16" s="85"/>
      <c r="S16" s="85"/>
      <c r="T16" s="85"/>
    </row>
    <row r="17" spans="1:22" x14ac:dyDescent="0.25">
      <c r="A17" s="40" t="s">
        <v>73</v>
      </c>
      <c r="B17" s="26"/>
      <c r="C17" s="121"/>
      <c r="D17" s="121"/>
      <c r="E17" s="121"/>
      <c r="F17" s="95"/>
      <c r="G17" s="128"/>
      <c r="H17" s="95"/>
      <c r="I17" s="95"/>
      <c r="J17" s="95"/>
      <c r="K17" s="43"/>
      <c r="L17" s="83"/>
      <c r="M17" s="161"/>
      <c r="N17" s="161"/>
      <c r="O17" s="161"/>
      <c r="P17" s="161"/>
      <c r="Q17" s="161"/>
      <c r="R17" s="85"/>
    </row>
    <row r="18" spans="1:22" s="121" customFormat="1" x14ac:dyDescent="0.25">
      <c r="A18" s="129" t="s">
        <v>245</v>
      </c>
      <c r="B18" s="48">
        <v>0</v>
      </c>
      <c r="D18" s="121" t="s">
        <v>286</v>
      </c>
      <c r="E18" s="121" t="s">
        <v>285</v>
      </c>
      <c r="G18" s="128">
        <v>3.9699999999999999E-2</v>
      </c>
      <c r="K18" s="43">
        <f>B18*G18/100</f>
        <v>0</v>
      </c>
      <c r="L18" s="83"/>
      <c r="M18" s="161"/>
      <c r="N18" s="161"/>
      <c r="O18" s="161"/>
      <c r="P18" s="161"/>
      <c r="Q18" s="161"/>
      <c r="R18" s="85"/>
    </row>
    <row r="19" spans="1:22" s="121" customFormat="1" x14ac:dyDescent="0.25">
      <c r="A19" s="35" t="s">
        <v>244</v>
      </c>
      <c r="D19" s="121" t="s">
        <v>287</v>
      </c>
      <c r="E19" s="121" t="s">
        <v>288</v>
      </c>
      <c r="G19" s="128">
        <v>1.9900000000000001E-2</v>
      </c>
      <c r="K19" s="43"/>
      <c r="L19" s="83"/>
      <c r="M19" s="161"/>
      <c r="N19" s="161"/>
      <c r="O19" s="161"/>
      <c r="P19" s="161"/>
      <c r="Q19" s="161"/>
      <c r="R19" s="85"/>
    </row>
    <row r="20" spans="1:22" x14ac:dyDescent="0.25">
      <c r="A20" s="94"/>
      <c r="B20" s="95"/>
      <c r="C20" s="121"/>
      <c r="D20" s="121"/>
      <c r="E20" s="121"/>
      <c r="F20" s="95"/>
      <c r="G20" s="95"/>
      <c r="H20" s="95"/>
      <c r="I20" s="95"/>
      <c r="J20" s="95"/>
      <c r="K20" s="102"/>
      <c r="L20" s="83"/>
      <c r="M20" s="161"/>
      <c r="N20" s="161"/>
      <c r="O20" s="161"/>
      <c r="P20" s="161"/>
      <c r="Q20" s="161"/>
      <c r="R20" s="85"/>
    </row>
    <row r="21" spans="1:22" x14ac:dyDescent="0.25">
      <c r="A21" s="525" t="s">
        <v>72</v>
      </c>
      <c r="B21" s="436"/>
      <c r="C21" s="437"/>
      <c r="D21" s="94"/>
      <c r="E21" s="26"/>
      <c r="F21" s="95"/>
      <c r="G21" s="95"/>
      <c r="H21" s="95"/>
      <c r="I21" s="95"/>
      <c r="J21" s="95"/>
      <c r="K21" s="44">
        <v>0</v>
      </c>
      <c r="L21" s="83"/>
      <c r="M21" s="161"/>
      <c r="N21" s="161"/>
      <c r="O21" s="161"/>
      <c r="P21" s="161"/>
      <c r="Q21" s="161"/>
      <c r="R21" s="121"/>
      <c r="S21" s="121"/>
      <c r="T21" s="121"/>
      <c r="U21" s="121"/>
      <c r="V21" s="88"/>
    </row>
    <row r="22" spans="1:22" x14ac:dyDescent="0.25">
      <c r="A22" s="94"/>
      <c r="B22" s="95"/>
      <c r="C22" s="95"/>
      <c r="D22" s="95"/>
      <c r="E22" s="26"/>
      <c r="F22" s="95"/>
      <c r="G22" s="95"/>
      <c r="H22" s="95"/>
      <c r="I22" s="95"/>
      <c r="J22" s="95"/>
      <c r="K22" s="102"/>
      <c r="L22" s="82"/>
      <c r="M22" s="161"/>
      <c r="N22" s="161"/>
      <c r="O22" s="161"/>
      <c r="P22" s="161"/>
      <c r="Q22" s="161"/>
      <c r="R22" s="121"/>
      <c r="S22" s="121"/>
      <c r="T22" s="121"/>
      <c r="U22" s="121"/>
      <c r="V22" s="8"/>
    </row>
    <row r="23" spans="1:22" x14ac:dyDescent="0.25">
      <c r="A23" s="40" t="s">
        <v>71</v>
      </c>
      <c r="B23" s="95" t="s">
        <v>263</v>
      </c>
      <c r="C23" s="152" t="s">
        <v>264</v>
      </c>
      <c r="D23" s="95"/>
      <c r="E23" s="26"/>
      <c r="F23" s="95"/>
      <c r="G23" s="95"/>
      <c r="H23" s="95"/>
      <c r="I23" s="95"/>
      <c r="J23" s="95"/>
      <c r="K23" s="44">
        <v>0</v>
      </c>
      <c r="L23" s="82"/>
      <c r="M23" s="161"/>
      <c r="N23" s="161"/>
      <c r="O23" s="161"/>
      <c r="P23" s="161"/>
      <c r="Q23" s="161"/>
      <c r="R23" s="121"/>
      <c r="S23" s="121"/>
      <c r="T23" s="121"/>
      <c r="U23" s="121"/>
      <c r="V23" s="88"/>
    </row>
    <row r="24" spans="1:22" x14ac:dyDescent="0.25">
      <c r="A24" s="94"/>
      <c r="B24" s="95"/>
      <c r="C24" s="95"/>
      <c r="D24" s="95"/>
      <c r="E24" s="26"/>
      <c r="F24" s="95"/>
      <c r="G24" s="95"/>
      <c r="H24" s="95"/>
      <c r="I24" s="95"/>
      <c r="J24" s="95"/>
      <c r="K24" s="44"/>
      <c r="L24" s="82"/>
      <c r="M24" s="161"/>
      <c r="N24" s="161"/>
      <c r="O24" s="161"/>
      <c r="P24" s="161"/>
      <c r="Q24" s="161"/>
      <c r="R24" s="121"/>
      <c r="S24" s="121"/>
      <c r="T24" s="121"/>
      <c r="U24" s="121"/>
      <c r="V24" s="8"/>
    </row>
    <row r="25" spans="1:22" x14ac:dyDescent="0.25">
      <c r="A25" s="40" t="s">
        <v>70</v>
      </c>
      <c r="B25" s="95"/>
      <c r="C25" s="95"/>
      <c r="D25" s="95"/>
      <c r="E25" s="26"/>
      <c r="F25" s="95"/>
      <c r="G25" s="95"/>
      <c r="H25" s="95"/>
      <c r="I25" s="95"/>
      <c r="J25" s="95"/>
      <c r="K25" s="44">
        <v>0</v>
      </c>
      <c r="L25" s="83"/>
      <c r="M25" s="161"/>
      <c r="N25" s="161"/>
      <c r="O25" s="161"/>
      <c r="P25" s="161"/>
      <c r="Q25" s="161"/>
      <c r="R25" s="121"/>
      <c r="S25" s="121"/>
      <c r="T25" s="121"/>
      <c r="U25" s="121"/>
      <c r="V25" s="88"/>
    </row>
    <row r="26" spans="1:22" s="95" customFormat="1" x14ac:dyDescent="0.25">
      <c r="E26" s="26"/>
      <c r="K26" s="44"/>
      <c r="L26" s="83"/>
      <c r="M26" s="161"/>
      <c r="N26" s="161"/>
      <c r="O26" s="161"/>
      <c r="P26" s="161"/>
      <c r="Q26" s="161"/>
      <c r="R26" s="85"/>
    </row>
    <row r="27" spans="1:22" x14ac:dyDescent="0.25">
      <c r="A27" s="40" t="s">
        <v>241</v>
      </c>
      <c r="E27" s="50"/>
      <c r="F27" s="92"/>
      <c r="G27" s="49"/>
      <c r="H27" s="49"/>
      <c r="I27" s="49"/>
      <c r="K27" s="43"/>
      <c r="L27" s="82"/>
      <c r="M27" s="161"/>
      <c r="N27" s="161"/>
      <c r="O27" s="161"/>
      <c r="P27" s="161"/>
      <c r="Q27" s="161"/>
      <c r="R27" s="85"/>
    </row>
    <row r="28" spans="1:22" s="95" customFormat="1" x14ac:dyDescent="0.25">
      <c r="A28" s="90" t="s">
        <v>242</v>
      </c>
      <c r="B28" s="50"/>
      <c r="C28" s="50"/>
      <c r="D28" s="50"/>
      <c r="E28" s="50"/>
      <c r="G28" s="49"/>
      <c r="H28" s="49"/>
      <c r="I28" s="49"/>
      <c r="K28" s="43">
        <f>D28*G28</f>
        <v>0</v>
      </c>
      <c r="L28" s="82"/>
      <c r="M28" s="161"/>
      <c r="N28" s="161"/>
      <c r="O28" s="161"/>
      <c r="P28" s="161"/>
      <c r="Q28" s="161"/>
      <c r="R28" s="85"/>
    </row>
    <row r="29" spans="1:22" s="121" customFormat="1" x14ac:dyDescent="0.25">
      <c r="A29" s="90" t="s">
        <v>243</v>
      </c>
      <c r="B29" s="132">
        <v>0</v>
      </c>
      <c r="C29" s="50"/>
      <c r="D29" s="50"/>
      <c r="E29" s="50"/>
      <c r="G29" s="131">
        <v>55</v>
      </c>
      <c r="H29" s="49"/>
      <c r="I29" s="49"/>
      <c r="K29" s="43">
        <f>B29*G29/100</f>
        <v>0</v>
      </c>
      <c r="L29" s="82"/>
      <c r="M29" s="161"/>
      <c r="N29" s="161"/>
      <c r="O29" s="161"/>
      <c r="P29" s="161"/>
      <c r="Q29" s="161"/>
      <c r="R29" s="85"/>
    </row>
    <row r="30" spans="1:22" s="121" customFormat="1" x14ac:dyDescent="0.25">
      <c r="A30" s="90"/>
      <c r="B30" s="50"/>
      <c r="C30" s="50"/>
      <c r="D30" s="50"/>
      <c r="E30" s="50"/>
      <c r="G30" s="131"/>
      <c r="H30" s="49"/>
      <c r="I30" s="49"/>
      <c r="K30" s="43"/>
      <c r="L30" s="82"/>
      <c r="M30" s="161"/>
      <c r="N30" s="161"/>
      <c r="O30" s="161"/>
      <c r="P30" s="161"/>
      <c r="Q30" s="161"/>
      <c r="R30" s="85"/>
    </row>
    <row r="31" spans="1:22" s="121" customFormat="1" x14ac:dyDescent="0.25">
      <c r="A31" s="40" t="s">
        <v>248</v>
      </c>
      <c r="B31" s="50"/>
      <c r="C31" s="50"/>
      <c r="D31" s="50"/>
      <c r="E31" s="50"/>
      <c r="G31" s="131"/>
      <c r="H31" s="49"/>
      <c r="I31" s="49"/>
      <c r="K31" s="43"/>
      <c r="L31" s="82"/>
      <c r="M31" s="161"/>
      <c r="N31" s="161"/>
      <c r="O31" s="161"/>
      <c r="P31" s="161"/>
      <c r="Q31" s="161"/>
      <c r="R31" s="85"/>
    </row>
    <row r="32" spans="1:22" s="121" customFormat="1" x14ac:dyDescent="0.25">
      <c r="A32" s="50" t="s">
        <v>158</v>
      </c>
      <c r="B32" s="50"/>
      <c r="C32" s="50"/>
      <c r="D32" s="50"/>
      <c r="E32" s="50"/>
      <c r="G32" s="131"/>
      <c r="H32" s="49"/>
      <c r="I32" s="49"/>
      <c r="K32" s="43">
        <v>0</v>
      </c>
      <c r="L32" s="82"/>
      <c r="M32" s="161"/>
      <c r="N32" s="161"/>
      <c r="O32" s="161"/>
      <c r="P32" s="161"/>
      <c r="Q32" s="161"/>
      <c r="R32" s="161"/>
      <c r="S32" s="161"/>
      <c r="T32" s="161"/>
    </row>
    <row r="33" spans="1:20" s="121" customFormat="1" x14ac:dyDescent="0.25">
      <c r="A33" s="50" t="s">
        <v>249</v>
      </c>
      <c r="B33" s="50"/>
      <c r="C33" s="50"/>
      <c r="D33" s="50"/>
      <c r="E33" s="50"/>
      <c r="G33" s="131"/>
      <c r="H33" s="49"/>
      <c r="I33" s="49"/>
      <c r="K33" s="43">
        <v>0</v>
      </c>
      <c r="L33" s="82"/>
      <c r="M33" s="161"/>
      <c r="N33" s="161"/>
      <c r="O33" s="161"/>
      <c r="P33" s="161"/>
      <c r="Q33" s="161"/>
      <c r="R33" s="161"/>
      <c r="S33" s="161"/>
      <c r="T33" s="161"/>
    </row>
    <row r="34" spans="1:20" s="121" customFormat="1" x14ac:dyDescent="0.25">
      <c r="A34" s="50"/>
      <c r="B34" s="50"/>
      <c r="C34" s="50"/>
      <c r="D34" s="50"/>
      <c r="E34" s="50"/>
      <c r="G34" s="131"/>
      <c r="H34" s="49"/>
      <c r="I34" s="49"/>
      <c r="K34" s="43"/>
      <c r="L34" s="82"/>
      <c r="M34" s="161"/>
      <c r="N34" s="161"/>
      <c r="O34" s="161"/>
      <c r="P34" s="161"/>
      <c r="Q34" s="161"/>
      <c r="R34" s="161"/>
      <c r="S34" s="161"/>
      <c r="T34" s="161"/>
    </row>
    <row r="35" spans="1:20" s="121" customFormat="1" x14ac:dyDescent="0.25">
      <c r="A35" s="40" t="s">
        <v>250</v>
      </c>
      <c r="B35" s="161"/>
      <c r="C35" s="161"/>
      <c r="D35" s="161"/>
      <c r="E35" s="161"/>
      <c r="F35" s="135" t="s">
        <v>260</v>
      </c>
      <c r="G35" s="131"/>
      <c r="H35" s="49"/>
      <c r="I35" s="49"/>
      <c r="K35" s="43"/>
      <c r="L35" s="82"/>
      <c r="M35" s="82"/>
      <c r="N35" s="161"/>
      <c r="O35" s="161"/>
      <c r="P35" s="161"/>
      <c r="Q35" s="161"/>
      <c r="R35" s="161"/>
      <c r="S35" s="161"/>
      <c r="T35" s="161"/>
    </row>
    <row r="36" spans="1:20" s="121" customFormat="1" x14ac:dyDescent="0.25">
      <c r="A36" s="134" t="s">
        <v>161</v>
      </c>
      <c r="B36" s="161"/>
      <c r="C36" s="161"/>
      <c r="D36" s="161"/>
      <c r="E36" s="161"/>
      <c r="F36" s="50"/>
      <c r="G36" s="131"/>
      <c r="H36" s="49"/>
      <c r="I36" s="49"/>
      <c r="K36" s="43"/>
      <c r="L36" s="82"/>
      <c r="M36" s="82"/>
      <c r="N36" s="161"/>
      <c r="O36" s="161"/>
      <c r="P36" s="161"/>
      <c r="Q36" s="161"/>
      <c r="R36" s="161"/>
      <c r="S36" s="161"/>
      <c r="T36" s="161"/>
    </row>
    <row r="37" spans="1:20" s="121" customFormat="1" x14ac:dyDescent="0.25">
      <c r="A37" s="138" t="s">
        <v>253</v>
      </c>
      <c r="B37" s="161"/>
      <c r="C37" s="161"/>
      <c r="D37" s="161"/>
      <c r="E37" s="161"/>
      <c r="F37" s="139">
        <v>1000</v>
      </c>
      <c r="G37" s="131"/>
      <c r="H37" s="49"/>
      <c r="I37" s="49"/>
      <c r="K37" s="43">
        <v>0</v>
      </c>
      <c r="L37" s="82"/>
      <c r="M37" s="82"/>
      <c r="N37" s="161"/>
      <c r="O37" s="161"/>
      <c r="P37" s="161"/>
      <c r="Q37" s="161"/>
      <c r="R37" s="161"/>
      <c r="S37" s="161"/>
      <c r="T37" s="161"/>
    </row>
    <row r="38" spans="1:20" s="156" customFormat="1" x14ac:dyDescent="0.25">
      <c r="A38" s="137" t="s">
        <v>252</v>
      </c>
      <c r="B38" s="161"/>
      <c r="C38" s="161"/>
      <c r="D38" s="161"/>
      <c r="E38" s="161"/>
      <c r="F38" s="139">
        <v>1000</v>
      </c>
      <c r="G38" s="131"/>
      <c r="H38" s="49"/>
      <c r="I38" s="49"/>
      <c r="K38" s="43"/>
      <c r="L38" s="82"/>
      <c r="M38" s="82"/>
      <c r="N38" s="161"/>
      <c r="O38" s="161"/>
      <c r="P38" s="161"/>
      <c r="Q38" s="161"/>
      <c r="R38" s="161"/>
      <c r="S38" s="161"/>
      <c r="T38" s="161"/>
    </row>
    <row r="39" spans="1:20" s="121" customFormat="1" ht="15.75" thickBot="1" x14ac:dyDescent="0.3">
      <c r="A39" s="137" t="s">
        <v>292</v>
      </c>
      <c r="B39" s="161"/>
      <c r="C39" s="161"/>
      <c r="D39" s="161"/>
      <c r="E39" s="161"/>
      <c r="F39" s="139">
        <v>1000</v>
      </c>
      <c r="G39" s="131"/>
      <c r="H39" s="49"/>
      <c r="I39" s="49"/>
      <c r="K39" s="43">
        <v>0</v>
      </c>
      <c r="L39" s="82"/>
      <c r="M39" s="82"/>
      <c r="N39" s="161"/>
      <c r="O39" s="161"/>
      <c r="P39" s="161"/>
      <c r="Q39" s="161"/>
      <c r="R39" s="161"/>
      <c r="S39" s="161"/>
      <c r="T39" s="161"/>
    </row>
    <row r="40" spans="1:20" s="121" customFormat="1" x14ac:dyDescent="0.25">
      <c r="A40" s="140" t="s">
        <v>266</v>
      </c>
      <c r="B40" s="541" t="s">
        <v>159</v>
      </c>
      <c r="C40" s="542"/>
      <c r="D40" s="50"/>
      <c r="E40" s="50"/>
      <c r="F40" s="156"/>
      <c r="G40" s="131"/>
      <c r="H40" s="49"/>
      <c r="I40" s="49"/>
      <c r="K40" s="43"/>
      <c r="L40" s="82"/>
      <c r="M40" s="82"/>
      <c r="N40" s="161"/>
      <c r="O40" s="161"/>
      <c r="P40" s="161"/>
      <c r="Q40" s="161"/>
      <c r="R40" s="161"/>
      <c r="S40" s="161"/>
      <c r="T40" s="161"/>
    </row>
    <row r="41" spans="1:20" s="121" customFormat="1" x14ac:dyDescent="0.25">
      <c r="A41" s="141" t="s">
        <v>257</v>
      </c>
      <c r="B41" s="515" t="s">
        <v>254</v>
      </c>
      <c r="C41" s="516"/>
      <c r="D41" s="50"/>
      <c r="E41" s="50"/>
      <c r="F41" s="139">
        <v>2500</v>
      </c>
      <c r="G41" s="131"/>
      <c r="H41" s="49"/>
      <c r="I41" s="49"/>
      <c r="K41" s="43">
        <v>0</v>
      </c>
      <c r="L41" s="82"/>
      <c r="M41" s="82"/>
      <c r="N41" s="161"/>
      <c r="O41" s="161"/>
      <c r="P41" s="161"/>
      <c r="Q41" s="161"/>
      <c r="R41" s="161"/>
      <c r="S41" s="161"/>
      <c r="T41" s="161"/>
    </row>
    <row r="42" spans="1:20" s="121" customFormat="1" x14ac:dyDescent="0.25">
      <c r="A42" s="141" t="s">
        <v>251</v>
      </c>
      <c r="B42" s="515" t="s">
        <v>255</v>
      </c>
      <c r="C42" s="516"/>
      <c r="D42" s="50"/>
      <c r="E42" s="50"/>
      <c r="F42" s="139">
        <v>2500</v>
      </c>
      <c r="G42" s="131"/>
      <c r="H42" s="49"/>
      <c r="I42" s="49"/>
      <c r="K42" s="43">
        <v>0</v>
      </c>
      <c r="L42" s="82"/>
      <c r="M42" s="82"/>
      <c r="N42" s="161"/>
      <c r="O42" s="161"/>
      <c r="P42" s="161"/>
      <c r="Q42" s="161"/>
      <c r="R42" s="161"/>
      <c r="S42" s="161"/>
      <c r="T42" s="161"/>
    </row>
    <row r="43" spans="1:20" s="121" customFormat="1" x14ac:dyDescent="0.25">
      <c r="A43" s="142"/>
      <c r="B43" s="543" t="s">
        <v>160</v>
      </c>
      <c r="C43" s="544"/>
      <c r="D43" s="50"/>
      <c r="E43" s="50"/>
      <c r="F43" s="50"/>
      <c r="G43" s="131"/>
      <c r="H43" s="49"/>
      <c r="I43" s="49"/>
      <c r="K43" s="43"/>
      <c r="L43" s="82"/>
      <c r="M43" s="82"/>
      <c r="N43" s="161"/>
      <c r="O43" s="161"/>
      <c r="P43" s="161"/>
      <c r="Q43" s="161"/>
      <c r="R43" s="161"/>
      <c r="S43" s="161"/>
      <c r="T43" s="161"/>
    </row>
    <row r="44" spans="1:20" s="121" customFormat="1" x14ac:dyDescent="0.25">
      <c r="A44" s="141" t="s">
        <v>256</v>
      </c>
      <c r="B44" s="515" t="s">
        <v>258</v>
      </c>
      <c r="C44" s="516"/>
      <c r="D44" s="50"/>
      <c r="E44" s="50"/>
      <c r="F44" s="139">
        <v>2500</v>
      </c>
      <c r="G44" s="131"/>
      <c r="H44" s="49"/>
      <c r="I44" s="49"/>
      <c r="K44" s="43">
        <v>0</v>
      </c>
      <c r="L44" s="82"/>
      <c r="M44" s="82"/>
      <c r="N44" s="161"/>
      <c r="O44" s="161"/>
      <c r="P44" s="161"/>
      <c r="Q44" s="161"/>
      <c r="R44" s="161"/>
      <c r="S44" s="161"/>
      <c r="T44" s="161"/>
    </row>
    <row r="45" spans="1:20" s="156" customFormat="1" x14ac:dyDescent="0.25">
      <c r="A45" s="168" t="s">
        <v>256</v>
      </c>
      <c r="B45" s="517" t="s">
        <v>259</v>
      </c>
      <c r="C45" s="518"/>
      <c r="D45" s="50"/>
      <c r="E45" s="50"/>
      <c r="F45" s="139">
        <v>2500</v>
      </c>
      <c r="G45" s="131"/>
      <c r="H45" s="49"/>
      <c r="I45" s="49"/>
      <c r="K45" s="43"/>
      <c r="L45" s="82"/>
      <c r="M45" s="82"/>
      <c r="N45" s="161"/>
      <c r="O45" s="161"/>
      <c r="P45" s="161"/>
      <c r="Q45" s="161"/>
      <c r="R45" s="161"/>
      <c r="S45" s="161"/>
      <c r="T45" s="161"/>
    </row>
    <row r="46" spans="1:20" s="156" customFormat="1" x14ac:dyDescent="0.25">
      <c r="A46" s="169" t="s">
        <v>266</v>
      </c>
      <c r="B46" s="519" t="s">
        <v>293</v>
      </c>
      <c r="C46" s="520"/>
      <c r="D46" s="50"/>
      <c r="E46" s="50"/>
      <c r="F46" s="139"/>
      <c r="G46" s="131"/>
      <c r="H46" s="49"/>
      <c r="I46" s="49"/>
      <c r="K46" s="43"/>
      <c r="L46" s="82"/>
      <c r="M46" s="82"/>
      <c r="N46" s="85"/>
      <c r="O46" s="85"/>
      <c r="P46" s="85"/>
      <c r="Q46" s="85"/>
      <c r="R46" s="85"/>
      <c r="S46" s="85"/>
    </row>
    <row r="47" spans="1:20" s="156" customFormat="1" x14ac:dyDescent="0.25">
      <c r="A47" s="166" t="s">
        <v>294</v>
      </c>
      <c r="B47" s="521" t="s">
        <v>297</v>
      </c>
      <c r="C47" s="522"/>
      <c r="D47" s="50"/>
      <c r="E47" s="50"/>
      <c r="F47" s="139">
        <v>2500</v>
      </c>
      <c r="G47" s="131"/>
      <c r="H47" s="49"/>
      <c r="I47" s="49"/>
      <c r="K47" s="43"/>
      <c r="L47" s="82"/>
      <c r="M47" s="82"/>
      <c r="N47" s="85"/>
      <c r="O47" s="85"/>
      <c r="P47" s="85"/>
      <c r="Q47" s="85"/>
      <c r="R47" s="85"/>
      <c r="S47" s="85"/>
    </row>
    <row r="48" spans="1:20" s="156" customFormat="1" x14ac:dyDescent="0.25">
      <c r="A48" s="166" t="s">
        <v>295</v>
      </c>
      <c r="B48" s="537" t="s">
        <v>299</v>
      </c>
      <c r="C48" s="538"/>
      <c r="D48" s="50"/>
      <c r="E48" s="50"/>
      <c r="F48" s="139">
        <v>5000</v>
      </c>
      <c r="G48" s="131"/>
      <c r="H48" s="49"/>
      <c r="I48" s="49"/>
      <c r="K48" s="43"/>
      <c r="L48" s="82"/>
      <c r="M48" s="82"/>
      <c r="N48" s="85"/>
      <c r="O48" s="85"/>
      <c r="P48" s="85"/>
      <c r="Q48" s="85"/>
      <c r="R48" s="85"/>
      <c r="S48" s="85"/>
    </row>
    <row r="49" spans="1:19" s="156" customFormat="1" x14ac:dyDescent="0.25">
      <c r="A49" s="167"/>
      <c r="B49" s="519" t="s">
        <v>296</v>
      </c>
      <c r="C49" s="520"/>
      <c r="D49" s="50"/>
      <c r="E49" s="50"/>
      <c r="F49" s="139"/>
      <c r="G49" s="131"/>
      <c r="H49" s="49"/>
      <c r="I49" s="49"/>
      <c r="K49" s="43"/>
      <c r="L49" s="82"/>
      <c r="M49" s="82"/>
      <c r="N49" s="85"/>
      <c r="O49" s="85"/>
      <c r="P49" s="85"/>
      <c r="Q49" s="85"/>
      <c r="R49" s="85"/>
      <c r="S49" s="85"/>
    </row>
    <row r="50" spans="1:19" s="156" customFormat="1" x14ac:dyDescent="0.25">
      <c r="A50" s="166" t="s">
        <v>294</v>
      </c>
      <c r="B50" s="521" t="s">
        <v>298</v>
      </c>
      <c r="C50" s="522"/>
      <c r="D50" s="50"/>
      <c r="E50" s="50"/>
      <c r="F50" s="139">
        <v>2500</v>
      </c>
      <c r="G50" s="131"/>
      <c r="H50" s="49"/>
      <c r="I50" s="49"/>
      <c r="K50" s="43"/>
      <c r="L50" s="82"/>
      <c r="M50" s="82"/>
      <c r="N50" s="85"/>
      <c r="O50" s="85"/>
      <c r="P50" s="85"/>
      <c r="Q50" s="85"/>
      <c r="R50" s="85"/>
      <c r="S50" s="85"/>
    </row>
    <row r="51" spans="1:19" s="156" customFormat="1" ht="15.75" thickBot="1" x14ac:dyDescent="0.3">
      <c r="A51" s="170" t="s">
        <v>295</v>
      </c>
      <c r="B51" s="539" t="s">
        <v>300</v>
      </c>
      <c r="C51" s="540"/>
      <c r="D51" s="50"/>
      <c r="E51" s="50"/>
      <c r="F51" s="139">
        <v>5000</v>
      </c>
      <c r="G51" s="131"/>
      <c r="H51" s="49"/>
      <c r="I51" s="49"/>
      <c r="K51" s="43"/>
      <c r="L51" s="82"/>
      <c r="M51" s="82"/>
      <c r="N51" s="85"/>
      <c r="O51" s="85"/>
      <c r="P51" s="85"/>
      <c r="Q51" s="85"/>
      <c r="R51" s="85"/>
      <c r="S51" s="85"/>
    </row>
    <row r="52" spans="1:19" s="121" customFormat="1" x14ac:dyDescent="0.25">
      <c r="A52" s="133"/>
      <c r="B52" s="136"/>
      <c r="C52" s="136"/>
      <c r="D52" s="50"/>
      <c r="E52" s="50"/>
      <c r="G52" s="131"/>
      <c r="H52" s="49"/>
      <c r="I52" s="49"/>
      <c r="K52" s="43"/>
      <c r="L52" s="82"/>
      <c r="M52" s="82"/>
      <c r="P52" s="8"/>
      <c r="Q52" s="85"/>
      <c r="R52" s="85"/>
    </row>
    <row r="53" spans="1:19" s="121" customFormat="1" ht="18.75" x14ac:dyDescent="0.3">
      <c r="A53" s="124" t="s">
        <v>240</v>
      </c>
      <c r="B53" s="50"/>
      <c r="C53" s="50"/>
      <c r="D53" s="50"/>
      <c r="E53" s="50"/>
      <c r="G53" s="49"/>
      <c r="H53" s="49"/>
      <c r="I53" s="49"/>
      <c r="K53" s="43"/>
      <c r="L53" s="82"/>
      <c r="M53" s="82"/>
      <c r="P53" s="8"/>
      <c r="Q53" s="85"/>
      <c r="R53" s="85"/>
    </row>
    <row r="54" spans="1:19" s="121" customFormat="1" x14ac:dyDescent="0.25">
      <c r="A54" s="90"/>
      <c r="B54" s="50"/>
      <c r="C54" s="50"/>
      <c r="D54" s="50"/>
      <c r="E54" s="50"/>
      <c r="G54" s="49"/>
      <c r="H54" s="49"/>
      <c r="I54" s="49"/>
      <c r="K54" s="43"/>
      <c r="L54" s="85"/>
      <c r="M54" s="85"/>
      <c r="N54" s="85"/>
      <c r="O54" s="85"/>
      <c r="P54" s="85"/>
      <c r="Q54" s="85"/>
      <c r="R54" s="85"/>
    </row>
    <row r="55" spans="1:19" s="121" customFormat="1" x14ac:dyDescent="0.25">
      <c r="A55" s="40" t="s">
        <v>246</v>
      </c>
      <c r="B55" s="50"/>
      <c r="C55" s="50"/>
      <c r="D55" s="50"/>
      <c r="E55" s="50"/>
      <c r="G55" s="52" t="s">
        <v>83</v>
      </c>
      <c r="H55" s="55" t="s">
        <v>82</v>
      </c>
      <c r="I55" s="529" t="s">
        <v>81</v>
      </c>
      <c r="K55" s="43"/>
      <c r="L55" s="85"/>
      <c r="M55" s="85"/>
      <c r="N55" s="85"/>
      <c r="O55" s="85"/>
      <c r="P55" s="85"/>
      <c r="Q55" s="85"/>
      <c r="R55" s="85"/>
    </row>
    <row r="56" spans="1:19" x14ac:dyDescent="0.25">
      <c r="A56" s="39" t="s">
        <v>247</v>
      </c>
      <c r="B56" s="48">
        <v>0</v>
      </c>
      <c r="E56" s="50"/>
      <c r="F56" s="50"/>
      <c r="G56" s="51" t="s">
        <v>80</v>
      </c>
      <c r="H56" s="54" t="s">
        <v>80</v>
      </c>
      <c r="I56" s="530"/>
      <c r="K56" s="43"/>
      <c r="L56" s="85"/>
      <c r="M56" s="85"/>
      <c r="N56" s="85"/>
      <c r="O56" s="85"/>
      <c r="P56" s="85"/>
      <c r="Q56" s="85"/>
      <c r="R56" s="85"/>
    </row>
    <row r="57" spans="1:19" s="121" customFormat="1" x14ac:dyDescent="0.25">
      <c r="A57" s="122"/>
      <c r="E57" s="50"/>
      <c r="F57" s="50"/>
      <c r="G57" s="130">
        <v>0.15</v>
      </c>
      <c r="H57" s="130">
        <v>0.25</v>
      </c>
      <c r="I57" s="130">
        <v>0.4</v>
      </c>
      <c r="K57" s="43">
        <v>0</v>
      </c>
      <c r="L57" s="85"/>
      <c r="M57" s="85"/>
      <c r="N57" s="85"/>
      <c r="O57" s="85"/>
      <c r="P57" s="85"/>
      <c r="Q57" s="85"/>
      <c r="R57" s="85"/>
    </row>
    <row r="58" spans="1:19" x14ac:dyDescent="0.25">
      <c r="A58" s="121"/>
      <c r="E58" s="50"/>
      <c r="F58" s="50"/>
      <c r="G58" s="130">
        <v>0.2</v>
      </c>
      <c r="H58" s="130">
        <v>0.35</v>
      </c>
      <c r="I58" s="130">
        <v>0.65</v>
      </c>
      <c r="K58" s="43">
        <v>0</v>
      </c>
      <c r="L58" s="85"/>
      <c r="M58" s="85"/>
      <c r="N58" s="85"/>
      <c r="O58" s="85"/>
      <c r="P58" s="85"/>
      <c r="Q58" s="85"/>
      <c r="R58" s="85"/>
    </row>
    <row r="59" spans="1:19" x14ac:dyDescent="0.25">
      <c r="A59" s="39"/>
      <c r="F59" s="50"/>
      <c r="G59" s="130">
        <v>0.3</v>
      </c>
      <c r="H59" s="130">
        <v>0.65</v>
      </c>
      <c r="I59" s="130">
        <v>1.2</v>
      </c>
      <c r="K59" s="43">
        <v>0</v>
      </c>
      <c r="L59" s="85"/>
      <c r="M59" s="85"/>
      <c r="N59" s="85"/>
      <c r="O59" s="85"/>
      <c r="P59" s="85"/>
      <c r="Q59" s="85"/>
      <c r="R59" s="85"/>
    </row>
    <row r="60" spans="1:19" x14ac:dyDescent="0.25">
      <c r="A60" s="123" t="s">
        <v>77</v>
      </c>
      <c r="K60" s="36"/>
      <c r="L60" s="85"/>
      <c r="M60" s="85"/>
      <c r="N60" s="85"/>
      <c r="O60" s="85"/>
      <c r="P60" s="85"/>
      <c r="Q60" s="85"/>
      <c r="R60" s="85"/>
    </row>
    <row r="61" spans="1:19" x14ac:dyDescent="0.25">
      <c r="A61" s="39" t="s">
        <v>75</v>
      </c>
      <c r="B61" s="48">
        <v>0</v>
      </c>
      <c r="G61" s="84">
        <v>2.1</v>
      </c>
      <c r="K61" s="43">
        <f>B61*G61/100</f>
        <v>0</v>
      </c>
      <c r="L61" s="85"/>
      <c r="M61" s="85"/>
      <c r="N61" s="85"/>
      <c r="O61" s="85"/>
      <c r="P61" s="85"/>
      <c r="Q61" s="85"/>
      <c r="R61" s="85"/>
    </row>
    <row r="62" spans="1:19" s="92" customFormat="1" x14ac:dyDescent="0.25">
      <c r="A62" s="35" t="s">
        <v>162</v>
      </c>
      <c r="B62"/>
      <c r="C62"/>
      <c r="D62"/>
      <c r="E62"/>
      <c r="F62"/>
      <c r="G62"/>
      <c r="H62"/>
      <c r="I62"/>
      <c r="J62"/>
      <c r="K62" s="36"/>
      <c r="L62" s="85"/>
      <c r="M62" s="85"/>
      <c r="N62" s="85"/>
      <c r="O62" s="85"/>
      <c r="P62" s="85"/>
      <c r="Q62" s="85"/>
      <c r="R62" s="85"/>
    </row>
    <row r="63" spans="1:19" x14ac:dyDescent="0.25">
      <c r="A63" s="39"/>
      <c r="K63" s="36"/>
      <c r="L63" s="85"/>
      <c r="M63" s="85"/>
      <c r="N63" s="85"/>
      <c r="O63" s="85"/>
      <c r="P63" s="85"/>
      <c r="Q63" s="85"/>
      <c r="R63" s="85"/>
    </row>
    <row r="64" spans="1:19" x14ac:dyDescent="0.25">
      <c r="A64" s="121"/>
      <c r="B64" s="121"/>
      <c r="C64" s="121"/>
      <c r="K64" s="36"/>
      <c r="L64" s="85"/>
      <c r="M64" s="85"/>
      <c r="N64" s="85"/>
      <c r="O64" s="85"/>
      <c r="P64" s="85"/>
      <c r="Q64" s="85"/>
      <c r="R64" s="85"/>
    </row>
    <row r="65" spans="1:24" x14ac:dyDescent="0.25">
      <c r="A65" s="525" t="s">
        <v>76</v>
      </c>
      <c r="B65" s="436"/>
      <c r="K65" s="36"/>
      <c r="L65" s="85"/>
      <c r="M65" s="85"/>
      <c r="N65" s="85"/>
      <c r="O65" s="85"/>
      <c r="P65" s="85"/>
      <c r="Q65" s="85"/>
      <c r="R65" s="85"/>
    </row>
    <row r="66" spans="1:24" x14ac:dyDescent="0.25">
      <c r="A66" s="39" t="s">
        <v>75</v>
      </c>
      <c r="B66" s="48">
        <v>0</v>
      </c>
      <c r="G66" s="84">
        <v>0.53</v>
      </c>
      <c r="K66" s="43">
        <f>B66*G66/100</f>
        <v>0</v>
      </c>
      <c r="L66" s="85"/>
      <c r="M66" s="85"/>
      <c r="N66" s="85"/>
      <c r="O66" s="85"/>
      <c r="P66" s="85"/>
      <c r="Q66" s="85"/>
      <c r="R66" s="85"/>
    </row>
    <row r="67" spans="1:24" x14ac:dyDescent="0.25">
      <c r="A67" s="35" t="s">
        <v>163</v>
      </c>
      <c r="K67" s="36"/>
      <c r="L67" s="85"/>
      <c r="M67" s="85"/>
      <c r="N67" s="85"/>
      <c r="O67" s="85"/>
      <c r="P67" s="85"/>
      <c r="Q67" s="85"/>
      <c r="R67" s="85"/>
    </row>
    <row r="68" spans="1:24" x14ac:dyDescent="0.25">
      <c r="A68" s="35" t="s">
        <v>164</v>
      </c>
      <c r="K68" s="36"/>
      <c r="L68" s="85"/>
      <c r="M68" s="85"/>
      <c r="N68" s="85"/>
      <c r="O68" s="85"/>
      <c r="P68" s="85"/>
      <c r="Q68" s="85"/>
      <c r="R68" s="85"/>
      <c r="S68" s="161"/>
      <c r="T68" s="161"/>
      <c r="U68" s="161"/>
      <c r="V68" s="161"/>
      <c r="W68" s="161"/>
      <c r="X68" s="161"/>
    </row>
    <row r="69" spans="1:24" x14ac:dyDescent="0.25">
      <c r="A69" s="91"/>
      <c r="B69" s="92"/>
      <c r="C69" s="92"/>
      <c r="D69" s="92"/>
      <c r="E69" s="92"/>
      <c r="F69" s="92"/>
      <c r="G69" s="92"/>
      <c r="H69" s="92"/>
      <c r="I69" s="92"/>
      <c r="J69" s="92"/>
      <c r="K69" s="36"/>
      <c r="L69" s="85"/>
      <c r="M69" s="85"/>
      <c r="N69" s="85"/>
      <c r="O69" s="85"/>
      <c r="P69" s="85"/>
      <c r="Q69" s="85"/>
      <c r="R69" s="85"/>
      <c r="S69" s="161"/>
      <c r="T69" s="161"/>
      <c r="U69" s="161"/>
      <c r="V69" s="161"/>
      <c r="W69" s="161"/>
      <c r="X69" s="161"/>
    </row>
    <row r="70" spans="1:24" x14ac:dyDescent="0.25">
      <c r="A70" s="122"/>
      <c r="B70" s="121"/>
      <c r="C70" s="121"/>
      <c r="D70" s="95"/>
      <c r="E70" s="95"/>
      <c r="F70" s="95"/>
      <c r="G70" s="95"/>
      <c r="H70" s="95"/>
      <c r="I70" s="95"/>
      <c r="J70" s="95"/>
      <c r="K70" s="102"/>
      <c r="L70" s="161"/>
      <c r="M70" s="161"/>
      <c r="N70" s="161"/>
      <c r="O70" s="161"/>
      <c r="P70" s="161"/>
      <c r="Q70" s="161"/>
      <c r="R70" s="161"/>
      <c r="S70" s="161"/>
      <c r="T70" s="161"/>
      <c r="U70" s="161"/>
      <c r="V70" s="161"/>
      <c r="W70" s="161"/>
      <c r="X70" s="161"/>
    </row>
    <row r="71" spans="1:24" x14ac:dyDescent="0.25">
      <c r="A71" s="525" t="s">
        <v>74</v>
      </c>
      <c r="B71" s="436"/>
      <c r="C71" s="95"/>
      <c r="D71" s="95"/>
      <c r="E71" s="95"/>
      <c r="F71" s="95"/>
      <c r="G71" s="95"/>
      <c r="H71" s="95"/>
      <c r="I71" s="95"/>
      <c r="J71" s="95"/>
      <c r="K71" s="102"/>
      <c r="L71" s="161"/>
      <c r="M71" s="161"/>
      <c r="N71" s="161"/>
      <c r="O71" s="161"/>
      <c r="P71" s="161"/>
      <c r="Q71" s="161"/>
      <c r="R71" s="161"/>
      <c r="S71" s="161"/>
      <c r="T71" s="161"/>
      <c r="U71" s="161"/>
      <c r="V71" s="161"/>
      <c r="W71" s="161"/>
      <c r="X71" s="161"/>
    </row>
    <row r="72" spans="1:24" x14ac:dyDescent="0.25">
      <c r="A72" s="94" t="s">
        <v>165</v>
      </c>
      <c r="B72" s="48">
        <v>0</v>
      </c>
      <c r="C72" s="95"/>
      <c r="D72" s="95"/>
      <c r="E72" s="95"/>
      <c r="F72" s="95"/>
      <c r="G72" s="84">
        <v>0.7</v>
      </c>
      <c r="H72" s="95"/>
      <c r="I72" s="95"/>
      <c r="J72" s="95"/>
      <c r="K72" s="43">
        <f>B72*G72/100</f>
        <v>0</v>
      </c>
      <c r="L72" s="161"/>
      <c r="M72" s="161"/>
      <c r="N72" s="161"/>
      <c r="O72" s="161"/>
      <c r="P72" s="161"/>
      <c r="Q72" s="161"/>
      <c r="R72" s="161"/>
      <c r="S72" s="161"/>
      <c r="T72" s="161"/>
      <c r="U72" s="161"/>
      <c r="V72" s="161"/>
      <c r="W72" s="161"/>
      <c r="X72" s="161"/>
    </row>
    <row r="73" spans="1:24" x14ac:dyDescent="0.25">
      <c r="A73" s="35" t="s">
        <v>166</v>
      </c>
      <c r="B73" s="95"/>
      <c r="C73" s="95"/>
      <c r="D73" s="95"/>
      <c r="E73" s="95"/>
      <c r="F73" s="95"/>
      <c r="G73" s="95"/>
      <c r="H73" s="95"/>
      <c r="I73" s="95"/>
      <c r="J73" s="95"/>
      <c r="K73" s="102"/>
      <c r="L73" s="161"/>
      <c r="M73" s="161"/>
      <c r="N73" s="161"/>
      <c r="O73" s="161"/>
      <c r="P73" s="161"/>
      <c r="Q73" s="161"/>
      <c r="R73" s="161"/>
      <c r="S73" s="161"/>
      <c r="T73" s="161"/>
      <c r="U73" s="161"/>
      <c r="V73" s="161"/>
      <c r="W73" s="161"/>
      <c r="X73" s="161"/>
    </row>
    <row r="74" spans="1:24" x14ac:dyDescent="0.25">
      <c r="A74" s="95"/>
      <c r="B74" s="95"/>
      <c r="C74" s="95"/>
      <c r="D74" s="95"/>
      <c r="E74" s="95"/>
      <c r="F74" s="47"/>
      <c r="G74" s="95"/>
      <c r="H74" s="95"/>
      <c r="I74" s="47"/>
      <c r="J74" s="95"/>
      <c r="K74" s="44"/>
      <c r="L74" s="161"/>
      <c r="M74" s="161"/>
      <c r="N74" s="161"/>
      <c r="O74" s="161"/>
      <c r="P74" s="161"/>
      <c r="Q74" s="161"/>
      <c r="R74" s="161"/>
      <c r="S74" s="161"/>
      <c r="T74" s="161"/>
      <c r="U74" s="161"/>
      <c r="V74" s="161"/>
      <c r="W74" s="161"/>
      <c r="X74" s="161"/>
    </row>
    <row r="75" spans="1:24" x14ac:dyDescent="0.25">
      <c r="A75" s="39"/>
      <c r="K75" s="36"/>
      <c r="L75" s="161"/>
      <c r="M75" s="161"/>
      <c r="N75" s="161"/>
      <c r="O75" s="161"/>
      <c r="P75" s="161"/>
      <c r="Q75" s="161"/>
      <c r="R75" s="161"/>
      <c r="S75" s="161"/>
      <c r="T75" s="161"/>
      <c r="U75" s="161"/>
      <c r="V75" s="161"/>
      <c r="W75" s="161"/>
      <c r="X75" s="161"/>
    </row>
    <row r="76" spans="1:24" x14ac:dyDescent="0.25">
      <c r="A76" s="525" t="s">
        <v>169</v>
      </c>
      <c r="B76" s="436"/>
      <c r="C76" s="436"/>
      <c r="D76" s="436"/>
      <c r="E76" s="437"/>
      <c r="K76" s="36"/>
      <c r="L76" s="161"/>
      <c r="M76" s="161"/>
      <c r="N76" s="161"/>
      <c r="O76" s="161"/>
      <c r="P76" s="161"/>
      <c r="Q76" s="161"/>
      <c r="R76" s="161"/>
      <c r="S76" s="161"/>
      <c r="T76" s="161"/>
      <c r="U76" s="161"/>
      <c r="V76" s="161"/>
      <c r="W76" s="161"/>
      <c r="X76" s="161"/>
    </row>
    <row r="77" spans="1:24" x14ac:dyDescent="0.25">
      <c r="A77" s="39"/>
      <c r="B77" s="156"/>
      <c r="K77" s="36"/>
      <c r="L77" s="161"/>
      <c r="M77" s="161"/>
      <c r="N77" s="161"/>
      <c r="O77" s="161"/>
      <c r="P77" s="161"/>
      <c r="Q77" s="161"/>
      <c r="R77" s="161"/>
      <c r="S77" s="161"/>
      <c r="T77" s="161"/>
      <c r="U77" s="161"/>
      <c r="V77" s="161"/>
      <c r="W77" s="161"/>
      <c r="X77" s="161"/>
    </row>
    <row r="78" spans="1:24" x14ac:dyDescent="0.25">
      <c r="A78" s="45" t="s">
        <v>170</v>
      </c>
      <c r="B78" s="156"/>
      <c r="K78" s="44">
        <v>0</v>
      </c>
      <c r="L78" s="161"/>
      <c r="M78" s="161"/>
      <c r="N78" s="161"/>
      <c r="O78" s="161"/>
      <c r="P78" s="161"/>
      <c r="Q78" s="161"/>
      <c r="R78" s="161"/>
      <c r="S78" s="161"/>
      <c r="T78" s="161"/>
      <c r="U78" s="161"/>
      <c r="V78" s="161"/>
      <c r="W78" s="161"/>
      <c r="X78" s="161"/>
    </row>
    <row r="79" spans="1:24" x14ac:dyDescent="0.25">
      <c r="A79" s="39"/>
      <c r="C79" s="95"/>
      <c r="D79" s="95"/>
      <c r="E79" s="95"/>
      <c r="K79" s="36"/>
      <c r="L79" s="161"/>
      <c r="M79" s="161"/>
      <c r="N79" s="161"/>
      <c r="O79" s="161"/>
      <c r="P79" s="161"/>
      <c r="Q79" s="161"/>
      <c r="R79" s="161"/>
      <c r="S79" s="161"/>
      <c r="T79" s="161"/>
      <c r="U79" s="161"/>
      <c r="V79" s="161"/>
      <c r="W79" s="161"/>
      <c r="X79" s="161"/>
    </row>
    <row r="80" spans="1:24" ht="15.75" customHeight="1" x14ac:dyDescent="0.25">
      <c r="A80" s="144" t="s">
        <v>17</v>
      </c>
      <c r="K80" s="36"/>
      <c r="L80" s="161"/>
      <c r="M80" s="161"/>
      <c r="N80" s="161"/>
      <c r="O80" s="161"/>
      <c r="P80" s="161"/>
      <c r="Q80" s="161"/>
      <c r="R80" s="161"/>
      <c r="S80" s="161"/>
      <c r="T80" s="161"/>
      <c r="U80" s="161"/>
      <c r="V80" s="161"/>
      <c r="W80" s="161"/>
      <c r="X80" s="161"/>
    </row>
    <row r="81" spans="1:24" x14ac:dyDescent="0.25">
      <c r="A81" s="35" t="s">
        <v>69</v>
      </c>
      <c r="K81" s="36"/>
      <c r="L81" s="161"/>
      <c r="M81" s="161"/>
      <c r="N81" s="161"/>
      <c r="O81" s="161"/>
      <c r="P81" s="161"/>
      <c r="Q81" s="161"/>
      <c r="R81" s="161"/>
      <c r="S81" s="161"/>
      <c r="T81" s="161"/>
      <c r="U81" s="161"/>
      <c r="V81" s="161"/>
      <c r="W81" s="161"/>
      <c r="X81" s="161"/>
    </row>
    <row r="82" spans="1:24" x14ac:dyDescent="0.25">
      <c r="A82" s="161"/>
      <c r="K82" s="36"/>
      <c r="L82" s="161"/>
      <c r="M82" s="161"/>
      <c r="N82" s="161"/>
      <c r="O82" s="161"/>
      <c r="P82" s="161"/>
      <c r="Q82" s="161"/>
      <c r="R82" s="161"/>
      <c r="S82" s="161"/>
      <c r="T82" s="161"/>
      <c r="U82" s="161"/>
      <c r="V82" s="161"/>
      <c r="W82" s="161"/>
      <c r="X82" s="161"/>
    </row>
    <row r="83" spans="1:24" x14ac:dyDescent="0.25">
      <c r="A83" s="161" t="s">
        <v>68</v>
      </c>
      <c r="B83" s="161"/>
      <c r="K83" s="44">
        <v>0</v>
      </c>
      <c r="L83" s="161"/>
      <c r="M83" s="161"/>
      <c r="N83" s="161"/>
      <c r="O83" s="161"/>
      <c r="P83" s="161"/>
      <c r="Q83" s="161"/>
      <c r="R83" s="161"/>
      <c r="S83" s="161"/>
      <c r="T83" s="161"/>
      <c r="U83" s="161"/>
      <c r="V83" s="161"/>
      <c r="W83" s="161"/>
      <c r="X83" s="161"/>
    </row>
    <row r="84" spans="1:24" x14ac:dyDescent="0.25">
      <c r="A84" s="161" t="s">
        <v>67</v>
      </c>
      <c r="K84" s="44">
        <v>0</v>
      </c>
      <c r="L84" s="161"/>
      <c r="M84" s="161"/>
      <c r="N84" s="161"/>
      <c r="O84" s="161"/>
      <c r="P84" s="161"/>
      <c r="Q84" s="161"/>
      <c r="R84" s="161"/>
      <c r="S84" s="161"/>
      <c r="T84" s="161"/>
      <c r="U84" s="161"/>
      <c r="V84" s="161"/>
      <c r="W84" s="161"/>
      <c r="X84" s="161"/>
    </row>
    <row r="85" spans="1:24" x14ac:dyDescent="0.25">
      <c r="A85" s="161" t="s">
        <v>66</v>
      </c>
      <c r="K85" s="44">
        <v>0</v>
      </c>
      <c r="L85" s="161"/>
      <c r="M85" s="161"/>
      <c r="N85" s="161"/>
      <c r="O85" s="161"/>
      <c r="P85" s="161"/>
      <c r="Q85" s="161"/>
      <c r="R85" s="161"/>
      <c r="S85" s="161"/>
      <c r="T85" s="161"/>
      <c r="U85" s="161"/>
      <c r="V85" s="161"/>
      <c r="W85" s="161"/>
      <c r="X85" s="161"/>
    </row>
    <row r="86" spans="1:24" x14ac:dyDescent="0.25">
      <c r="A86" s="161"/>
      <c r="K86" s="36"/>
      <c r="L86" s="161"/>
      <c r="M86" s="161"/>
      <c r="N86" s="161"/>
      <c r="O86" s="161"/>
      <c r="P86" s="161"/>
      <c r="Q86" s="161"/>
      <c r="R86" s="161"/>
      <c r="S86" s="161"/>
      <c r="T86" s="161"/>
      <c r="U86" s="161"/>
      <c r="V86" s="161"/>
      <c r="W86" s="161"/>
      <c r="X86" s="161"/>
    </row>
    <row r="87" spans="1:24" x14ac:dyDescent="0.25">
      <c r="A87" s="525" t="s">
        <v>65</v>
      </c>
      <c r="B87" s="447"/>
      <c r="C87" s="39"/>
      <c r="K87" s="36"/>
      <c r="L87" s="161"/>
      <c r="M87" s="161"/>
      <c r="N87" s="161"/>
      <c r="O87" s="161"/>
      <c r="P87" s="161"/>
      <c r="Q87" s="161"/>
      <c r="R87" s="161"/>
      <c r="S87" s="161"/>
      <c r="T87" s="161"/>
      <c r="U87" s="161"/>
      <c r="V87" s="161"/>
      <c r="W87" s="161"/>
      <c r="X87" s="161"/>
    </row>
    <row r="88" spans="1:24" x14ac:dyDescent="0.25">
      <c r="A88" s="39"/>
      <c r="K88" s="36"/>
      <c r="L88" s="161"/>
      <c r="M88" s="161"/>
      <c r="N88" s="161"/>
      <c r="O88" s="161"/>
      <c r="P88" s="161"/>
      <c r="Q88" s="161"/>
      <c r="R88" s="161"/>
      <c r="S88" s="161"/>
      <c r="T88" s="161"/>
      <c r="U88" s="161"/>
      <c r="V88" s="161"/>
      <c r="W88" s="161"/>
      <c r="X88" s="161"/>
    </row>
    <row r="89" spans="1:24" x14ac:dyDescent="0.25">
      <c r="A89" s="143" t="s">
        <v>64</v>
      </c>
      <c r="K89" s="36"/>
      <c r="L89" s="161"/>
      <c r="M89" s="161"/>
      <c r="N89" s="161"/>
      <c r="O89" s="161"/>
      <c r="P89" s="161"/>
      <c r="Q89" s="161"/>
      <c r="R89" s="161"/>
      <c r="S89" s="161"/>
      <c r="T89" s="161"/>
      <c r="U89" s="161"/>
      <c r="V89" s="161"/>
      <c r="W89" s="161"/>
      <c r="X89" s="161"/>
    </row>
    <row r="90" spans="1:24" x14ac:dyDescent="0.25">
      <c r="A90" s="42" t="s">
        <v>63</v>
      </c>
      <c r="K90" s="44">
        <v>0</v>
      </c>
      <c r="L90" s="161"/>
      <c r="M90" s="161"/>
      <c r="N90" s="161"/>
      <c r="O90" s="161"/>
      <c r="P90" s="161"/>
      <c r="Q90" s="161"/>
      <c r="R90" s="161"/>
      <c r="S90" s="161"/>
      <c r="T90" s="161"/>
      <c r="U90" s="161"/>
      <c r="V90" s="161"/>
      <c r="W90" s="161"/>
      <c r="X90" s="161"/>
    </row>
    <row r="91" spans="1:24" x14ac:dyDescent="0.25">
      <c r="A91" s="42" t="s">
        <v>62</v>
      </c>
      <c r="K91" s="44">
        <v>0</v>
      </c>
      <c r="L91" s="161"/>
      <c r="M91" s="161"/>
      <c r="N91" s="161"/>
      <c r="O91" s="161"/>
      <c r="P91" s="161"/>
      <c r="Q91" s="161"/>
      <c r="R91" s="161"/>
      <c r="S91" s="161"/>
      <c r="T91" s="161"/>
      <c r="U91" s="161"/>
      <c r="V91" s="161"/>
      <c r="W91" s="161"/>
      <c r="X91" s="161"/>
    </row>
    <row r="92" spans="1:24" x14ac:dyDescent="0.25">
      <c r="A92" s="42" t="s">
        <v>61</v>
      </c>
      <c r="K92" s="44">
        <v>0</v>
      </c>
      <c r="L92" s="161"/>
      <c r="M92" s="161"/>
      <c r="N92" s="161"/>
      <c r="O92" s="161"/>
      <c r="P92" s="161"/>
      <c r="Q92" s="161"/>
      <c r="R92" s="161"/>
      <c r="S92" s="161"/>
      <c r="T92" s="161"/>
      <c r="U92" s="161"/>
      <c r="V92" s="161"/>
      <c r="W92" s="161"/>
      <c r="X92" s="161"/>
    </row>
    <row r="93" spans="1:24" x14ac:dyDescent="0.25">
      <c r="A93" s="42" t="s">
        <v>60</v>
      </c>
      <c r="K93" s="43"/>
      <c r="L93" s="161"/>
      <c r="M93" s="161"/>
      <c r="N93" s="161"/>
      <c r="O93" s="161"/>
      <c r="P93" s="161"/>
      <c r="Q93" s="161"/>
      <c r="R93" s="161"/>
      <c r="S93" s="161"/>
      <c r="T93" s="161"/>
      <c r="U93" s="161"/>
      <c r="V93" s="161"/>
      <c r="W93" s="161"/>
      <c r="X93" s="161"/>
    </row>
    <row r="94" spans="1:24" x14ac:dyDescent="0.25">
      <c r="A94" s="42" t="s">
        <v>59</v>
      </c>
      <c r="K94" s="36"/>
      <c r="L94" s="161"/>
      <c r="M94" s="161"/>
      <c r="N94" s="161"/>
      <c r="O94" s="161"/>
      <c r="P94" s="161"/>
      <c r="Q94" s="161"/>
      <c r="R94" s="161"/>
      <c r="S94" s="161"/>
      <c r="T94" s="161"/>
      <c r="U94" s="161"/>
      <c r="V94" s="161"/>
      <c r="W94" s="161"/>
      <c r="X94" s="161"/>
    </row>
    <row r="95" spans="1:24" x14ac:dyDescent="0.25">
      <c r="A95" s="39"/>
      <c r="K95" s="36"/>
      <c r="L95" s="161"/>
      <c r="M95" s="161"/>
      <c r="N95" s="161"/>
      <c r="O95" s="161"/>
      <c r="P95" s="161"/>
      <c r="Q95" s="161"/>
      <c r="R95" s="161"/>
      <c r="S95" s="161"/>
      <c r="T95" s="161"/>
      <c r="U95" s="161"/>
      <c r="V95" s="161"/>
      <c r="W95" s="161"/>
      <c r="X95" s="161"/>
    </row>
    <row r="96" spans="1:24" x14ac:dyDescent="0.25">
      <c r="A96" s="525" t="s">
        <v>329</v>
      </c>
      <c r="B96" s="436"/>
      <c r="C96" s="436"/>
      <c r="D96" s="436"/>
      <c r="E96" s="39"/>
      <c r="K96" s="36"/>
      <c r="L96" s="161"/>
      <c r="M96" s="161"/>
      <c r="N96" s="161"/>
      <c r="O96" s="161"/>
      <c r="P96" s="161"/>
      <c r="Q96" s="161"/>
      <c r="R96" s="161"/>
      <c r="S96" s="161"/>
      <c r="T96" s="161"/>
      <c r="U96" s="161"/>
      <c r="V96" s="161"/>
      <c r="W96" s="161"/>
      <c r="X96" s="161"/>
    </row>
    <row r="97" spans="1:24" x14ac:dyDescent="0.25">
      <c r="A97" s="523" t="s">
        <v>262</v>
      </c>
      <c r="B97" s="524"/>
      <c r="C97" s="524"/>
      <c r="D97" s="524"/>
      <c r="E97" s="86" t="s">
        <v>301</v>
      </c>
      <c r="K97" s="36"/>
      <c r="L97" s="161"/>
      <c r="M97" s="161"/>
      <c r="N97" s="161"/>
      <c r="O97" s="161"/>
      <c r="P97" s="161"/>
      <c r="Q97" s="161"/>
      <c r="R97" s="161"/>
      <c r="S97" s="161"/>
      <c r="T97" s="161"/>
      <c r="U97" s="161"/>
      <c r="V97" s="161"/>
      <c r="W97" s="161"/>
      <c r="X97" s="161"/>
    </row>
    <row r="98" spans="1:24" x14ac:dyDescent="0.25">
      <c r="A98" s="39" t="s">
        <v>58</v>
      </c>
      <c r="C98" s="41">
        <v>0.1</v>
      </c>
      <c r="K98" s="36"/>
      <c r="L98" s="161"/>
      <c r="M98" s="161"/>
      <c r="N98" s="161"/>
      <c r="O98" s="161"/>
      <c r="P98" s="161"/>
      <c r="Q98" s="82"/>
      <c r="R98" s="85"/>
    </row>
    <row r="99" spans="1:24" x14ac:dyDescent="0.25">
      <c r="A99" s="450" t="s">
        <v>57</v>
      </c>
      <c r="B99" s="425"/>
      <c r="C99" s="41">
        <v>0.1</v>
      </c>
      <c r="K99" s="36"/>
      <c r="L99" s="161"/>
      <c r="M99" s="161"/>
      <c r="N99" s="161"/>
      <c r="O99" s="161"/>
      <c r="P99" s="161"/>
      <c r="Q99" s="82"/>
      <c r="R99" s="85"/>
    </row>
    <row r="100" spans="1:24" s="87" customFormat="1" x14ac:dyDescent="0.25">
      <c r="A100" s="39" t="s">
        <v>56</v>
      </c>
      <c r="B100"/>
      <c r="C100" s="41">
        <v>0.1</v>
      </c>
      <c r="D100"/>
      <c r="E100"/>
      <c r="F100"/>
      <c r="G100"/>
      <c r="H100"/>
      <c r="I100"/>
      <c r="J100"/>
      <c r="K100" s="36"/>
      <c r="L100" s="161"/>
      <c r="M100" s="161"/>
      <c r="N100" s="161"/>
      <c r="O100" s="161"/>
      <c r="P100" s="161"/>
      <c r="Q100" s="82"/>
      <c r="R100" s="85"/>
    </row>
    <row r="101" spans="1:24" s="87" customFormat="1" x14ac:dyDescent="0.25">
      <c r="A101" s="39" t="s">
        <v>55</v>
      </c>
      <c r="B101"/>
      <c r="C101" s="41">
        <v>0.15</v>
      </c>
      <c r="D101"/>
      <c r="E101"/>
      <c r="F101"/>
      <c r="G101"/>
      <c r="H101"/>
      <c r="I101"/>
      <c r="J101"/>
      <c r="K101" s="36"/>
      <c r="L101" s="161"/>
      <c r="M101" s="161"/>
      <c r="N101" s="161"/>
      <c r="O101" s="161"/>
      <c r="P101" s="161"/>
      <c r="Q101" s="82"/>
      <c r="R101" s="85"/>
    </row>
    <row r="102" spans="1:24" s="87" customFormat="1" x14ac:dyDescent="0.25">
      <c r="A102" s="39"/>
      <c r="B102"/>
      <c r="C102"/>
      <c r="D102"/>
      <c r="E102"/>
      <c r="F102"/>
      <c r="G102"/>
      <c r="H102"/>
      <c r="I102"/>
      <c r="J102"/>
      <c r="K102" s="36"/>
      <c r="L102" s="161"/>
      <c r="M102" s="161"/>
      <c r="N102" s="161"/>
      <c r="O102" s="161"/>
      <c r="P102" s="161"/>
      <c r="Q102" s="82"/>
      <c r="R102" s="85"/>
    </row>
    <row r="103" spans="1:24" s="87" customFormat="1" x14ac:dyDescent="0.25">
      <c r="A103" s="40" t="s">
        <v>1</v>
      </c>
      <c r="B103"/>
      <c r="C103"/>
      <c r="D103"/>
      <c r="E103"/>
      <c r="F103"/>
      <c r="G103"/>
      <c r="H103"/>
      <c r="I103"/>
      <c r="J103"/>
      <c r="K103" s="36"/>
      <c r="L103" s="161"/>
      <c r="M103" s="161"/>
      <c r="N103" s="161"/>
      <c r="O103" s="161"/>
      <c r="P103" s="161"/>
      <c r="Q103" s="82"/>
      <c r="R103" s="85"/>
    </row>
    <row r="104" spans="1:24" s="87" customFormat="1" x14ac:dyDescent="0.25">
      <c r="A104" s="39"/>
      <c r="B104"/>
      <c r="C104"/>
      <c r="D104"/>
      <c r="E104"/>
      <c r="F104"/>
      <c r="G104"/>
      <c r="H104"/>
      <c r="I104"/>
      <c r="J104"/>
      <c r="K104" s="36"/>
      <c r="L104" s="161"/>
      <c r="M104" s="161"/>
      <c r="N104" s="161"/>
      <c r="O104" s="161"/>
      <c r="P104" s="161"/>
      <c r="Q104" s="82"/>
      <c r="R104" s="85"/>
    </row>
    <row r="105" spans="1:24" s="87" customFormat="1" x14ac:dyDescent="0.25">
      <c r="A105" s="35" t="s">
        <v>54</v>
      </c>
      <c r="B105"/>
      <c r="C105"/>
      <c r="D105"/>
      <c r="E105"/>
      <c r="F105"/>
      <c r="G105"/>
      <c r="H105"/>
      <c r="I105"/>
      <c r="J105"/>
      <c r="K105" s="38">
        <f>SUM(K8:K92)</f>
        <v>100.5</v>
      </c>
      <c r="L105" s="161"/>
      <c r="M105" s="161"/>
      <c r="N105" s="161"/>
      <c r="O105" s="161"/>
      <c r="P105" s="161"/>
      <c r="Q105" s="82"/>
      <c r="R105" s="85"/>
    </row>
    <row r="106" spans="1:24" x14ac:dyDescent="0.25">
      <c r="A106" s="35" t="s">
        <v>53</v>
      </c>
      <c r="K106" s="37">
        <v>0</v>
      </c>
      <c r="L106" s="161"/>
      <c r="M106" s="161"/>
      <c r="N106" s="161"/>
      <c r="O106" s="161"/>
      <c r="P106" s="161"/>
      <c r="Q106" s="82"/>
      <c r="R106" s="85"/>
    </row>
    <row r="107" spans="1:24" x14ac:dyDescent="0.25">
      <c r="A107" s="35"/>
      <c r="B107" s="87"/>
      <c r="C107" s="87"/>
      <c r="D107" s="87"/>
      <c r="E107" s="87"/>
      <c r="F107" s="87"/>
      <c r="G107" s="87"/>
      <c r="H107" s="87"/>
      <c r="I107" s="87"/>
      <c r="J107" s="87"/>
      <c r="K107" s="127"/>
      <c r="L107" s="161"/>
      <c r="M107" s="161"/>
      <c r="N107" s="161"/>
      <c r="O107" s="161"/>
      <c r="P107" s="161"/>
      <c r="R107" s="85"/>
    </row>
    <row r="108" spans="1:24" x14ac:dyDescent="0.25">
      <c r="A108" s="35"/>
      <c r="B108" s="87"/>
      <c r="C108" s="87"/>
      <c r="D108" s="87"/>
      <c r="E108" s="87"/>
      <c r="F108" s="87"/>
      <c r="G108" s="87"/>
      <c r="H108" s="87"/>
      <c r="I108" s="87"/>
      <c r="J108" s="87"/>
      <c r="K108" s="126"/>
      <c r="L108" s="161"/>
      <c r="M108" s="161"/>
      <c r="N108" s="161"/>
      <c r="O108" s="161"/>
      <c r="P108" s="161"/>
    </row>
    <row r="109" spans="1:24" x14ac:dyDescent="0.25">
      <c r="A109" s="35"/>
      <c r="B109" s="87"/>
      <c r="C109" s="87"/>
      <c r="D109" s="87"/>
      <c r="E109" s="87"/>
      <c r="F109" s="87"/>
      <c r="G109" s="87"/>
      <c r="H109" s="87"/>
      <c r="I109" s="87"/>
      <c r="J109" s="87"/>
      <c r="K109" s="126"/>
      <c r="L109" s="161"/>
      <c r="M109" s="161"/>
      <c r="N109" s="161"/>
      <c r="O109" s="161"/>
      <c r="P109" s="161"/>
      <c r="Q109" s="88"/>
    </row>
    <row r="110" spans="1:24" x14ac:dyDescent="0.25">
      <c r="A110" s="35"/>
      <c r="B110" s="87"/>
      <c r="C110" s="87"/>
      <c r="D110" s="87"/>
      <c r="E110" s="87"/>
      <c r="F110" s="87"/>
      <c r="G110" s="87"/>
      <c r="H110" s="87"/>
      <c r="I110" s="87"/>
      <c r="J110" s="87"/>
      <c r="K110" s="126"/>
      <c r="L110" s="161"/>
      <c r="M110" s="161"/>
      <c r="N110" s="161"/>
      <c r="O110" s="161"/>
      <c r="P110" s="161"/>
    </row>
    <row r="111" spans="1:24" x14ac:dyDescent="0.25">
      <c r="A111" s="35"/>
      <c r="B111" s="87"/>
      <c r="C111" s="87"/>
      <c r="D111" s="87"/>
      <c r="E111" s="87"/>
      <c r="F111" s="87"/>
      <c r="G111" s="87"/>
      <c r="H111" s="87"/>
      <c r="I111" s="87"/>
      <c r="J111" s="87"/>
      <c r="K111" s="126"/>
      <c r="L111" s="161"/>
      <c r="M111" s="161"/>
      <c r="N111" s="161"/>
      <c r="O111" s="161"/>
      <c r="P111" s="161"/>
    </row>
    <row r="112" spans="1:24" x14ac:dyDescent="0.25">
      <c r="A112" s="35"/>
      <c r="B112" s="87"/>
      <c r="C112" s="87"/>
      <c r="D112" s="87"/>
      <c r="E112" s="87"/>
      <c r="F112" s="87"/>
      <c r="G112" s="87"/>
      <c r="H112" s="87"/>
      <c r="I112" s="87"/>
      <c r="J112" s="87"/>
      <c r="K112" s="126"/>
      <c r="L112" s="161"/>
      <c r="M112" s="161"/>
      <c r="N112" s="161"/>
      <c r="O112" s="161"/>
      <c r="P112" s="161"/>
    </row>
    <row r="113" spans="1:16" x14ac:dyDescent="0.25">
      <c r="A113" s="35"/>
      <c r="K113" s="36"/>
      <c r="L113" s="161"/>
      <c r="M113" s="161"/>
      <c r="N113" s="161"/>
      <c r="O113" s="161"/>
      <c r="P113" s="161"/>
    </row>
    <row r="114" spans="1:16" x14ac:dyDescent="0.25">
      <c r="A114" s="35" t="s">
        <v>12</v>
      </c>
      <c r="K114" s="34">
        <f>IF((750+SUM(K8:K93))*(1-K106)&lt;750,750,(750+SUM(K8:K93))*(1-K106))</f>
        <v>850.5</v>
      </c>
      <c r="L114" s="161"/>
      <c r="M114" s="161"/>
      <c r="N114" s="161"/>
      <c r="O114" s="161"/>
      <c r="P114" s="161"/>
    </row>
    <row r="115" spans="1:16" x14ac:dyDescent="0.25">
      <c r="A115" s="33"/>
      <c r="B115" s="32"/>
      <c r="C115" s="32"/>
      <c r="D115" s="32"/>
      <c r="E115" s="32"/>
      <c r="F115" s="32"/>
      <c r="G115" s="32"/>
      <c r="H115" s="32"/>
      <c r="I115" s="32"/>
      <c r="J115" s="32"/>
      <c r="K115" s="31"/>
      <c r="L115" s="161"/>
      <c r="M115" s="161"/>
      <c r="N115" s="161"/>
      <c r="O115" s="161"/>
      <c r="P115" s="161"/>
    </row>
    <row r="116" spans="1:16" x14ac:dyDescent="0.25">
      <c r="L116" s="161"/>
      <c r="M116" s="161"/>
      <c r="N116" s="161"/>
      <c r="O116" s="161"/>
      <c r="P116" s="161"/>
    </row>
    <row r="117" spans="1:16" x14ac:dyDescent="0.25">
      <c r="L117" s="161"/>
      <c r="M117" s="161"/>
      <c r="N117" s="161"/>
      <c r="O117" s="161"/>
      <c r="P117" s="161"/>
    </row>
    <row r="118" spans="1:16" x14ac:dyDescent="0.25">
      <c r="L118" s="161"/>
      <c r="M118" s="161"/>
      <c r="N118" s="161"/>
      <c r="O118" s="161"/>
      <c r="P118" s="161"/>
    </row>
    <row r="119" spans="1:16" x14ac:dyDescent="0.25">
      <c r="L119" s="161"/>
      <c r="M119" s="161"/>
      <c r="N119" s="161"/>
      <c r="O119" s="161"/>
      <c r="P119" s="161"/>
    </row>
    <row r="120" spans="1:16" x14ac:dyDescent="0.25">
      <c r="L120" s="161"/>
      <c r="M120" s="161"/>
      <c r="N120" s="161"/>
      <c r="O120" s="161"/>
      <c r="P120" s="161"/>
    </row>
    <row r="121" spans="1:16" x14ac:dyDescent="0.25">
      <c r="L121" s="161"/>
      <c r="M121" s="161"/>
      <c r="N121" s="161"/>
      <c r="O121" s="161"/>
      <c r="P121" s="161"/>
    </row>
  </sheetData>
  <mergeCells count="24">
    <mergeCell ref="A3:E3"/>
    <mergeCell ref="I6:I7"/>
    <mergeCell ref="A76:E76"/>
    <mergeCell ref="I55:I56"/>
    <mergeCell ref="B6:E7"/>
    <mergeCell ref="B48:C48"/>
    <mergeCell ref="B49:C49"/>
    <mergeCell ref="B50:C50"/>
    <mergeCell ref="B51:C51"/>
    <mergeCell ref="A21:C21"/>
    <mergeCell ref="A65:B65"/>
    <mergeCell ref="A71:B71"/>
    <mergeCell ref="B41:C41"/>
    <mergeCell ref="B40:C40"/>
    <mergeCell ref="B43:C43"/>
    <mergeCell ref="B42:C42"/>
    <mergeCell ref="B44:C44"/>
    <mergeCell ref="B45:C45"/>
    <mergeCell ref="B46:C46"/>
    <mergeCell ref="B47:C47"/>
    <mergeCell ref="A99:B99"/>
    <mergeCell ref="A97:D97"/>
    <mergeCell ref="A96:D96"/>
    <mergeCell ref="A87:B87"/>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651-F0AB-485D-9D31-76DBEFC01F13}">
  <sheetPr codeName="Sheet5"/>
  <dimension ref="A2:Q114"/>
  <sheetViews>
    <sheetView zoomScaleNormal="100" workbookViewId="0">
      <selection activeCell="E5" sqref="E5:E17"/>
    </sheetView>
  </sheetViews>
  <sheetFormatPr defaultColWidth="9" defaultRowHeight="15" x14ac:dyDescent="0.25"/>
  <cols>
    <col min="1" max="1" width="69.7109375" customWidth="1"/>
    <col min="2" max="3" width="0" hidden="1" customWidth="1"/>
    <col min="4" max="5" width="10.5703125" customWidth="1"/>
    <col min="6" max="6" width="29.28515625" customWidth="1"/>
    <col min="7" max="7" width="5.7109375" customWidth="1"/>
    <col min="12" max="12" width="27.28515625" customWidth="1"/>
    <col min="13" max="13" width="11.140625" customWidth="1"/>
    <col min="14" max="14" width="11.42578125" customWidth="1"/>
    <col min="17" max="17" width="32.140625" customWidth="1"/>
  </cols>
  <sheetData>
    <row r="2" spans="1:17" ht="18" x14ac:dyDescent="0.25">
      <c r="A2" s="545" t="s">
        <v>102</v>
      </c>
      <c r="B2" s="546"/>
      <c r="C2" s="546"/>
      <c r="D2" s="546"/>
      <c r="E2" s="547"/>
      <c r="F2" s="70"/>
      <c r="G2" s="70"/>
      <c r="H2" s="548"/>
      <c r="I2" s="549"/>
      <c r="J2" s="549"/>
      <c r="K2" s="549"/>
      <c r="L2" s="70"/>
      <c r="M2" s="70"/>
      <c r="N2" s="70"/>
      <c r="O2" s="70"/>
      <c r="P2" s="70"/>
      <c r="Q2" s="70"/>
    </row>
    <row r="3" spans="1:17" ht="15.75" thickBot="1" x14ac:dyDescent="0.3">
      <c r="A3" s="70"/>
      <c r="B3" s="70"/>
      <c r="C3" s="70"/>
      <c r="D3" s="70"/>
      <c r="E3" s="70"/>
      <c r="F3" s="70"/>
      <c r="G3" s="70"/>
      <c r="H3" s="70"/>
      <c r="I3" s="70"/>
      <c r="J3" s="70"/>
      <c r="K3" s="70"/>
      <c r="L3" s="70"/>
      <c r="M3" s="70"/>
      <c r="N3" s="70"/>
      <c r="O3" s="70"/>
      <c r="P3" s="70"/>
      <c r="Q3" s="70"/>
    </row>
    <row r="4" spans="1:17" ht="59.25" customHeight="1" thickBot="1" x14ac:dyDescent="0.3">
      <c r="A4" s="71" t="s">
        <v>101</v>
      </c>
      <c r="B4" s="72" t="s">
        <v>100</v>
      </c>
      <c r="C4" s="72" t="s">
        <v>99</v>
      </c>
      <c r="D4" s="73" t="s">
        <v>98</v>
      </c>
      <c r="E4" s="74" t="s">
        <v>64</v>
      </c>
      <c r="F4" s="70"/>
      <c r="G4" s="70"/>
      <c r="H4" s="550" t="s">
        <v>114</v>
      </c>
      <c r="I4" s="551"/>
      <c r="J4" s="551"/>
      <c r="K4" s="551"/>
      <c r="L4" s="551"/>
      <c r="M4" s="551"/>
      <c r="N4" s="551"/>
      <c r="O4" s="551"/>
      <c r="P4" s="551"/>
      <c r="Q4" s="552"/>
    </row>
    <row r="5" spans="1:17" ht="26.25" customHeight="1" thickBot="1" x14ac:dyDescent="0.3">
      <c r="A5" s="78" t="s">
        <v>270</v>
      </c>
      <c r="B5" s="76">
        <v>3.48</v>
      </c>
      <c r="C5" s="76">
        <v>4.0999999999999996</v>
      </c>
      <c r="D5" s="77">
        <v>1756</v>
      </c>
      <c r="E5" s="77">
        <v>4</v>
      </c>
      <c r="F5" s="70"/>
      <c r="G5" s="70"/>
      <c r="H5" s="553" t="s">
        <v>306</v>
      </c>
      <c r="I5" s="554"/>
      <c r="J5" s="554"/>
      <c r="K5" s="554"/>
      <c r="L5" s="556"/>
      <c r="M5" s="560" t="s">
        <v>315</v>
      </c>
      <c r="N5" s="561"/>
      <c r="O5" s="561"/>
      <c r="P5" s="561"/>
      <c r="Q5" s="562"/>
    </row>
    <row r="6" spans="1:17" s="156" customFormat="1" ht="26.25" customHeight="1" thickBot="1" x14ac:dyDescent="0.3">
      <c r="A6" s="75" t="s">
        <v>276</v>
      </c>
      <c r="B6" s="76">
        <v>3.48</v>
      </c>
      <c r="C6" s="76">
        <v>4.0999999999999996</v>
      </c>
      <c r="D6" s="77">
        <v>1717</v>
      </c>
      <c r="E6" s="77">
        <v>5</v>
      </c>
      <c r="F6" s="89"/>
      <c r="G6" s="159"/>
      <c r="H6" s="553" t="s">
        <v>307</v>
      </c>
      <c r="I6" s="554"/>
      <c r="J6" s="554"/>
      <c r="K6" s="554"/>
      <c r="L6" s="556"/>
      <c r="M6" s="554" t="s">
        <v>316</v>
      </c>
      <c r="N6" s="554"/>
      <c r="O6" s="554"/>
      <c r="P6" s="554"/>
      <c r="Q6" s="555"/>
    </row>
    <row r="7" spans="1:17" s="156" customFormat="1" ht="30" customHeight="1" thickBot="1" x14ac:dyDescent="0.3">
      <c r="A7" s="78" t="s">
        <v>289</v>
      </c>
      <c r="B7" s="76"/>
      <c r="C7" s="76"/>
      <c r="D7" s="77">
        <v>1534</v>
      </c>
      <c r="E7" s="77">
        <v>4</v>
      </c>
      <c r="F7" s="159"/>
      <c r="G7" s="159"/>
      <c r="H7" s="567" t="s">
        <v>305</v>
      </c>
      <c r="I7" s="568"/>
      <c r="J7" s="568"/>
      <c r="K7" s="568"/>
      <c r="L7" s="569"/>
      <c r="M7" s="567" t="s">
        <v>317</v>
      </c>
      <c r="N7" s="568"/>
      <c r="O7" s="568"/>
      <c r="P7" s="568"/>
      <c r="Q7" s="569"/>
    </row>
    <row r="8" spans="1:17" ht="29.25" customHeight="1" thickBot="1" x14ac:dyDescent="0.3">
      <c r="A8" s="75" t="s">
        <v>97</v>
      </c>
      <c r="B8" s="76">
        <v>0.46</v>
      </c>
      <c r="C8" s="76">
        <v>0.54</v>
      </c>
      <c r="D8" s="77">
        <v>7692</v>
      </c>
      <c r="E8" s="77">
        <v>2</v>
      </c>
      <c r="F8" s="70"/>
      <c r="G8" s="70"/>
      <c r="H8" s="557" t="s">
        <v>308</v>
      </c>
      <c r="I8" s="558"/>
      <c r="J8" s="558"/>
      <c r="K8" s="558"/>
      <c r="L8" s="559"/>
      <c r="M8" s="558" t="s">
        <v>318</v>
      </c>
      <c r="N8" s="558"/>
      <c r="O8" s="558"/>
      <c r="P8" s="558"/>
      <c r="Q8" s="570"/>
    </row>
    <row r="9" spans="1:17" s="156" customFormat="1" ht="30.75" customHeight="1" thickBot="1" x14ac:dyDescent="0.3">
      <c r="A9" s="78" t="s">
        <v>271</v>
      </c>
      <c r="B9" s="76"/>
      <c r="C9" s="76"/>
      <c r="D9" s="77">
        <v>1756</v>
      </c>
      <c r="E9" s="77">
        <v>4</v>
      </c>
      <c r="F9" s="159"/>
      <c r="G9" s="159"/>
      <c r="H9" s="565" t="s">
        <v>309</v>
      </c>
      <c r="I9" s="563"/>
      <c r="J9" s="563"/>
      <c r="K9" s="563"/>
      <c r="L9" s="566"/>
      <c r="M9" s="563" t="s">
        <v>265</v>
      </c>
      <c r="N9" s="563"/>
      <c r="O9" s="563"/>
      <c r="P9" s="563"/>
      <c r="Q9" s="564"/>
    </row>
    <row r="10" spans="1:17" s="156" customFormat="1" ht="30.75" customHeight="1" thickBot="1" x14ac:dyDescent="0.3">
      <c r="A10" s="78" t="s">
        <v>277</v>
      </c>
      <c r="B10" s="76"/>
      <c r="C10" s="76"/>
      <c r="D10" s="77">
        <v>1731</v>
      </c>
      <c r="E10" s="77">
        <v>4</v>
      </c>
      <c r="F10" s="159"/>
      <c r="G10" s="159"/>
      <c r="H10" s="160" t="s">
        <v>281</v>
      </c>
      <c r="I10" s="158"/>
      <c r="J10" s="158"/>
      <c r="K10" s="158"/>
      <c r="L10" s="157" t="s">
        <v>310</v>
      </c>
      <c r="M10" s="567" t="s">
        <v>319</v>
      </c>
      <c r="N10" s="568"/>
      <c r="O10" s="568"/>
      <c r="P10" s="568"/>
      <c r="Q10" s="569"/>
    </row>
    <row r="11" spans="1:17" ht="32.25" customHeight="1" thickBot="1" x14ac:dyDescent="0.3">
      <c r="A11" s="75" t="s">
        <v>273</v>
      </c>
      <c r="B11" s="76">
        <v>0.9</v>
      </c>
      <c r="C11" s="76">
        <v>1.06</v>
      </c>
      <c r="D11" s="77">
        <v>1752</v>
      </c>
      <c r="E11" s="77">
        <v>4</v>
      </c>
      <c r="F11" s="70"/>
      <c r="G11" s="70"/>
      <c r="H11" s="553" t="s">
        <v>311</v>
      </c>
      <c r="I11" s="554"/>
      <c r="J11" s="554"/>
      <c r="K11" s="554"/>
      <c r="L11" s="555"/>
      <c r="M11" s="557" t="s">
        <v>320</v>
      </c>
      <c r="N11" s="558"/>
      <c r="O11" s="558"/>
      <c r="P11" s="558"/>
      <c r="Q11" s="570"/>
    </row>
    <row r="12" spans="1:17" ht="26.25" customHeight="1" thickBot="1" x14ac:dyDescent="0.3">
      <c r="A12" s="75" t="s">
        <v>115</v>
      </c>
      <c r="B12" s="76">
        <v>0.22</v>
      </c>
      <c r="C12" s="76">
        <v>0.26</v>
      </c>
      <c r="D12" s="77">
        <v>5716</v>
      </c>
      <c r="E12" s="77">
        <v>2</v>
      </c>
      <c r="F12" s="70"/>
      <c r="G12" s="70"/>
      <c r="H12" s="553" t="s">
        <v>312</v>
      </c>
      <c r="I12" s="554"/>
      <c r="J12" s="554"/>
      <c r="K12" s="554"/>
      <c r="L12" s="555"/>
      <c r="M12" s="553" t="s">
        <v>321</v>
      </c>
      <c r="N12" s="554"/>
      <c r="O12" s="554"/>
      <c r="P12" s="554"/>
      <c r="Q12" s="555"/>
    </row>
    <row r="13" spans="1:17" ht="33.75" customHeight="1" thickBot="1" x14ac:dyDescent="0.3">
      <c r="A13" s="78" t="s">
        <v>274</v>
      </c>
      <c r="B13" s="76"/>
      <c r="C13" s="76"/>
      <c r="D13" s="77">
        <v>7395</v>
      </c>
      <c r="E13" s="77">
        <v>2</v>
      </c>
      <c r="F13" s="70"/>
      <c r="G13" s="70"/>
      <c r="H13" s="553" t="s">
        <v>313</v>
      </c>
      <c r="I13" s="554"/>
      <c r="J13" s="554"/>
      <c r="K13" s="554"/>
      <c r="L13" s="555"/>
      <c r="M13" s="553" t="s">
        <v>322</v>
      </c>
      <c r="N13" s="554"/>
      <c r="O13" s="554"/>
      <c r="P13" s="554"/>
      <c r="Q13" s="555"/>
    </row>
    <row r="14" spans="1:17" ht="36" customHeight="1" thickBot="1" x14ac:dyDescent="0.3">
      <c r="A14" s="75" t="s">
        <v>272</v>
      </c>
      <c r="B14" s="76">
        <v>1.72</v>
      </c>
      <c r="C14" s="76">
        <v>2.0299999999999998</v>
      </c>
      <c r="D14" s="77">
        <v>1741</v>
      </c>
      <c r="E14" s="77">
        <v>4</v>
      </c>
      <c r="F14" s="70"/>
      <c r="G14" s="70"/>
      <c r="H14" s="557" t="s">
        <v>314</v>
      </c>
      <c r="I14" s="558"/>
      <c r="J14" s="558"/>
      <c r="K14" s="558"/>
      <c r="L14" s="570"/>
      <c r="M14" s="553"/>
      <c r="N14" s="554"/>
      <c r="O14" s="554"/>
      <c r="P14" s="554"/>
      <c r="Q14" s="555"/>
    </row>
    <row r="15" spans="1:17" ht="24.75" customHeight="1" thickBot="1" x14ac:dyDescent="0.3">
      <c r="A15" s="75" t="s">
        <v>95</v>
      </c>
      <c r="B15" s="76">
        <v>0.33</v>
      </c>
      <c r="C15" s="76">
        <v>0.39</v>
      </c>
      <c r="D15" s="77">
        <v>1744</v>
      </c>
      <c r="E15" s="77">
        <v>4</v>
      </c>
      <c r="F15" s="70"/>
      <c r="G15" s="70"/>
      <c r="H15" s="154"/>
      <c r="I15" s="70"/>
      <c r="J15" s="70"/>
      <c r="K15" s="70"/>
      <c r="L15" s="70"/>
      <c r="M15" s="70"/>
      <c r="N15" s="70"/>
      <c r="O15" s="70"/>
      <c r="P15" s="70"/>
      <c r="Q15" s="70"/>
    </row>
    <row r="16" spans="1:17" s="156" customFormat="1" ht="24" customHeight="1" thickBot="1" x14ac:dyDescent="0.3">
      <c r="A16" s="78" t="s">
        <v>275</v>
      </c>
      <c r="B16" s="76"/>
      <c r="C16" s="76"/>
      <c r="D16" s="77">
        <v>7394</v>
      </c>
      <c r="E16" s="77">
        <v>4</v>
      </c>
      <c r="F16" s="159"/>
      <c r="G16" s="159"/>
      <c r="H16" s="154"/>
      <c r="I16" s="159"/>
      <c r="J16" s="159"/>
      <c r="K16" s="159"/>
      <c r="L16" s="159"/>
      <c r="M16" s="159"/>
      <c r="N16" s="159"/>
      <c r="O16" s="159"/>
      <c r="P16" s="159"/>
      <c r="Q16" s="159"/>
    </row>
    <row r="17" spans="1:17" ht="34.5" customHeight="1" thickBot="1" x14ac:dyDescent="0.3">
      <c r="A17" s="171" t="s">
        <v>302</v>
      </c>
      <c r="B17" s="76">
        <v>0.88</v>
      </c>
      <c r="C17" s="76">
        <v>1.04</v>
      </c>
      <c r="D17" s="77">
        <v>1731</v>
      </c>
      <c r="E17" s="77">
        <v>4</v>
      </c>
      <c r="F17" s="89"/>
      <c r="G17" s="70"/>
      <c r="H17" s="153"/>
      <c r="I17" s="70"/>
      <c r="J17" s="70"/>
      <c r="K17" s="70"/>
      <c r="L17" s="70"/>
      <c r="M17" s="70"/>
      <c r="N17" s="70"/>
      <c r="O17" s="70"/>
      <c r="P17" s="70"/>
      <c r="Q17" s="70"/>
    </row>
    <row r="18" spans="1:17" ht="24.75" customHeight="1" thickBot="1" x14ac:dyDescent="0.3">
      <c r="A18" s="75" t="s">
        <v>116</v>
      </c>
      <c r="B18" s="76">
        <v>0.54</v>
      </c>
      <c r="C18" s="76">
        <v>0.64</v>
      </c>
      <c r="D18" s="77">
        <v>1522</v>
      </c>
      <c r="E18" s="77">
        <v>4</v>
      </c>
      <c r="F18" s="70"/>
      <c r="G18" s="70"/>
      <c r="H18" s="89"/>
      <c r="I18" s="70"/>
      <c r="J18" s="70"/>
      <c r="K18" s="70"/>
      <c r="L18" s="70"/>
      <c r="M18" s="70"/>
      <c r="N18" s="70"/>
      <c r="O18" s="70"/>
      <c r="P18" s="70"/>
      <c r="Q18" s="70"/>
    </row>
    <row r="19" spans="1:17" s="156" customFormat="1" ht="20.65" customHeight="1" thickBot="1" x14ac:dyDescent="0.3">
      <c r="A19" s="78" t="s">
        <v>269</v>
      </c>
      <c r="B19" s="76"/>
      <c r="C19" s="76"/>
      <c r="D19" s="77">
        <v>1756</v>
      </c>
      <c r="E19" s="77">
        <v>4</v>
      </c>
      <c r="F19" s="159"/>
      <c r="G19" s="159"/>
      <c r="H19" s="89"/>
      <c r="I19" s="159"/>
      <c r="J19" s="159"/>
      <c r="K19" s="159"/>
      <c r="L19" s="159"/>
      <c r="M19" s="159"/>
      <c r="N19" s="159"/>
      <c r="O19" s="159"/>
      <c r="P19" s="159"/>
      <c r="Q19" s="159"/>
    </row>
    <row r="20" spans="1:17" ht="36" customHeight="1" thickBot="1" x14ac:dyDescent="0.3">
      <c r="A20" s="75" t="s">
        <v>120</v>
      </c>
      <c r="B20" s="76">
        <v>0.28000000000000003</v>
      </c>
      <c r="C20" s="76">
        <v>0.33</v>
      </c>
      <c r="D20" s="77">
        <v>1535</v>
      </c>
      <c r="E20" s="77">
        <v>4</v>
      </c>
      <c r="F20" s="70"/>
      <c r="G20" s="70"/>
      <c r="H20" s="154"/>
      <c r="I20" s="70"/>
      <c r="J20" s="70"/>
      <c r="K20" s="70"/>
      <c r="L20" s="70"/>
      <c r="M20" s="70"/>
      <c r="N20" s="70"/>
      <c r="O20" s="70"/>
      <c r="P20" s="70"/>
      <c r="Q20" s="70"/>
    </row>
    <row r="21" spans="1:17" s="156" customFormat="1" ht="36" customHeight="1" thickBot="1" x14ac:dyDescent="0.3">
      <c r="A21" s="75" t="s">
        <v>117</v>
      </c>
      <c r="B21" s="76">
        <v>3.33</v>
      </c>
      <c r="C21" s="76">
        <v>3.93</v>
      </c>
      <c r="D21" s="77">
        <v>1715</v>
      </c>
      <c r="E21" s="77">
        <v>5</v>
      </c>
      <c r="F21" s="159"/>
      <c r="G21" s="159"/>
      <c r="H21" s="154"/>
      <c r="I21" s="159"/>
      <c r="J21" s="159"/>
      <c r="K21" s="159"/>
      <c r="L21" s="159"/>
      <c r="M21" s="159"/>
      <c r="N21" s="159"/>
      <c r="O21" s="159"/>
      <c r="P21" s="159"/>
      <c r="Q21" s="159"/>
    </row>
    <row r="22" spans="1:17" ht="19.149999999999999" customHeight="1" thickBot="1" x14ac:dyDescent="0.3">
      <c r="A22" s="75" t="s">
        <v>278</v>
      </c>
      <c r="B22" s="76"/>
      <c r="C22" s="76"/>
      <c r="D22" s="77"/>
      <c r="E22" s="77"/>
      <c r="F22" s="89"/>
      <c r="G22" s="70"/>
      <c r="H22" s="70"/>
      <c r="I22" s="70"/>
      <c r="J22" s="70"/>
      <c r="K22" s="70"/>
      <c r="L22" s="70"/>
      <c r="M22" s="70"/>
      <c r="N22" s="70"/>
      <c r="O22" s="70"/>
      <c r="P22" s="70"/>
      <c r="Q22" s="70"/>
    </row>
    <row r="23" spans="1:17" ht="31.5" customHeight="1" thickBot="1" x14ac:dyDescent="0.3">
      <c r="A23" s="78" t="s">
        <v>303</v>
      </c>
      <c r="B23" s="76">
        <v>0.45</v>
      </c>
      <c r="C23" s="76">
        <v>0.53</v>
      </c>
      <c r="D23" s="77">
        <v>1757</v>
      </c>
      <c r="E23" s="77">
        <v>4</v>
      </c>
      <c r="F23" s="70"/>
      <c r="G23" s="70"/>
      <c r="H23" s="70"/>
      <c r="I23" s="70"/>
      <c r="J23" s="70"/>
      <c r="K23" s="70"/>
      <c r="L23" s="70"/>
      <c r="M23" s="70"/>
      <c r="N23" s="70"/>
      <c r="O23" s="70"/>
      <c r="P23" s="70"/>
      <c r="Q23" s="70"/>
    </row>
    <row r="24" spans="1:17" ht="36.75" customHeight="1" thickBot="1" x14ac:dyDescent="0.3">
      <c r="A24" s="78" t="s">
        <v>304</v>
      </c>
      <c r="B24" s="76">
        <v>13.1</v>
      </c>
      <c r="C24" s="76">
        <v>15.46</v>
      </c>
      <c r="D24" s="77">
        <v>7394</v>
      </c>
      <c r="E24" s="77">
        <v>2</v>
      </c>
      <c r="F24" s="70"/>
      <c r="G24" s="70"/>
      <c r="H24" s="70"/>
      <c r="I24" s="70"/>
      <c r="J24" s="70"/>
      <c r="K24" s="70"/>
      <c r="L24" s="70"/>
      <c r="M24" s="70"/>
      <c r="N24" s="70"/>
      <c r="O24" s="70"/>
      <c r="P24" s="70"/>
      <c r="Q24" s="70"/>
    </row>
    <row r="25" spans="1:17" ht="33" customHeight="1" thickBot="1" x14ac:dyDescent="0.3">
      <c r="A25" s="75" t="s">
        <v>94</v>
      </c>
      <c r="B25" s="76">
        <v>1.69</v>
      </c>
      <c r="C25" s="76">
        <v>1.99</v>
      </c>
      <c r="D25" s="77">
        <v>735</v>
      </c>
      <c r="E25" s="77">
        <v>6</v>
      </c>
      <c r="F25" s="70"/>
      <c r="G25" s="70"/>
      <c r="H25" s="70"/>
      <c r="I25" s="70"/>
      <c r="J25" s="70"/>
      <c r="K25" s="70"/>
      <c r="L25" s="70"/>
      <c r="M25" s="70"/>
      <c r="N25" s="70"/>
      <c r="O25" s="70"/>
      <c r="P25" s="70"/>
      <c r="Q25" s="70"/>
    </row>
    <row r="26" spans="1:17" ht="21" customHeight="1" thickBot="1" x14ac:dyDescent="0.3">
      <c r="A26" s="75" t="s">
        <v>96</v>
      </c>
      <c r="B26" s="76">
        <v>0.72</v>
      </c>
      <c r="C26" s="76">
        <v>0.85</v>
      </c>
      <c r="D26" s="77">
        <v>1743</v>
      </c>
      <c r="E26" s="77">
        <v>4</v>
      </c>
      <c r="F26" s="70"/>
      <c r="G26" s="70"/>
      <c r="H26" s="70"/>
      <c r="I26" s="70"/>
      <c r="J26" s="70"/>
      <c r="K26" s="70"/>
      <c r="L26" s="70"/>
      <c r="M26" s="70"/>
      <c r="N26" s="70"/>
      <c r="O26" s="70"/>
      <c r="P26" s="70"/>
      <c r="Q26" s="70"/>
    </row>
    <row r="27" spans="1:17" ht="33.75" customHeight="1" thickBot="1" x14ac:dyDescent="0.3">
      <c r="A27" s="75" t="s">
        <v>93</v>
      </c>
      <c r="B27" s="76">
        <v>1.03</v>
      </c>
      <c r="C27" s="76">
        <v>1.22</v>
      </c>
      <c r="D27" s="77">
        <v>1754</v>
      </c>
      <c r="E27" s="77">
        <v>4</v>
      </c>
      <c r="F27" s="89"/>
      <c r="G27" s="70"/>
      <c r="H27" s="70"/>
      <c r="I27" s="70"/>
      <c r="J27" s="70"/>
      <c r="K27" s="70"/>
      <c r="L27" s="70"/>
      <c r="M27" s="70"/>
      <c r="N27" s="70"/>
      <c r="O27" s="70"/>
      <c r="P27" s="70"/>
      <c r="Q27" s="70"/>
    </row>
    <row r="28" spans="1:17" ht="32.25" customHeight="1" thickBot="1" x14ac:dyDescent="0.3">
      <c r="A28" s="75" t="s">
        <v>119</v>
      </c>
      <c r="B28" s="76">
        <v>0.52</v>
      </c>
      <c r="C28" s="76">
        <v>0.61</v>
      </c>
      <c r="D28" s="77">
        <v>1811</v>
      </c>
      <c r="E28" s="77">
        <v>4</v>
      </c>
      <c r="F28" s="70"/>
      <c r="G28" s="70"/>
      <c r="H28" s="70"/>
      <c r="I28" s="70"/>
      <c r="J28" s="70"/>
      <c r="K28" s="70"/>
      <c r="L28" s="70"/>
      <c r="M28" s="70"/>
      <c r="N28" s="70"/>
      <c r="O28" s="70"/>
      <c r="P28" s="70"/>
      <c r="Q28" s="70"/>
    </row>
    <row r="29" spans="1:17" ht="21.75" customHeight="1" thickBot="1" x14ac:dyDescent="0.3">
      <c r="A29" s="75" t="s">
        <v>118</v>
      </c>
      <c r="B29" s="76">
        <v>0.91</v>
      </c>
      <c r="C29" s="76">
        <v>1.07</v>
      </c>
      <c r="D29" s="77">
        <v>1762</v>
      </c>
      <c r="E29" s="77">
        <v>3</v>
      </c>
      <c r="F29" s="70"/>
      <c r="G29" s="89"/>
      <c r="H29" s="70"/>
      <c r="I29" s="70"/>
      <c r="J29" s="70"/>
      <c r="K29" s="70"/>
      <c r="L29" s="70"/>
      <c r="M29" s="70"/>
      <c r="N29" s="70"/>
      <c r="O29" s="70"/>
      <c r="P29" s="70"/>
      <c r="Q29" s="70"/>
    </row>
    <row r="30" spans="1:17" ht="33.75" thickBot="1" x14ac:dyDescent="0.3">
      <c r="A30" s="75" t="s">
        <v>279</v>
      </c>
      <c r="B30" s="76">
        <v>0.77</v>
      </c>
      <c r="C30" s="76">
        <v>0.91</v>
      </c>
      <c r="D30" s="77">
        <v>1766</v>
      </c>
      <c r="E30" s="77">
        <v>3</v>
      </c>
      <c r="F30" s="67"/>
      <c r="G30" s="67"/>
      <c r="H30" s="67"/>
      <c r="I30" s="67"/>
      <c r="J30" s="67"/>
      <c r="K30" s="67"/>
      <c r="L30" s="67"/>
      <c r="M30" s="67"/>
      <c r="N30" s="67"/>
      <c r="O30" s="67"/>
      <c r="P30" s="67"/>
      <c r="Q30" s="67"/>
    </row>
    <row r="31" spans="1:17" ht="33.75" thickBot="1" x14ac:dyDescent="0.3">
      <c r="A31" s="75" t="s">
        <v>92</v>
      </c>
      <c r="B31" s="76"/>
      <c r="C31" s="76"/>
      <c r="D31" s="77">
        <v>1532</v>
      </c>
      <c r="E31" s="77">
        <v>4</v>
      </c>
      <c r="F31" s="67"/>
      <c r="G31" s="67"/>
      <c r="H31" s="67"/>
      <c r="I31" s="67"/>
      <c r="J31" s="67"/>
      <c r="K31" s="67"/>
      <c r="L31" s="67"/>
      <c r="M31" s="67"/>
      <c r="N31" s="67"/>
      <c r="O31" s="67"/>
      <c r="P31" s="67"/>
      <c r="Q31" s="67"/>
    </row>
    <row r="32" spans="1:17" ht="43.5" thickBot="1" x14ac:dyDescent="0.3">
      <c r="A32" s="78" t="s">
        <v>91</v>
      </c>
      <c r="B32" s="76" t="s">
        <v>90</v>
      </c>
      <c r="C32" s="76">
        <v>24.91</v>
      </c>
      <c r="D32" s="79">
        <v>7392</v>
      </c>
      <c r="E32" s="79">
        <v>2</v>
      </c>
      <c r="F32" s="67"/>
      <c r="G32" s="67"/>
      <c r="H32" s="67"/>
      <c r="I32" s="67"/>
      <c r="J32" s="67"/>
      <c r="K32" s="67"/>
      <c r="L32" s="67"/>
      <c r="M32" s="67"/>
      <c r="N32" s="67"/>
      <c r="O32" s="67"/>
      <c r="P32" s="67"/>
      <c r="Q32" s="67"/>
    </row>
    <row r="33" spans="1:17" x14ac:dyDescent="0.25">
      <c r="A33" s="67"/>
      <c r="B33" s="67"/>
      <c r="C33" s="67"/>
      <c r="D33" s="67"/>
      <c r="E33" s="67"/>
      <c r="F33" s="67"/>
      <c r="G33" s="67"/>
      <c r="H33" s="67"/>
      <c r="I33" s="67"/>
      <c r="J33" s="67"/>
      <c r="K33" s="67"/>
      <c r="L33" s="67"/>
      <c r="M33" s="67"/>
      <c r="N33" s="67"/>
      <c r="O33" s="67"/>
      <c r="P33" s="67"/>
      <c r="Q33" s="67"/>
    </row>
    <row r="34" spans="1:17" x14ac:dyDescent="0.25">
      <c r="A34" s="58"/>
      <c r="B34" s="67"/>
      <c r="C34" s="67"/>
      <c r="D34" s="67"/>
      <c r="E34" s="67"/>
      <c r="F34" s="67"/>
      <c r="G34" s="67"/>
      <c r="H34" s="67"/>
      <c r="I34" s="67"/>
      <c r="J34" s="67"/>
      <c r="K34" s="67"/>
      <c r="L34" s="67"/>
      <c r="M34" s="67"/>
      <c r="N34" s="67"/>
      <c r="O34" s="67"/>
      <c r="P34" s="67"/>
      <c r="Q34" s="67"/>
    </row>
    <row r="35" spans="1:17" x14ac:dyDescent="0.25">
      <c r="A35" s="58"/>
      <c r="B35" s="67"/>
      <c r="C35" s="67"/>
      <c r="D35" s="67"/>
      <c r="E35" s="67"/>
      <c r="F35" s="67"/>
      <c r="G35" s="67"/>
      <c r="H35" s="67"/>
      <c r="I35" s="67"/>
      <c r="J35" s="67"/>
      <c r="K35" s="67"/>
      <c r="L35" s="67"/>
      <c r="M35" s="67"/>
      <c r="N35" s="67"/>
      <c r="O35" s="67"/>
      <c r="P35" s="67"/>
      <c r="Q35" s="67"/>
    </row>
    <row r="36" spans="1:17" x14ac:dyDescent="0.25">
      <c r="A36" s="67"/>
      <c r="B36" s="67"/>
      <c r="C36" s="67"/>
      <c r="D36" s="67"/>
      <c r="E36" s="67"/>
      <c r="F36" s="67"/>
      <c r="G36" s="67"/>
      <c r="H36" s="67"/>
      <c r="I36" s="67"/>
      <c r="J36" s="67"/>
      <c r="K36" s="67"/>
      <c r="L36" s="67"/>
      <c r="M36" s="67"/>
      <c r="N36" s="67"/>
      <c r="O36" s="67"/>
      <c r="P36" s="67"/>
      <c r="Q36" s="67"/>
    </row>
    <row r="37" spans="1:17" x14ac:dyDescent="0.25">
      <c r="A37" s="67"/>
      <c r="B37" s="67"/>
      <c r="C37" s="67"/>
      <c r="D37" s="67"/>
      <c r="E37" s="67"/>
      <c r="F37" s="67"/>
      <c r="G37" s="67"/>
      <c r="H37" s="67"/>
      <c r="I37" s="67"/>
      <c r="J37" s="67"/>
      <c r="K37" s="67"/>
      <c r="L37" s="67"/>
      <c r="M37" s="67"/>
      <c r="N37" s="67"/>
      <c r="O37" s="67"/>
      <c r="P37" s="67"/>
      <c r="Q37" s="67"/>
    </row>
    <row r="38" spans="1:17" x14ac:dyDescent="0.25">
      <c r="A38" s="67"/>
      <c r="B38" s="67"/>
      <c r="C38" s="67"/>
      <c r="D38" s="67"/>
      <c r="E38" s="67"/>
      <c r="F38" s="67"/>
      <c r="G38" s="67"/>
      <c r="H38" s="67"/>
      <c r="I38" s="67"/>
      <c r="J38" s="67"/>
      <c r="K38" s="67"/>
      <c r="L38" s="67"/>
      <c r="M38" s="67"/>
      <c r="N38" s="67"/>
      <c r="O38" s="67"/>
      <c r="P38" s="67"/>
      <c r="Q38" s="67"/>
    </row>
    <row r="39" spans="1:17" x14ac:dyDescent="0.25">
      <c r="A39" s="67"/>
      <c r="B39" s="67"/>
      <c r="C39" s="67"/>
      <c r="D39" s="67"/>
      <c r="E39" s="67"/>
      <c r="F39" s="67"/>
      <c r="G39" s="67"/>
      <c r="H39" s="67"/>
      <c r="I39" s="67"/>
      <c r="J39" s="67"/>
      <c r="K39" s="67"/>
      <c r="L39" s="67"/>
      <c r="M39" s="67"/>
      <c r="N39" s="67"/>
      <c r="O39" s="67"/>
      <c r="P39" s="67"/>
      <c r="Q39" s="67"/>
    </row>
    <row r="40" spans="1:17" x14ac:dyDescent="0.25">
      <c r="A40" s="67"/>
      <c r="B40" s="67"/>
      <c r="C40" s="67"/>
      <c r="D40" s="67"/>
      <c r="E40" s="67"/>
      <c r="F40" s="67"/>
      <c r="G40" s="67"/>
      <c r="H40" s="67"/>
      <c r="I40" s="67"/>
      <c r="J40" s="67"/>
      <c r="K40" s="67"/>
      <c r="L40" s="67"/>
      <c r="M40" s="67"/>
      <c r="N40" s="67"/>
      <c r="O40" s="67"/>
      <c r="P40" s="67"/>
      <c r="Q40" s="67"/>
    </row>
    <row r="41" spans="1:17" x14ac:dyDescent="0.25">
      <c r="A41" s="67"/>
      <c r="B41" s="67"/>
      <c r="C41" s="67"/>
      <c r="D41" s="67"/>
      <c r="E41" s="67"/>
      <c r="F41" s="67"/>
      <c r="G41" s="67"/>
      <c r="H41" s="67"/>
      <c r="I41" s="67"/>
      <c r="J41" s="67"/>
      <c r="K41" s="67"/>
      <c r="L41" s="67"/>
      <c r="M41" s="67"/>
      <c r="N41" s="67"/>
      <c r="O41" s="67"/>
      <c r="P41" s="67"/>
      <c r="Q41" s="67"/>
    </row>
    <row r="42" spans="1:17" x14ac:dyDescent="0.25">
      <c r="A42" s="67"/>
      <c r="B42" s="67"/>
      <c r="C42" s="67"/>
      <c r="D42" s="67"/>
      <c r="E42" s="67"/>
      <c r="F42" s="67"/>
      <c r="G42" s="67"/>
      <c r="H42" s="67"/>
      <c r="I42" s="67"/>
      <c r="J42" s="67"/>
      <c r="K42" s="67"/>
      <c r="L42" s="67"/>
      <c r="M42" s="67"/>
      <c r="N42" s="67"/>
      <c r="O42" s="67"/>
      <c r="P42" s="67"/>
      <c r="Q42" s="67"/>
    </row>
    <row r="43" spans="1:17" x14ac:dyDescent="0.25">
      <c r="A43" s="67"/>
      <c r="B43" s="67"/>
      <c r="C43" s="67"/>
      <c r="D43" s="67"/>
      <c r="E43" s="67"/>
      <c r="F43" s="67"/>
      <c r="G43" s="67"/>
      <c r="H43" s="67"/>
      <c r="I43" s="67"/>
      <c r="J43" s="67"/>
      <c r="K43" s="67"/>
      <c r="L43" s="67"/>
      <c r="M43" s="67"/>
      <c r="N43" s="67"/>
      <c r="O43" s="67"/>
      <c r="P43" s="67"/>
      <c r="Q43" s="67"/>
    </row>
    <row r="44" spans="1:17" x14ac:dyDescent="0.25">
      <c r="A44" s="67"/>
      <c r="B44" s="67"/>
      <c r="C44" s="67"/>
      <c r="D44" s="67"/>
      <c r="E44" s="67"/>
      <c r="F44" s="67"/>
      <c r="G44" s="67"/>
      <c r="H44" s="67"/>
      <c r="I44" s="67"/>
      <c r="J44" s="67"/>
      <c r="K44" s="67"/>
      <c r="L44" s="67"/>
      <c r="M44" s="67"/>
      <c r="N44" s="67"/>
      <c r="O44" s="67"/>
      <c r="P44" s="67"/>
      <c r="Q44" s="67"/>
    </row>
    <row r="45" spans="1:17" x14ac:dyDescent="0.25">
      <c r="A45" s="67"/>
      <c r="B45" s="67"/>
      <c r="C45" s="67"/>
      <c r="D45" s="67"/>
      <c r="E45" s="67"/>
      <c r="F45" s="67"/>
      <c r="G45" s="67"/>
      <c r="H45" s="67"/>
      <c r="I45" s="67"/>
      <c r="J45" s="67"/>
      <c r="K45" s="67"/>
      <c r="L45" s="67"/>
      <c r="M45" s="67"/>
      <c r="N45" s="67"/>
      <c r="O45" s="67"/>
      <c r="P45" s="67"/>
      <c r="Q45" s="67"/>
    </row>
    <row r="46" spans="1:17" x14ac:dyDescent="0.25">
      <c r="A46" s="67"/>
      <c r="B46" s="67"/>
      <c r="C46" s="67"/>
      <c r="D46" s="67"/>
      <c r="E46" s="67"/>
      <c r="F46" s="67"/>
      <c r="G46" s="67"/>
      <c r="H46" s="67"/>
      <c r="I46" s="67"/>
      <c r="J46" s="67"/>
      <c r="K46" s="67"/>
      <c r="L46" s="67"/>
      <c r="M46" s="67"/>
      <c r="N46" s="67"/>
      <c r="O46" s="67"/>
      <c r="P46" s="67"/>
      <c r="Q46" s="67"/>
    </row>
    <row r="47" spans="1:17" x14ac:dyDescent="0.25">
      <c r="A47" s="67"/>
      <c r="B47" s="67"/>
      <c r="C47" s="67"/>
      <c r="D47" s="67"/>
      <c r="E47" s="67"/>
      <c r="F47" s="67"/>
      <c r="G47" s="67"/>
      <c r="H47" s="67"/>
      <c r="I47" s="67"/>
      <c r="J47" s="67"/>
      <c r="K47" s="67"/>
      <c r="L47" s="67"/>
      <c r="M47" s="67"/>
      <c r="N47" s="67"/>
      <c r="O47" s="67"/>
      <c r="P47" s="67"/>
      <c r="Q47" s="67"/>
    </row>
    <row r="48" spans="1:17" x14ac:dyDescent="0.25">
      <c r="A48" s="67"/>
      <c r="B48" s="67"/>
      <c r="C48" s="67"/>
      <c r="D48" s="67"/>
      <c r="E48" s="67"/>
      <c r="F48" s="67"/>
      <c r="G48" s="67"/>
      <c r="H48" s="67"/>
      <c r="I48" s="67"/>
      <c r="J48" s="67"/>
      <c r="K48" s="67"/>
      <c r="L48" s="67"/>
      <c r="M48" s="67"/>
      <c r="N48" s="67"/>
      <c r="O48" s="67"/>
      <c r="P48" s="67"/>
      <c r="Q48" s="67"/>
    </row>
    <row r="49" spans="1:17" x14ac:dyDescent="0.25">
      <c r="A49" s="67"/>
      <c r="B49" s="67"/>
      <c r="C49" s="67"/>
      <c r="D49" s="67"/>
      <c r="E49" s="67"/>
      <c r="F49" s="67"/>
      <c r="G49" s="67"/>
      <c r="H49" s="67"/>
      <c r="I49" s="67"/>
      <c r="J49" s="67"/>
      <c r="K49" s="67"/>
      <c r="L49" s="67"/>
      <c r="M49" s="67"/>
      <c r="N49" s="67"/>
      <c r="O49" s="67"/>
      <c r="P49" s="67"/>
      <c r="Q49" s="67"/>
    </row>
    <row r="50" spans="1:17" x14ac:dyDescent="0.25">
      <c r="A50" s="67"/>
      <c r="B50" s="67"/>
      <c r="C50" s="67"/>
      <c r="D50" s="67"/>
      <c r="E50" s="67"/>
      <c r="F50" s="67"/>
      <c r="G50" s="67"/>
      <c r="H50" s="67"/>
      <c r="I50" s="67"/>
      <c r="J50" s="67"/>
      <c r="K50" s="67"/>
      <c r="L50" s="67"/>
      <c r="M50" s="67"/>
      <c r="N50" s="67"/>
      <c r="O50" s="67"/>
      <c r="P50" s="67"/>
      <c r="Q50" s="67"/>
    </row>
    <row r="51" spans="1:17" x14ac:dyDescent="0.25">
      <c r="A51" s="67"/>
      <c r="B51" s="67"/>
      <c r="C51" s="67"/>
      <c r="D51" s="67"/>
      <c r="E51" s="67"/>
      <c r="F51" s="67"/>
      <c r="G51" s="67"/>
      <c r="H51" s="67"/>
      <c r="I51" s="67"/>
      <c r="J51" s="67"/>
      <c r="K51" s="67"/>
      <c r="L51" s="67"/>
      <c r="M51" s="67"/>
      <c r="N51" s="67"/>
      <c r="O51" s="67"/>
      <c r="P51" s="67"/>
      <c r="Q51" s="67"/>
    </row>
    <row r="52" spans="1:17" x14ac:dyDescent="0.25">
      <c r="A52" s="67"/>
      <c r="B52" s="67"/>
      <c r="C52" s="67"/>
      <c r="D52" s="67"/>
      <c r="E52" s="67"/>
      <c r="F52" s="67"/>
      <c r="G52" s="67"/>
      <c r="H52" s="67"/>
      <c r="I52" s="67"/>
      <c r="J52" s="67"/>
      <c r="K52" s="67"/>
      <c r="L52" s="67"/>
      <c r="M52" s="67"/>
      <c r="N52" s="67"/>
      <c r="O52" s="67"/>
      <c r="P52" s="67"/>
      <c r="Q52" s="67"/>
    </row>
    <row r="53" spans="1:17" x14ac:dyDescent="0.25">
      <c r="A53" s="67"/>
      <c r="B53" s="67"/>
      <c r="C53" s="67"/>
      <c r="D53" s="67"/>
      <c r="E53" s="67"/>
      <c r="F53" s="67"/>
      <c r="G53" s="67"/>
      <c r="H53" s="67"/>
      <c r="I53" s="67"/>
      <c r="J53" s="67"/>
      <c r="K53" s="67"/>
      <c r="L53" s="67"/>
      <c r="M53" s="67"/>
      <c r="N53" s="67"/>
      <c r="O53" s="67"/>
      <c r="P53" s="67"/>
      <c r="Q53" s="67"/>
    </row>
    <row r="54" spans="1:17" x14ac:dyDescent="0.25">
      <c r="A54" s="67"/>
      <c r="B54" s="67"/>
      <c r="C54" s="67"/>
      <c r="D54" s="67"/>
      <c r="E54" s="67"/>
      <c r="F54" s="67"/>
      <c r="G54" s="67"/>
      <c r="H54" s="67"/>
      <c r="I54" s="67"/>
      <c r="J54" s="67"/>
      <c r="K54" s="67"/>
      <c r="L54" s="67"/>
      <c r="M54" s="67"/>
      <c r="N54" s="67"/>
      <c r="O54" s="67"/>
      <c r="P54" s="67"/>
      <c r="Q54" s="67"/>
    </row>
    <row r="55" spans="1:17" x14ac:dyDescent="0.25">
      <c r="A55" s="67"/>
      <c r="B55" s="67"/>
      <c r="C55" s="67"/>
      <c r="D55" s="67"/>
      <c r="E55" s="67"/>
      <c r="F55" s="67"/>
      <c r="G55" s="67"/>
      <c r="H55" s="67"/>
      <c r="I55" s="67"/>
      <c r="J55" s="67"/>
      <c r="K55" s="67"/>
      <c r="L55" s="67"/>
      <c r="M55" s="67"/>
      <c r="N55" s="67"/>
      <c r="O55" s="67"/>
      <c r="P55" s="67"/>
      <c r="Q55" s="67"/>
    </row>
    <row r="56" spans="1:17" x14ac:dyDescent="0.25">
      <c r="A56" s="67"/>
      <c r="B56" s="67"/>
      <c r="C56" s="67"/>
      <c r="D56" s="67"/>
      <c r="E56" s="67"/>
      <c r="F56" s="67"/>
      <c r="G56" s="67"/>
      <c r="H56" s="67"/>
      <c r="I56" s="67"/>
      <c r="J56" s="67"/>
      <c r="K56" s="67"/>
      <c r="L56" s="67"/>
      <c r="M56" s="67"/>
      <c r="N56" s="67"/>
      <c r="O56" s="67"/>
      <c r="P56" s="67"/>
      <c r="Q56" s="67"/>
    </row>
    <row r="57" spans="1:17" x14ac:dyDescent="0.25">
      <c r="A57" s="67"/>
      <c r="B57" s="67"/>
      <c r="C57" s="67"/>
      <c r="D57" s="67"/>
      <c r="E57" s="67"/>
      <c r="F57" s="67"/>
      <c r="G57" s="67"/>
      <c r="H57" s="67"/>
      <c r="I57" s="67"/>
      <c r="J57" s="67"/>
      <c r="K57" s="67"/>
      <c r="L57" s="67"/>
      <c r="M57" s="67"/>
      <c r="N57" s="67"/>
      <c r="O57" s="67"/>
      <c r="P57" s="67"/>
      <c r="Q57" s="67"/>
    </row>
    <row r="58" spans="1:17" x14ac:dyDescent="0.25">
      <c r="A58" s="67"/>
      <c r="B58" s="67"/>
      <c r="C58" s="67"/>
      <c r="D58" s="67"/>
      <c r="E58" s="67"/>
      <c r="F58" s="67"/>
      <c r="G58" s="67"/>
      <c r="H58" s="67"/>
      <c r="I58" s="67"/>
      <c r="J58" s="67"/>
      <c r="K58" s="67"/>
      <c r="L58" s="67"/>
      <c r="M58" s="67"/>
      <c r="N58" s="67"/>
      <c r="O58" s="67"/>
      <c r="P58" s="67"/>
      <c r="Q58" s="67"/>
    </row>
    <row r="59" spans="1:17" x14ac:dyDescent="0.25">
      <c r="A59" s="67"/>
      <c r="B59" s="67"/>
      <c r="C59" s="67"/>
      <c r="D59" s="67"/>
      <c r="E59" s="67"/>
      <c r="F59" s="67"/>
      <c r="G59" s="67"/>
      <c r="H59" s="67"/>
      <c r="I59" s="67"/>
      <c r="J59" s="67"/>
      <c r="K59" s="67"/>
      <c r="L59" s="67"/>
      <c r="M59" s="67"/>
      <c r="N59" s="67"/>
      <c r="O59" s="67"/>
      <c r="P59" s="67"/>
      <c r="Q59" s="67"/>
    </row>
    <row r="60" spans="1:17" x14ac:dyDescent="0.25">
      <c r="A60" s="67"/>
      <c r="B60" s="67"/>
      <c r="C60" s="67"/>
      <c r="D60" s="67"/>
      <c r="E60" s="67"/>
      <c r="F60" s="67"/>
      <c r="G60" s="67"/>
      <c r="H60" s="67"/>
      <c r="I60" s="67"/>
      <c r="J60" s="67"/>
      <c r="K60" s="67"/>
      <c r="L60" s="67"/>
      <c r="M60" s="67"/>
      <c r="N60" s="67"/>
      <c r="O60" s="67"/>
      <c r="P60" s="67"/>
      <c r="Q60" s="67"/>
    </row>
    <row r="61" spans="1:17" x14ac:dyDescent="0.25">
      <c r="A61" s="67"/>
      <c r="B61" s="67"/>
      <c r="C61" s="67"/>
      <c r="D61" s="67"/>
      <c r="E61" s="67"/>
      <c r="F61" s="67"/>
      <c r="G61" s="67"/>
      <c r="H61" s="67"/>
      <c r="I61" s="67"/>
      <c r="J61" s="67"/>
      <c r="K61" s="67"/>
      <c r="L61" s="67"/>
      <c r="M61" s="67"/>
      <c r="N61" s="67"/>
      <c r="O61" s="67"/>
      <c r="P61" s="67"/>
      <c r="Q61" s="67"/>
    </row>
    <row r="62" spans="1:17" x14ac:dyDescent="0.25">
      <c r="A62" s="67"/>
      <c r="B62" s="67"/>
      <c r="C62" s="67"/>
      <c r="D62" s="67"/>
      <c r="E62" s="67"/>
      <c r="F62" s="67"/>
      <c r="G62" s="67"/>
      <c r="H62" s="67"/>
      <c r="I62" s="67"/>
      <c r="J62" s="67"/>
      <c r="K62" s="67"/>
      <c r="L62" s="67"/>
      <c r="M62" s="67"/>
      <c r="N62" s="67"/>
      <c r="O62" s="67"/>
      <c r="P62" s="67"/>
      <c r="Q62" s="67"/>
    </row>
    <row r="63" spans="1:17" x14ac:dyDescent="0.25">
      <c r="A63" s="67"/>
      <c r="B63" s="67"/>
      <c r="C63" s="67"/>
      <c r="D63" s="67"/>
      <c r="E63" s="67"/>
      <c r="F63" s="67"/>
      <c r="G63" s="67"/>
      <c r="H63" s="67"/>
      <c r="I63" s="67"/>
      <c r="J63" s="67"/>
      <c r="K63" s="67"/>
      <c r="L63" s="67"/>
      <c r="M63" s="67"/>
      <c r="N63" s="67"/>
      <c r="O63" s="67"/>
      <c r="P63" s="67"/>
      <c r="Q63" s="67"/>
    </row>
    <row r="64" spans="1:17" x14ac:dyDescent="0.25">
      <c r="A64" s="67"/>
      <c r="B64" s="67"/>
      <c r="C64" s="67"/>
      <c r="D64" s="67"/>
      <c r="E64" s="67"/>
      <c r="F64" s="67"/>
      <c r="G64" s="67"/>
      <c r="H64" s="67"/>
      <c r="I64" s="67"/>
      <c r="J64" s="67"/>
      <c r="K64" s="67"/>
      <c r="L64" s="67"/>
      <c r="M64" s="67"/>
      <c r="N64" s="67"/>
      <c r="O64" s="67"/>
      <c r="P64" s="67"/>
      <c r="Q64" s="67"/>
    </row>
    <row r="65" spans="1:17" x14ac:dyDescent="0.25">
      <c r="A65" s="67"/>
      <c r="B65" s="67"/>
      <c r="C65" s="67"/>
      <c r="D65" s="67"/>
      <c r="E65" s="67"/>
      <c r="F65" s="67"/>
      <c r="G65" s="67"/>
      <c r="H65" s="67"/>
      <c r="I65" s="67"/>
      <c r="J65" s="67"/>
      <c r="K65" s="67"/>
      <c r="L65" s="67"/>
      <c r="M65" s="67"/>
      <c r="N65" s="67"/>
      <c r="O65" s="67"/>
      <c r="P65" s="67"/>
      <c r="Q65" s="67"/>
    </row>
    <row r="66" spans="1:17" x14ac:dyDescent="0.25">
      <c r="A66" s="67"/>
      <c r="B66" s="67"/>
      <c r="C66" s="67"/>
      <c r="D66" s="67"/>
      <c r="E66" s="67"/>
      <c r="F66" s="67"/>
      <c r="G66" s="67"/>
      <c r="H66" s="67"/>
      <c r="I66" s="67"/>
      <c r="J66" s="67"/>
      <c r="K66" s="67"/>
      <c r="L66" s="67"/>
      <c r="M66" s="67"/>
      <c r="N66" s="67"/>
      <c r="O66" s="67"/>
      <c r="P66" s="67"/>
      <c r="Q66" s="67"/>
    </row>
    <row r="67" spans="1:17" x14ac:dyDescent="0.25">
      <c r="A67" s="67"/>
      <c r="B67" s="67"/>
      <c r="C67" s="67"/>
      <c r="D67" s="67"/>
      <c r="E67" s="67"/>
      <c r="F67" s="67"/>
      <c r="G67" s="67"/>
      <c r="H67" s="67"/>
      <c r="I67" s="67"/>
      <c r="J67" s="67"/>
      <c r="K67" s="67"/>
      <c r="L67" s="67"/>
      <c r="M67" s="67"/>
      <c r="N67" s="67"/>
      <c r="O67" s="67"/>
      <c r="P67" s="67"/>
      <c r="Q67" s="67"/>
    </row>
    <row r="68" spans="1:17" x14ac:dyDescent="0.25">
      <c r="A68" s="67"/>
      <c r="B68" s="67"/>
      <c r="C68" s="67"/>
      <c r="D68" s="67"/>
      <c r="E68" s="67"/>
      <c r="F68" s="67"/>
      <c r="G68" s="67"/>
      <c r="H68" s="67"/>
      <c r="I68" s="67"/>
      <c r="J68" s="67"/>
      <c r="K68" s="67"/>
      <c r="L68" s="67"/>
      <c r="M68" s="67"/>
      <c r="N68" s="67"/>
      <c r="O68" s="67"/>
      <c r="P68" s="67"/>
      <c r="Q68" s="67"/>
    </row>
    <row r="69" spans="1:17" x14ac:dyDescent="0.25">
      <c r="A69" s="67"/>
      <c r="B69" s="67"/>
      <c r="C69" s="67"/>
      <c r="D69" s="67"/>
      <c r="E69" s="67"/>
      <c r="F69" s="67"/>
      <c r="G69" s="67"/>
      <c r="H69" s="67"/>
      <c r="I69" s="67"/>
      <c r="J69" s="67"/>
      <c r="K69" s="67"/>
      <c r="L69" s="67"/>
      <c r="M69" s="67"/>
      <c r="N69" s="67"/>
      <c r="O69" s="67"/>
      <c r="P69" s="67"/>
      <c r="Q69" s="67"/>
    </row>
    <row r="70" spans="1:17" x14ac:dyDescent="0.25">
      <c r="A70" s="67"/>
      <c r="B70" s="67"/>
      <c r="C70" s="67"/>
      <c r="D70" s="67"/>
      <c r="E70" s="67"/>
      <c r="F70" s="67"/>
      <c r="G70" s="67"/>
      <c r="H70" s="67"/>
      <c r="I70" s="67"/>
      <c r="J70" s="67"/>
      <c r="K70" s="67"/>
      <c r="L70" s="67"/>
      <c r="M70" s="67"/>
      <c r="N70" s="67"/>
      <c r="O70" s="67"/>
      <c r="P70" s="67"/>
      <c r="Q70" s="67"/>
    </row>
    <row r="71" spans="1:17" x14ac:dyDescent="0.25">
      <c r="A71" s="67"/>
      <c r="B71" s="67"/>
      <c r="C71" s="67"/>
      <c r="D71" s="67"/>
      <c r="E71" s="67"/>
      <c r="F71" s="67"/>
      <c r="G71" s="67"/>
      <c r="H71" s="67"/>
      <c r="I71" s="67"/>
      <c r="J71" s="67"/>
      <c r="K71" s="67"/>
      <c r="L71" s="67"/>
      <c r="M71" s="67"/>
      <c r="N71" s="67"/>
      <c r="O71" s="67"/>
      <c r="P71" s="67"/>
      <c r="Q71" s="67"/>
    </row>
    <row r="72" spans="1:17" x14ac:dyDescent="0.25">
      <c r="A72" s="67"/>
      <c r="B72" s="67"/>
      <c r="C72" s="67"/>
      <c r="D72" s="67"/>
      <c r="E72" s="67"/>
      <c r="F72" s="67"/>
      <c r="G72" s="67"/>
      <c r="H72" s="67"/>
      <c r="I72" s="67"/>
      <c r="J72" s="67"/>
      <c r="K72" s="67"/>
      <c r="L72" s="67"/>
      <c r="M72" s="67"/>
      <c r="N72" s="67"/>
      <c r="O72" s="67"/>
      <c r="P72" s="67"/>
      <c r="Q72" s="67"/>
    </row>
    <row r="73" spans="1:17" x14ac:dyDescent="0.25">
      <c r="A73" s="67"/>
      <c r="B73" s="67"/>
      <c r="C73" s="67"/>
      <c r="D73" s="67"/>
      <c r="E73" s="67"/>
      <c r="F73" s="67"/>
      <c r="G73" s="67"/>
      <c r="H73" s="67"/>
      <c r="I73" s="67"/>
      <c r="J73" s="67"/>
      <c r="K73" s="67"/>
      <c r="L73" s="67"/>
      <c r="M73" s="67"/>
      <c r="N73" s="67"/>
      <c r="O73" s="67"/>
      <c r="P73" s="67"/>
      <c r="Q73" s="67"/>
    </row>
    <row r="74" spans="1:17" x14ac:dyDescent="0.25">
      <c r="A74" s="67"/>
      <c r="B74" s="67"/>
      <c r="C74" s="67"/>
      <c r="D74" s="67"/>
      <c r="E74" s="67"/>
      <c r="F74" s="67"/>
      <c r="G74" s="67"/>
      <c r="H74" s="67"/>
      <c r="I74" s="67"/>
      <c r="J74" s="67"/>
      <c r="K74" s="67"/>
      <c r="L74" s="67"/>
      <c r="M74" s="67"/>
      <c r="N74" s="67"/>
      <c r="O74" s="67"/>
      <c r="P74" s="67"/>
      <c r="Q74" s="67"/>
    </row>
    <row r="75" spans="1:17" x14ac:dyDescent="0.25">
      <c r="A75" s="67"/>
      <c r="B75" s="67"/>
      <c r="C75" s="67"/>
      <c r="D75" s="67"/>
      <c r="E75" s="67"/>
      <c r="F75" s="67"/>
      <c r="G75" s="67"/>
      <c r="H75" s="67"/>
      <c r="I75" s="67"/>
      <c r="J75" s="67"/>
      <c r="K75" s="67"/>
      <c r="L75" s="67"/>
      <c r="M75" s="67"/>
      <c r="N75" s="67"/>
      <c r="O75" s="67"/>
      <c r="P75" s="67"/>
      <c r="Q75" s="67"/>
    </row>
    <row r="76" spans="1:17" x14ac:dyDescent="0.25">
      <c r="A76" s="67"/>
      <c r="B76" s="67"/>
      <c r="C76" s="67"/>
      <c r="D76" s="67"/>
      <c r="E76" s="67"/>
      <c r="F76" s="67"/>
      <c r="G76" s="67"/>
      <c r="H76" s="67"/>
      <c r="I76" s="67"/>
      <c r="J76" s="67"/>
      <c r="K76" s="67"/>
      <c r="L76" s="67"/>
      <c r="M76" s="67"/>
      <c r="N76" s="67"/>
      <c r="O76" s="67"/>
      <c r="P76" s="67"/>
      <c r="Q76" s="67"/>
    </row>
    <row r="77" spans="1:17" x14ac:dyDescent="0.25">
      <c r="A77" s="67"/>
      <c r="B77" s="67"/>
      <c r="C77" s="67"/>
      <c r="D77" s="67"/>
      <c r="E77" s="67"/>
      <c r="F77" s="67"/>
      <c r="G77" s="67"/>
      <c r="H77" s="67"/>
      <c r="I77" s="67"/>
      <c r="J77" s="67"/>
      <c r="K77" s="67"/>
      <c r="L77" s="67"/>
      <c r="M77" s="67"/>
      <c r="N77" s="67"/>
      <c r="O77" s="67"/>
      <c r="P77" s="67"/>
      <c r="Q77" s="67"/>
    </row>
    <row r="78" spans="1:17" x14ac:dyDescent="0.25">
      <c r="A78" s="67"/>
      <c r="B78" s="67"/>
      <c r="C78" s="67"/>
      <c r="D78" s="67"/>
      <c r="E78" s="67"/>
      <c r="F78" s="67"/>
      <c r="G78" s="67"/>
      <c r="H78" s="67"/>
      <c r="I78" s="67"/>
      <c r="J78" s="67"/>
      <c r="K78" s="67"/>
      <c r="L78" s="67"/>
      <c r="M78" s="67"/>
      <c r="N78" s="67"/>
      <c r="O78" s="67"/>
      <c r="P78" s="67"/>
      <c r="Q78" s="67"/>
    </row>
    <row r="79" spans="1:17" x14ac:dyDescent="0.25">
      <c r="A79" s="67"/>
      <c r="B79" s="67"/>
      <c r="C79" s="67"/>
      <c r="D79" s="67"/>
      <c r="E79" s="67"/>
      <c r="F79" s="67"/>
      <c r="G79" s="67"/>
      <c r="H79" s="67"/>
      <c r="I79" s="67"/>
      <c r="J79" s="67"/>
      <c r="K79" s="67"/>
      <c r="L79" s="67"/>
      <c r="M79" s="67"/>
      <c r="N79" s="67"/>
      <c r="O79" s="67"/>
      <c r="P79" s="67"/>
      <c r="Q79" s="67"/>
    </row>
    <row r="80" spans="1:17" x14ac:dyDescent="0.25">
      <c r="A80" s="67"/>
      <c r="B80" s="67"/>
      <c r="C80" s="67"/>
      <c r="D80" s="67"/>
      <c r="E80" s="67"/>
      <c r="F80" s="67"/>
      <c r="G80" s="67"/>
      <c r="H80" s="67"/>
      <c r="I80" s="67"/>
      <c r="J80" s="67"/>
      <c r="K80" s="67"/>
      <c r="L80" s="67"/>
      <c r="M80" s="67"/>
      <c r="N80" s="67"/>
      <c r="O80" s="67"/>
      <c r="P80" s="67"/>
      <c r="Q80" s="67"/>
    </row>
    <row r="81" spans="1:17" x14ac:dyDescent="0.25">
      <c r="A81" s="67"/>
      <c r="B81" s="67"/>
      <c r="C81" s="67"/>
      <c r="D81" s="67"/>
      <c r="E81" s="67"/>
      <c r="F81" s="67"/>
      <c r="G81" s="67"/>
      <c r="H81" s="67"/>
      <c r="I81" s="67"/>
      <c r="J81" s="67"/>
      <c r="K81" s="67"/>
      <c r="L81" s="67"/>
      <c r="M81" s="67"/>
      <c r="N81" s="67"/>
      <c r="O81" s="67"/>
      <c r="P81" s="67"/>
      <c r="Q81" s="67"/>
    </row>
    <row r="82" spans="1:17" x14ac:dyDescent="0.25">
      <c r="A82" s="67"/>
      <c r="B82" s="67"/>
      <c r="C82" s="67"/>
      <c r="D82" s="67"/>
      <c r="E82" s="67"/>
      <c r="F82" s="67"/>
      <c r="G82" s="67"/>
      <c r="H82" s="67"/>
      <c r="I82" s="67"/>
      <c r="J82" s="67"/>
      <c r="K82" s="67"/>
      <c r="L82" s="67"/>
      <c r="M82" s="67"/>
      <c r="N82" s="67"/>
      <c r="O82" s="67"/>
      <c r="P82" s="67"/>
      <c r="Q82" s="67"/>
    </row>
    <row r="83" spans="1:17" x14ac:dyDescent="0.25">
      <c r="A83" s="67"/>
      <c r="B83" s="67"/>
      <c r="C83" s="67"/>
      <c r="D83" s="67"/>
      <c r="E83" s="67"/>
      <c r="F83" s="67"/>
      <c r="G83" s="67"/>
      <c r="H83" s="67"/>
      <c r="I83" s="67"/>
      <c r="J83" s="67"/>
      <c r="K83" s="67"/>
      <c r="L83" s="67"/>
      <c r="M83" s="67"/>
      <c r="N83" s="67"/>
      <c r="O83" s="67"/>
      <c r="P83" s="67"/>
      <c r="Q83" s="67"/>
    </row>
    <row r="84" spans="1:17" x14ac:dyDescent="0.25">
      <c r="A84" s="67"/>
      <c r="B84" s="67"/>
      <c r="C84" s="67"/>
      <c r="D84" s="67"/>
      <c r="E84" s="67"/>
      <c r="F84" s="67"/>
      <c r="G84" s="67"/>
      <c r="H84" s="67"/>
      <c r="I84" s="67"/>
      <c r="J84" s="67"/>
      <c r="K84" s="67"/>
      <c r="L84" s="67"/>
      <c r="M84" s="67"/>
      <c r="N84" s="67"/>
      <c r="O84" s="67"/>
      <c r="P84" s="67"/>
      <c r="Q84" s="67"/>
    </row>
    <row r="85" spans="1:17" x14ac:dyDescent="0.25">
      <c r="A85" s="67"/>
      <c r="B85" s="67"/>
      <c r="C85" s="67"/>
      <c r="D85" s="67"/>
      <c r="E85" s="67"/>
      <c r="F85" s="67"/>
      <c r="G85" s="67"/>
      <c r="H85" s="67"/>
      <c r="I85" s="67"/>
      <c r="J85" s="67"/>
      <c r="K85" s="67"/>
      <c r="L85" s="67"/>
      <c r="M85" s="67"/>
      <c r="N85" s="67"/>
      <c r="O85" s="67"/>
      <c r="P85" s="67"/>
      <c r="Q85" s="67"/>
    </row>
    <row r="86" spans="1:17" x14ac:dyDescent="0.25">
      <c r="A86" s="67"/>
      <c r="B86" s="67"/>
      <c r="C86" s="67"/>
      <c r="D86" s="67"/>
      <c r="E86" s="67"/>
      <c r="F86" s="67"/>
      <c r="G86" s="67"/>
      <c r="H86" s="67"/>
      <c r="I86" s="67"/>
      <c r="J86" s="67"/>
      <c r="K86" s="67"/>
      <c r="L86" s="67"/>
      <c r="M86" s="67"/>
      <c r="N86" s="67"/>
      <c r="O86" s="67"/>
      <c r="P86" s="67"/>
      <c r="Q86" s="67"/>
    </row>
    <row r="87" spans="1:17" x14ac:dyDescent="0.25">
      <c r="A87" s="67"/>
      <c r="B87" s="67"/>
      <c r="C87" s="67"/>
      <c r="D87" s="67"/>
      <c r="E87" s="67"/>
      <c r="F87" s="67"/>
      <c r="G87" s="67"/>
      <c r="H87" s="67"/>
      <c r="I87" s="67"/>
      <c r="J87" s="67"/>
      <c r="K87" s="67"/>
      <c r="L87" s="67"/>
      <c r="M87" s="67"/>
      <c r="N87" s="67"/>
      <c r="O87" s="67"/>
      <c r="P87" s="67"/>
      <c r="Q87" s="67"/>
    </row>
    <row r="88" spans="1:17" x14ac:dyDescent="0.25">
      <c r="A88" s="67"/>
      <c r="B88" s="67"/>
      <c r="C88" s="67"/>
      <c r="D88" s="67"/>
      <c r="E88" s="67"/>
      <c r="F88" s="67"/>
      <c r="G88" s="67"/>
      <c r="H88" s="67"/>
      <c r="I88" s="67"/>
      <c r="J88" s="67"/>
      <c r="K88" s="67"/>
      <c r="L88" s="67"/>
      <c r="M88" s="67"/>
      <c r="N88" s="67"/>
      <c r="O88" s="67"/>
      <c r="P88" s="67"/>
      <c r="Q88" s="67"/>
    </row>
    <row r="89" spans="1:17" x14ac:dyDescent="0.25">
      <c r="A89" s="67"/>
      <c r="B89" s="67"/>
      <c r="C89" s="67"/>
      <c r="D89" s="67"/>
      <c r="E89" s="67"/>
      <c r="F89" s="67"/>
      <c r="G89" s="67"/>
      <c r="H89" s="67"/>
      <c r="I89" s="67"/>
      <c r="J89" s="67"/>
      <c r="K89" s="67"/>
      <c r="L89" s="67"/>
      <c r="M89" s="67"/>
      <c r="N89" s="67"/>
      <c r="O89" s="67"/>
      <c r="P89" s="67"/>
      <c r="Q89" s="67"/>
    </row>
    <row r="90" spans="1:17" x14ac:dyDescent="0.25">
      <c r="A90" s="67"/>
      <c r="B90" s="67"/>
      <c r="C90" s="67"/>
      <c r="D90" s="67"/>
      <c r="E90" s="67"/>
      <c r="F90" s="67"/>
      <c r="G90" s="67"/>
      <c r="H90" s="67"/>
      <c r="I90" s="67"/>
      <c r="J90" s="67"/>
      <c r="K90" s="67"/>
      <c r="L90" s="67"/>
      <c r="M90" s="67"/>
      <c r="N90" s="67"/>
      <c r="O90" s="67"/>
      <c r="P90" s="67"/>
      <c r="Q90" s="67"/>
    </row>
    <row r="91" spans="1:17" x14ac:dyDescent="0.25">
      <c r="A91" s="67"/>
      <c r="B91" s="67"/>
      <c r="C91" s="67"/>
      <c r="D91" s="67"/>
      <c r="E91" s="67"/>
      <c r="F91" s="67"/>
      <c r="G91" s="67"/>
      <c r="H91" s="67"/>
      <c r="I91" s="67"/>
      <c r="J91" s="67"/>
      <c r="K91" s="67"/>
      <c r="L91" s="67"/>
      <c r="M91" s="67"/>
      <c r="N91" s="67"/>
      <c r="O91" s="67"/>
      <c r="P91" s="67"/>
      <c r="Q91" s="67"/>
    </row>
    <row r="92" spans="1:17" x14ac:dyDescent="0.25">
      <c r="A92" s="67"/>
      <c r="B92" s="67"/>
      <c r="C92" s="67"/>
      <c r="D92" s="67"/>
      <c r="E92" s="67"/>
      <c r="F92" s="67"/>
      <c r="G92" s="67"/>
      <c r="H92" s="67"/>
      <c r="I92" s="67"/>
      <c r="J92" s="67"/>
      <c r="K92" s="67"/>
      <c r="L92" s="67"/>
      <c r="M92" s="67"/>
      <c r="N92" s="67"/>
      <c r="O92" s="67"/>
      <c r="P92" s="67"/>
      <c r="Q92" s="67"/>
    </row>
    <row r="93" spans="1:17" x14ac:dyDescent="0.25">
      <c r="A93" s="67"/>
      <c r="B93" s="67"/>
      <c r="C93" s="67"/>
      <c r="D93" s="67"/>
      <c r="E93" s="67"/>
      <c r="F93" s="67"/>
      <c r="G93" s="67"/>
      <c r="H93" s="67"/>
      <c r="I93" s="67"/>
      <c r="J93" s="67"/>
      <c r="K93" s="67"/>
      <c r="L93" s="67"/>
      <c r="M93" s="67"/>
      <c r="N93" s="67"/>
      <c r="O93" s="67"/>
      <c r="P93" s="67"/>
      <c r="Q93" s="67"/>
    </row>
    <row r="94" spans="1:17" x14ac:dyDescent="0.25">
      <c r="A94" s="67"/>
      <c r="B94" s="67"/>
      <c r="C94" s="67"/>
      <c r="D94" s="67"/>
      <c r="E94" s="67"/>
      <c r="F94" s="67"/>
      <c r="G94" s="67"/>
      <c r="H94" s="67"/>
      <c r="I94" s="67"/>
      <c r="J94" s="67"/>
      <c r="K94" s="67"/>
      <c r="L94" s="67"/>
      <c r="M94" s="67"/>
      <c r="N94" s="67"/>
      <c r="O94" s="67"/>
      <c r="P94" s="67"/>
      <c r="Q94" s="67"/>
    </row>
    <row r="95" spans="1:17" x14ac:dyDescent="0.25">
      <c r="A95" s="67"/>
      <c r="B95" s="67"/>
      <c r="C95" s="67"/>
      <c r="D95" s="67"/>
      <c r="E95" s="67"/>
      <c r="F95" s="67"/>
      <c r="G95" s="67"/>
      <c r="H95" s="67"/>
      <c r="I95" s="67"/>
      <c r="J95" s="67"/>
      <c r="K95" s="67"/>
      <c r="L95" s="67"/>
      <c r="M95" s="67"/>
      <c r="N95" s="67"/>
      <c r="O95" s="67"/>
      <c r="P95" s="67"/>
      <c r="Q95" s="67"/>
    </row>
    <row r="96" spans="1:17" x14ac:dyDescent="0.25">
      <c r="A96" s="67"/>
      <c r="B96" s="67"/>
      <c r="C96" s="67"/>
      <c r="D96" s="67"/>
      <c r="E96" s="67"/>
      <c r="F96" s="67"/>
      <c r="G96" s="67"/>
      <c r="H96" s="67"/>
      <c r="I96" s="67"/>
      <c r="J96" s="67"/>
      <c r="K96" s="67"/>
      <c r="L96" s="67"/>
      <c r="M96" s="67"/>
      <c r="N96" s="67"/>
      <c r="O96" s="67"/>
      <c r="P96" s="67"/>
      <c r="Q96" s="67"/>
    </row>
    <row r="97" spans="1:17" x14ac:dyDescent="0.25">
      <c r="A97" s="67"/>
      <c r="B97" s="67"/>
      <c r="C97" s="67"/>
      <c r="D97" s="67"/>
      <c r="E97" s="67"/>
      <c r="F97" s="67"/>
      <c r="G97" s="67"/>
      <c r="H97" s="67"/>
      <c r="I97" s="67"/>
      <c r="J97" s="67"/>
      <c r="K97" s="67"/>
      <c r="L97" s="67"/>
      <c r="M97" s="67"/>
      <c r="N97" s="67"/>
      <c r="O97" s="67"/>
      <c r="P97" s="67"/>
      <c r="Q97" s="67"/>
    </row>
    <row r="98" spans="1:17" x14ac:dyDescent="0.25">
      <c r="A98" s="67"/>
      <c r="B98" s="67"/>
      <c r="C98" s="67"/>
      <c r="D98" s="67"/>
      <c r="E98" s="67"/>
      <c r="F98" s="67"/>
      <c r="G98" s="67"/>
      <c r="H98" s="67"/>
      <c r="I98" s="67"/>
      <c r="J98" s="67"/>
      <c r="K98" s="67"/>
      <c r="L98" s="67"/>
      <c r="M98" s="67"/>
      <c r="N98" s="67"/>
      <c r="O98" s="67"/>
      <c r="P98" s="67"/>
      <c r="Q98" s="67"/>
    </row>
    <row r="99" spans="1:17" x14ac:dyDescent="0.25">
      <c r="A99" s="67"/>
      <c r="B99" s="67"/>
      <c r="C99" s="67"/>
      <c r="D99" s="67"/>
      <c r="E99" s="67"/>
      <c r="F99" s="67"/>
      <c r="G99" s="67"/>
      <c r="H99" s="67"/>
      <c r="I99" s="67"/>
      <c r="J99" s="67"/>
      <c r="K99" s="67"/>
      <c r="L99" s="67"/>
      <c r="M99" s="67"/>
      <c r="N99" s="67"/>
      <c r="O99" s="67"/>
      <c r="P99" s="67"/>
      <c r="Q99" s="67"/>
    </row>
    <row r="100" spans="1:17" x14ac:dyDescent="0.25">
      <c r="A100" s="67"/>
      <c r="B100" s="67"/>
      <c r="C100" s="67"/>
      <c r="D100" s="67"/>
      <c r="E100" s="67"/>
      <c r="F100" s="67"/>
      <c r="G100" s="67"/>
      <c r="H100" s="67"/>
      <c r="I100" s="67"/>
      <c r="J100" s="67"/>
      <c r="K100" s="67"/>
      <c r="L100" s="67"/>
      <c r="M100" s="67"/>
      <c r="N100" s="67"/>
      <c r="O100" s="67"/>
      <c r="P100" s="67"/>
      <c r="Q100" s="67"/>
    </row>
    <row r="101" spans="1:17" x14ac:dyDescent="0.25">
      <c r="A101" s="67"/>
      <c r="B101" s="67"/>
      <c r="C101" s="67"/>
      <c r="D101" s="67"/>
      <c r="E101" s="67"/>
      <c r="F101" s="67"/>
      <c r="G101" s="67"/>
      <c r="H101" s="67"/>
      <c r="I101" s="67"/>
      <c r="J101" s="67"/>
      <c r="K101" s="67"/>
      <c r="L101" s="67"/>
      <c r="M101" s="67"/>
      <c r="N101" s="67"/>
      <c r="O101" s="67"/>
      <c r="P101" s="67"/>
      <c r="Q101" s="67"/>
    </row>
    <row r="102" spans="1:17" x14ac:dyDescent="0.25">
      <c r="A102" s="67"/>
      <c r="B102" s="67"/>
      <c r="C102" s="67"/>
      <c r="D102" s="67"/>
      <c r="E102" s="67"/>
      <c r="F102" s="67"/>
      <c r="G102" s="67"/>
      <c r="H102" s="67"/>
      <c r="I102" s="67"/>
      <c r="J102" s="67"/>
      <c r="K102" s="67"/>
      <c r="L102" s="67"/>
      <c r="M102" s="67"/>
      <c r="N102" s="67"/>
      <c r="O102" s="67"/>
      <c r="P102" s="67"/>
      <c r="Q102" s="67"/>
    </row>
    <row r="103" spans="1:17" x14ac:dyDescent="0.25">
      <c r="A103" s="67"/>
      <c r="B103" s="67"/>
      <c r="C103" s="67"/>
      <c r="D103" s="67"/>
      <c r="E103" s="67"/>
      <c r="F103" s="67"/>
      <c r="G103" s="67"/>
      <c r="H103" s="67"/>
      <c r="I103" s="67"/>
      <c r="J103" s="67"/>
      <c r="K103" s="67"/>
      <c r="L103" s="67"/>
      <c r="M103" s="67"/>
      <c r="N103" s="67"/>
      <c r="O103" s="67"/>
      <c r="P103" s="67"/>
      <c r="Q103" s="67"/>
    </row>
    <row r="104" spans="1:17" x14ac:dyDescent="0.25">
      <c r="A104" s="67"/>
      <c r="B104" s="67"/>
      <c r="C104" s="67"/>
      <c r="D104" s="67"/>
      <c r="E104" s="67"/>
      <c r="F104" s="67"/>
      <c r="G104" s="67"/>
      <c r="H104" s="67"/>
      <c r="I104" s="67"/>
      <c r="J104" s="67"/>
      <c r="K104" s="67"/>
      <c r="L104" s="67"/>
      <c r="M104" s="67"/>
      <c r="N104" s="67"/>
      <c r="O104" s="67"/>
      <c r="P104" s="67"/>
      <c r="Q104" s="67"/>
    </row>
    <row r="105" spans="1:17" x14ac:dyDescent="0.25">
      <c r="A105" s="67"/>
      <c r="B105" s="67"/>
      <c r="C105" s="67"/>
      <c r="D105" s="67"/>
      <c r="E105" s="67"/>
      <c r="F105" s="67"/>
      <c r="G105" s="67"/>
      <c r="H105" s="67"/>
      <c r="I105" s="67"/>
      <c r="J105" s="67"/>
      <c r="K105" s="67"/>
      <c r="L105" s="67"/>
      <c r="M105" s="67"/>
      <c r="N105" s="67"/>
      <c r="O105" s="67"/>
      <c r="P105" s="67"/>
      <c r="Q105" s="67"/>
    </row>
    <row r="106" spans="1:17" x14ac:dyDescent="0.25">
      <c r="A106" s="67"/>
      <c r="B106" s="67"/>
      <c r="C106" s="67"/>
      <c r="D106" s="67"/>
      <c r="E106" s="67"/>
      <c r="F106" s="67"/>
      <c r="G106" s="67"/>
      <c r="H106" s="67"/>
      <c r="I106" s="67"/>
      <c r="J106" s="67"/>
      <c r="K106" s="67"/>
      <c r="L106" s="67"/>
      <c r="M106" s="67"/>
      <c r="N106" s="67"/>
      <c r="O106" s="67"/>
      <c r="P106" s="67"/>
      <c r="Q106" s="67"/>
    </row>
    <row r="107" spans="1:17" x14ac:dyDescent="0.25">
      <c r="A107" s="67"/>
      <c r="B107" s="67"/>
      <c r="C107" s="67"/>
      <c r="D107" s="67"/>
      <c r="E107" s="67"/>
      <c r="F107" s="67"/>
      <c r="G107" s="67"/>
      <c r="H107" s="67"/>
      <c r="I107" s="67"/>
      <c r="J107" s="67"/>
      <c r="K107" s="67"/>
      <c r="L107" s="67"/>
      <c r="M107" s="67"/>
      <c r="N107" s="67"/>
      <c r="O107" s="67"/>
      <c r="P107" s="67"/>
      <c r="Q107" s="67"/>
    </row>
    <row r="108" spans="1:17" x14ac:dyDescent="0.25">
      <c r="A108" s="67"/>
      <c r="B108" s="67"/>
      <c r="C108" s="67"/>
      <c r="D108" s="67"/>
      <c r="E108" s="67"/>
      <c r="F108" s="67"/>
      <c r="G108" s="67"/>
      <c r="H108" s="67"/>
      <c r="I108" s="67"/>
      <c r="J108" s="67"/>
      <c r="K108" s="67"/>
      <c r="L108" s="67"/>
      <c r="M108" s="67"/>
      <c r="N108" s="67"/>
      <c r="O108" s="67"/>
      <c r="P108" s="67"/>
      <c r="Q108" s="67"/>
    </row>
    <row r="109" spans="1:17" x14ac:dyDescent="0.25">
      <c r="A109" s="67"/>
      <c r="B109" s="67"/>
      <c r="C109" s="67"/>
      <c r="D109" s="67"/>
      <c r="E109" s="67"/>
      <c r="F109" s="67"/>
      <c r="G109" s="67"/>
      <c r="H109" s="67"/>
      <c r="I109" s="67"/>
      <c r="J109" s="67"/>
      <c r="K109" s="67"/>
      <c r="L109" s="67"/>
      <c r="M109" s="67"/>
      <c r="N109" s="67"/>
      <c r="O109" s="67"/>
      <c r="P109" s="67"/>
      <c r="Q109" s="67"/>
    </row>
    <row r="110" spans="1:17" x14ac:dyDescent="0.25">
      <c r="A110" s="67"/>
      <c r="B110" s="67"/>
      <c r="C110" s="67"/>
      <c r="D110" s="67"/>
      <c r="E110" s="67"/>
      <c r="F110" s="67"/>
      <c r="G110" s="67"/>
      <c r="H110" s="67"/>
      <c r="I110" s="67"/>
      <c r="J110" s="67"/>
      <c r="K110" s="67"/>
      <c r="L110" s="67"/>
      <c r="M110" s="67"/>
      <c r="N110" s="67"/>
      <c r="O110" s="67"/>
      <c r="P110" s="67"/>
      <c r="Q110" s="67"/>
    </row>
    <row r="111" spans="1:17" x14ac:dyDescent="0.25">
      <c r="A111" s="67"/>
      <c r="B111" s="67"/>
      <c r="C111" s="67"/>
      <c r="D111" s="67"/>
      <c r="E111" s="67"/>
      <c r="F111" s="67"/>
      <c r="G111" s="67"/>
      <c r="H111" s="67"/>
      <c r="I111" s="67"/>
      <c r="J111" s="67"/>
      <c r="K111" s="67"/>
      <c r="L111" s="67"/>
      <c r="M111" s="67"/>
      <c r="N111" s="67"/>
      <c r="O111" s="67"/>
      <c r="P111" s="67"/>
      <c r="Q111" s="67"/>
    </row>
    <row r="112" spans="1:17" x14ac:dyDescent="0.25">
      <c r="A112" s="67"/>
      <c r="B112" s="67"/>
      <c r="C112" s="67"/>
      <c r="D112" s="67"/>
      <c r="E112" s="67"/>
    </row>
    <row r="113" spans="1:5" x14ac:dyDescent="0.25">
      <c r="A113" s="67"/>
      <c r="B113" s="67"/>
      <c r="C113" s="67"/>
      <c r="D113" s="67"/>
      <c r="E113" s="67"/>
    </row>
    <row r="114" spans="1:5" x14ac:dyDescent="0.25">
      <c r="A114" s="67"/>
      <c r="B114" s="67"/>
      <c r="C114" s="67"/>
      <c r="D114" s="67"/>
      <c r="E114" s="67"/>
    </row>
  </sheetData>
  <mergeCells count="22">
    <mergeCell ref="H14:L14"/>
    <mergeCell ref="M14:Q14"/>
    <mergeCell ref="H12:L12"/>
    <mergeCell ref="H13:L13"/>
    <mergeCell ref="M13:Q13"/>
    <mergeCell ref="M12:Q12"/>
    <mergeCell ref="A2:E2"/>
    <mergeCell ref="H2:K2"/>
    <mergeCell ref="H4:Q4"/>
    <mergeCell ref="H11:L11"/>
    <mergeCell ref="H5:L5"/>
    <mergeCell ref="H8:L8"/>
    <mergeCell ref="M5:Q5"/>
    <mergeCell ref="M6:Q6"/>
    <mergeCell ref="H6:L6"/>
    <mergeCell ref="M9:Q9"/>
    <mergeCell ref="H9:L9"/>
    <mergeCell ref="M7:Q7"/>
    <mergeCell ref="M10:Q10"/>
    <mergeCell ref="H7:L7"/>
    <mergeCell ref="M8:Q8"/>
    <mergeCell ref="M11:Q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FA8BE-87C2-4C2C-A4E3-F0ED265B0191}">
  <sheetPr codeName="Sheet6"/>
  <dimension ref="A2:N36"/>
  <sheetViews>
    <sheetView workbookViewId="0">
      <selection activeCell="A22" sqref="A22"/>
    </sheetView>
  </sheetViews>
  <sheetFormatPr defaultColWidth="9" defaultRowHeight="15" x14ac:dyDescent="0.25"/>
  <cols>
    <col min="8" max="8" width="9.7109375" customWidth="1"/>
  </cols>
  <sheetData>
    <row r="2" spans="1:14" ht="18.75" x14ac:dyDescent="0.3">
      <c r="A2" s="62" t="s">
        <v>111</v>
      </c>
    </row>
    <row r="4" spans="1:14" ht="17.25" x14ac:dyDescent="0.3">
      <c r="A4" s="66" t="s">
        <v>110</v>
      </c>
      <c r="B4" s="61"/>
      <c r="C4" s="61"/>
      <c r="D4" s="61"/>
      <c r="E4" s="61"/>
    </row>
    <row r="5" spans="1:14" ht="17.25" x14ac:dyDescent="0.3">
      <c r="A5" s="65"/>
    </row>
    <row r="6" spans="1:14" ht="17.25" x14ac:dyDescent="0.3">
      <c r="A6" s="65" t="s">
        <v>113</v>
      </c>
      <c r="H6" s="60"/>
      <c r="I6" s="60"/>
      <c r="J6" s="60"/>
      <c r="K6" s="60"/>
      <c r="L6" s="60"/>
      <c r="M6" s="60"/>
      <c r="N6" s="60"/>
    </row>
    <row r="7" spans="1:14" ht="17.25" x14ac:dyDescent="0.3">
      <c r="A7" s="65" t="s">
        <v>109</v>
      </c>
    </row>
    <row r="8" spans="1:14" ht="17.25" x14ac:dyDescent="0.3">
      <c r="A8" s="65" t="s">
        <v>108</v>
      </c>
    </row>
    <row r="9" spans="1:14" ht="17.25" x14ac:dyDescent="0.3">
      <c r="A9" s="65" t="s">
        <v>107</v>
      </c>
    </row>
    <row r="10" spans="1:14" s="69" customFormat="1" ht="17.25" x14ac:dyDescent="0.3">
      <c r="A10" s="65" t="s">
        <v>122</v>
      </c>
    </row>
    <row r="11" spans="1:14" ht="17.25" x14ac:dyDescent="0.3">
      <c r="A11" s="65" t="s">
        <v>106</v>
      </c>
    </row>
    <row r="12" spans="1:14" ht="17.25" x14ac:dyDescent="0.3">
      <c r="A12" s="65"/>
    </row>
    <row r="13" spans="1:14" ht="17.25" x14ac:dyDescent="0.3">
      <c r="A13" s="66" t="s">
        <v>105</v>
      </c>
    </row>
    <row r="14" spans="1:14" ht="17.25" x14ac:dyDescent="0.3">
      <c r="A14" s="65"/>
    </row>
    <row r="15" spans="1:14" ht="17.25" x14ac:dyDescent="0.3">
      <c r="A15" s="65" t="s">
        <v>104</v>
      </c>
    </row>
    <row r="16" spans="1:14" ht="17.25" x14ac:dyDescent="0.3">
      <c r="A16" s="65"/>
    </row>
    <row r="17" spans="1:14" ht="17.25" x14ac:dyDescent="0.3">
      <c r="A17" s="64" t="s">
        <v>103</v>
      </c>
    </row>
    <row r="18" spans="1:14" ht="17.25" x14ac:dyDescent="0.3">
      <c r="A18" s="63" t="s">
        <v>112</v>
      </c>
    </row>
    <row r="19" spans="1:14" ht="17.25" x14ac:dyDescent="0.3">
      <c r="A19" s="63" t="s">
        <v>121</v>
      </c>
    </row>
    <row r="20" spans="1:14" x14ac:dyDescent="0.25">
      <c r="A20" s="59"/>
      <c r="G20" s="425"/>
      <c r="H20" s="425"/>
      <c r="I20" s="425"/>
      <c r="J20" s="425"/>
      <c r="K20" s="425"/>
      <c r="L20" s="425"/>
      <c r="M20" s="425"/>
      <c r="N20" s="425"/>
    </row>
    <row r="21" spans="1:14" x14ac:dyDescent="0.25">
      <c r="A21" s="59"/>
    </row>
    <row r="22" spans="1:14" x14ac:dyDescent="0.25">
      <c r="A22" s="163" t="s">
        <v>280</v>
      </c>
    </row>
    <row r="23" spans="1:14" ht="17.25" x14ac:dyDescent="0.3">
      <c r="A23" s="63" t="s">
        <v>328</v>
      </c>
    </row>
    <row r="24" spans="1:14" ht="17.25" x14ac:dyDescent="0.3">
      <c r="A24" s="63"/>
    </row>
    <row r="25" spans="1:14" ht="17.25" x14ac:dyDescent="0.3">
      <c r="A25" s="63"/>
      <c r="B25" s="156"/>
      <c r="C25" s="156"/>
    </row>
    <row r="26" spans="1:14" x14ac:dyDescent="0.25">
      <c r="A26" s="156"/>
      <c r="B26" s="156"/>
      <c r="C26" s="156"/>
    </row>
    <row r="27" spans="1:14" x14ac:dyDescent="0.25">
      <c r="A27" s="156"/>
      <c r="B27" s="156"/>
      <c r="C27" s="156"/>
    </row>
    <row r="28" spans="1:14" x14ac:dyDescent="0.25">
      <c r="A28" s="156"/>
      <c r="B28" s="156"/>
      <c r="C28" s="156"/>
    </row>
    <row r="29" spans="1:14" x14ac:dyDescent="0.25">
      <c r="A29" s="156"/>
      <c r="B29" s="156"/>
      <c r="C29" s="156"/>
    </row>
    <row r="30" spans="1:14" x14ac:dyDescent="0.25">
      <c r="A30" s="156"/>
      <c r="B30" s="156"/>
      <c r="C30" s="156"/>
    </row>
    <row r="31" spans="1:14" x14ac:dyDescent="0.25">
      <c r="A31" s="156"/>
      <c r="B31" s="156"/>
      <c r="C31" s="156"/>
    </row>
    <row r="32" spans="1:14" x14ac:dyDescent="0.25">
      <c r="A32" s="156"/>
      <c r="B32" s="156"/>
      <c r="C32" s="156"/>
    </row>
    <row r="33" spans="1:3" x14ac:dyDescent="0.25">
      <c r="A33" s="156"/>
      <c r="B33" s="156"/>
      <c r="C33" s="156"/>
    </row>
    <row r="34" spans="1:3" x14ac:dyDescent="0.25">
      <c r="A34" s="156"/>
      <c r="B34" s="156"/>
      <c r="C34" s="156"/>
    </row>
    <row r="35" spans="1:3" x14ac:dyDescent="0.25">
      <c r="A35" s="156"/>
      <c r="B35" s="156"/>
      <c r="C35" s="156"/>
    </row>
    <row r="36" spans="1:3" x14ac:dyDescent="0.25">
      <c r="A36" s="156"/>
      <c r="B36" s="156"/>
      <c r="C36" s="156"/>
    </row>
  </sheetData>
  <mergeCells count="1">
    <mergeCell ref="G20:N2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E5908109F92C428B98F9905E7DDDC6" ma:contentTypeVersion="11" ma:contentTypeDescription="Create a new document." ma:contentTypeScope="" ma:versionID="7a0fb63a6a08a7e84e55b7b39bd4fcfd">
  <xsd:schema xmlns:xsd="http://www.w3.org/2001/XMLSchema" xmlns:xs="http://www.w3.org/2001/XMLSchema" xmlns:p="http://schemas.microsoft.com/office/2006/metadata/properties" xmlns:ns2="85b19dcf-b42e-47da-b5ee-aa0688c0a871" xmlns:ns3="bf1cf802-feed-4feb-8d5b-e1f75078f252" targetNamespace="http://schemas.microsoft.com/office/2006/metadata/properties" ma:root="true" ma:fieldsID="fff2eda75d1bb78177143c45549c16e8" ns2:_="" ns3:_="">
    <xsd:import namespace="85b19dcf-b42e-47da-b5ee-aa0688c0a871"/>
    <xsd:import namespace="bf1cf802-feed-4feb-8d5b-e1f75078f252"/>
    <xsd:element name="properties">
      <xsd:complexType>
        <xsd:sequence>
          <xsd:element name="documentManagement">
            <xsd:complexType>
              <xsd:all>
                <xsd:element ref="ns2:SharedWithUsers" minOccurs="0"/>
                <xsd:element ref="ns2:SharingHintHash"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b19dcf-b42e-47da-b5ee-aa0688c0a87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1cf802-feed-4feb-8d5b-e1f75078f25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570B36-540A-4276-8FCE-DAA36FFD0E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b19dcf-b42e-47da-b5ee-aa0688c0a871"/>
    <ds:schemaRef ds:uri="bf1cf802-feed-4feb-8d5b-e1f75078f2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826D74-1BC1-4162-8D5B-313B1DD29759}">
  <ds:schemaRefs>
    <ds:schemaRef ds:uri="http://schemas.microsoft.com/sharepoint/v3/contenttype/forms"/>
  </ds:schemaRefs>
</ds:datastoreItem>
</file>

<file path=customXml/itemProps3.xml><?xml version="1.0" encoding="utf-8"?>
<ds:datastoreItem xmlns:ds="http://schemas.openxmlformats.org/officeDocument/2006/customXml" ds:itemID="{9EA10EFB-14C3-4DB0-9B93-1BF197837B54}">
  <ds:schemaRefs>
    <ds:schemaRef ds:uri="http://schemas.openxmlformats.org/package/2006/metadata/core-properties"/>
    <ds:schemaRef ds:uri="85b19dcf-b42e-47da-b5ee-aa0688c0a871"/>
    <ds:schemaRef ds:uri="bf1cf802-feed-4feb-8d5b-e1f75078f252"/>
    <ds:schemaRef ds:uri="http://purl.org/dc/terms/"/>
    <ds:schemaRef ds:uri="http://www.w3.org/XML/1998/namespac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vt:lpstr>
      <vt:lpstr>Calculator</vt:lpstr>
      <vt:lpstr>Application</vt:lpstr>
      <vt:lpstr>Quote</vt:lpstr>
      <vt:lpstr>Conditions</vt:lpstr>
      <vt:lpstr>Rating Worksheet</vt:lpstr>
      <vt:lpstr>Risk Class Chart</vt:lpstr>
      <vt:lpstr>Pkg Eligibility, Fire Protectio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McLeod</dc:creator>
  <cp:lastModifiedBy>Nick Kidd</cp:lastModifiedBy>
  <cp:lastPrinted>2018-03-06T15:01:40Z</cp:lastPrinted>
  <dcterms:created xsi:type="dcterms:W3CDTF">2015-10-07T13:26:15Z</dcterms:created>
  <dcterms:modified xsi:type="dcterms:W3CDTF">2022-04-12T19:16:42Z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0x0101009EE5908109F92C428B98F9905E7DDDC6</vt:lpwstr>
  </property>
  <property fmtid="{D5CDD505-2E9C-101B-9397-08002B2CF9AE}" pid="3" name="AuthorIds_UIVersion_1">
    <vt:lpwstr>19</vt:lpwstr>
  </property>
</Properties>
</file>