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24226"/>
  <mc:AlternateContent xmlns:mc="http://schemas.openxmlformats.org/markup-compatibility/2006">
    <mc:Choice Requires="x15">
      <x15ac:absPath xmlns:x15ac="http://schemas.microsoft.com/office/spreadsheetml/2010/11/ac" url="https://d.docs.live.net/345d1610474a9baa/Quotey McQuoteface/Rating and Covermatch/Rating 20020723/Contractors/"/>
    </mc:Choice>
  </mc:AlternateContent>
  <xr:revisionPtr revIDLastSave="1" documentId="8_{329C060F-980C-4FA7-8817-A10A954BF3B4}" xr6:coauthVersionLast="47" xr6:coauthVersionMax="47" xr10:uidLastSave="{45E093B5-B993-412B-9DD3-41E059B0AD3D}"/>
  <workbookProtection workbookPassword="93C0" lockStructure="1"/>
  <bookViews>
    <workbookView xWindow="-57720" yWindow="-4110" windowWidth="29040" windowHeight="15840" tabRatio="534" xr2:uid="{00000000-000D-0000-FFFF-FFFF00000000}"/>
  </bookViews>
  <sheets>
    <sheet name="Inputs" sheetId="1" r:id="rId1"/>
    <sheet name="April Output" sheetId="18" r:id="rId2"/>
    <sheet name="Paramètres" sheetId="6" state="hidden" r:id="rId3"/>
    <sheet name="Conditions (june 2020)" sheetId="12" state="hidden" r:id="rId4"/>
    <sheet name="CGL pricing " sheetId="7" state="hidden" r:id="rId5"/>
    <sheet name="Extension of coverage" sheetId="21" r:id="rId6"/>
  </sheets>
  <definedNames>
    <definedName name="_xlnm._FilterDatabase" localSheetId="4" hidden="1">'CGL pricing '!$A$21:$N$75</definedName>
    <definedName name="_xlnm._FilterDatabase" localSheetId="3" hidden="1">'Conditions (june 2020)'!$A$2:$AK$102</definedName>
    <definedName name="_xlnm._FilterDatabase" localSheetId="5" hidden="1">'Extension of coverage'!$A$3:$C$45</definedName>
    <definedName name="_xlnm.Print_Area" localSheetId="1">'April Output'!$C$23:$G$91</definedName>
    <definedName name="_xlnm.Print_Area" localSheetId="3">'Conditions (june 2020)'!$A$1:$AL$102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84" i="1" l="1"/>
  <c r="U83" i="1"/>
  <c r="U82" i="1"/>
  <c r="U81" i="1"/>
  <c r="U80" i="1"/>
  <c r="U79" i="1"/>
  <c r="U78" i="1"/>
  <c r="U77" i="1"/>
  <c r="U76" i="1"/>
  <c r="T84" i="1"/>
  <c r="T83" i="1"/>
  <c r="T82" i="1"/>
  <c r="T81" i="1"/>
  <c r="T80" i="1"/>
  <c r="T79" i="1"/>
  <c r="T78" i="1"/>
  <c r="T77" i="1"/>
  <c r="T76" i="1"/>
  <c r="S84" i="1"/>
  <c r="S83" i="1"/>
  <c r="S82" i="1"/>
  <c r="S81" i="1"/>
  <c r="S80" i="1"/>
  <c r="S79" i="1"/>
  <c r="S78" i="1"/>
  <c r="S77" i="1"/>
  <c r="S76" i="1"/>
  <c r="S75" i="1"/>
  <c r="R84" i="1"/>
  <c r="R83" i="1"/>
  <c r="R82" i="1"/>
  <c r="R81" i="1"/>
  <c r="R80" i="1"/>
  <c r="R79" i="1"/>
  <c r="R78" i="1"/>
  <c r="R77" i="1"/>
  <c r="R76" i="1"/>
  <c r="U75" i="1"/>
  <c r="T75" i="1"/>
  <c r="R75" i="1"/>
  <c r="Q161" i="1"/>
  <c r="Q149" i="1"/>
  <c r="U149" i="1" s="1"/>
  <c r="D33" i="7"/>
  <c r="AE88" i="1" l="1"/>
  <c r="AE87" i="1"/>
  <c r="AE86" i="1"/>
  <c r="AE85" i="1"/>
  <c r="K33" i="18"/>
  <c r="K34" i="18"/>
  <c r="K35" i="18"/>
  <c r="K32" i="18"/>
  <c r="K36" i="7"/>
  <c r="N36" i="7"/>
  <c r="T36" i="7"/>
  <c r="M36" i="7"/>
  <c r="E36" i="7"/>
  <c r="G33" i="7"/>
  <c r="E33" i="7" s="1"/>
  <c r="K33" i="7" s="1"/>
  <c r="B36" i="7"/>
  <c r="O36" i="7"/>
  <c r="G36" i="7"/>
  <c r="Q36" i="7" s="1"/>
  <c r="F36" i="7"/>
  <c r="C32" i="18"/>
  <c r="C33" i="18"/>
  <c r="C34" i="18"/>
  <c r="C35" i="18"/>
  <c r="Q33" i="7" l="1"/>
  <c r="B22" i="7"/>
  <c r="O22" i="7" s="1"/>
  <c r="H22" i="7" l="1"/>
  <c r="S22" i="7" s="1"/>
  <c r="B23" i="7"/>
  <c r="O23" i="7" s="1"/>
  <c r="B24" i="7"/>
  <c r="O24" i="7" s="1"/>
  <c r="B25" i="7"/>
  <c r="O25" i="7" s="1"/>
  <c r="B26" i="7"/>
  <c r="O26" i="7" s="1"/>
  <c r="B27" i="7"/>
  <c r="O27" i="7" s="1"/>
  <c r="B28" i="7"/>
  <c r="O28" i="7" s="1"/>
  <c r="B29" i="7"/>
  <c r="O29" i="7" s="1"/>
  <c r="B30" i="7"/>
  <c r="O30" i="7" s="1"/>
  <c r="B31" i="7"/>
  <c r="O31" i="7" s="1"/>
  <c r="B32" i="7"/>
  <c r="O32" i="7" s="1"/>
  <c r="B33" i="7"/>
  <c r="O33" i="7" s="1"/>
  <c r="B34" i="7"/>
  <c r="O34" i="7" s="1"/>
  <c r="B35" i="7"/>
  <c r="O35" i="7" s="1"/>
  <c r="D36" i="7"/>
  <c r="C22" i="7"/>
  <c r="P22" i="7" s="1"/>
  <c r="D22" i="7"/>
  <c r="J22" i="7" s="1"/>
  <c r="Y36" i="7" l="1"/>
  <c r="D23" i="7"/>
  <c r="D24" i="7"/>
  <c r="D25" i="7"/>
  <c r="D26" i="7"/>
  <c r="D27" i="7"/>
  <c r="D28" i="7"/>
  <c r="D29" i="7"/>
  <c r="D30" i="7"/>
  <c r="D31" i="7"/>
  <c r="D32" i="7"/>
  <c r="D34" i="7"/>
  <c r="D35" i="7"/>
  <c r="I22" i="7"/>
  <c r="H36" i="7"/>
  <c r="S36" i="7" s="1"/>
  <c r="C23" i="7"/>
  <c r="P23" i="7" s="1"/>
  <c r="C24" i="7"/>
  <c r="P24" i="7" s="1"/>
  <c r="C25" i="7"/>
  <c r="P25" i="7" s="1"/>
  <c r="C26" i="7"/>
  <c r="P26" i="7" s="1"/>
  <c r="C27" i="7"/>
  <c r="P27" i="7" s="1"/>
  <c r="C28" i="7"/>
  <c r="P28" i="7" s="1"/>
  <c r="C29" i="7"/>
  <c r="P29" i="7" s="1"/>
  <c r="C30" i="7"/>
  <c r="P30" i="7" s="1"/>
  <c r="C31" i="7"/>
  <c r="P31" i="7" s="1"/>
  <c r="C32" i="7"/>
  <c r="P32" i="7" s="1"/>
  <c r="C33" i="7"/>
  <c r="P33" i="7" s="1"/>
  <c r="C34" i="7"/>
  <c r="P34" i="7" s="1"/>
  <c r="C35" i="7"/>
  <c r="P35" i="7" s="1"/>
  <c r="C36" i="7"/>
  <c r="P36" i="7" s="1"/>
  <c r="AL36" i="7"/>
  <c r="AK36" i="7"/>
  <c r="AJ36" i="7"/>
  <c r="AG36" i="7"/>
  <c r="AM36" i="7" s="1"/>
  <c r="AP35" i="7"/>
  <c r="AO35" i="7"/>
  <c r="AI35" i="7"/>
  <c r="AH35" i="7"/>
  <c r="AP34" i="7"/>
  <c r="AO34" i="7"/>
  <c r="AI34" i="7"/>
  <c r="AH34" i="7"/>
  <c r="AP33" i="7"/>
  <c r="AO33" i="7"/>
  <c r="AI33" i="7"/>
  <c r="AH33" i="7"/>
  <c r="AP32" i="7"/>
  <c r="AO32" i="7"/>
  <c r="AI32" i="7"/>
  <c r="AH32" i="7"/>
  <c r="AP31" i="7"/>
  <c r="AO31" i="7"/>
  <c r="AI31" i="7"/>
  <c r="AH31" i="7"/>
  <c r="AP30" i="7"/>
  <c r="AO30" i="7"/>
  <c r="AI30" i="7"/>
  <c r="AH30" i="7"/>
  <c r="AP29" i="7"/>
  <c r="AO29" i="7"/>
  <c r="AI29" i="7"/>
  <c r="AH29" i="7"/>
  <c r="AP28" i="7"/>
  <c r="AO28" i="7"/>
  <c r="AI28" i="7"/>
  <c r="AH28" i="7"/>
  <c r="AF28" i="7"/>
  <c r="AE28" i="7" s="1"/>
  <c r="AK28" i="7" s="1"/>
  <c r="AL27" i="7"/>
  <c r="AG27" i="7"/>
  <c r="AM27" i="7" s="1"/>
  <c r="AE27" i="7"/>
  <c r="AK27" i="7" s="1"/>
  <c r="AL26" i="7"/>
  <c r="AK26" i="7"/>
  <c r="AG26" i="7"/>
  <c r="AM26" i="7" s="1"/>
  <c r="AE26" i="7"/>
  <c r="AL25" i="7"/>
  <c r="AG25" i="7"/>
  <c r="AM25" i="7" s="1"/>
  <c r="AE25" i="7"/>
  <c r="AK25" i="7" s="1"/>
  <c r="AL24" i="7"/>
  <c r="AK24" i="7"/>
  <c r="AG24" i="7"/>
  <c r="AM24" i="7" s="1"/>
  <c r="AE24" i="7"/>
  <c r="AL23" i="7"/>
  <c r="AG23" i="7"/>
  <c r="AM23" i="7" s="1"/>
  <c r="AE23" i="7"/>
  <c r="AK23" i="7" s="1"/>
  <c r="AD23" i="7"/>
  <c r="AD24" i="7" s="1"/>
  <c r="AD25" i="7" s="1"/>
  <c r="AL22" i="7"/>
  <c r="AK22" i="7"/>
  <c r="AJ22" i="7"/>
  <c r="AG22" i="7"/>
  <c r="AM22" i="7" s="1"/>
  <c r="AE22" i="7"/>
  <c r="AJ23" i="7" l="1"/>
  <c r="AJ25" i="7"/>
  <c r="AD26" i="7"/>
  <c r="AL28" i="7"/>
  <c r="AJ24" i="7"/>
  <c r="AG28" i="7"/>
  <c r="AM28" i="7" s="1"/>
  <c r="AF29" i="7"/>
  <c r="AE29" i="7" l="1"/>
  <c r="AK29" i="7" s="1"/>
  <c r="AF30" i="7"/>
  <c r="AG29" i="7"/>
  <c r="AM29" i="7" s="1"/>
  <c r="AL29" i="7"/>
  <c r="AD27" i="7"/>
  <c r="AJ26" i="7"/>
  <c r="AD28" i="7" l="1"/>
  <c r="AJ27" i="7"/>
  <c r="AE30" i="7"/>
  <c r="AK30" i="7" s="1"/>
  <c r="AF31" i="7"/>
  <c r="AG30" i="7"/>
  <c r="AM30" i="7" s="1"/>
  <c r="AL30" i="7"/>
  <c r="AJ28" i="7" l="1"/>
  <c r="AD29" i="7"/>
  <c r="AE31" i="7"/>
  <c r="AK31" i="7" s="1"/>
  <c r="AF32" i="7"/>
  <c r="AG31" i="7"/>
  <c r="AM31" i="7" s="1"/>
  <c r="AL31" i="7"/>
  <c r="AE32" i="7" l="1"/>
  <c r="AK32" i="7" s="1"/>
  <c r="AF33" i="7"/>
  <c r="AG32" i="7"/>
  <c r="AM32" i="7" s="1"/>
  <c r="AL32" i="7"/>
  <c r="AJ29" i="7"/>
  <c r="AD30" i="7"/>
  <c r="AJ30" i="7" l="1"/>
  <c r="AD31" i="7"/>
  <c r="AE33" i="7"/>
  <c r="AK33" i="7" s="1"/>
  <c r="AF34" i="7"/>
  <c r="AG33" i="7"/>
  <c r="AM33" i="7" s="1"/>
  <c r="AL33" i="7"/>
  <c r="AJ31" i="7" l="1"/>
  <c r="AD32" i="7"/>
  <c r="AE34" i="7"/>
  <c r="AK34" i="7" s="1"/>
  <c r="AF35" i="7"/>
  <c r="AG34" i="7"/>
  <c r="AM34" i="7" s="1"/>
  <c r="AL34" i="7"/>
  <c r="AJ32" i="7" l="1"/>
  <c r="AD33" i="7"/>
  <c r="AE35" i="7"/>
  <c r="AK35" i="7" s="1"/>
  <c r="AG35" i="7"/>
  <c r="AM35" i="7" s="1"/>
  <c r="AL35" i="7"/>
  <c r="AJ33" i="7" l="1"/>
  <c r="AD34" i="7"/>
  <c r="AJ34" i="7" l="1"/>
  <c r="AD35" i="7"/>
  <c r="AJ35" i="7" s="1"/>
  <c r="H29" i="1" l="1"/>
  <c r="J29" i="1" s="1"/>
  <c r="H30" i="1"/>
  <c r="G67" i="1" l="1"/>
  <c r="J67" i="1" s="1"/>
  <c r="L67" i="1" s="1"/>
  <c r="H41" i="1"/>
  <c r="H45" i="1"/>
  <c r="H46" i="1"/>
  <c r="H49" i="1"/>
  <c r="H51" i="1"/>
  <c r="H53" i="1"/>
  <c r="H64" i="1"/>
  <c r="H65" i="1"/>
  <c r="H68" i="1"/>
  <c r="H66" i="1"/>
  <c r="J85" i="1"/>
  <c r="M85" i="1" s="1"/>
  <c r="N85" i="1" s="1"/>
  <c r="J84" i="1"/>
  <c r="M84" i="1" s="1"/>
  <c r="N84" i="1" s="1"/>
  <c r="J83" i="1"/>
  <c r="M83" i="1" s="1"/>
  <c r="N83" i="1" s="1"/>
  <c r="J82" i="1"/>
  <c r="M82" i="1" s="1"/>
  <c r="N82" i="1" s="1"/>
  <c r="J81" i="1"/>
  <c r="L81" i="1" s="1"/>
  <c r="J80" i="1"/>
  <c r="M80" i="1" s="1"/>
  <c r="N80" i="1" s="1"/>
  <c r="J79" i="1"/>
  <c r="M79" i="1" s="1"/>
  <c r="N79" i="1" s="1"/>
  <c r="J78" i="1"/>
  <c r="M78" i="1" s="1"/>
  <c r="N78" i="1" s="1"/>
  <c r="J77" i="1"/>
  <c r="M77" i="1" s="1"/>
  <c r="N77" i="1" s="1"/>
  <c r="J76" i="1"/>
  <c r="M76" i="1" s="1"/>
  <c r="N76" i="1" s="1"/>
  <c r="J75" i="1"/>
  <c r="M75" i="1" s="1"/>
  <c r="N75" i="1" s="1"/>
  <c r="J74" i="1"/>
  <c r="M74" i="1" s="1"/>
  <c r="N74" i="1" s="1"/>
  <c r="J73" i="1"/>
  <c r="L73" i="1" s="1"/>
  <c r="J72" i="1"/>
  <c r="M72" i="1" s="1"/>
  <c r="N72" i="1" s="1"/>
  <c r="J71" i="1"/>
  <c r="M71" i="1" s="1"/>
  <c r="N71" i="1" s="1"/>
  <c r="G70" i="1"/>
  <c r="J70" i="1" s="1"/>
  <c r="G69" i="1"/>
  <c r="G68" i="1"/>
  <c r="J68" i="1" s="1"/>
  <c r="G66" i="1"/>
  <c r="J66" i="1" s="1"/>
  <c r="G65" i="1"/>
  <c r="J65" i="1" s="1"/>
  <c r="G64" i="1"/>
  <c r="J64" i="1" s="1"/>
  <c r="G63" i="1"/>
  <c r="J63" i="1" s="1"/>
  <c r="L63" i="1" s="1"/>
  <c r="H62" i="1"/>
  <c r="G62" i="1"/>
  <c r="J62" i="1" s="1"/>
  <c r="H61" i="1"/>
  <c r="G61" i="1"/>
  <c r="J61" i="1" s="1"/>
  <c r="H60" i="1"/>
  <c r="G60" i="1"/>
  <c r="J60" i="1" s="1"/>
  <c r="H59" i="1"/>
  <c r="G59" i="1"/>
  <c r="J59" i="1" s="1"/>
  <c r="L59" i="1" s="1"/>
  <c r="H58" i="1"/>
  <c r="G58" i="1"/>
  <c r="J58" i="1" s="1"/>
  <c r="H57" i="1"/>
  <c r="G57" i="1"/>
  <c r="J57" i="1" s="1"/>
  <c r="H56" i="1"/>
  <c r="G56" i="1"/>
  <c r="J56" i="1" s="1"/>
  <c r="H55" i="1"/>
  <c r="G55" i="1"/>
  <c r="J55" i="1" s="1"/>
  <c r="L55" i="1" s="1"/>
  <c r="H54" i="1"/>
  <c r="G54" i="1"/>
  <c r="J54" i="1" s="1"/>
  <c r="G53" i="1"/>
  <c r="J53" i="1" s="1"/>
  <c r="H52" i="1"/>
  <c r="G52" i="1"/>
  <c r="J52" i="1" s="1"/>
  <c r="G51" i="1"/>
  <c r="G50" i="1"/>
  <c r="J50" i="1" s="1"/>
  <c r="G49" i="1"/>
  <c r="J49" i="1" s="1"/>
  <c r="G48" i="1"/>
  <c r="J48" i="1" s="1"/>
  <c r="L48" i="1" s="1"/>
  <c r="H47" i="1"/>
  <c r="G47" i="1"/>
  <c r="J47" i="1" s="1"/>
  <c r="L47" i="1" s="1"/>
  <c r="G46" i="1"/>
  <c r="J46" i="1" s="1"/>
  <c r="G45" i="1"/>
  <c r="J45" i="1" s="1"/>
  <c r="H44" i="1"/>
  <c r="G44" i="1"/>
  <c r="J44" i="1" s="1"/>
  <c r="M44" i="1" s="1"/>
  <c r="N44" i="1" s="1"/>
  <c r="H43" i="1"/>
  <c r="G43" i="1"/>
  <c r="H42" i="1"/>
  <c r="G42" i="1"/>
  <c r="J42" i="1" s="1"/>
  <c r="G41" i="1"/>
  <c r="J41" i="1" s="1"/>
  <c r="H40" i="1"/>
  <c r="G40" i="1"/>
  <c r="J40" i="1" s="1"/>
  <c r="L40" i="1" s="1"/>
  <c r="H39" i="1"/>
  <c r="G39" i="1"/>
  <c r="J39" i="1" s="1"/>
  <c r="L39" i="1" s="1"/>
  <c r="H38" i="1"/>
  <c r="G38" i="1"/>
  <c r="L77" i="1" l="1"/>
  <c r="L83" i="1"/>
  <c r="L78" i="1"/>
  <c r="L75" i="1"/>
  <c r="M73" i="1"/>
  <c r="N73" i="1" s="1"/>
  <c r="L80" i="1"/>
  <c r="M81" i="1"/>
  <c r="N81" i="1" s="1"/>
  <c r="L71" i="1"/>
  <c r="L74" i="1"/>
  <c r="L84" i="1"/>
  <c r="L72" i="1"/>
  <c r="L85" i="1"/>
  <c r="L79" i="1"/>
  <c r="L82" i="1"/>
  <c r="L76" i="1"/>
  <c r="H69" i="1"/>
  <c r="J69" i="1" s="1"/>
  <c r="J51" i="1"/>
  <c r="L51" i="1" s="1"/>
  <c r="H70" i="1"/>
  <c r="H67" i="1"/>
  <c r="H63" i="1"/>
  <c r="J38" i="1"/>
  <c r="M38" i="1" s="1"/>
  <c r="H50" i="1"/>
  <c r="H48" i="1"/>
  <c r="M48" i="1"/>
  <c r="N48" i="1" s="1"/>
  <c r="L44" i="1"/>
  <c r="J43" i="1"/>
  <c r="L43" i="1" s="1"/>
  <c r="M40" i="1"/>
  <c r="N40" i="1" s="1"/>
  <c r="M52" i="1"/>
  <c r="N52" i="1" s="1"/>
  <c r="L52" i="1"/>
  <c r="M70" i="1"/>
  <c r="N70" i="1" s="1"/>
  <c r="L70" i="1"/>
  <c r="M45" i="1"/>
  <c r="N45" i="1" s="1"/>
  <c r="L45" i="1"/>
  <c r="M41" i="1"/>
  <c r="N41" i="1" s="1"/>
  <c r="L41" i="1"/>
  <c r="M53" i="1"/>
  <c r="N53" i="1" s="1"/>
  <c r="L53" i="1"/>
  <c r="M60" i="1"/>
  <c r="N60" i="1" s="1"/>
  <c r="L60" i="1"/>
  <c r="M49" i="1"/>
  <c r="N49" i="1" s="1"/>
  <c r="L49" i="1"/>
  <c r="M50" i="1"/>
  <c r="N50" i="1" s="1"/>
  <c r="L50" i="1"/>
  <c r="M57" i="1"/>
  <c r="N57" i="1" s="1"/>
  <c r="L57" i="1"/>
  <c r="M64" i="1"/>
  <c r="N64" i="1" s="1"/>
  <c r="L64" i="1"/>
  <c r="M65" i="1"/>
  <c r="N65" i="1" s="1"/>
  <c r="L65" i="1"/>
  <c r="L56" i="1"/>
  <c r="M56" i="1"/>
  <c r="N56" i="1" s="1"/>
  <c r="M42" i="1"/>
  <c r="N42" i="1" s="1"/>
  <c r="L42" i="1"/>
  <c r="M54" i="1"/>
  <c r="N54" i="1" s="1"/>
  <c r="L54" i="1"/>
  <c r="M61" i="1"/>
  <c r="N61" i="1" s="1"/>
  <c r="L61" i="1"/>
  <c r="M68" i="1"/>
  <c r="L68" i="1"/>
  <c r="M58" i="1"/>
  <c r="N58" i="1" s="1"/>
  <c r="L58" i="1"/>
  <c r="M62" i="1"/>
  <c r="N62" i="1" s="1"/>
  <c r="L62" i="1"/>
  <c r="M46" i="1"/>
  <c r="N46" i="1" s="1"/>
  <c r="L46" i="1"/>
  <c r="M66" i="1"/>
  <c r="N66" i="1" s="1"/>
  <c r="L66" i="1"/>
  <c r="M39" i="1"/>
  <c r="N39" i="1" s="1"/>
  <c r="M47" i="1"/>
  <c r="N47" i="1" s="1"/>
  <c r="M55" i="1"/>
  <c r="N55" i="1" s="1"/>
  <c r="M59" i="1"/>
  <c r="N59" i="1" s="1"/>
  <c r="M63" i="1"/>
  <c r="N63" i="1" s="1"/>
  <c r="M67" i="1"/>
  <c r="N67" i="1" s="1"/>
  <c r="M43" i="1" l="1"/>
  <c r="N43" i="1" s="1"/>
  <c r="M51" i="1"/>
  <c r="N51" i="1" s="1"/>
  <c r="L38" i="1"/>
  <c r="M69" i="1"/>
  <c r="N69" i="1" s="1"/>
  <c r="L69" i="1"/>
  <c r="N68" i="1"/>
  <c r="N38" i="1"/>
  <c r="H18" i="1" l="1"/>
  <c r="Y30" i="18" l="1"/>
  <c r="Y29" i="18"/>
  <c r="Y28" i="18"/>
  <c r="X29" i="18" l="1"/>
  <c r="X30" i="18"/>
  <c r="X28" i="18"/>
  <c r="E12" i="18"/>
  <c r="AD32" i="1" l="1"/>
  <c r="AD13" i="1"/>
  <c r="H14" i="1"/>
  <c r="J14" i="1" s="1"/>
  <c r="L14" i="1" s="1"/>
  <c r="H23" i="1"/>
  <c r="J23" i="1" s="1"/>
  <c r="H22" i="1"/>
  <c r="J22" i="1" s="1"/>
  <c r="H21" i="1"/>
  <c r="J21" i="1" s="1"/>
  <c r="H20" i="1"/>
  <c r="J20" i="1" s="1"/>
  <c r="M20" i="1" s="1"/>
  <c r="H19" i="1"/>
  <c r="J19" i="1" s="1"/>
  <c r="J18" i="1"/>
  <c r="H17" i="1"/>
  <c r="J17" i="1" s="1"/>
  <c r="H16" i="1"/>
  <c r="J16" i="1" s="1"/>
  <c r="H15" i="1"/>
  <c r="J15" i="1" s="1"/>
  <c r="M23" i="1" l="1"/>
  <c r="N23" i="1" s="1"/>
  <c r="L23" i="1"/>
  <c r="M22" i="1"/>
  <c r="N22" i="1" s="1"/>
  <c r="L22" i="1"/>
  <c r="M21" i="1"/>
  <c r="N21" i="1" s="1"/>
  <c r="L21" i="1"/>
  <c r="L20" i="1"/>
  <c r="N20" i="1" s="1"/>
  <c r="M19" i="1"/>
  <c r="N19" i="1" s="1"/>
  <c r="L19" i="1"/>
  <c r="G58" i="18" l="1"/>
  <c r="F58" i="18"/>
  <c r="E58" i="18"/>
  <c r="E57" i="18"/>
  <c r="AE82" i="1" l="1"/>
  <c r="AE81" i="1"/>
  <c r="AE80" i="1"/>
  <c r="AE79" i="1"/>
  <c r="AE78" i="1"/>
  <c r="AE76" i="1"/>
  <c r="AE72" i="1"/>
  <c r="AE73" i="1"/>
  <c r="AE71" i="1"/>
  <c r="AD28" i="1" l="1"/>
  <c r="AD26" i="1"/>
  <c r="AD34" i="1"/>
  <c r="D21" i="18" l="1"/>
  <c r="AG6" i="1" s="1"/>
  <c r="AE90" i="1"/>
  <c r="AE92" i="1"/>
  <c r="AE93" i="1"/>
  <c r="AE94" i="1"/>
  <c r="AE95" i="1"/>
  <c r="AE96" i="1"/>
  <c r="AE97" i="1"/>
  <c r="AE98" i="1"/>
  <c r="AE99" i="1"/>
  <c r="AE100" i="1"/>
  <c r="AE89" i="1"/>
  <c r="V30" i="18" l="1"/>
  <c r="V29" i="18"/>
  <c r="V28" i="18"/>
  <c r="W30" i="18"/>
  <c r="W29" i="18"/>
  <c r="J36" i="7"/>
  <c r="I36" i="7"/>
  <c r="T30" i="18"/>
  <c r="T29" i="18"/>
  <c r="S30" i="18"/>
  <c r="S29" i="18"/>
  <c r="S28" i="18"/>
  <c r="T26" i="18"/>
  <c r="W26" i="18" s="1"/>
  <c r="S26" i="18"/>
  <c r="V26" i="18" s="1"/>
  <c r="G37" i="18"/>
  <c r="N50" i="18"/>
  <c r="B14" i="7" l="1"/>
  <c r="I53" i="12"/>
  <c r="I52" i="12"/>
  <c r="I39" i="12"/>
  <c r="I35" i="12"/>
  <c r="I34" i="12"/>
  <c r="I33" i="12"/>
  <c r="I32" i="12"/>
  <c r="I29" i="12"/>
  <c r="I28" i="12"/>
  <c r="I27" i="12"/>
  <c r="I26" i="12"/>
  <c r="I25" i="12"/>
  <c r="I9" i="12"/>
  <c r="I8" i="12"/>
  <c r="I7" i="12"/>
  <c r="I5" i="12"/>
  <c r="C36" i="6"/>
  <c r="D36" i="6" s="1"/>
  <c r="C56" i="18"/>
  <c r="C50" i="18"/>
  <c r="C51" i="18"/>
  <c r="C52" i="18"/>
  <c r="C53" i="18"/>
  <c r="C54" i="18"/>
  <c r="C55" i="18"/>
  <c r="AE74" i="1" s="1"/>
  <c r="H25" i="1"/>
  <c r="E13" i="18" s="1"/>
  <c r="H13" i="18" s="1"/>
  <c r="N58" i="18"/>
  <c r="O58" i="18"/>
  <c r="C20" i="7" l="1"/>
  <c r="V20" i="7"/>
  <c r="W20" i="7"/>
  <c r="X20" i="7"/>
  <c r="Y20" i="7"/>
  <c r="D20" i="7"/>
  <c r="E20" i="7"/>
  <c r="B20" i="7"/>
  <c r="C37" i="6"/>
  <c r="C38" i="6" s="1"/>
  <c r="C40" i="6" l="1"/>
  <c r="Q138" i="1"/>
  <c r="Q139" i="1" s="1"/>
  <c r="U139" i="1" s="1"/>
  <c r="K30" i="18" l="1"/>
  <c r="I30" i="18" s="1"/>
  <c r="I36" i="18" s="1"/>
  <c r="L37" i="18"/>
  <c r="I28" i="18" l="1"/>
  <c r="AD10" i="1"/>
  <c r="E3" i="18" l="1"/>
  <c r="I12" i="1"/>
  <c r="I24" i="1"/>
  <c r="I38" i="18"/>
  <c r="L28" i="18"/>
  <c r="F11" i="18" l="1"/>
  <c r="J35" i="6"/>
  <c r="C83" i="18"/>
  <c r="AE102" i="1" s="1"/>
  <c r="C84" i="18"/>
  <c r="AE103" i="1" s="1"/>
  <c r="C85" i="18"/>
  <c r="AE104" i="1" s="1"/>
  <c r="I27" i="18"/>
  <c r="L29" i="18" s="1"/>
  <c r="C86" i="18"/>
  <c r="AE105" i="1" s="1"/>
  <c r="C82" i="18"/>
  <c r="AE101" i="1" s="1"/>
  <c r="H29" i="6"/>
  <c r="C35" i="6"/>
  <c r="F18" i="18"/>
  <c r="E6" i="18"/>
  <c r="E7" i="18"/>
  <c r="E4" i="18"/>
  <c r="H4" i="18" s="1"/>
  <c r="E5" i="18"/>
  <c r="N75" i="7"/>
  <c r="M75" i="7"/>
  <c r="G75" i="7"/>
  <c r="F75" i="7"/>
  <c r="D75" i="7"/>
  <c r="C75" i="7" s="1"/>
  <c r="I75" i="7" s="1"/>
  <c r="B75" i="7"/>
  <c r="H75" i="7" s="1"/>
  <c r="N74" i="7"/>
  <c r="M74" i="7"/>
  <c r="G74" i="7"/>
  <c r="F74" i="7"/>
  <c r="D74" i="7"/>
  <c r="B74" i="7"/>
  <c r="H74" i="7" s="1"/>
  <c r="N73" i="7"/>
  <c r="M73" i="7"/>
  <c r="G73" i="7"/>
  <c r="F73" i="7"/>
  <c r="D73" i="7"/>
  <c r="B73" i="7"/>
  <c r="H73" i="7" s="1"/>
  <c r="N72" i="7"/>
  <c r="M72" i="7"/>
  <c r="G72" i="7"/>
  <c r="F72" i="7"/>
  <c r="D72" i="7"/>
  <c r="B72" i="7"/>
  <c r="H72" i="7" s="1"/>
  <c r="N71" i="7"/>
  <c r="M71" i="7"/>
  <c r="G71" i="7"/>
  <c r="F71" i="7"/>
  <c r="D71" i="7"/>
  <c r="B71" i="7"/>
  <c r="H71" i="7" s="1"/>
  <c r="N70" i="7"/>
  <c r="M70" i="7"/>
  <c r="G70" i="7"/>
  <c r="F70" i="7"/>
  <c r="D70" i="7"/>
  <c r="B70" i="7"/>
  <c r="H70" i="7" s="1"/>
  <c r="N69" i="7"/>
  <c r="M69" i="7"/>
  <c r="G69" i="7"/>
  <c r="F69" i="7"/>
  <c r="D69" i="7"/>
  <c r="B69" i="7"/>
  <c r="H69" i="7" s="1"/>
  <c r="N68" i="7"/>
  <c r="M68" i="7"/>
  <c r="G68" i="7"/>
  <c r="F68" i="7"/>
  <c r="D68" i="7"/>
  <c r="B68" i="7"/>
  <c r="H68" i="7" s="1"/>
  <c r="N67" i="7"/>
  <c r="M67" i="7"/>
  <c r="G67" i="7"/>
  <c r="F67" i="7"/>
  <c r="D67" i="7"/>
  <c r="B67" i="7"/>
  <c r="H67" i="7" s="1"/>
  <c r="N66" i="7"/>
  <c r="M66" i="7"/>
  <c r="G66" i="7"/>
  <c r="F66" i="7"/>
  <c r="D66" i="7"/>
  <c r="B66" i="7"/>
  <c r="H66" i="7" s="1"/>
  <c r="N65" i="7"/>
  <c r="M65" i="7"/>
  <c r="G65" i="7"/>
  <c r="F65" i="7"/>
  <c r="D65" i="7"/>
  <c r="B65" i="7"/>
  <c r="H65" i="7" s="1"/>
  <c r="N64" i="7"/>
  <c r="M64" i="7"/>
  <c r="G64" i="7"/>
  <c r="F64" i="7"/>
  <c r="D64" i="7"/>
  <c r="B64" i="7"/>
  <c r="H64" i="7" s="1"/>
  <c r="N63" i="7"/>
  <c r="M63" i="7"/>
  <c r="G63" i="7"/>
  <c r="F63" i="7"/>
  <c r="D63" i="7"/>
  <c r="B63" i="7"/>
  <c r="H63" i="7" s="1"/>
  <c r="N62" i="7"/>
  <c r="M62" i="7"/>
  <c r="G62" i="7"/>
  <c r="F62" i="7"/>
  <c r="D62" i="7"/>
  <c r="B62" i="7"/>
  <c r="H62" i="7" s="1"/>
  <c r="N61" i="7"/>
  <c r="M61" i="7"/>
  <c r="G61" i="7"/>
  <c r="F61" i="7"/>
  <c r="D61" i="7"/>
  <c r="B61" i="7"/>
  <c r="H61" i="7" s="1"/>
  <c r="N60" i="7"/>
  <c r="M60" i="7"/>
  <c r="G60" i="7"/>
  <c r="F60" i="7"/>
  <c r="D60" i="7"/>
  <c r="B60" i="7"/>
  <c r="H60" i="7" s="1"/>
  <c r="N59" i="7"/>
  <c r="M59" i="7"/>
  <c r="G59" i="7"/>
  <c r="F59" i="7"/>
  <c r="D59" i="7"/>
  <c r="B59" i="7"/>
  <c r="H59" i="7" s="1"/>
  <c r="N58" i="7"/>
  <c r="M58" i="7"/>
  <c r="G58" i="7"/>
  <c r="F58" i="7"/>
  <c r="D58" i="7"/>
  <c r="B58" i="7"/>
  <c r="H58" i="7" s="1"/>
  <c r="N57" i="7"/>
  <c r="M57" i="7"/>
  <c r="G57" i="7"/>
  <c r="F57" i="7"/>
  <c r="D57" i="7"/>
  <c r="B57" i="7"/>
  <c r="H57" i="7" s="1"/>
  <c r="N56" i="7"/>
  <c r="M56" i="7"/>
  <c r="G56" i="7"/>
  <c r="F56" i="7"/>
  <c r="D56" i="7"/>
  <c r="B56" i="7"/>
  <c r="H56" i="7" s="1"/>
  <c r="N55" i="7"/>
  <c r="M55" i="7"/>
  <c r="G55" i="7"/>
  <c r="F55" i="7"/>
  <c r="D55" i="7"/>
  <c r="B55" i="7"/>
  <c r="H55" i="7" s="1"/>
  <c r="N54" i="7"/>
  <c r="M54" i="7"/>
  <c r="G54" i="7"/>
  <c r="F54" i="7"/>
  <c r="D54" i="7"/>
  <c r="B54" i="7"/>
  <c r="H54" i="7" s="1"/>
  <c r="N53" i="7"/>
  <c r="M53" i="7"/>
  <c r="G53" i="7"/>
  <c r="F53" i="7"/>
  <c r="D53" i="7"/>
  <c r="B53" i="7"/>
  <c r="H53" i="7" s="1"/>
  <c r="N52" i="7"/>
  <c r="M52" i="7"/>
  <c r="G52" i="7"/>
  <c r="F52" i="7"/>
  <c r="D52" i="7"/>
  <c r="B52" i="7"/>
  <c r="H52" i="7" s="1"/>
  <c r="N51" i="7"/>
  <c r="M51" i="7"/>
  <c r="G51" i="7"/>
  <c r="F51" i="7"/>
  <c r="D51" i="7"/>
  <c r="B51" i="7"/>
  <c r="H51" i="7" s="1"/>
  <c r="N50" i="7"/>
  <c r="M50" i="7"/>
  <c r="G50" i="7"/>
  <c r="F50" i="7"/>
  <c r="D50" i="7"/>
  <c r="B50" i="7"/>
  <c r="H50" i="7" s="1"/>
  <c r="N49" i="7"/>
  <c r="M49" i="7"/>
  <c r="G49" i="7"/>
  <c r="F49" i="7"/>
  <c r="D49" i="7"/>
  <c r="B49" i="7"/>
  <c r="H49" i="7" s="1"/>
  <c r="N48" i="7"/>
  <c r="M48" i="7"/>
  <c r="G48" i="7"/>
  <c r="F48" i="7"/>
  <c r="D48" i="7"/>
  <c r="B48" i="7"/>
  <c r="H48" i="7" s="1"/>
  <c r="N47" i="7"/>
  <c r="M47" i="7"/>
  <c r="G47" i="7"/>
  <c r="F47" i="7"/>
  <c r="D47" i="7"/>
  <c r="B47" i="7"/>
  <c r="H47" i="7" s="1"/>
  <c r="N46" i="7"/>
  <c r="M46" i="7"/>
  <c r="G46" i="7"/>
  <c r="F46" i="7"/>
  <c r="D46" i="7"/>
  <c r="B46" i="7"/>
  <c r="H46" i="7" s="1"/>
  <c r="N45" i="7"/>
  <c r="M45" i="7"/>
  <c r="G45" i="7"/>
  <c r="F45" i="7"/>
  <c r="D45" i="7"/>
  <c r="B45" i="7"/>
  <c r="H45" i="7" s="1"/>
  <c r="N44" i="7"/>
  <c r="M44" i="7"/>
  <c r="G44" i="7"/>
  <c r="F44" i="7"/>
  <c r="D44" i="7"/>
  <c r="B44" i="7"/>
  <c r="H44" i="7" s="1"/>
  <c r="N43" i="7"/>
  <c r="M43" i="7"/>
  <c r="G43" i="7"/>
  <c r="F43" i="7"/>
  <c r="D43" i="7"/>
  <c r="B43" i="7"/>
  <c r="H43" i="7" s="1"/>
  <c r="N42" i="7"/>
  <c r="M42" i="7"/>
  <c r="G42" i="7"/>
  <c r="F42" i="7"/>
  <c r="D42" i="7"/>
  <c r="B42" i="7"/>
  <c r="H42" i="7" s="1"/>
  <c r="N41" i="7"/>
  <c r="M41" i="7"/>
  <c r="G41" i="7"/>
  <c r="F41" i="7"/>
  <c r="D41" i="7"/>
  <c r="B41" i="7"/>
  <c r="H41" i="7" s="1"/>
  <c r="N40" i="7"/>
  <c r="M40" i="7"/>
  <c r="G40" i="7"/>
  <c r="F40" i="7"/>
  <c r="D40" i="7"/>
  <c r="B40" i="7"/>
  <c r="H40" i="7" s="1"/>
  <c r="N39" i="7"/>
  <c r="M39" i="7"/>
  <c r="G39" i="7"/>
  <c r="F39" i="7"/>
  <c r="D39" i="7"/>
  <c r="B39" i="7"/>
  <c r="H39" i="7" s="1"/>
  <c r="N38" i="7"/>
  <c r="M38" i="7"/>
  <c r="G38" i="7"/>
  <c r="F38" i="7"/>
  <c r="D38" i="7"/>
  <c r="B38" i="7"/>
  <c r="H38" i="7" s="1"/>
  <c r="N35" i="7"/>
  <c r="G35" i="7"/>
  <c r="E35" i="7" s="1"/>
  <c r="K35" i="7" s="1"/>
  <c r="N34" i="7"/>
  <c r="G34" i="7"/>
  <c r="E34" i="7" s="1"/>
  <c r="N33" i="7"/>
  <c r="I28" i="7"/>
  <c r="J27" i="7"/>
  <c r="E27" i="7"/>
  <c r="I27" i="7"/>
  <c r="J26" i="7"/>
  <c r="E26" i="7"/>
  <c r="I26" i="7"/>
  <c r="J25" i="7"/>
  <c r="E25" i="7"/>
  <c r="I25" i="7"/>
  <c r="J24" i="7"/>
  <c r="E24" i="7"/>
  <c r="I24" i="7"/>
  <c r="J23" i="7"/>
  <c r="E23" i="7"/>
  <c r="I23" i="7"/>
  <c r="E22" i="7"/>
  <c r="C10" i="7"/>
  <c r="D10" i="7" s="1"/>
  <c r="D9" i="7"/>
  <c r="D8" i="7"/>
  <c r="D7" i="7"/>
  <c r="Q34" i="7" l="1"/>
  <c r="K34" i="7"/>
  <c r="K24" i="7"/>
  <c r="T24" i="7" s="1"/>
  <c r="Q24" i="7"/>
  <c r="K25" i="7"/>
  <c r="T25" i="7" s="1"/>
  <c r="Q25" i="7"/>
  <c r="K22" i="7"/>
  <c r="T22" i="7" s="1"/>
  <c r="Q22" i="7"/>
  <c r="K26" i="7"/>
  <c r="T26" i="7" s="1"/>
  <c r="Q26" i="7"/>
  <c r="K23" i="7"/>
  <c r="T23" i="7" s="1"/>
  <c r="Q23" i="7"/>
  <c r="K27" i="7"/>
  <c r="T27" i="7" s="1"/>
  <c r="Q27" i="7"/>
  <c r="N36" i="18"/>
  <c r="N29" i="18"/>
  <c r="E55" i="18"/>
  <c r="E56" i="18"/>
  <c r="E52" i="18"/>
  <c r="E53" i="18"/>
  <c r="E54" i="18"/>
  <c r="G50" i="18"/>
  <c r="E50" i="18"/>
  <c r="E51" i="18"/>
  <c r="I63" i="18"/>
  <c r="C72" i="18"/>
  <c r="AE91" i="1" s="1"/>
  <c r="G51" i="18"/>
  <c r="C44" i="6"/>
  <c r="G53" i="18"/>
  <c r="G54" i="18"/>
  <c r="G55" i="18"/>
  <c r="G56" i="18"/>
  <c r="G52" i="18"/>
  <c r="E60" i="7"/>
  <c r="K60" i="7" s="1"/>
  <c r="E64" i="7"/>
  <c r="K64" i="7" s="1"/>
  <c r="E68" i="7"/>
  <c r="K68" i="7" s="1"/>
  <c r="E39" i="7"/>
  <c r="K39" i="7" s="1"/>
  <c r="E43" i="7"/>
  <c r="K43" i="7" s="1"/>
  <c r="E47" i="7"/>
  <c r="K47" i="7" s="1"/>
  <c r="E51" i="7"/>
  <c r="K51" i="7" s="1"/>
  <c r="E55" i="7"/>
  <c r="K55" i="7" s="1"/>
  <c r="E72" i="7"/>
  <c r="K72" i="7" s="1"/>
  <c r="E59" i="7"/>
  <c r="K59" i="7" s="1"/>
  <c r="E63" i="7"/>
  <c r="K63" i="7" s="1"/>
  <c r="E40" i="7"/>
  <c r="K40" i="7" s="1"/>
  <c r="E44" i="7"/>
  <c r="K44" i="7" s="1"/>
  <c r="E48" i="7"/>
  <c r="K48" i="7" s="1"/>
  <c r="E52" i="7"/>
  <c r="K52" i="7" s="1"/>
  <c r="E56" i="7"/>
  <c r="K56" i="7" s="1"/>
  <c r="E67" i="7"/>
  <c r="K67" i="7" s="1"/>
  <c r="E71" i="7"/>
  <c r="K71" i="7" s="1"/>
  <c r="L30" i="18"/>
  <c r="M30" i="18" s="1"/>
  <c r="E30" i="18" s="1"/>
  <c r="E38" i="7"/>
  <c r="K38" i="7" s="1"/>
  <c r="E42" i="7"/>
  <c r="K42" i="7" s="1"/>
  <c r="E46" i="7"/>
  <c r="K46" i="7" s="1"/>
  <c r="E50" i="7"/>
  <c r="K50" i="7" s="1"/>
  <c r="E54" i="7"/>
  <c r="K54" i="7" s="1"/>
  <c r="E58" i="7"/>
  <c r="K58" i="7" s="1"/>
  <c r="E62" i="7"/>
  <c r="K62" i="7" s="1"/>
  <c r="E66" i="7"/>
  <c r="K66" i="7" s="1"/>
  <c r="E70" i="7"/>
  <c r="K70" i="7" s="1"/>
  <c r="E74" i="7"/>
  <c r="K74" i="7" s="1"/>
  <c r="E75" i="7"/>
  <c r="K75" i="7" s="1"/>
  <c r="E41" i="7"/>
  <c r="K41" i="7" s="1"/>
  <c r="E45" i="7"/>
  <c r="K45" i="7" s="1"/>
  <c r="E49" i="7"/>
  <c r="K49" i="7" s="1"/>
  <c r="E53" i="7"/>
  <c r="K53" i="7" s="1"/>
  <c r="E57" i="7"/>
  <c r="K57" i="7" s="1"/>
  <c r="E61" i="7"/>
  <c r="K61" i="7" s="1"/>
  <c r="E65" i="7"/>
  <c r="K65" i="7" s="1"/>
  <c r="E69" i="7"/>
  <c r="K69" i="7" s="1"/>
  <c r="E73" i="7"/>
  <c r="K73" i="7" s="1"/>
  <c r="C38" i="7"/>
  <c r="I38" i="7" s="1"/>
  <c r="C39" i="7"/>
  <c r="I39" i="7" s="1"/>
  <c r="C40" i="7"/>
  <c r="I40" i="7" s="1"/>
  <c r="C41" i="7"/>
  <c r="I41" i="7" s="1"/>
  <c r="C42" i="7"/>
  <c r="I42" i="7" s="1"/>
  <c r="C43" i="7"/>
  <c r="I43" i="7" s="1"/>
  <c r="C44" i="7"/>
  <c r="I44" i="7" s="1"/>
  <c r="C45" i="7"/>
  <c r="I45" i="7" s="1"/>
  <c r="C46" i="7"/>
  <c r="I46" i="7" s="1"/>
  <c r="C47" i="7"/>
  <c r="I47" i="7" s="1"/>
  <c r="C48" i="7"/>
  <c r="I48" i="7" s="1"/>
  <c r="C49" i="7"/>
  <c r="I49" i="7" s="1"/>
  <c r="C50" i="7"/>
  <c r="I50" i="7" s="1"/>
  <c r="C51" i="7"/>
  <c r="I51" i="7" s="1"/>
  <c r="C52" i="7"/>
  <c r="I52" i="7" s="1"/>
  <c r="C53" i="7"/>
  <c r="I53" i="7" s="1"/>
  <c r="C54" i="7"/>
  <c r="I54" i="7" s="1"/>
  <c r="C55" i="7"/>
  <c r="I55" i="7" s="1"/>
  <c r="C56" i="7"/>
  <c r="I56" i="7" s="1"/>
  <c r="C57" i="7"/>
  <c r="I57" i="7" s="1"/>
  <c r="C58" i="7"/>
  <c r="I58" i="7" s="1"/>
  <c r="C59" i="7"/>
  <c r="I59" i="7" s="1"/>
  <c r="C60" i="7"/>
  <c r="I60" i="7" s="1"/>
  <c r="C61" i="7"/>
  <c r="I61" i="7" s="1"/>
  <c r="C62" i="7"/>
  <c r="I62" i="7" s="1"/>
  <c r="C63" i="7"/>
  <c r="I63" i="7" s="1"/>
  <c r="C64" i="7"/>
  <c r="I64" i="7" s="1"/>
  <c r="C65" i="7"/>
  <c r="I65" i="7" s="1"/>
  <c r="C66" i="7"/>
  <c r="I66" i="7" s="1"/>
  <c r="C67" i="7"/>
  <c r="I67" i="7" s="1"/>
  <c r="C68" i="7"/>
  <c r="I68" i="7" s="1"/>
  <c r="C69" i="7"/>
  <c r="I69" i="7" s="1"/>
  <c r="C70" i="7"/>
  <c r="I70" i="7" s="1"/>
  <c r="C71" i="7"/>
  <c r="I71" i="7" s="1"/>
  <c r="C72" i="7"/>
  <c r="I72" i="7" s="1"/>
  <c r="C73" i="7"/>
  <c r="I73" i="7" s="1"/>
  <c r="C74" i="7"/>
  <c r="I74" i="7" s="1"/>
  <c r="E28" i="7"/>
  <c r="H24" i="7"/>
  <c r="S24" i="7" s="1"/>
  <c r="H23" i="7"/>
  <c r="S23" i="7" s="1"/>
  <c r="J28"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K28" i="7" l="1"/>
  <c r="T28" i="7" s="1"/>
  <c r="Q28" i="7"/>
  <c r="G30" i="18"/>
  <c r="F30" i="18"/>
  <c r="C91" i="18"/>
  <c r="AE110" i="1" s="1"/>
  <c r="F50" i="18"/>
  <c r="F51" i="18"/>
  <c r="O59" i="18"/>
  <c r="N59" i="18"/>
  <c r="G63" i="18"/>
  <c r="H25" i="7"/>
  <c r="S25" i="7" s="1"/>
  <c r="E29" i="7"/>
  <c r="J29" i="7"/>
  <c r="I29" i="7"/>
  <c r="K29" i="7" l="1"/>
  <c r="T29" i="7" s="1"/>
  <c r="Q29" i="7"/>
  <c r="H26" i="7"/>
  <c r="S26" i="7" s="1"/>
  <c r="E30" i="7"/>
  <c r="J30" i="7"/>
  <c r="I30" i="7"/>
  <c r="K30" i="7" l="1"/>
  <c r="T30" i="7" s="1"/>
  <c r="Q30" i="7"/>
  <c r="H27" i="7"/>
  <c r="S27" i="7" s="1"/>
  <c r="E31" i="7"/>
  <c r="J31" i="7"/>
  <c r="I31" i="7"/>
  <c r="K31" i="7" l="1"/>
  <c r="T31" i="7" s="1"/>
  <c r="Q31" i="7"/>
  <c r="H28" i="7"/>
  <c r="S28" i="7" s="1"/>
  <c r="E32" i="7"/>
  <c r="J32" i="7"/>
  <c r="I32" i="7"/>
  <c r="K32" i="7" l="1"/>
  <c r="T32" i="7" s="1"/>
  <c r="Q32" i="7"/>
  <c r="H29" i="7"/>
  <c r="S29" i="7" s="1"/>
  <c r="J33" i="7"/>
  <c r="I33" i="7"/>
  <c r="T33" i="7" l="1"/>
  <c r="H30" i="7"/>
  <c r="S30" i="7" s="1"/>
  <c r="T34" i="7"/>
  <c r="J34" i="7"/>
  <c r="I34" i="7"/>
  <c r="H31" i="7" l="1"/>
  <c r="S31" i="7" s="1"/>
  <c r="J35" i="7"/>
  <c r="I35" i="7"/>
  <c r="T35" i="7" l="1"/>
  <c r="Q35" i="7"/>
  <c r="H32" i="7"/>
  <c r="S32" i="7" s="1"/>
  <c r="H33" i="7" l="1"/>
  <c r="S33" i="7" s="1"/>
  <c r="H35" i="7" l="1"/>
  <c r="S35" i="7" s="1"/>
  <c r="H34" i="7"/>
  <c r="S34" i="7" s="1"/>
  <c r="Q258" i="1" l="1"/>
  <c r="Q253" i="1"/>
  <c r="Q242" i="1"/>
  <c r="Q241" i="1"/>
  <c r="Q243" i="1" s="1"/>
  <c r="Q244" i="1" s="1"/>
  <c r="Q230" i="1"/>
  <c r="Q229" i="1"/>
  <c r="Q231" i="1" s="1"/>
  <c r="Q232" i="1" s="1"/>
  <c r="Q219" i="1"/>
  <c r="Q220" i="1" s="1"/>
  <c r="Q209" i="1"/>
  <c r="Q208" i="1"/>
  <c r="Q210" i="1" s="1"/>
  <c r="Q211" i="1" s="1"/>
  <c r="Q199" i="1"/>
  <c r="Q201" i="1" s="1"/>
  <c r="Q202" i="1" s="1"/>
  <c r="Q183" i="1"/>
  <c r="Q182" i="1"/>
  <c r="Q184" i="1" s="1"/>
  <c r="Q186" i="1" s="1"/>
  <c r="Q172" i="1"/>
  <c r="U172" i="1" s="1"/>
  <c r="Q162" i="1"/>
  <c r="Q163" i="1"/>
  <c r="Q164" i="1" s="1"/>
  <c r="U150" i="1"/>
  <c r="U138" i="1"/>
  <c r="Q129" i="1"/>
  <c r="Q128" i="1"/>
  <c r="Q127" i="1"/>
  <c r="Q126" i="1"/>
  <c r="Q117" i="1"/>
  <c r="U117" i="1" s="1"/>
  <c r="Q101" i="1"/>
  <c r="Q102" i="1" s="1"/>
  <c r="Q89" i="1"/>
  <c r="Q90" i="1" s="1"/>
  <c r="U90" i="1" s="1"/>
  <c r="K28" i="18" s="1"/>
  <c r="M28" i="18" s="1"/>
  <c r="Q84" i="1"/>
  <c r="Q83" i="1"/>
  <c r="Q82" i="1"/>
  <c r="Q81" i="1"/>
  <c r="Q80" i="1"/>
  <c r="Q79" i="1"/>
  <c r="Q78" i="1"/>
  <c r="Q77" i="1"/>
  <c r="Q76" i="1"/>
  <c r="Q75" i="1"/>
  <c r="AD35" i="1"/>
  <c r="K37" i="18" s="1"/>
  <c r="H32" i="1"/>
  <c r="J32" i="1" s="1"/>
  <c r="L32" i="1" s="1"/>
  <c r="J30" i="1"/>
  <c r="M30" i="1" s="1"/>
  <c r="L29" i="1"/>
  <c r="H27" i="1"/>
  <c r="J27" i="1" s="1"/>
  <c r="L27" i="1" s="1"/>
  <c r="H26" i="1"/>
  <c r="AD17" i="1" s="1"/>
  <c r="J25" i="1"/>
  <c r="L25" i="1" s="1"/>
  <c r="AD18" i="1"/>
  <c r="L18" i="1"/>
  <c r="L17" i="1"/>
  <c r="AD16" i="1"/>
  <c r="L16" i="1"/>
  <c r="AD15" i="1"/>
  <c r="L15" i="1"/>
  <c r="AD14" i="1"/>
  <c r="H13" i="1"/>
  <c r="J13" i="1" s="1"/>
  <c r="L13" i="1" s="1"/>
  <c r="AJ12" i="1"/>
  <c r="H12" i="1"/>
  <c r="AJ11" i="1"/>
  <c r="H11" i="1"/>
  <c r="E10" i="18" s="1"/>
  <c r="H10" i="18" s="1"/>
  <c r="AD9" i="1"/>
  <c r="H10" i="1"/>
  <c r="J10" i="1" s="1"/>
  <c r="L10" i="1" s="1"/>
  <c r="H9" i="1"/>
  <c r="AD8" i="1"/>
  <c r="R85" i="1" l="1"/>
  <c r="Q255" i="1"/>
  <c r="Q259" i="1"/>
  <c r="Q260" i="1" s="1"/>
  <c r="U254" i="1" s="1"/>
  <c r="Q85" i="1"/>
  <c r="U85" i="1" s="1"/>
  <c r="U220" i="1"/>
  <c r="U219" i="1"/>
  <c r="AD42" i="1" s="1"/>
  <c r="U116" i="1"/>
  <c r="AD29" i="1" s="1"/>
  <c r="U171" i="1"/>
  <c r="AD38" i="1" s="1"/>
  <c r="L30" i="1"/>
  <c r="N30" i="1" s="1"/>
  <c r="U183" i="1"/>
  <c r="U182" i="1"/>
  <c r="AD39" i="1" s="1"/>
  <c r="J9" i="1"/>
  <c r="L9" i="1" s="1"/>
  <c r="E14" i="18"/>
  <c r="H14" i="18" s="1"/>
  <c r="J12" i="1"/>
  <c r="M12" i="1" s="1"/>
  <c r="E11" i="18"/>
  <c r="F24" i="6" s="1"/>
  <c r="M32" i="1"/>
  <c r="N32" i="1" s="1"/>
  <c r="J26" i="1"/>
  <c r="L26" i="1" s="1"/>
  <c r="E15" i="18"/>
  <c r="H15" i="18" s="1"/>
  <c r="M37" i="18"/>
  <c r="E37" i="18" s="1"/>
  <c r="J11" i="1"/>
  <c r="L11" i="1" s="1"/>
  <c r="Q130" i="1"/>
  <c r="Q131" i="1" s="1"/>
  <c r="U126" i="1" s="1"/>
  <c r="AD31" i="1" s="1"/>
  <c r="AD12" i="1"/>
  <c r="H14" i="7"/>
  <c r="U161" i="1"/>
  <c r="AD36" i="1" s="1"/>
  <c r="U162" i="1"/>
  <c r="AD37" i="1" s="1"/>
  <c r="E40" i="18" s="1"/>
  <c r="K36" i="18"/>
  <c r="AD33" i="1"/>
  <c r="U101" i="1"/>
  <c r="AD27" i="1" s="1"/>
  <c r="U102" i="1"/>
  <c r="K29" i="18" s="1"/>
  <c r="M29" i="18" s="1"/>
  <c r="U89" i="1"/>
  <c r="AD25" i="1" s="1"/>
  <c r="M29" i="1"/>
  <c r="N29" i="1" s="1"/>
  <c r="U230" i="1"/>
  <c r="U229" i="1"/>
  <c r="AD43" i="1" s="1"/>
  <c r="U200" i="1"/>
  <c r="U199" i="1"/>
  <c r="AD40" i="1" s="1"/>
  <c r="U241" i="1"/>
  <c r="AD44" i="1" s="1"/>
  <c r="U242" i="1"/>
  <c r="U208" i="1"/>
  <c r="AD41" i="1" s="1"/>
  <c r="U209" i="1"/>
  <c r="M10" i="1"/>
  <c r="N10" i="1" s="1"/>
  <c r="M13" i="1"/>
  <c r="N13" i="1" s="1"/>
  <c r="M14" i="1"/>
  <c r="M15" i="1"/>
  <c r="N15" i="1" s="1"/>
  <c r="M16" i="1"/>
  <c r="N16" i="1" s="1"/>
  <c r="M17" i="1"/>
  <c r="N17" i="1" s="1"/>
  <c r="M18" i="1"/>
  <c r="N18" i="1" s="1"/>
  <c r="M25" i="1"/>
  <c r="N25" i="1" s="1"/>
  <c r="M27" i="1"/>
  <c r="N27" i="1" s="1"/>
  <c r="S85" i="1" l="1"/>
  <c r="T85" i="1"/>
  <c r="C20" i="18"/>
  <c r="Z20" i="7"/>
  <c r="AA20" i="7"/>
  <c r="AC20" i="7"/>
  <c r="AB20" i="7"/>
  <c r="H31" i="1"/>
  <c r="AD19" i="1" s="1"/>
  <c r="E17" i="18" s="1"/>
  <c r="U253" i="1"/>
  <c r="AD45" i="1" s="1"/>
  <c r="M9" i="1"/>
  <c r="N9" i="1" s="1"/>
  <c r="M11" i="1"/>
  <c r="N11" i="1" s="1"/>
  <c r="W28" i="18"/>
  <c r="N28" i="18"/>
  <c r="O28" i="18" s="1"/>
  <c r="Z28" i="18" s="1"/>
  <c r="AA28" i="18" s="1"/>
  <c r="O29" i="18"/>
  <c r="U127" i="1"/>
  <c r="K31" i="18" s="1"/>
  <c r="M31" i="18" s="1"/>
  <c r="E31" i="18" s="1"/>
  <c r="M26" i="1"/>
  <c r="N26" i="1" s="1"/>
  <c r="F57" i="18"/>
  <c r="G57" i="18"/>
  <c r="L12" i="1"/>
  <c r="N12" i="1" s="1"/>
  <c r="F37" i="18"/>
  <c r="H11" i="18"/>
  <c r="C41" i="6"/>
  <c r="H20" i="7"/>
  <c r="K20" i="7"/>
  <c r="J20" i="7"/>
  <c r="I20" i="7"/>
  <c r="N14" i="1"/>
  <c r="H24" i="1" l="1"/>
  <c r="E20" i="18"/>
  <c r="AD24" i="1"/>
  <c r="G20" i="18"/>
  <c r="AD21" i="1"/>
  <c r="D20" i="18"/>
  <c r="E33" i="18"/>
  <c r="E35" i="18"/>
  <c r="E34" i="18"/>
  <c r="G34" i="18" s="1"/>
  <c r="G31" i="18"/>
  <c r="H28" i="1"/>
  <c r="J31" i="1"/>
  <c r="L31" i="1" s="1"/>
  <c r="D44" i="6"/>
  <c r="H33" i="1"/>
  <c r="J33" i="1" s="1"/>
  <c r="L33" i="1" s="1"/>
  <c r="I41" i="6"/>
  <c r="AD22" i="1"/>
  <c r="AD20" i="1"/>
  <c r="AA30" i="18"/>
  <c r="C42" i="6"/>
  <c r="J36" i="18"/>
  <c r="L36" i="18" s="1"/>
  <c r="M36" i="18" s="1"/>
  <c r="O36" i="18" s="1"/>
  <c r="P36" i="18" s="1"/>
  <c r="G36" i="18" s="1"/>
  <c r="H17" i="18"/>
  <c r="P28" i="18"/>
  <c r="E29" i="18"/>
  <c r="C89" i="18" s="1"/>
  <c r="AE108" i="1" s="1"/>
  <c r="Z29" i="18"/>
  <c r="AA29" i="18" s="1"/>
  <c r="E28" i="18"/>
  <c r="F28" i="18" s="1"/>
  <c r="J24" i="1"/>
  <c r="I30" i="6"/>
  <c r="G26" i="6"/>
  <c r="I29" i="6"/>
  <c r="D47" i="6"/>
  <c r="E8" i="18" l="1"/>
  <c r="H8" i="18" s="1"/>
  <c r="AD11" i="1"/>
  <c r="M31" i="1"/>
  <c r="N31" i="1" s="1"/>
  <c r="G33" i="18"/>
  <c r="E32" i="18"/>
  <c r="G32" i="18" s="1"/>
  <c r="G35" i="18"/>
  <c r="F34" i="18"/>
  <c r="E51" i="6"/>
  <c r="E52" i="6" s="1"/>
  <c r="J41" i="6"/>
  <c r="J28" i="1"/>
  <c r="L28" i="1" s="1"/>
  <c r="C39" i="6"/>
  <c r="C51" i="6" s="1"/>
  <c r="H20" i="18"/>
  <c r="I31" i="6"/>
  <c r="F40" i="18" s="1"/>
  <c r="F41" i="18" s="1"/>
  <c r="F42" i="18" s="1"/>
  <c r="F43" i="18" s="1"/>
  <c r="F44" i="18" s="1"/>
  <c r="F45" i="18" s="1"/>
  <c r="F46" i="18" s="1"/>
  <c r="F47" i="18" s="1"/>
  <c r="F48" i="18" s="1"/>
  <c r="F49" i="18" s="1"/>
  <c r="E36" i="18"/>
  <c r="F36" i="18" s="1"/>
  <c r="Z30" i="18"/>
  <c r="F31" i="18"/>
  <c r="F35" i="18" s="1"/>
  <c r="P29" i="18"/>
  <c r="G29" i="18" s="1"/>
  <c r="F29" i="18"/>
  <c r="C90" i="18"/>
  <c r="AE109" i="1" s="1"/>
  <c r="C88" i="18"/>
  <c r="AE107" i="1" s="1"/>
  <c r="G28" i="18"/>
  <c r="G18" i="18"/>
  <c r="H18" i="18" s="1"/>
  <c r="L24" i="1"/>
  <c r="M24" i="1"/>
  <c r="F33" i="18" l="1"/>
  <c r="F32" i="18"/>
  <c r="AG88" i="1"/>
  <c r="AG87" i="1"/>
  <c r="AG86" i="1"/>
  <c r="AG85" i="1"/>
  <c r="M28" i="1"/>
  <c r="N28" i="1" s="1"/>
  <c r="G4" i="1"/>
  <c r="I4" i="1" s="1"/>
  <c r="AG7" i="1" s="1"/>
  <c r="D51" i="6"/>
  <c r="E50" i="6"/>
  <c r="E53" i="6"/>
  <c r="G5" i="1"/>
  <c r="C50" i="6"/>
  <c r="C53" i="6" s="1"/>
  <c r="E54" i="6"/>
  <c r="I5" i="1"/>
  <c r="N24" i="1"/>
  <c r="H21" i="18"/>
  <c r="G51" i="6" l="1"/>
  <c r="C46" i="6" s="1"/>
  <c r="I51" i="6"/>
  <c r="D50" i="6"/>
  <c r="D53" i="6" s="1"/>
  <c r="G53" i="6" s="1"/>
  <c r="C54" i="6"/>
  <c r="C52" i="6"/>
  <c r="AG66" i="1"/>
  <c r="AG58" i="1"/>
  <c r="AG50" i="1"/>
  <c r="AG41" i="1"/>
  <c r="AG30" i="1"/>
  <c r="AG64" i="1"/>
  <c r="AG56" i="1"/>
  <c r="AG37" i="1"/>
  <c r="AG63" i="1"/>
  <c r="AG55" i="1"/>
  <c r="AG36" i="1"/>
  <c r="AG62" i="1"/>
  <c r="AG46" i="1"/>
  <c r="AG69" i="1"/>
  <c r="AG33" i="1"/>
  <c r="AG60" i="1"/>
  <c r="AG44" i="1"/>
  <c r="AG32" i="1"/>
  <c r="AG59" i="1"/>
  <c r="AG42" i="1"/>
  <c r="AG65" i="1"/>
  <c r="AG57" i="1"/>
  <c r="AG49" i="1"/>
  <c r="AG39" i="1"/>
  <c r="AG34" i="1"/>
  <c r="AG98" i="1"/>
  <c r="AG48" i="1"/>
  <c r="AG83" i="1"/>
  <c r="AG47" i="1"/>
  <c r="AG70" i="1"/>
  <c r="AG54" i="1"/>
  <c r="AG35" i="1"/>
  <c r="AG61" i="1"/>
  <c r="AG53" i="1"/>
  <c r="AG45" i="1"/>
  <c r="AG68" i="1"/>
  <c r="AG52" i="1"/>
  <c r="AG67" i="1"/>
  <c r="AG51" i="1"/>
  <c r="AG31" i="1"/>
  <c r="AJ7" i="1"/>
  <c r="I6" i="1"/>
  <c r="AG8" i="1" s="1"/>
  <c r="AJ8" i="1" s="1"/>
  <c r="AG73" i="1"/>
  <c r="AG72" i="1"/>
  <c r="AG79" i="1"/>
  <c r="AG78" i="1"/>
  <c r="AG82" i="1"/>
  <c r="AG80" i="1"/>
  <c r="AG81" i="1"/>
  <c r="AG74" i="1"/>
  <c r="AG76" i="1"/>
  <c r="AG71" i="1"/>
  <c r="AG26" i="1"/>
  <c r="AG18" i="1"/>
  <c r="AG25" i="1"/>
  <c r="AG17" i="1"/>
  <c r="AG24" i="1"/>
  <c r="AG16" i="1"/>
  <c r="AG23" i="1"/>
  <c r="AG15" i="1"/>
  <c r="AG22" i="1"/>
  <c r="AG14" i="1"/>
  <c r="AG21" i="1"/>
  <c r="AG13" i="1"/>
  <c r="AG20" i="1"/>
  <c r="AG12" i="1"/>
  <c r="AG27" i="1"/>
  <c r="AG19" i="1"/>
  <c r="G45" i="18"/>
  <c r="G43" i="18"/>
  <c r="G48" i="18"/>
  <c r="G49" i="18"/>
  <c r="G41" i="18"/>
  <c r="G46" i="18"/>
  <c r="G47" i="18"/>
  <c r="G44" i="18"/>
  <c r="G42" i="18"/>
  <c r="F6" i="1" l="1"/>
  <c r="C87" i="18"/>
  <c r="AE106" i="1" s="1"/>
  <c r="G40" i="18"/>
  <c r="G60" i="18" s="1"/>
  <c r="G50" i="6"/>
  <c r="D52" i="6"/>
  <c r="G52" i="6" s="1"/>
  <c r="D54" i="6"/>
  <c r="G54" i="6" s="1"/>
  <c r="AJ15" i="1"/>
  <c r="AJ23" i="1"/>
  <c r="AJ31" i="1"/>
  <c r="AJ39" i="1"/>
  <c r="AJ47" i="1"/>
  <c r="AJ55" i="1"/>
  <c r="AJ63" i="1"/>
  <c r="AJ71" i="1"/>
  <c r="AJ79" i="1"/>
  <c r="AJ87" i="1"/>
  <c r="AJ95" i="1"/>
  <c r="AJ103" i="1"/>
  <c r="AJ111" i="1"/>
  <c r="AJ119" i="1"/>
  <c r="AJ127" i="1"/>
  <c r="AJ135" i="1"/>
  <c r="AJ143" i="1"/>
  <c r="AJ151" i="1"/>
  <c r="AJ159" i="1"/>
  <c r="AJ167" i="1"/>
  <c r="AJ175" i="1"/>
  <c r="AJ183" i="1"/>
  <c r="AJ191" i="1"/>
  <c r="AJ199" i="1"/>
  <c r="AJ34" i="1"/>
  <c r="AJ66" i="1"/>
  <c r="AJ90" i="1"/>
  <c r="AJ122" i="1"/>
  <c r="AJ146" i="1"/>
  <c r="AJ170" i="1"/>
  <c r="AJ194" i="1"/>
  <c r="AJ141" i="1"/>
  <c r="AJ189" i="1"/>
  <c r="AJ38" i="1"/>
  <c r="AJ126" i="1"/>
  <c r="AJ198" i="1"/>
  <c r="AJ16" i="1"/>
  <c r="AJ24" i="1"/>
  <c r="AJ32" i="1"/>
  <c r="AJ40" i="1"/>
  <c r="AJ48" i="1"/>
  <c r="AJ56" i="1"/>
  <c r="AJ64" i="1"/>
  <c r="AJ72" i="1"/>
  <c r="AJ80" i="1"/>
  <c r="AJ88" i="1"/>
  <c r="AJ96" i="1"/>
  <c r="AJ104" i="1"/>
  <c r="AJ112" i="1"/>
  <c r="AJ120" i="1"/>
  <c r="AJ128" i="1"/>
  <c r="AJ136" i="1"/>
  <c r="AJ144" i="1"/>
  <c r="AJ152" i="1"/>
  <c r="AJ160" i="1"/>
  <c r="AJ168" i="1"/>
  <c r="AJ176" i="1"/>
  <c r="AJ184" i="1"/>
  <c r="AJ192" i="1"/>
  <c r="AJ200" i="1"/>
  <c r="AJ26" i="1"/>
  <c r="AJ42" i="1"/>
  <c r="AJ50" i="1"/>
  <c r="AJ58" i="1"/>
  <c r="AJ82" i="1"/>
  <c r="AJ98" i="1"/>
  <c r="AJ114" i="1"/>
  <c r="AJ130" i="1"/>
  <c r="AJ154" i="1"/>
  <c r="AJ178" i="1"/>
  <c r="AJ13" i="1"/>
  <c r="AJ157" i="1"/>
  <c r="AJ22" i="1"/>
  <c r="AJ54" i="1"/>
  <c r="AJ70" i="1"/>
  <c r="AJ94" i="1"/>
  <c r="AJ134" i="1"/>
  <c r="AJ150" i="1"/>
  <c r="AJ166" i="1"/>
  <c r="AJ17" i="1"/>
  <c r="AJ25" i="1"/>
  <c r="AJ33" i="1"/>
  <c r="AJ41" i="1"/>
  <c r="AJ49" i="1"/>
  <c r="AJ57" i="1"/>
  <c r="AJ65" i="1"/>
  <c r="AJ73" i="1"/>
  <c r="AJ81" i="1"/>
  <c r="AJ89" i="1"/>
  <c r="AJ97" i="1"/>
  <c r="AJ105" i="1"/>
  <c r="AJ121" i="1"/>
  <c r="AJ129" i="1"/>
  <c r="AJ137" i="1"/>
  <c r="AJ145" i="1"/>
  <c r="AJ153" i="1"/>
  <c r="AJ161" i="1"/>
  <c r="AJ169" i="1"/>
  <c r="AJ177" i="1"/>
  <c r="AJ185" i="1"/>
  <c r="AJ193" i="1"/>
  <c r="AJ201" i="1"/>
  <c r="AJ18" i="1"/>
  <c r="AJ74" i="1"/>
  <c r="AJ106" i="1"/>
  <c r="AJ138" i="1"/>
  <c r="AJ162" i="1"/>
  <c r="AJ186" i="1"/>
  <c r="AJ165" i="1"/>
  <c r="AJ30" i="1"/>
  <c r="AJ102" i="1"/>
  <c r="AJ174" i="1"/>
  <c r="AJ19" i="1"/>
  <c r="AJ27" i="1"/>
  <c r="AJ35" i="1"/>
  <c r="AJ43" i="1"/>
  <c r="AJ51" i="1"/>
  <c r="AJ59" i="1"/>
  <c r="AJ67" i="1"/>
  <c r="AJ75" i="1"/>
  <c r="AJ83" i="1"/>
  <c r="AJ91" i="1"/>
  <c r="AJ99" i="1"/>
  <c r="AJ107" i="1"/>
  <c r="AJ115" i="1"/>
  <c r="AJ123" i="1"/>
  <c r="AJ131" i="1"/>
  <c r="AJ139" i="1"/>
  <c r="AJ147" i="1"/>
  <c r="AJ155" i="1"/>
  <c r="AJ163" i="1"/>
  <c r="AJ171" i="1"/>
  <c r="AJ179" i="1"/>
  <c r="AJ187" i="1"/>
  <c r="AJ195" i="1"/>
  <c r="AJ29" i="1"/>
  <c r="AJ37" i="1"/>
  <c r="AJ45" i="1"/>
  <c r="AJ53" i="1"/>
  <c r="AJ61" i="1"/>
  <c r="AJ69" i="1"/>
  <c r="AJ77" i="1"/>
  <c r="AJ85" i="1"/>
  <c r="AJ93" i="1"/>
  <c r="AJ109" i="1"/>
  <c r="AJ117" i="1"/>
  <c r="AJ133" i="1"/>
  <c r="AJ173" i="1"/>
  <c r="AJ197" i="1"/>
  <c r="AJ46" i="1"/>
  <c r="AJ118" i="1"/>
  <c r="AJ182" i="1"/>
  <c r="AJ20" i="1"/>
  <c r="AJ28" i="1"/>
  <c r="AJ36" i="1"/>
  <c r="AJ44" i="1"/>
  <c r="AJ52" i="1"/>
  <c r="AJ60" i="1"/>
  <c r="AJ68" i="1"/>
  <c r="AJ76" i="1"/>
  <c r="AJ84" i="1"/>
  <c r="AJ92" i="1"/>
  <c r="AJ100" i="1"/>
  <c r="AJ108" i="1"/>
  <c r="AJ116" i="1"/>
  <c r="AJ124" i="1"/>
  <c r="AJ132" i="1"/>
  <c r="AJ140" i="1"/>
  <c r="AJ148" i="1"/>
  <c r="AJ156" i="1"/>
  <c r="AJ164" i="1"/>
  <c r="AJ172" i="1"/>
  <c r="AJ180" i="1"/>
  <c r="AJ188" i="1"/>
  <c r="AJ196" i="1"/>
  <c r="AJ21" i="1"/>
  <c r="AJ101" i="1"/>
  <c r="AJ125" i="1"/>
  <c r="AJ149" i="1"/>
  <c r="AJ181" i="1"/>
  <c r="AJ14" i="1"/>
  <c r="AJ62" i="1"/>
  <c r="AJ78" i="1"/>
  <c r="AJ86" i="1"/>
  <c r="AJ110" i="1"/>
  <c r="AJ142" i="1"/>
  <c r="AJ158" i="1"/>
  <c r="AJ190" i="1"/>
  <c r="AG75" i="1"/>
  <c r="AJ113" i="1" s="1"/>
  <c r="I61" i="18" l="1"/>
  <c r="AG9" i="1" l="1"/>
  <c r="I62" i="18"/>
  <c r="J62" i="18" s="1"/>
  <c r="K62" i="18" s="1"/>
  <c r="G61" i="18" s="1"/>
  <c r="G62" i="18" l="1"/>
  <c r="AG10" i="1"/>
  <c r="AJ10" i="1" s="1"/>
  <c r="AG11" i="1" l="1"/>
  <c r="AJ9"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msokolova</author>
  </authors>
  <commentList>
    <comment ref="AF21" authorId="0" shapeId="0" xr:uid="{00000000-0006-0000-0000-000001000000}">
      <text>
        <r>
          <rPr>
            <b/>
            <sz val="9"/>
            <color indexed="81"/>
            <rFont val="Tahoma"/>
            <family val="2"/>
          </rPr>
          <t>msokolova:</t>
        </r>
        <r>
          <rPr>
            <sz val="9"/>
            <color indexed="81"/>
            <rFont val="Tahoma"/>
            <family val="2"/>
          </rPr>
          <t xml:space="preserve">
should it read CGL deductible?
</t>
        </r>
      </text>
    </comment>
  </commentList>
</comments>
</file>

<file path=xl/sharedStrings.xml><?xml version="1.0" encoding="utf-8"?>
<sst xmlns="http://schemas.openxmlformats.org/spreadsheetml/2006/main" count="2976" uniqueCount="1199">
  <si>
    <t>QUOTEY INPUTS</t>
  </si>
  <si>
    <t>INSURER QUALIFYING RULES</t>
  </si>
  <si>
    <t>MAPPING</t>
  </si>
  <si>
    <t>FINAL ALGORITHM INPUTS</t>
  </si>
  <si>
    <t>OUTPUTS</t>
  </si>
  <si>
    <t>OUTPUT BACK TO QUOTEY</t>
  </si>
  <si>
    <t>This section takes all the inputs from Quotey to qualify the risk and to enable pricing in the insurer's algorithm.  Simples.</t>
  </si>
  <si>
    <t>This section applies all individual risk qualification rules to the risk in question.  These rules are set by the insurer.  Nothing can be quoted unless the risk qualifies in all elements.  Output here is "Quote", "Refer", "Decline" together with which rule(s) has failed.</t>
  </si>
  <si>
    <t>This section looks to map all M&amp;W inputs into appropriate insurer inputs for their algorithm.</t>
  </si>
  <si>
    <t>This section outlines all mapped inputs that are dropped directly into the insurers rating algorithm.</t>
  </si>
  <si>
    <t>This final section links back from the inurer's algorithm to feed back into Quotey</t>
  </si>
  <si>
    <t xml:space="preserve">This is what Quotey should pick up </t>
  </si>
  <si>
    <t>Autoquote test result (0=Quote)</t>
  </si>
  <si>
    <t>Outcome:</t>
  </si>
  <si>
    <t>Mapping M&amp;W Trade Codes to APRIL Qualifying Trade Codes</t>
  </si>
  <si>
    <t>Input</t>
  </si>
  <si>
    <t>Result</t>
  </si>
  <si>
    <t>Refer test result (0 = refer if no quote offered)</t>
  </si>
  <si>
    <t>No Quote Reason:</t>
  </si>
  <si>
    <t>M&amp;W Code</t>
  </si>
  <si>
    <t>APRIL Code</t>
  </si>
  <si>
    <t>APRIL Description</t>
  </si>
  <si>
    <t>M&amp;W Description</t>
  </si>
  <si>
    <t>Output</t>
  </si>
  <si>
    <t>coverID</t>
  </si>
  <si>
    <t>coverName</t>
  </si>
  <si>
    <t>Response</t>
  </si>
  <si>
    <t>Flag Notes</t>
  </si>
  <si>
    <t>Insured address postal code</t>
  </si>
  <si>
    <t>Reason for Refer</t>
  </si>
  <si>
    <t>Referral Reason:</t>
  </si>
  <si>
    <t>Carpentry - Away from Shop</t>
  </si>
  <si>
    <t>Carpentry, framing, trimming, cabinets - Away from Shop</t>
  </si>
  <si>
    <t>Brokerage</t>
  </si>
  <si>
    <t>Mitchell &amp; Whale</t>
  </si>
  <si>
    <t>Product</t>
  </si>
  <si>
    <t>Are you aware of any claims</t>
  </si>
  <si>
    <t>Cement, Concrete Work N.O.C.</t>
  </si>
  <si>
    <t>Cement, Concrete Work - N.O.C.</t>
  </si>
  <si>
    <t>Insured name:</t>
  </si>
  <si>
    <t>Other known losses</t>
  </si>
  <si>
    <t>Rule #</t>
  </si>
  <si>
    <t>Referral phrase</t>
  </si>
  <si>
    <t>Quotey Mapped Input</t>
  </si>
  <si>
    <t>Client value</t>
  </si>
  <si>
    <t>Target</t>
  </si>
  <si>
    <t>Test result</t>
  </si>
  <si>
    <t>Refer if Fail?</t>
  </si>
  <si>
    <t>Refer Result</t>
  </si>
  <si>
    <t>Fail Reason</t>
  </si>
  <si>
    <t>Refer Reason</t>
  </si>
  <si>
    <t>Cleaning Sewers, Drains</t>
  </si>
  <si>
    <t>Risk Address:</t>
  </si>
  <si>
    <t>Response Reason</t>
  </si>
  <si>
    <t>% subcontracted</t>
  </si>
  <si>
    <t>No previous claims</t>
  </si>
  <si>
    <t>Previous claims</t>
  </si>
  <si>
    <t>Number of claims</t>
  </si>
  <si>
    <t>No</t>
  </si>
  <si>
    <t>n</t>
  </si>
  <si>
    <t>Cleaning Streets - Not Snow Removal</t>
  </si>
  <si>
    <t>Main activity of the insured</t>
  </si>
  <si>
    <t>Quoted Premium</t>
  </si>
  <si>
    <t>Subcontractor Certificates</t>
  </si>
  <si>
    <t>No other known / pending losses</t>
  </si>
  <si>
    <t>Other known or pending losses</t>
  </si>
  <si>
    <t>N</t>
  </si>
  <si>
    <t>Conveyor Systems</t>
  </si>
  <si>
    <t>IBC Code</t>
  </si>
  <si>
    <t>fees</t>
  </si>
  <si>
    <t>In what year did your business start</t>
  </si>
  <si>
    <t>No exposure in the USA</t>
  </si>
  <si>
    <t>USA exposure</t>
  </si>
  <si>
    <t>Canada Only Exposure</t>
  </si>
  <si>
    <t>Y</t>
  </si>
  <si>
    <t>Drilling, Not Oil or Gas</t>
  </si>
  <si>
    <t>What % of the insured's revenues come from the main activity exercised selected above?</t>
  </si>
  <si>
    <t>Total payable</t>
  </si>
  <si>
    <t>Covermatch</t>
  </si>
  <si>
    <t>Years relevant experience</t>
  </si>
  <si>
    <t>Maximum 20% subcontracted</t>
  </si>
  <si>
    <t>Subcontract above limit</t>
  </si>
  <si>
    <t>Driveways, Parking Areas, Construction of</t>
  </si>
  <si>
    <t>Construction of Driveways, Parking Areas including sealing</t>
  </si>
  <si>
    <t>No USA exposure? (TRUE = Canada only)</t>
  </si>
  <si>
    <t>Contractors Tools Limit</t>
  </si>
  <si>
    <t>Tools aggregate limit</t>
  </si>
  <si>
    <t>Licensed</t>
  </si>
  <si>
    <t>Subcontractors are insured with certificates checked</t>
  </si>
  <si>
    <t>No subcontractor insurance checks</t>
  </si>
  <si>
    <t>Yes</t>
  </si>
  <si>
    <t>Electrician: Electrical Apparatus</t>
  </si>
  <si>
    <t>Electrical Apparatus</t>
  </si>
  <si>
    <t>% subcontracted works</t>
  </si>
  <si>
    <t>Tools deductible</t>
  </si>
  <si>
    <t>Deductible</t>
  </si>
  <si>
    <t>Previous Refusals</t>
  </si>
  <si>
    <t>Operation 1 fit "auto quote" rule</t>
  </si>
  <si>
    <t>Operation 1 not permitted</t>
  </si>
  <si>
    <t>Operation 1</t>
  </si>
  <si>
    <t>Erection of Iron ot Steel N.O.C.</t>
  </si>
  <si>
    <t>Number of years in business</t>
  </si>
  <si>
    <t>Contractors Equipment Limit</t>
  </si>
  <si>
    <t>Contractor's equipment</t>
  </si>
  <si>
    <t>Accounts receivable</t>
  </si>
  <si>
    <t>Do you or your staff perform design, inspection or consulting services?</t>
  </si>
  <si>
    <t>Operation 2 fit "auto quote" rule</t>
  </si>
  <si>
    <t>Operation 2 not permitted</t>
  </si>
  <si>
    <t>Operation 2</t>
  </si>
  <si>
    <t>Erection of Iron ot Steel Structural</t>
  </si>
  <si>
    <t>Number of years experience</t>
  </si>
  <si>
    <t>Equipment deductible</t>
  </si>
  <si>
    <t>Arson reward</t>
  </si>
  <si>
    <t>operation_1</t>
  </si>
  <si>
    <t>Operation 1 Industry Code</t>
  </si>
  <si>
    <t>Operation 3 fit "auto quote" rule</t>
  </si>
  <si>
    <t>Operation 3 not permitted</t>
  </si>
  <si>
    <t>Operation 3</t>
  </si>
  <si>
    <t>Excavation</t>
  </si>
  <si>
    <t>Number of claims in the last 5 years</t>
  </si>
  <si>
    <t>Rented Equipment Limit</t>
  </si>
  <si>
    <t>Bailees customer form</t>
  </si>
  <si>
    <t xml:space="preserve">  - Op 1 Revenues</t>
  </si>
  <si>
    <t>Operation 4 fit "auto quote" rule</t>
  </si>
  <si>
    <t>Operation 4 not permitted</t>
  </si>
  <si>
    <t>Operation 4</t>
  </si>
  <si>
    <t>Fences, Construction of</t>
  </si>
  <si>
    <t>Fence construction</t>
  </si>
  <si>
    <t>Does the insured hold a valid license when required</t>
  </si>
  <si>
    <t>Contents Limit</t>
  </si>
  <si>
    <t>Business Contents</t>
  </si>
  <si>
    <t>Blanket by laws</t>
  </si>
  <si>
    <t xml:space="preserve">  - Op 1 % Residential</t>
  </si>
  <si>
    <t>Operation 5 fit "auto quote" rule</t>
  </si>
  <si>
    <t>Operation 5 not permitted</t>
  </si>
  <si>
    <t>Operation 5</t>
  </si>
  <si>
    <t>Fireproofing - Structures</t>
  </si>
  <si>
    <t>Max 10% of revenues from consulting, 0% from engineering</t>
  </si>
  <si>
    <t>Installation Floater Limit</t>
  </si>
  <si>
    <t>Installation form / floater</t>
  </si>
  <si>
    <t>Brands and labels</t>
  </si>
  <si>
    <t xml:space="preserve">  - Op 1 % Commercial</t>
  </si>
  <si>
    <t>% Industrial operations</t>
  </si>
  <si>
    <t>y</t>
  </si>
  <si>
    <t>Fumigation, Exterminating Operations Inside Building or Vessel</t>
  </si>
  <si>
    <t>Fumigation, Exterminating Operations - Inside Building or Vessel</t>
  </si>
  <si>
    <t>Total revenues</t>
  </si>
  <si>
    <t>Extension of Coverage Limit</t>
  </si>
  <si>
    <t>Building</t>
  </si>
  <si>
    <t xml:space="preserve">  - Op 1 % Ind</t>
  </si>
  <si>
    <t>Minimum 3 years experience</t>
  </si>
  <si>
    <t>Not enough experience</t>
  </si>
  <si>
    <t>Years Experience</t>
  </si>
  <si>
    <t>Furniture, Drapery, Rug Cleaning on Customer's Premises</t>
  </si>
  <si>
    <t>% revenues coming from residential</t>
  </si>
  <si>
    <t>CGL Limit</t>
  </si>
  <si>
    <t>Commercial general liability</t>
  </si>
  <si>
    <t>Broadform Building coverage</t>
  </si>
  <si>
    <t xml:space="preserve">  - Op 1 % Agricultural</t>
  </si>
  <si>
    <t>Licensed for their trade if necessary</t>
  </si>
  <si>
    <t>Not licensed for trade</t>
  </si>
  <si>
    <t>Gardening for Others (Landscaping)</t>
  </si>
  <si>
    <t>% revenues coming from commercial</t>
  </si>
  <si>
    <t>CGL Deductible</t>
  </si>
  <si>
    <t>Property Damage Deductible</t>
  </si>
  <si>
    <t>Building damage by theft</t>
  </si>
  <si>
    <t xml:space="preserve">  - Op 1 % will revenue be generated from Canada?</t>
  </si>
  <si>
    <t>No previous insurance refusals / cancellations</t>
  </si>
  <si>
    <t>Previous insurance refusal / cancellation</t>
  </si>
  <si>
    <t>General Contractors</t>
  </si>
  <si>
    <t>General contractor (Residential Construction - N.O.C.)</t>
  </si>
  <si>
    <t>% revenues coming from industrial</t>
  </si>
  <si>
    <t>Faulty Workmanship Lmit</t>
  </si>
  <si>
    <t>Faulty workmanship</t>
  </si>
  <si>
    <t>operation_2</t>
  </si>
  <si>
    <t>Operation 2 Industry Code</t>
  </si>
  <si>
    <t>Minimum 90% revenues from main activity</t>
  </si>
  <si>
    <t>Lead operation must be at least 90% of receipts</t>
  </si>
  <si>
    <t>% revenue from main activity</t>
  </si>
  <si>
    <t>Glazier Operations</t>
  </si>
  <si>
    <t>Glazier Operations - glass, window, skylight, storefront installation</t>
  </si>
  <si>
    <t>% revenues coming from institutional</t>
  </si>
  <si>
    <t>Professional Liability Limit</t>
  </si>
  <si>
    <t>Contractors Errors &amp; Ommissions</t>
  </si>
  <si>
    <t>Bylaws - additional time to rebuild</t>
  </si>
  <si>
    <t xml:space="preserve">  - Op 2 Revenues</t>
  </si>
  <si>
    <t>Maximum 10% of revenues from consulting activities</t>
  </si>
  <si>
    <t>Consulting activites</t>
  </si>
  <si>
    <t>% revenues from consulting activities</t>
  </si>
  <si>
    <t>Grading of Land - Not Road Construction or Excavation</t>
  </si>
  <si>
    <t>% revenues coming from agricultural</t>
  </si>
  <si>
    <t>Fungi and fungal derivatives limit</t>
  </si>
  <si>
    <t>Fungi and fungal derivatives</t>
  </si>
  <si>
    <t>Catch-all Clause</t>
  </si>
  <si>
    <t xml:space="preserve">  - Op 2 % Residential</t>
  </si>
  <si>
    <t>No revenues from engineering activities</t>
  </si>
  <si>
    <t>Engineering activities</t>
  </si>
  <si>
    <t>% revenues from engineering activities</t>
  </si>
  <si>
    <t>Highway, Street, Road including Paving, Resurfacing</t>
  </si>
  <si>
    <t>Contractors tools coverage required</t>
  </si>
  <si>
    <t>Sudden and accidential pollution limit</t>
  </si>
  <si>
    <t>Limited Pollution Liability</t>
  </si>
  <si>
    <t>Co-insurance condition</t>
  </si>
  <si>
    <t xml:space="preserve">  - Op 2 % Commercial</t>
  </si>
  <si>
    <t>Total revenues &lt; $2,000,000</t>
  </si>
  <si>
    <t>Total revenues above limit</t>
  </si>
  <si>
    <t>House Furnishings, Acoustic Ceilings, Floor Coverings</t>
  </si>
  <si>
    <t>Contractors tools limit requested</t>
  </si>
  <si>
    <t>Care, custody and control limit</t>
  </si>
  <si>
    <t>Care, custody and control</t>
  </si>
  <si>
    <t>Co-insurance waiver</t>
  </si>
  <si>
    <t xml:space="preserve">  - Op 2 % Ind</t>
  </si>
  <si>
    <t>No physical property</t>
  </si>
  <si>
    <t>Unable to insure buildings</t>
  </si>
  <si>
    <t>Building Limit</t>
  </si>
  <si>
    <t>Acoustic Ceiling Installation</t>
  </si>
  <si>
    <t>Contractors equipment coverage required</t>
  </si>
  <si>
    <t>Tenants legal liability limit</t>
  </si>
  <si>
    <t xml:space="preserve">  - Op 2 % Agricultural</t>
  </si>
  <si>
    <t>Blinds and Curtains Installation</t>
  </si>
  <si>
    <t>Contractors equipment limit requested</t>
  </si>
  <si>
    <t>Condominium contingent</t>
  </si>
  <si>
    <t xml:space="preserve">  - Op 2 % will revenue be generated from Canada?</t>
  </si>
  <si>
    <t>Floor Coverage Installation</t>
  </si>
  <si>
    <t>Rented equipment coverage required</t>
  </si>
  <si>
    <t>Condominium loss assessment</t>
  </si>
  <si>
    <t>operation_3</t>
  </si>
  <si>
    <t>Operation 3 Industry Code</t>
  </si>
  <si>
    <t>Insulation of Buildings</t>
  </si>
  <si>
    <t>Rented equipment limit requested</t>
  </si>
  <si>
    <t>Consequential loss</t>
  </si>
  <si>
    <t xml:space="preserve">  - Op 3 Revenues</t>
  </si>
  <si>
    <t>Interior Decorator</t>
  </si>
  <si>
    <t>Contents coverage required</t>
  </si>
  <si>
    <t>Contents at newly acquired locations</t>
  </si>
  <si>
    <t xml:space="preserve">  - Op 3 % Residential</t>
  </si>
  <si>
    <t>Irrigation or Drainage Systems, Construction of</t>
  </si>
  <si>
    <t>Contents limit requested</t>
  </si>
  <si>
    <t>Contents at unnamed locations</t>
  </si>
  <si>
    <t xml:space="preserve">  - Op 3 % Commercial</t>
  </si>
  <si>
    <t>Janitorial Service</t>
  </si>
  <si>
    <t>Installation floater coverage required</t>
  </si>
  <si>
    <t>Contents broadform coverage</t>
  </si>
  <si>
    <t xml:space="preserve">  - Op 3 % Ind</t>
  </si>
  <si>
    <t>Duct cleaning</t>
  </si>
  <si>
    <t>Installation floater limit requested</t>
  </si>
  <si>
    <t>Contents of others</t>
  </si>
  <si>
    <t xml:space="preserve">  - Op 3 % Agricultural</t>
  </si>
  <si>
    <t>Electrician: Light, Telephone, Power Lines etc.</t>
  </si>
  <si>
    <t>Light, Telephone, Power Lines, etc.</t>
  </si>
  <si>
    <t>Extension of coverage coverage required</t>
  </si>
  <si>
    <t>Contract penalty coverage</t>
  </si>
  <si>
    <t xml:space="preserve">  - Op 3 % will revenue be generated from Canada?</t>
  </si>
  <si>
    <t>Machinery, Agricultural</t>
  </si>
  <si>
    <t>General liability insurance required</t>
  </si>
  <si>
    <t>operation_4</t>
  </si>
  <si>
    <t>Operation 4 Industry Code</t>
  </si>
  <si>
    <t>Machinery, Industrial (Millwright)</t>
  </si>
  <si>
    <t>General liability limit requested</t>
  </si>
  <si>
    <t>Contractors equipment - amended valuation</t>
  </si>
  <si>
    <t xml:space="preserve">  - Op 4 Revenues</t>
  </si>
  <si>
    <t>Faulty workmanship coverage required</t>
  </si>
  <si>
    <t>Contractor's equipment - co-insurance</t>
  </si>
  <si>
    <t xml:space="preserve">  - Op 4 % Residential</t>
  </si>
  <si>
    <t>Masonry including Bricklaying, Stonework, Tile, Marble, Mosaic, Stuccoing</t>
  </si>
  <si>
    <t>Masonry - incl. Bricklaying, Stonework, Tile, Marble, Mosaic, Stuccoing</t>
  </si>
  <si>
    <t>Professional liability coverage required</t>
  </si>
  <si>
    <t>Contractors equipment - fire department charges</t>
  </si>
  <si>
    <t xml:space="preserve">  - Op 4 % Commercial</t>
  </si>
  <si>
    <t>Metal Doors, Windows, Awnings</t>
  </si>
  <si>
    <t>Metal Doors, Windows, Awnings, Vinyl siding, Eavestrough installation</t>
  </si>
  <si>
    <t>Fungi and fungal derivatives coverage required</t>
  </si>
  <si>
    <t>Contractors equipment - loss of use</t>
  </si>
  <si>
    <t xml:space="preserve">  - Op 4 % Ind</t>
  </si>
  <si>
    <t>Mobile Homes, Prefabricated Housing - Away from Shop (Site)</t>
  </si>
  <si>
    <t>Sudden and accidential pollution coverage required</t>
  </si>
  <si>
    <t>Contractor's equipment - single item maximum</t>
  </si>
  <si>
    <t xml:space="preserve">  - Op 4 % Agricultural</t>
  </si>
  <si>
    <t>Mobile Homes, Prefabricated Housing - Shop Operations</t>
  </si>
  <si>
    <t>Care, custody and control coverage required</t>
  </si>
  <si>
    <t>Contractors equipment - sinking into muskeg or ice</t>
  </si>
  <si>
    <t xml:space="preserve">  - Op 4 % will revenue be generated from Canada?</t>
  </si>
  <si>
    <t>Non-Destructive Testing Contractors</t>
  </si>
  <si>
    <t>Tenants legal liability coverage required</t>
  </si>
  <si>
    <t>Contractor's equipment replacement cost</t>
  </si>
  <si>
    <t>operation_5</t>
  </si>
  <si>
    <t>Operation 5 Industry Code</t>
  </si>
  <si>
    <t>Painting, Decorating excluding spray paint</t>
  </si>
  <si>
    <t>Painting, Wallpapering, Decorating - excl. Spray Paint</t>
  </si>
  <si>
    <t>Legal phone advice insurnace required</t>
  </si>
  <si>
    <t>Conviction reward</t>
  </si>
  <si>
    <t xml:space="preserve">  - Op 5 Revenues</t>
  </si>
  <si>
    <t>Painting, Decorating including spray paint</t>
  </si>
  <si>
    <t>Painting, Wallpapering, Decorating - incl. Spray Paint</t>
  </si>
  <si>
    <t>Cyber coverage required</t>
  </si>
  <si>
    <t>Data coverage</t>
  </si>
  <si>
    <t xml:space="preserve">  - Op 5 % Residential</t>
  </si>
  <si>
    <t>Platering, Lathing including Drywall</t>
  </si>
  <si>
    <t>Plastering, Lathing - incl. Drywall</t>
  </si>
  <si>
    <t>Debris Removal</t>
  </si>
  <si>
    <t xml:space="preserve">  - Op 5 % Commercial</t>
  </si>
  <si>
    <t>Precast Beams</t>
  </si>
  <si>
    <t>Exhibition insurance</t>
  </si>
  <si>
    <t xml:space="preserve">  - Op 5 % Ind</t>
  </si>
  <si>
    <t>Repair Shops - Other than Home Entertainment and other Electrical Appliances</t>
  </si>
  <si>
    <t>Repair Shops - Other Than Home Entertainment and Other Electrical Appliances</t>
  </si>
  <si>
    <t>Exterior glass</t>
  </si>
  <si>
    <t xml:space="preserve">  - Op 5 % Agricultural</t>
  </si>
  <si>
    <t>Septic Tank Installation, Service, Repair</t>
  </si>
  <si>
    <t>Exterior signs</t>
  </si>
  <si>
    <t>Earthquake</t>
  </si>
  <si>
    <t xml:space="preserve">  - Op 5 % will revenue be generated from Canada?</t>
  </si>
  <si>
    <t>Shaft Sinking</t>
  </si>
  <si>
    <t>Fine arts</t>
  </si>
  <si>
    <t>Eco-friendly coverage enhancement</t>
  </si>
  <si>
    <t>operation_6</t>
  </si>
  <si>
    <t>Operation 6 Industry Code</t>
  </si>
  <si>
    <t>Sheet Metal - Away from Shop</t>
  </si>
  <si>
    <t>Sheet Metal, tinsmith (HVAC, refridgeration, duct work) - Away from Shop</t>
  </si>
  <si>
    <t>Fire department charges</t>
  </si>
  <si>
    <t>Electronic data processing</t>
  </si>
  <si>
    <t xml:space="preserve">  - Op 6 Revenues</t>
  </si>
  <si>
    <t>Sheet Metal - Shop Only</t>
  </si>
  <si>
    <t>Sheet Metal, tinsmith (HVAC, refridgeration, duct work) - Shop Only</t>
  </si>
  <si>
    <t>Fire suppression recharge</t>
  </si>
  <si>
    <t>Electronic data processing equipment (off premises)</t>
  </si>
  <si>
    <t xml:space="preserve">  - Op 6 % Residential</t>
  </si>
  <si>
    <t>Sidewalks N.O.C., Construction of</t>
  </si>
  <si>
    <t>Sidewalk construction</t>
  </si>
  <si>
    <t>Inflation protection</t>
  </si>
  <si>
    <t>Equipment breakdown</t>
  </si>
  <si>
    <t xml:space="preserve">  - Op 6 % Commercial</t>
  </si>
  <si>
    <t>Signs</t>
  </si>
  <si>
    <t>Sign installation</t>
  </si>
  <si>
    <t>Master key coverage</t>
  </si>
  <si>
    <t xml:space="preserve">  - Op 6 % Ind</t>
  </si>
  <si>
    <t>Swimming Pools</t>
  </si>
  <si>
    <t>Swimming Pool installation, servicing, cleaning, opening and closing</t>
  </si>
  <si>
    <t>Newly acquired buildings</t>
  </si>
  <si>
    <t>Expediting expenses</t>
  </si>
  <si>
    <t xml:space="preserve">  - Op 6 % Agricultural</t>
  </si>
  <si>
    <t>Television Antennae</t>
  </si>
  <si>
    <t>Newly acquired business contents</t>
  </si>
  <si>
    <t xml:space="preserve">  - Op 6 % will revenue be generated from Canada?</t>
  </si>
  <si>
    <t>Tent Erection, Removal, Repair (off Premises)</t>
  </si>
  <si>
    <t>Tent Erection, Removal, Repair (Off Premises)</t>
  </si>
  <si>
    <t>Newly acquired equipment</t>
  </si>
  <si>
    <t>operation_7</t>
  </si>
  <si>
    <t>Operation 7 Industry Code</t>
  </si>
  <si>
    <t>Tilework - Not masonry, Sewers, Drains, Ceiling; Terrazzo</t>
  </si>
  <si>
    <t>Tilework and terrazzo - Not Masonry, Sewers, Drains</t>
  </si>
  <si>
    <t>Off-premises service interruption</t>
  </si>
  <si>
    <t xml:space="preserve">  - Op 7 Revenues</t>
  </si>
  <si>
    <t>Tree Removal, Trimming, Pruning</t>
  </si>
  <si>
    <t>Parcel post</t>
  </si>
  <si>
    <t>Extinguishing System warranty</t>
  </si>
  <si>
    <t xml:space="preserve">  - Op 7 % Residential</t>
  </si>
  <si>
    <t>Underground Cable or Conduit excluding Excavation</t>
  </si>
  <si>
    <t>Pollution clean-up and removal (insured premises)</t>
  </si>
  <si>
    <t xml:space="preserve">  - Op 7 % Commercial</t>
  </si>
  <si>
    <t>Underground Cable or Conduit including Incidental Excavation</t>
  </si>
  <si>
    <t>Professional fees for proving a loss</t>
  </si>
  <si>
    <t xml:space="preserve">  - Op 7 % Ind</t>
  </si>
  <si>
    <t>Water Softening or Treatment Equipment, including Installation</t>
  </si>
  <si>
    <t>Property off premises and in transit</t>
  </si>
  <si>
    <t xml:space="preserve">  - Op 7 % Agricultural</t>
  </si>
  <si>
    <t>Waterproofing Operations</t>
  </si>
  <si>
    <t>Replacement cost - tools</t>
  </si>
  <si>
    <t>Flood</t>
  </si>
  <si>
    <t xml:space="preserve">  - Op 7 % will revenue be generated from Canada?</t>
  </si>
  <si>
    <t>Welding, Cutting, Brazing</t>
  </si>
  <si>
    <t>Sales representative samples</t>
  </si>
  <si>
    <t>Flood deductible</t>
  </si>
  <si>
    <t>operation_8</t>
  </si>
  <si>
    <t>Operation 8 Industry Code</t>
  </si>
  <si>
    <t>Window Cleaning</t>
  </si>
  <si>
    <t>Seasonal increase to business contents limit</t>
  </si>
  <si>
    <t>Growing plants, trees, shrubs (per item)</t>
  </si>
  <si>
    <t xml:space="preserve">  - Op 8 Revenues</t>
  </si>
  <si>
    <t>Wiring including Fixtures, Appliances</t>
  </si>
  <si>
    <t>Electrical wiring - incl. Fixtures, Appliances</t>
  </si>
  <si>
    <t>Stock spoilage</t>
  </si>
  <si>
    <t xml:space="preserve">  - Op 8 % Residential</t>
  </si>
  <si>
    <t>Cable Television &amp; Data Cable Installation - Residential</t>
  </si>
  <si>
    <t>Tools single item limit</t>
  </si>
  <si>
    <t>Home office extension</t>
  </si>
  <si>
    <t xml:space="preserve">  - Op 8 % Commercial</t>
  </si>
  <si>
    <t>Cable Television &amp; Data Cable Installation - Commerical</t>
  </si>
  <si>
    <t>Tools co-insurance</t>
  </si>
  <si>
    <t xml:space="preserve">  - Op 8 % Ind</t>
  </si>
  <si>
    <t>Valuable papers and records</t>
  </si>
  <si>
    <t xml:space="preserve">  - Op 8 % Agricultural</t>
  </si>
  <si>
    <t>Water damage, other liquids, powder or molten</t>
  </si>
  <si>
    <t>Leased, rented or borrowed equipment</t>
  </si>
  <si>
    <t xml:space="preserve">  - Op 8 % will revenue be generated from Canada?</t>
  </si>
  <si>
    <t>Broad form completed operations</t>
  </si>
  <si>
    <t>Leasehold interest - rents</t>
  </si>
  <si>
    <t>operation_9</t>
  </si>
  <si>
    <t>Operation 9 Industry Code</t>
  </si>
  <si>
    <t>Employee benefits liability</t>
  </si>
  <si>
    <t xml:space="preserve">  - Op 9 Revenues</t>
  </si>
  <si>
    <t>Employer's liability</t>
  </si>
  <si>
    <t xml:space="preserve">  - Op 9 % Residential</t>
  </si>
  <si>
    <t>Total Operations</t>
  </si>
  <si>
    <t>Revenues</t>
  </si>
  <si>
    <t>% Res</t>
  </si>
  <si>
    <t>% Comm</t>
  </si>
  <si>
    <t>% Ind</t>
  </si>
  <si>
    <t>% Agg</t>
  </si>
  <si>
    <t>Failure to perform</t>
  </si>
  <si>
    <t>Mortgage rate guarantee</t>
  </si>
  <si>
    <t xml:space="preserve">  - Op 9 % Commercial</t>
  </si>
  <si>
    <t>Op1</t>
  </si>
  <si>
    <t>General aggregate of liability</t>
  </si>
  <si>
    <t xml:space="preserve">  - Op 9 % Ind</t>
  </si>
  <si>
    <t>Op2</t>
  </si>
  <si>
    <t>Medical expense per person</t>
  </si>
  <si>
    <t xml:space="preserve">  - Op 9 % Agricultural</t>
  </si>
  <si>
    <t>Op3</t>
  </si>
  <si>
    <t>Non-Owned Auto - SEF 94 - Hired Autos</t>
  </si>
  <si>
    <t xml:space="preserve">  - Op 9 % will revenue be generated from Canada?</t>
  </si>
  <si>
    <t>Op4</t>
  </si>
  <si>
    <t>Non-owned auto</t>
  </si>
  <si>
    <t>Newly acquired locations</t>
  </si>
  <si>
    <t>operation_10</t>
  </si>
  <si>
    <t>Operation 10 Industry Code</t>
  </si>
  <si>
    <t>Op5</t>
  </si>
  <si>
    <t>Non-Owned Auto - OEF 98B</t>
  </si>
  <si>
    <t xml:space="preserve">  - Op 10 Revenues</t>
  </si>
  <si>
    <t>Op6</t>
  </si>
  <si>
    <t>Non-Owned Auto - SEF 96 - Contractual liability</t>
  </si>
  <si>
    <t xml:space="preserve">  - Op 10 % Residential</t>
  </si>
  <si>
    <t>Op7</t>
  </si>
  <si>
    <t>Non-Owned Auto - SEF 99 - Excluding long term leased vehicles</t>
  </si>
  <si>
    <t>Pavement, Sidewalk and Driveways</t>
  </si>
  <si>
    <t xml:space="preserve">  - Op 10 % Commercial</t>
  </si>
  <si>
    <t>Op8</t>
  </si>
  <si>
    <t>Personal &amp; Advertising injury</t>
  </si>
  <si>
    <t>Personal effects and property of employees and others</t>
  </si>
  <si>
    <t xml:space="preserve">  - Op 10 % Ind</t>
  </si>
  <si>
    <t>Op9</t>
  </si>
  <si>
    <t>Extra expense</t>
  </si>
  <si>
    <t xml:space="preserve">  - Op 10 % Agricultural</t>
  </si>
  <si>
    <t>Op10</t>
  </si>
  <si>
    <t>Included</t>
  </si>
  <si>
    <t>Preservation of property</t>
  </si>
  <si>
    <t xml:space="preserve">  - Op 10 % will revenue be generated from Canada?</t>
  </si>
  <si>
    <t>Total</t>
  </si>
  <si>
    <t>Building insured value</t>
  </si>
  <si>
    <t>Tools Limit Required</t>
  </si>
  <si>
    <t>Contractors Tools Coverage &amp; Limit Required</t>
  </si>
  <si>
    <t>Contractors Equipment Limit Required</t>
  </si>
  <si>
    <t>Input from Quotey</t>
  </si>
  <si>
    <t>Quotey Selection</t>
  </si>
  <si>
    <t>Options</t>
  </si>
  <si>
    <t>Mapped Output</t>
  </si>
  <si>
    <t>Send to Algorithm</t>
  </si>
  <si>
    <t>Rental reimbursement</t>
  </si>
  <si>
    <t>Contents Limit Required</t>
  </si>
  <si>
    <t>Tools Limit</t>
  </si>
  <si>
    <t>Not required</t>
  </si>
  <si>
    <t>Replacement cost - property of every description</t>
  </si>
  <si>
    <t>EDP systems limit</t>
  </si>
  <si>
    <t>Closest Match</t>
  </si>
  <si>
    <t>Stock limit</t>
  </si>
  <si>
    <t>Retailers product impairment</t>
  </si>
  <si>
    <t>Business equipment limit</t>
  </si>
  <si>
    <t>Installation Floater Limit Required</t>
  </si>
  <si>
    <t>Quality of coverage</t>
  </si>
  <si>
    <t>CGL Limit required</t>
  </si>
  <si>
    <t>CGL other limit required</t>
  </si>
  <si>
    <t>Declined</t>
  </si>
  <si>
    <t>Sewer Backup</t>
  </si>
  <si>
    <t>Faulty workmanship limit required</t>
  </si>
  <si>
    <t>Stock</t>
  </si>
  <si>
    <t>Professional liability limit required</t>
  </si>
  <si>
    <t>Professional liabilit other limit</t>
  </si>
  <si>
    <t>Contractors Equipment Coverage &amp; Limit Required</t>
  </si>
  <si>
    <t>Tenants damage by vandalism exclusion</t>
  </si>
  <si>
    <t>Fungi and fungal derivatives limit required</t>
  </si>
  <si>
    <t>Equipment Limit</t>
  </si>
  <si>
    <t>Sudden and accidental pollution limit required</t>
  </si>
  <si>
    <t>Pollution other limit</t>
  </si>
  <si>
    <t>Care, custody and control limit required</t>
  </si>
  <si>
    <t>Water damage deductible</t>
  </si>
  <si>
    <t>Tenants legal liablity limit required</t>
  </si>
  <si>
    <t>TLL other limit</t>
  </si>
  <si>
    <t>Work damage to stock</t>
  </si>
  <si>
    <t>Legal Expense Limit</t>
  </si>
  <si>
    <t>Absolute pollution exclusion endorsement</t>
  </si>
  <si>
    <t>Legal Expense Limit Other</t>
  </si>
  <si>
    <t>First Party Cyber limit required</t>
  </si>
  <si>
    <t>Condominium special assessment</t>
  </si>
  <si>
    <t>Contingent wrap-up liability including diff in conditions</t>
  </si>
  <si>
    <t>Contingent wrap-up liability including diff in deductibles</t>
  </si>
  <si>
    <t>Rented Equipment Coverage &amp; Limit Required</t>
  </si>
  <si>
    <t>Damage from Blasting, Pile Driving, Removal or Weakening of Support</t>
  </si>
  <si>
    <t>Include</t>
  </si>
  <si>
    <t>Elevator and Hoist collision</t>
  </si>
  <si>
    <t>Forest and Prairie Fire Fighting Expense</t>
  </si>
  <si>
    <t>Contents Coverage &amp; Limit Required</t>
  </si>
  <si>
    <t>Wrap-up liability</t>
  </si>
  <si>
    <t>EDP</t>
  </si>
  <si>
    <t>Limitation of coverages to designated premises</t>
  </si>
  <si>
    <t>Business Equipment</t>
  </si>
  <si>
    <t>Total Contents</t>
  </si>
  <si>
    <t>Installation Floater Coverage &amp; Limit Required</t>
  </si>
  <si>
    <t>Riggers Liability Coverage</t>
  </si>
  <si>
    <t>Rip and Tear</t>
  </si>
  <si>
    <t>Voluntary property damage</t>
  </si>
  <si>
    <t>Additional property damage exclusion</t>
  </si>
  <si>
    <t>Contingent loss of income</t>
  </si>
  <si>
    <t>Basic Rental income</t>
  </si>
  <si>
    <t>Gross rents</t>
  </si>
  <si>
    <t>Loss of earnings</t>
  </si>
  <si>
    <t>Extension of Coverage Required</t>
  </si>
  <si>
    <t>Profits</t>
  </si>
  <si>
    <t>Actual Loss Sustained</t>
  </si>
  <si>
    <t>Cover Quality</t>
  </si>
  <si>
    <t>Computer fraud</t>
  </si>
  <si>
    <t>Essential</t>
  </si>
  <si>
    <t>Credit Card Forgery</t>
  </si>
  <si>
    <t>Better</t>
  </si>
  <si>
    <t>Depositors forgery</t>
  </si>
  <si>
    <t>Ultimate</t>
  </si>
  <si>
    <t>Employee dishonesty</t>
  </si>
  <si>
    <t>Forgery or Alternation</t>
  </si>
  <si>
    <t>Funds Transfer Fraud</t>
  </si>
  <si>
    <t>Identity Theft</t>
  </si>
  <si>
    <t>Incoming cheque forgery</t>
  </si>
  <si>
    <t>Kidnap and ransom</t>
  </si>
  <si>
    <t>Loss inside the premises</t>
  </si>
  <si>
    <t>CGL Coverage &amp; Limit Required</t>
  </si>
  <si>
    <t>Loss outside the premises</t>
  </si>
  <si>
    <t>Medical expense from robbery</t>
  </si>
  <si>
    <t>CGL Limit requested</t>
  </si>
  <si>
    <t>Money &amp; Securities</t>
  </si>
  <si>
    <t>CGL Other limit</t>
  </si>
  <si>
    <t>Money orders &amp; counterfeit currency</t>
  </si>
  <si>
    <t>CGL Limit Final</t>
  </si>
  <si>
    <t>Theft from custodian's home</t>
  </si>
  <si>
    <t>Third Party Bond</t>
  </si>
  <si>
    <t>Other limit</t>
  </si>
  <si>
    <t>Faulty Workmanship Coverage Required</t>
  </si>
  <si>
    <t>Network security liability</t>
  </si>
  <si>
    <t>Bodily injury</t>
  </si>
  <si>
    <t>Contract disputes and debt recovery</t>
  </si>
  <si>
    <t>Professional Liability Coverage Required</t>
  </si>
  <si>
    <t>Employment disputes</t>
  </si>
  <si>
    <t>Legal defence</t>
  </si>
  <si>
    <t>E&amp;O Limit Required</t>
  </si>
  <si>
    <t>Property protection</t>
  </si>
  <si>
    <t>E&amp;O Other limit</t>
  </si>
  <si>
    <t>Statutory license protection</t>
  </si>
  <si>
    <t>E&amp;O Final Limit Required</t>
  </si>
  <si>
    <t>Tax protection</t>
  </si>
  <si>
    <t>Unlimited legal assistance (helpline)</t>
  </si>
  <si>
    <t>Fungi &amp; Fungal Derivatives Cover Required</t>
  </si>
  <si>
    <t>Fungi &amp; Spores Limit Required</t>
  </si>
  <si>
    <t>Fungi Other Limit</t>
  </si>
  <si>
    <t>Fungi Final Limit Required</t>
  </si>
  <si>
    <t>Sudden &amp; Accidential Pollution Cover Required</t>
  </si>
  <si>
    <t>Pollution Liability Limit</t>
  </si>
  <si>
    <t>Polution Other Limit</t>
  </si>
  <si>
    <t>Pollution limit final</t>
  </si>
  <si>
    <t>Care, Custody &amp; Control Cover Required</t>
  </si>
  <si>
    <t>Care Custody and Control Limit</t>
  </si>
  <si>
    <t>Tenants Legal Liability Cover Required</t>
  </si>
  <si>
    <t>TLL Limit</t>
  </si>
  <si>
    <t>TLL Limit Other</t>
  </si>
  <si>
    <t>TLL Limit Final</t>
  </si>
  <si>
    <t>Legal Helpline Cover Required</t>
  </si>
  <si>
    <t>Legal Limit Required</t>
  </si>
  <si>
    <t>Legal Limit other</t>
  </si>
  <si>
    <t>Legal Limit Final</t>
  </si>
  <si>
    <t>Cyber Cover Required</t>
  </si>
  <si>
    <t>1st party cyber limit</t>
  </si>
  <si>
    <t>1st party cyber limit other</t>
  </si>
  <si>
    <t>1st party cyber limit final</t>
  </si>
  <si>
    <t>3rd party cyber limit</t>
  </si>
  <si>
    <t>3rd party cyber limit other</t>
  </si>
  <si>
    <t>3rd party cyber limit final</t>
  </si>
  <si>
    <t>Max Cyber Limit</t>
  </si>
  <si>
    <t/>
  </si>
  <si>
    <t>% Sub-contracting</t>
  </si>
  <si>
    <t>Lmitation revenues</t>
  </si>
  <si>
    <t>% Agricole</t>
  </si>
  <si>
    <t>%  Institutionnel</t>
  </si>
  <si>
    <t>% Industriel</t>
  </si>
  <si>
    <t xml:space="preserve">Outils: </t>
  </si>
  <si>
    <t>Montant</t>
  </si>
  <si>
    <t>Franchise</t>
  </si>
  <si>
    <t>2,50$/1000$ franchise 1000$</t>
  </si>
  <si>
    <t>Franchise 2,500$ si + de 25,000$ d’outils</t>
  </si>
  <si>
    <t>Contenu:</t>
  </si>
  <si>
    <t>Équipement d’entrepreneur :</t>
  </si>
  <si>
    <t xml:space="preserve">Taux ,65/1000$ </t>
  </si>
  <si>
    <t>Franchise de base 2,500$</t>
  </si>
  <si>
    <t>Franchise de 3% min 5,000$ si valeur de 100,000$ et plus</t>
  </si>
  <si>
    <t xml:space="preserve"> 3% min $5,000</t>
  </si>
  <si>
    <t>Burinage intensif obligatoire si valeur de 60,000$ et plus</t>
  </si>
  <si>
    <t>Burinage intensif obligatoire</t>
  </si>
  <si>
    <r>
      <t>Risque d’installation</t>
    </r>
    <r>
      <rPr>
        <sz val="11"/>
        <rFont val="Calibri"/>
        <family val="2"/>
        <scheme val="minor"/>
      </rPr>
      <t xml:space="preserve"> (jusqu'à une limite de 250,000$ maximum) :</t>
    </r>
  </si>
  <si>
    <t>Risque d’installation</t>
  </si>
  <si>
    <t>0,04/100$ de revenus</t>
  </si>
  <si>
    <t>limit</t>
  </si>
  <si>
    <r>
      <t>Extension de garantie</t>
    </r>
    <r>
      <rPr>
        <sz val="11"/>
        <rFont val="Calibri"/>
        <family val="2"/>
        <scheme val="minor"/>
      </rPr>
      <t> : 100$</t>
    </r>
  </si>
  <si>
    <t>Taux/prime resp civile exclusif au programme conditionnel a :</t>
  </si>
  <si>
    <t xml:space="preserve">Subcontracting % </t>
  </si>
  <si>
    <t>Applied Rate increase Premium multiplier</t>
  </si>
  <si>
    <t>Threshold for increase</t>
  </si>
  <si>
    <t>- Maximum 5,000,000$ de chiffre d’affaires</t>
  </si>
  <si>
    <t>Rate increase</t>
  </si>
  <si>
    <t>- aucune perte 5 dernières années</t>
  </si>
  <si>
    <t>- sous-traitants doivent tous avons une couverture assurances resp civile min 2,000,000$</t>
  </si>
  <si>
    <t>Deductible if Sub &gt; 69%</t>
  </si>
  <si>
    <t>Increased Deductible</t>
  </si>
  <si>
    <t>Final CGL Decuctible</t>
  </si>
  <si>
    <t xml:space="preserve"> Licence RBQ valide et en vigueur</t>
  </si>
  <si>
    <t>- Peux être nouveau en affaires mais doit avoir minimum 3 ans d’expériences</t>
  </si>
  <si>
    <t>- Aucun exposé US</t>
  </si>
  <si>
    <t>Applied deductible</t>
  </si>
  <si>
    <t>- maximum 10% des revenus en services d’évaluation,</t>
  </si>
  <si>
    <t>   Aucun services d’ingénierie</t>
  </si>
  <si>
    <t>Pricing</t>
  </si>
  <si>
    <t>Années en affaires</t>
  </si>
  <si>
    <t>Years in business</t>
  </si>
  <si>
    <t>Années expérience</t>
  </si>
  <si>
    <t xml:space="preserve">&lt;3 </t>
  </si>
  <si>
    <t>Catégorie tarification</t>
  </si>
  <si>
    <t xml:space="preserve">&gt;3 </t>
  </si>
  <si>
    <t>Catégorie Chiffre d'affaires:</t>
  </si>
  <si>
    <t xml:space="preserve">Model </t>
  </si>
  <si>
    <t>Categorie</t>
  </si>
  <si>
    <t>CGL</t>
  </si>
  <si>
    <t>500k</t>
  </si>
  <si>
    <t>750K</t>
  </si>
  <si>
    <t>Min Prem</t>
  </si>
  <si>
    <t>751 K to 1M</t>
  </si>
  <si>
    <t>Rate</t>
  </si>
  <si>
    <t>&gt;1,000,001$+</t>
  </si>
  <si>
    <t>Final premium</t>
  </si>
  <si>
    <t>Basic</t>
  </si>
  <si>
    <t>Platinum</t>
  </si>
  <si>
    <t>Plus</t>
  </si>
  <si>
    <t>Low risk</t>
  </si>
  <si>
    <t>Package CGL</t>
  </si>
  <si>
    <t>Min prem</t>
  </si>
  <si>
    <t>rate increase</t>
  </si>
  <si>
    <t>Demolition</t>
  </si>
  <si>
    <r>
      <t>Garantie Cyber</t>
    </r>
    <r>
      <rPr>
        <sz val="11"/>
        <rFont val="Calibri"/>
        <family val="2"/>
        <scheme val="minor"/>
      </rPr>
      <t> : selon revenu, a partir de 75$</t>
    </r>
  </si>
  <si>
    <t>CYBER</t>
  </si>
  <si>
    <t>Buy up options – Refer &gt;$250K limit</t>
  </si>
  <si>
    <t>Up to 100,000</t>
  </si>
  <si>
    <t>100,101 – 250,000</t>
  </si>
  <si>
    <t>250,001 – 500,000</t>
  </si>
  <si>
    <t>500,001 – 1,000,000</t>
  </si>
  <si>
    <t>1,000,001 – 1,500,000</t>
  </si>
  <si>
    <t>1,500,001 – 3,000,000</t>
  </si>
  <si>
    <t>3,000,001 – 5,000,000</t>
  </si>
  <si>
    <t>Installation de portes, fenêtres et auvents métalliques</t>
  </si>
  <si>
    <t>Piscines</t>
  </si>
  <si>
    <t>Arbres (enlèvement, taille, élagage)</t>
  </si>
  <si>
    <t>Maçonnerie, briquetage, ouvrages en pierre, crépissage</t>
  </si>
  <si>
    <t>Enseignes</t>
  </si>
  <si>
    <t>Antennes de télévision</t>
  </si>
  <si>
    <t>Circuits, y compris l'installation</t>
  </si>
  <si>
    <t>Lignes électriques ou téléphoniques</t>
  </si>
  <si>
    <t>Light, Telephone, Power Lines etc.</t>
  </si>
  <si>
    <t>Appareillage électrique</t>
  </si>
  <si>
    <t>Menuiserie - en atelier</t>
  </si>
  <si>
    <t>Carpentry - Shop Operations</t>
  </si>
  <si>
    <t>Peinture, décoration, avec emploi de pistolets</t>
  </si>
  <si>
    <t>Décorateur ensemblier</t>
  </si>
  <si>
    <t>Tôlerie - en atelier seulement</t>
  </si>
  <si>
    <t>Tôlerie - hors atelier</t>
  </si>
  <si>
    <t>Entrepreneurs d'essais non destructifs</t>
  </si>
  <si>
    <t>Maisons mobiles/préfabriquées - Travaux en usine</t>
  </si>
  <si>
    <t>Maisons mobiles/préfabriquées - Construction hors usine</t>
  </si>
  <si>
    <t>Construction immobilière - Bâtiments autres que d'habitation - inlcuant rénovations ou réparations</t>
  </si>
  <si>
    <t>Building, Construction of - Not Residential</t>
  </si>
  <si>
    <t>Érection, démontage, réparations de tentes (hors des lieux)</t>
  </si>
  <si>
    <t>Fumigation, désinsectisation, dératisation à l'intérieur des immeubles ou des bateaux</t>
  </si>
  <si>
    <t>Nettoyage de meubles, tentures, moquettes chez les clients</t>
  </si>
  <si>
    <t>Systèmes d'alarme - Installation (mais non la réparation du matériel à éteindre les incendies)</t>
  </si>
  <si>
    <t>Alarm System - Installation (excluding repair of fire suppression equipment)</t>
  </si>
  <si>
    <t>Réparation (Ateliers de) - Autres que radios, téléviseurs, etc. et autres appareils électriques</t>
  </si>
  <si>
    <t>Commission</t>
  </si>
  <si>
    <t>Montant de Prime</t>
  </si>
  <si>
    <t>frais $</t>
  </si>
  <si>
    <t>Prime de 1000$ et moins: 100$</t>
  </si>
  <si>
    <t>Prime de 1000$ a 2000$: 125$</t>
  </si>
  <si>
    <t>Prime de 2000$ et plus: 150$</t>
  </si>
  <si>
    <t>CGL Rating Contractors</t>
  </si>
  <si>
    <t>June 16th 2020</t>
  </si>
  <si>
    <t>New Business and Renewals</t>
  </si>
  <si>
    <t>1) base rate / min premium CGL</t>
  </si>
  <si>
    <t>2) Other increases</t>
  </si>
  <si>
    <t>4) Province : Ontario</t>
  </si>
  <si>
    <t>CGL rating 2 M Limit</t>
  </si>
  <si>
    <t xml:space="preserve">Revenues </t>
  </si>
  <si>
    <t xml:space="preserve">rate / min premium </t>
  </si>
  <si>
    <t>for % Insustrial / Institut</t>
  </si>
  <si>
    <t>-10% Applied on base rate/ min premium displayed</t>
  </si>
  <si>
    <t>3  Y in BUSINESS</t>
  </si>
  <si>
    <t>NEW in BUSINESS</t>
  </si>
  <si>
    <t>% ind + %Instit</t>
  </si>
  <si>
    <t>max % Ind /inst</t>
  </si>
  <si>
    <t>% prem increase</t>
  </si>
  <si>
    <t xml:space="preserve">All 4 types </t>
  </si>
  <si>
    <t>0 to 1,3 M</t>
  </si>
  <si>
    <t>Min premium below</t>
  </si>
  <si>
    <t>updated</t>
  </si>
  <si>
    <t>0% to 9%</t>
  </si>
  <si>
    <t>AprilON max 30%</t>
  </si>
  <si>
    <t>New low</t>
  </si>
  <si>
    <t xml:space="preserve">over 1,3 M </t>
  </si>
  <si>
    <t>10% to 25%</t>
  </si>
  <si>
    <t>Electrician</t>
  </si>
  <si>
    <t>26% to 40%</t>
  </si>
  <si>
    <t xml:space="preserve"> quote sheet &gt;30% if &gt;5 y in business</t>
  </si>
  <si>
    <t>General contractors</t>
  </si>
  <si>
    <t>over 41%*</t>
  </si>
  <si>
    <t>New standard</t>
  </si>
  <si>
    <t>min Contract Low</t>
  </si>
  <si>
    <t>over 0.5M</t>
  </si>
  <si>
    <t>not to use</t>
  </si>
  <si>
    <t>3) Increases for specific IBC</t>
  </si>
  <si>
    <t>min Contract standard</t>
  </si>
  <si>
    <t>see UW/ Guidelines or CGL increases by IBC</t>
  </si>
  <si>
    <t>Min premium 2 M CGL</t>
  </si>
  <si>
    <t>3  Y in BUSINESS : rating for QC  below ( Ontario - 10% to apply)</t>
  </si>
  <si>
    <t>min Contract</t>
  </si>
  <si>
    <t>LOW</t>
  </si>
  <si>
    <t>Standard Contractors</t>
  </si>
  <si>
    <t>Limit</t>
  </si>
  <si>
    <t>maximum if less than 5 Y in business</t>
  </si>
  <si>
    <t xml:space="preserve">For all IBC if Subcontracting &gt; 0%, </t>
  </si>
  <si>
    <t>CW180 -SubContractors Warranty- min $2,000,000</t>
  </si>
  <si>
    <t>IndCode</t>
  </si>
  <si>
    <t>IndDescription</t>
  </si>
  <si>
    <t>Description FR</t>
  </si>
  <si>
    <t xml:space="preserve">Acceptability </t>
  </si>
  <si>
    <t>Condition description</t>
  </si>
  <si>
    <t>% Résidentiel</t>
  </si>
  <si>
    <t>%  Commercial</t>
  </si>
  <si>
    <t>Other</t>
  </si>
  <si>
    <t>QC rate increase</t>
  </si>
  <si>
    <t>ON flex</t>
  </si>
  <si>
    <t>QC flex</t>
  </si>
  <si>
    <t>Min Deductible increase ( Yes /No )</t>
  </si>
  <si>
    <t>Water deductible change ( Yes /No)</t>
  </si>
  <si>
    <t>Acceptability</t>
  </si>
  <si>
    <t>Other Liability deductible</t>
  </si>
  <si>
    <t>Special Deductible amount</t>
  </si>
  <si>
    <t>Endorsements / Exclusions 1</t>
  </si>
  <si>
    <t>Endorsements / Exclusions 2</t>
  </si>
  <si>
    <t>Endorsements / Exclusions 3</t>
  </si>
  <si>
    <t>Endorsements / Exclusions 4</t>
  </si>
  <si>
    <t>Endorsements / Exclusions 5</t>
  </si>
  <si>
    <t>Endorsements / Exclusions 6</t>
  </si>
  <si>
    <t>Exclusion E&amp;O</t>
  </si>
  <si>
    <t>Exclusion Mafacon</t>
  </si>
  <si>
    <t>Package</t>
  </si>
  <si>
    <t>Jardiniers-paysagistes (Aménagements paysagers)</t>
  </si>
  <si>
    <t>OK</t>
  </si>
  <si>
    <t>NEW_LOW_RISK</t>
  </si>
  <si>
    <t>Formal engagement Exclusion of Snowremoval activities</t>
  </si>
  <si>
    <t xml:space="preserve">LX17a Pesticide/Weed Spraying Exclusion   </t>
  </si>
  <si>
    <t>CW149 Underground Work Conditions – if Excavation</t>
  </si>
  <si>
    <t>CM16Q Specified Operation Exclusion:Plumbing, electricity, roofing work done by the insured himself</t>
  </si>
  <si>
    <t xml:space="preserve">LX6  Blasting, Pile Driving,Weakness of Support Exclusion </t>
  </si>
  <si>
    <t>Building Raising, Moving</t>
  </si>
  <si>
    <t>Relèvement, déménagement</t>
  </si>
  <si>
    <t>Refer / Exclure</t>
  </si>
  <si>
    <t>Wrecking, Demolition N.O.C.</t>
  </si>
  <si>
    <t>Démolition n.d.a.</t>
  </si>
  <si>
    <t>decline si % residen &lt;100%</t>
  </si>
  <si>
    <t>Underpinning of Buildings</t>
  </si>
  <si>
    <t>Reprise en sous-oeuvre</t>
  </si>
  <si>
    <t>Pile Driving</t>
  </si>
  <si>
    <t>Battage de pieux</t>
  </si>
  <si>
    <t>Blasting Contractors</t>
  </si>
  <si>
    <t>Entrepreneurs en dynamitage</t>
  </si>
  <si>
    <t>Allées et parkings (Construction d')</t>
  </si>
  <si>
    <t>Formal engagement Ontario One Call (ON1Call)</t>
  </si>
  <si>
    <t>DR2-24 Exclusion of removal and repair of products</t>
  </si>
  <si>
    <t>DR2-53 Exclusion of pyrite</t>
  </si>
  <si>
    <t>Clôture (Construction de)</t>
  </si>
  <si>
    <t>CM19/CW151 Burn &amp; Weld Conditions -  mandatory</t>
  </si>
  <si>
    <t>Trottoirs n.d.a. (Construction de)</t>
  </si>
  <si>
    <t>Systèmes d'irrigation ou de drainage (Construction de)</t>
  </si>
  <si>
    <t>Snow Removal, Clearing, Ploughing</t>
  </si>
  <si>
    <t>Decline</t>
  </si>
  <si>
    <t>Nivellement, sans excavation ni construction de routes</t>
  </si>
  <si>
    <t>Curage d'égouts et systèmes de drainage</t>
  </si>
  <si>
    <t>Liability : Water deductible</t>
  </si>
  <si>
    <t>Nettoyage des voies publiques, sauf déneigement</t>
  </si>
  <si>
    <t>Convoyeurs</t>
  </si>
  <si>
    <t>75% prime welder</t>
  </si>
  <si>
    <t>Tanks</t>
  </si>
  <si>
    <t>Réservoirs</t>
  </si>
  <si>
    <t>Vitrerie: bâtiments ou installations</t>
  </si>
  <si>
    <t>Exclusion of builging over 3 storeys</t>
  </si>
  <si>
    <t>Machines, industrie (Machinistes)</t>
  </si>
  <si>
    <t>Machines, agriculture</t>
  </si>
  <si>
    <t>Bridges</t>
  </si>
  <si>
    <t>Ponts</t>
  </si>
  <si>
    <t>Caissons, Coffer Dams</t>
  </si>
  <si>
    <t>Caissons et batardeaux</t>
  </si>
  <si>
    <t>Jetties, Breakwaters, Piers, Docks, Levees</t>
  </si>
  <si>
    <t>Jetées, brise-lames, quais, docks, digues</t>
  </si>
  <si>
    <t>Dredging</t>
  </si>
  <si>
    <t>Dragage</t>
  </si>
  <si>
    <t>Dams, Reservoirs including Hydro-Electric Const.</t>
  </si>
  <si>
    <t>Barrages et réservoirs, y compris les constructions hydroélectriques</t>
  </si>
  <si>
    <t>Routes, rues y compris revêtement ou décapage</t>
  </si>
  <si>
    <t>Airport Runways, Aprons including Paving</t>
  </si>
  <si>
    <t>Aéroports - Construction et revêtement de pistes et aires de stationnement des appareils</t>
  </si>
  <si>
    <t>Pipelines</t>
  </si>
  <si>
    <t>Railroads</t>
  </si>
  <si>
    <t>Voies ferrées</t>
  </si>
  <si>
    <t>Subways, Tunnels</t>
  </si>
  <si>
    <t>Souterrains et tunnels</t>
  </si>
  <si>
    <t>Gas Mains</t>
  </si>
  <si>
    <t>Conduites de gaz</t>
  </si>
  <si>
    <t>Sewer, Water Mains, Steam Mains</t>
  </si>
  <si>
    <t>Égouts, conduites d'eau ou de vapeur</t>
  </si>
  <si>
    <t>Fonçage de puits</t>
  </si>
  <si>
    <t>Exclusion of drilling for gas or oil. Well for water only</t>
  </si>
  <si>
    <t>Plumbing, Including Hot Tubs</t>
  </si>
  <si>
    <t>Plomberie, y compris jacuzzi</t>
  </si>
  <si>
    <t>Boilers</t>
  </si>
  <si>
    <t>Chaudières</t>
  </si>
  <si>
    <t>Steam Fitters</t>
  </si>
  <si>
    <t>Tuyauteries</t>
  </si>
  <si>
    <t>Automatic Sprinklers</t>
  </si>
  <si>
    <t>Extincteurs automatiques</t>
  </si>
  <si>
    <t>Heating Equipment and Combined Air Conditioning - Oil or Gas</t>
  </si>
  <si>
    <t>Appareils de chauffage et climatisation - Fuel ou gaz</t>
  </si>
  <si>
    <t>Heating Equipment and Combined Air Conditioning - Solid Fuel</t>
  </si>
  <si>
    <t>Appareils de chauffage et climatisation - Combustible solide</t>
  </si>
  <si>
    <t>Air Conditioning Equipment including Heat Pumps</t>
  </si>
  <si>
    <t>Climatisation, y compris pompes à chaleur</t>
  </si>
  <si>
    <t>Refrigeration, Commercial</t>
  </si>
  <si>
    <t>Réfrigération commerciale et industrielle</t>
  </si>
  <si>
    <t>Solar Energy Contractors</t>
  </si>
  <si>
    <t>Entrepreneurs en énergie solaire</t>
  </si>
  <si>
    <t>Matériel d'adoucissement de l'eau y compris installation</t>
  </si>
  <si>
    <t>Institutionnel &lt; 10%</t>
  </si>
  <si>
    <t>Exclusion of work on agricultural zones</t>
  </si>
  <si>
    <t>Instit + Indust &lt; 25%</t>
  </si>
  <si>
    <t>Câbles ou conduits souterrains, y compris excavation</t>
  </si>
  <si>
    <t>Câbles ou conduits souterrains, excavation exclue</t>
  </si>
  <si>
    <t>Elevators including Operation</t>
  </si>
  <si>
    <t>Ascenseurs, monte-charge, escaliers mobiles - installation/entretien d'</t>
  </si>
  <si>
    <t>Ciment ou béton n.d.a. (Ouvrages en)</t>
  </si>
  <si>
    <t xml:space="preserve">DR2-24 Exclusion of removal and repair of products </t>
  </si>
  <si>
    <t xml:space="preserve">LX46R OFF PREMISES WELDING EXCLUSION </t>
  </si>
  <si>
    <t xml:space="preserve"> Yes</t>
  </si>
  <si>
    <t>Poutres préfabriquées en béton</t>
  </si>
  <si>
    <t>Plâtrage et lattage, y compris à sec</t>
  </si>
  <si>
    <t>Carrelage (pose), mosaïque, sans maçonnerie ni travaux sur égouts/systèmes de drainage/plafonds</t>
  </si>
  <si>
    <t>Menuiserie - hors atelier</t>
  </si>
  <si>
    <t>Isolation des bâtiments</t>
  </si>
  <si>
    <t>Peinture, décoration, sans emploi de pistolets</t>
  </si>
  <si>
    <t>Deductible by claimant</t>
  </si>
  <si>
    <t>Articles d'ameublement, plafonds insonores, revêtements de sol</t>
  </si>
  <si>
    <t>Soudage ou découpage</t>
  </si>
  <si>
    <t>Maximum 2 person operations</t>
  </si>
  <si>
    <t>Valid Welding licence</t>
  </si>
  <si>
    <t>Éléments métalliques (Montage d') - Ossature</t>
  </si>
  <si>
    <t>Deductible 5000 if &gt;7500</t>
  </si>
  <si>
    <t>Éléments métalliques (Montage d') - n.d.a.</t>
  </si>
  <si>
    <t>Forage, sauf pétrole et gaz</t>
  </si>
  <si>
    <t>Roofing - Residential (Shingle)</t>
  </si>
  <si>
    <t>Roofing - Other (Hot Tar, etc.)</t>
  </si>
  <si>
    <t>Étanchéité (Travaux d')</t>
  </si>
  <si>
    <t>DR2-17 Exclusion of applying heat, welding and cutting</t>
  </si>
  <si>
    <t>Fosses septiques (Installation, entretien, réparation de)</t>
  </si>
  <si>
    <t>Building Cleaning - Exterior</t>
  </si>
  <si>
    <t>Nettoyage de façades</t>
  </si>
  <si>
    <t>Ignifugation - Structures</t>
  </si>
  <si>
    <t>Fire Extinguishing Equipment, Servicing, Refilling</t>
  </si>
  <si>
    <t>Extincteurs d'incendie, entretien, rechargement</t>
  </si>
  <si>
    <t>Senior UW</t>
  </si>
  <si>
    <t>Residential - One or Two Family Dwellings</t>
  </si>
  <si>
    <t>Construction immobilière - Habitations à un ou deux ménages - inlcuant rénovations ou réparations</t>
  </si>
  <si>
    <t>Entrepreneurs Généraux</t>
  </si>
  <si>
    <t>COC</t>
  </si>
  <si>
    <t>Restaurants - Cooker - Hood Cleaning</t>
  </si>
  <si>
    <t>Restaurants - Nettoyage de fourneaux et de hottes</t>
  </si>
  <si>
    <t>Chimney Sweep</t>
  </si>
  <si>
    <t>Ramonage des cheminées</t>
  </si>
  <si>
    <t xml:space="preserve">Conditionned to valid licence for use and application of pesticide </t>
  </si>
  <si>
    <t>Nettoyage fenêtres</t>
  </si>
  <si>
    <t>Exclusion of builging over 4 storeys</t>
  </si>
  <si>
    <t>Concierge (Services de)</t>
  </si>
  <si>
    <t>Cranes, Derricks, Power Shovels - Equipment Rented to Others - With Operator</t>
  </si>
  <si>
    <t>Location de matériel pour entrepreneurs - Grues ou pelles mécaniques - Avec opérateur</t>
  </si>
  <si>
    <t>Cranes, Derricks, Power Shovels - Equipment Rented to Others - Without Operator</t>
  </si>
  <si>
    <t>Location de matériel pour entrepreneurs - Grues ou pelles mécaniques - Sans opérateur</t>
  </si>
  <si>
    <t>Scaffolding, Ladders, Hoists Rented to Others</t>
  </si>
  <si>
    <t>Location de matériel pour entrepreneurs - Échafaudages, échelles, appareils de levage</t>
  </si>
  <si>
    <t>Equipment Rented to Others N.O.C. - With Operator</t>
  </si>
  <si>
    <t>Location de matériel pour entrepreneurs n.d.a. - Avec opérateur</t>
  </si>
  <si>
    <t>Equipment Rented to Others N.O.C. - Without Operator</t>
  </si>
  <si>
    <t>Location de matériel pour entrepreneurs n.d.a. - Sans opérateur</t>
  </si>
  <si>
    <t>Installation floater</t>
  </si>
  <si>
    <t>CW106</t>
  </si>
  <si>
    <t>CW150</t>
  </si>
  <si>
    <t>LE44</t>
  </si>
  <si>
    <t>CW199F</t>
  </si>
  <si>
    <t>CW200F</t>
  </si>
  <si>
    <t>Contractor's tools</t>
  </si>
  <si>
    <t>PA19</t>
  </si>
  <si>
    <t>Not offered</t>
  </si>
  <si>
    <t>Tenant Liability</t>
  </si>
  <si>
    <t>Total Prime</t>
  </si>
  <si>
    <t>New_standard</t>
  </si>
  <si>
    <t>Généraux</t>
  </si>
  <si>
    <t>Acceptabillity M&amp;W</t>
  </si>
  <si>
    <t>What % of the Insured's revenues come from the main activity exercised selected above?</t>
  </si>
  <si>
    <t>What is the % of subcontracted works?</t>
  </si>
  <si>
    <t>Number of years in business :</t>
  </si>
  <si>
    <t>Number of years of experience:</t>
  </si>
  <si>
    <t xml:space="preserve">Does the insured hold  a valid licence when required </t>
  </si>
  <si>
    <t>Total revenues:</t>
  </si>
  <si>
    <t xml:space="preserve">% of revenues coming from: </t>
  </si>
  <si>
    <t>Quick quote simulation*</t>
  </si>
  <si>
    <t>Contractor's Tools</t>
  </si>
  <si>
    <t>Contractor's Equipment</t>
  </si>
  <si>
    <t>Rented Equipment</t>
  </si>
  <si>
    <t>Contents</t>
  </si>
  <si>
    <t>Extension of coverage</t>
  </si>
  <si>
    <t>Commercial General Liability</t>
  </si>
  <si>
    <t>Total quote</t>
  </si>
  <si>
    <t>Fees</t>
  </si>
  <si>
    <t xml:space="preserve">Total </t>
  </si>
  <si>
    <t>Broker commission</t>
  </si>
  <si>
    <t>**Deductible : any one claim</t>
  </si>
  <si>
    <t>Specific conditions, Endorsements and Exclusions applied to this quote:</t>
  </si>
  <si>
    <t>CM25  USA Conditions – if any US Sales</t>
  </si>
  <si>
    <t>Eligibility verification:</t>
  </si>
  <si>
    <t>Insured's information:</t>
  </si>
  <si>
    <t>% Residential</t>
  </si>
  <si>
    <t>% Commercial</t>
  </si>
  <si>
    <t>% Industrial</t>
  </si>
  <si>
    <t>% Institutional</t>
  </si>
  <si>
    <t>% Agricultural</t>
  </si>
  <si>
    <t xml:space="preserve">A. Property section </t>
  </si>
  <si>
    <t>Insurance Limit</t>
  </si>
  <si>
    <t>Deductible**</t>
  </si>
  <si>
    <t>Premium</t>
  </si>
  <si>
    <t>B. Liability section</t>
  </si>
  <si>
    <t>Package Eligibility</t>
  </si>
  <si>
    <t xml:space="preserve">Consequential Loss, Electrical Injury and Off-Premises Services: </t>
  </si>
  <si>
    <t>CGL ONLY</t>
  </si>
  <si>
    <t xml:space="preserve"> Maximum limit</t>
  </si>
  <si>
    <t xml:space="preserve"> Requested limit</t>
  </si>
  <si>
    <t>Limits</t>
  </si>
  <si>
    <t>Couverture</t>
  </si>
  <si>
    <t>Rented equipment</t>
  </si>
  <si>
    <t>Max limit</t>
  </si>
  <si>
    <t>IBC  Acceptability</t>
  </si>
  <si>
    <t>Specific criteria</t>
  </si>
  <si>
    <t>Exclusion Faulty Workmanship</t>
  </si>
  <si>
    <t>LIMIT</t>
  </si>
  <si>
    <t>Price</t>
  </si>
  <si>
    <t>Conditions met</t>
  </si>
  <si>
    <t>% industrial operations</t>
  </si>
  <si>
    <t>Industrial operations permitted within limit</t>
  </si>
  <si>
    <t xml:space="preserve">No agricultural </t>
  </si>
  <si>
    <t>% agricultural</t>
  </si>
  <si>
    <t>IBC</t>
  </si>
  <si>
    <t>Target April</t>
  </si>
  <si>
    <t>Contractors Professional Liability (retro date)</t>
  </si>
  <si>
    <t>Sudden and accidental pollution(120H)</t>
  </si>
  <si>
    <t>CW214 Exclusion of activities or work performed prior to the  risk effective date of the current policy</t>
  </si>
  <si>
    <t>LR1bLimitation to Designated Premises Restriction</t>
  </si>
  <si>
    <t>CM16A  Exclusion of Snowremoval activities</t>
  </si>
  <si>
    <t>CW217 LMA5391 Coronavirus Exclusion</t>
  </si>
  <si>
    <t>CW218 LMA5393 Coronavirus Exclusion</t>
  </si>
  <si>
    <t>LX35 USA Sales and Operations Exclusion</t>
  </si>
  <si>
    <t>Increased premium</t>
  </si>
  <si>
    <t>Package limit</t>
  </si>
  <si>
    <t>Package price</t>
  </si>
  <si>
    <t>15% commission</t>
  </si>
  <si>
    <t>17,5% commission</t>
  </si>
  <si>
    <t>17.5% (next step 20%)</t>
  </si>
  <si>
    <t>Fees impact</t>
  </si>
  <si>
    <t>Final fees impact</t>
  </si>
  <si>
    <t>Comission quoted</t>
  </si>
  <si>
    <t>Property</t>
  </si>
  <si>
    <t>Subject to not more than 10% engineering activity</t>
  </si>
  <si>
    <t>Products-Completed Operations</t>
  </si>
  <si>
    <t>Personal &amp; Advertising</t>
  </si>
  <si>
    <t>Liability Medical Payments</t>
  </si>
  <si>
    <t>Non Owed Automobile</t>
  </si>
  <si>
    <t>Contractual Liability Extension (SEF 96)</t>
  </si>
  <si>
    <t>Reduction of Coverage for Leased Vehicles Endorsement (OEF 98B)</t>
  </si>
  <si>
    <t>Long Term Leased Vehicle Exclusion (SEF 99)</t>
  </si>
  <si>
    <t>Employers' Bodily Injury Liability Extension</t>
  </si>
  <si>
    <t>Employee Benefits Extension</t>
  </si>
  <si>
    <t>Confirm no Exposure in USA</t>
  </si>
  <si>
    <t xml:space="preserve"> Max 10% of revenues come from consulting, 0% from engineering</t>
  </si>
  <si>
    <t>Are there claims in the last 5 years :</t>
  </si>
  <si>
    <t>included</t>
  </si>
  <si>
    <t>Possibly offered</t>
  </si>
  <si>
    <t>Final limit</t>
  </si>
  <si>
    <t>25% of contents limit</t>
  </si>
  <si>
    <t>April label</t>
  </si>
  <si>
    <t>Quotey label</t>
  </si>
  <si>
    <t>Extension of coverage April</t>
  </si>
  <si>
    <t>max</t>
  </si>
  <si>
    <t>Cyber</t>
  </si>
  <si>
    <t>Legal</t>
  </si>
  <si>
    <t>Legal -Unlimited telephone advice</t>
  </si>
  <si>
    <t>Operation 6 fit "auto quote" rule</t>
  </si>
  <si>
    <t>Operation 6</t>
  </si>
  <si>
    <t>Operation 7 fit "auto quote" rule</t>
  </si>
  <si>
    <t>Operation 7</t>
  </si>
  <si>
    <t>Operation 8 fit "auto quote" rule</t>
  </si>
  <si>
    <t>Operation 8</t>
  </si>
  <si>
    <t>Operation 9 fit "auto quote" rule</t>
  </si>
  <si>
    <t>Operation 9</t>
  </si>
  <si>
    <t>Operation 10 fit "auto quote" rule</t>
  </si>
  <si>
    <t>Operation 10</t>
  </si>
  <si>
    <t>Operation  cannot be quoted</t>
  </si>
  <si>
    <t>% inst</t>
  </si>
  <si>
    <t>increase</t>
  </si>
  <si>
    <t>Increase indust</t>
  </si>
  <si>
    <t>Equipment</t>
  </si>
  <si>
    <t>Value to rate</t>
  </si>
  <si>
    <t>Additional premium</t>
  </si>
  <si>
    <t>Increase required</t>
  </si>
  <si>
    <t>Pandemic exclusion</t>
  </si>
  <si>
    <t>Incident response costs</t>
  </si>
  <si>
    <t>Legal and regulatory costs</t>
  </si>
  <si>
    <t>IT Security and Forensic Costs</t>
  </si>
  <si>
    <t>Crisis communication costs</t>
  </si>
  <si>
    <t>Privacy breach management costs</t>
  </si>
  <si>
    <t>Third party privacy breach management costs</t>
  </si>
  <si>
    <t>Post breach remediation costs</t>
  </si>
  <si>
    <t>Funds transfer fraud &amp; Social Engineering</t>
  </si>
  <si>
    <t>Theft of funds held in escrow</t>
  </si>
  <si>
    <t>Theft of personal funds</t>
  </si>
  <si>
    <t>Cyber extortion</t>
  </si>
  <si>
    <t>Corporate Identity theft</t>
  </si>
  <si>
    <t>Telephone hacking</t>
  </si>
  <si>
    <t>Push payment fraud</t>
  </si>
  <si>
    <t>Unauthorized use of computer resources</t>
  </si>
  <si>
    <t>System or data damage and rectification costs</t>
  </si>
  <si>
    <t>Income loss and extra expense</t>
  </si>
  <si>
    <t>Additional extra expense</t>
  </si>
  <si>
    <t>Dependent business interruption</t>
  </si>
  <si>
    <t>Consequential reputation harm</t>
  </si>
  <si>
    <t>Claim preparation costs</t>
  </si>
  <si>
    <t>Hardware replacement costs</t>
  </si>
  <si>
    <t>Privacy liability</t>
  </si>
  <si>
    <t>Management liability</t>
  </si>
  <si>
    <t>Regulatory fines</t>
  </si>
  <si>
    <t>PCI Fines, penalties and assessments</t>
  </si>
  <si>
    <t>Defamation</t>
  </si>
  <si>
    <t>Intellectual property rights infringement</t>
  </si>
  <si>
    <t>Court attendance costs</t>
  </si>
  <si>
    <t>Mapping Rules</t>
  </si>
  <si>
    <t>Impacted trade</t>
  </si>
  <si>
    <t>Does trade qualify</t>
  </si>
  <si>
    <t>Question</t>
  </si>
  <si>
    <t>Roofing operations not permitted</t>
  </si>
  <si>
    <t>Welding operations not permitted</t>
  </si>
  <si>
    <t>Hot works not permitted</t>
  </si>
  <si>
    <t>Work on chimneys, wood fireplaces not permitted</t>
  </si>
  <si>
    <t>Electrical activities not permitted</t>
  </si>
  <si>
    <t>Electrical connection works not permitted</t>
  </si>
  <si>
    <t>Plumbing operations not permitted</t>
  </si>
  <si>
    <t>Construction, installation and modification works not permitted</t>
  </si>
  <si>
    <t>Snow removal activities not permitted</t>
  </si>
  <si>
    <t>Unable to accept work on public roads</t>
  </si>
  <si>
    <t>Unable to accept highway operations</t>
  </si>
  <si>
    <t>Unable to accept work above 3 storeys</t>
  </si>
  <si>
    <t>Unable to accept work above 4 storeys</t>
  </si>
  <si>
    <t>Unable to accept work above 5 storeys</t>
  </si>
  <si>
    <t>Unable to accept painting that is not building related</t>
  </si>
  <si>
    <t>Unable to accept &gt; 30% spray operations</t>
  </si>
  <si>
    <t>Maximum 1,500 ft tent installations permitted</t>
  </si>
  <si>
    <t>Maximum 30% of exterior painting permitted</t>
  </si>
  <si>
    <t>Use of insecticides / herbicides not permitted</t>
  </si>
  <si>
    <t>Is there roofing (Yes / No)</t>
  </si>
  <si>
    <t>Is there welding (Yes / No)</t>
  </si>
  <si>
    <t>Do you undertake any other"hot works", e.g. work that could produce a source of ignition such as cutting, grinding or the use of non-explosion proof electrical equipment?</t>
  </si>
  <si>
    <t>Does work on chimney, wood fireplace? (Yes / No)</t>
  </si>
  <si>
    <t>Does any work require license, e.g. electrical plumbing, hvac (yes / no)</t>
  </si>
  <si>
    <t>Does your work including connecting to main electrical supply lines? (Yes/No)</t>
  </si>
  <si>
    <t>Do you undertake any construction, installation or alteration work? (Yes/NO)</t>
  </si>
  <si>
    <t>Do you undertake any form of snow removal? (Yes/No)</t>
  </si>
  <si>
    <t>Do you undertake work on any public roads? (Yes/No)</t>
  </si>
  <si>
    <t>Do you undertake any work on highways? (Yes/No)</t>
  </si>
  <si>
    <t>Maximum storeys worked (#)</t>
  </si>
  <si>
    <t>Does all of your work involve painting buildings (interior or exterior)? (Yes/No)</t>
  </si>
  <si>
    <t>What percent of your exterior work relates to spraying? (number)</t>
  </si>
  <si>
    <t>What percentage of your painting relates to exterior work? (number)</t>
  </si>
  <si>
    <t>Do you work on tents over 1,500 square feet (Yes/No)</t>
  </si>
  <si>
    <t>Does your business perform weed spraying services? (Yes / No)</t>
  </si>
  <si>
    <t>Does your business spray insecticides / pesticides? (Yes / No)</t>
  </si>
  <si>
    <t>% revenues from consulting / design services</t>
  </si>
  <si>
    <t>Does your business provide engineering services?</t>
  </si>
  <si>
    <t>Building by laws</t>
  </si>
  <si>
    <t>Excess liability</t>
  </si>
  <si>
    <t>Umbrella Liability</t>
  </si>
  <si>
    <t>Tenant's legal liability</t>
  </si>
  <si>
    <t>Free antivirus software</t>
  </si>
  <si>
    <t>Errors &amp; Omissions</t>
  </si>
  <si>
    <t>Errors &amp; Omissions - Aggregate limit</t>
  </si>
  <si>
    <t>Basis of coverage</t>
  </si>
  <si>
    <t>Errors &amp; Omissions deductible</t>
  </si>
  <si>
    <t>Defence costs in addition to limit</t>
  </si>
  <si>
    <t>First dollar defence</t>
  </si>
  <si>
    <t>Retroactive date</t>
  </si>
  <si>
    <t>Tenant's Improvements</t>
  </si>
  <si>
    <t>Comment</t>
  </si>
  <si>
    <t>Insurer Response</t>
  </si>
  <si>
    <t>Price quoted (Premium + fees)</t>
  </si>
  <si>
    <t>Fees included</t>
  </si>
  <si>
    <t>Quotey Value Score</t>
  </si>
  <si>
    <t xml:space="preserve"> Contents sub-total :</t>
  </si>
  <si>
    <t>10505_postalcode</t>
  </si>
  <si>
    <t>operation_1_405</t>
  </si>
  <si>
    <t>operation_1_430</t>
  </si>
  <si>
    <t>operation_1_435</t>
  </si>
  <si>
    <t>operation_1_440</t>
  </si>
  <si>
    <t>operation_1_450</t>
  </si>
  <si>
    <t>operation_1_410</t>
  </si>
  <si>
    <t>operation_2_405</t>
  </si>
  <si>
    <t>operation_2_430</t>
  </si>
  <si>
    <t>operation_2_435</t>
  </si>
  <si>
    <t>operation_2_440</t>
  </si>
  <si>
    <t>operation_2_450</t>
  </si>
  <si>
    <t>operation_2_410</t>
  </si>
  <si>
    <t>operation_3_405</t>
  </si>
  <si>
    <t>operation_3_430</t>
  </si>
  <si>
    <t>operation_3_435</t>
  </si>
  <si>
    <t>operation_3_440</t>
  </si>
  <si>
    <t>operation_3_450</t>
  </si>
  <si>
    <t>operation_3_410</t>
  </si>
  <si>
    <t>operation_4_405</t>
  </si>
  <si>
    <t>operation_4_430</t>
  </si>
  <si>
    <t>operation_4_435</t>
  </si>
  <si>
    <t>operation_4_440</t>
  </si>
  <si>
    <t>operation_4_450</t>
  </si>
  <si>
    <t>operation_4_410</t>
  </si>
  <si>
    <t>operation_5_405</t>
  </si>
  <si>
    <t>operation_5_430</t>
  </si>
  <si>
    <t>operation_5_435</t>
  </si>
  <si>
    <t>operation_5_440</t>
  </si>
  <si>
    <t>operation_5_450</t>
  </si>
  <si>
    <t>operation_5_410</t>
  </si>
  <si>
    <t>operation_6_405</t>
  </si>
  <si>
    <t>operation_6_430</t>
  </si>
  <si>
    <t>operation_6_435</t>
  </si>
  <si>
    <t>operation_6_440</t>
  </si>
  <si>
    <t>operation_6_450</t>
  </si>
  <si>
    <t>operation_6_410</t>
  </si>
  <si>
    <t>operation_7_405</t>
  </si>
  <si>
    <t>operation_7_430</t>
  </si>
  <si>
    <t>operation_7_435</t>
  </si>
  <si>
    <t>operation_7_440</t>
  </si>
  <si>
    <t>operation_7_450</t>
  </si>
  <si>
    <t>operation_7_410</t>
  </si>
  <si>
    <t>operation_8_405</t>
  </si>
  <si>
    <t>operation_8_430</t>
  </si>
  <si>
    <t>operation_8_435</t>
  </si>
  <si>
    <t>operation_8_440</t>
  </si>
  <si>
    <t>operation_8_450</t>
  </si>
  <si>
    <t>operation_8_410</t>
  </si>
  <si>
    <t>operation_9_405</t>
  </si>
  <si>
    <t>operation_9_430</t>
  </si>
  <si>
    <t>operation_9_435</t>
  </si>
  <si>
    <t>operation_9_440</t>
  </si>
  <si>
    <t>operation_9_450</t>
  </si>
  <si>
    <t>operation_9_410</t>
  </si>
  <si>
    <t>operation_10_405</t>
  </si>
  <si>
    <t>operation_10_430</t>
  </si>
  <si>
    <t>operation_10_435</t>
  </si>
  <si>
    <t>operation_10_440</t>
  </si>
  <si>
    <t>operation_10_450</t>
  </si>
  <si>
    <t>operation_10_410</t>
  </si>
  <si>
    <t>location_1_504100</t>
  </si>
  <si>
    <t>location_1_504170</t>
  </si>
  <si>
    <t>location_1_504180</t>
  </si>
  <si>
    <t>location_1_504190</t>
  </si>
  <si>
    <t>location_1_504200</t>
  </si>
  <si>
    <t>location_1_504310</t>
  </si>
  <si>
    <t>1000100_1</t>
  </si>
  <si>
    <t>1000180_1</t>
  </si>
  <si>
    <t>1000190_1</t>
  </si>
  <si>
    <t>1000210_1</t>
  </si>
  <si>
    <t>1000310_1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</si>
</sst>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4" formatCode="_-&quot;$&quot;* #,##0.00_-;\-&quot;$&quot;* #,##0.00_-;_-&quot;$&quot;* &quot;-&quot;??_-;_-@_-"/>
    <numFmt numFmtId="43" formatCode="_-* #,##0.00_-;\-* #,##0.00_-;_-* &quot;-&quot;??_-;_-@_-"/>
    <numFmt numFmtId="164" formatCode="&quot;$&quot;#,##0_);[Red]\(&quot;$&quot;#,##0\)"/>
    <numFmt numFmtId="165" formatCode="_(* #,##0_);_(* \(#,##0\);_(* &quot;-&quot;_);_(@_)"/>
    <numFmt numFmtId="166" formatCode="_(&quot;$&quot;* #,##0.00_);_(&quot;$&quot;* \(#,##0.00\);_(&quot;$&quot;* &quot;-&quot;??_);_(@_)"/>
    <numFmt numFmtId="167" formatCode="_(* #,##0.00_);_(* \(#,##0.00\);_(* &quot;-&quot;??_);_(@_)"/>
    <numFmt numFmtId="168" formatCode="_(&quot;$&quot;* #,##0_);_(&quot;$&quot;* \(#,##0\);_(&quot;$&quot;* &quot;-&quot;??_);_(@_)"/>
    <numFmt numFmtId="169" formatCode="_ * #,##0.00_)\ _$_ ;_ * \(#,##0.00\)\ _$_ ;_ * &quot;-&quot;??_)\ _$_ ;_ @_ "/>
    <numFmt numFmtId="170" formatCode="_-* #,##0.00\ &quot;$&quot;_-;_-* #,##0.00\ &quot;$&quot;\-;_-* &quot;-&quot;??\ &quot;$&quot;_-;_-@_-"/>
    <numFmt numFmtId="171" formatCode="_([$€-2]* #,##0.00_);_([$€-2]* \(#,##0.00\);_([$€-2]* &quot;-&quot;??_)"/>
    <numFmt numFmtId="172" formatCode="_-* #,##0.00\ _$_-;_-* #,##0.00\ _$\-;_-* &quot;-&quot;??\ _$_-;_-@_-"/>
    <numFmt numFmtId="173" formatCode="&quot;$&quot;#,##0"/>
    <numFmt numFmtId="174" formatCode="&quot;$&quot;#,##0.00"/>
    <numFmt numFmtId="175" formatCode="_(&quot;$&quot;* #,##0.0_);_(&quot;$&quot;* \(#,##0.0\);_(&quot;$&quot;* &quot;-&quot;?_);_(@_)"/>
    <numFmt numFmtId="176" formatCode="0.0%"/>
    <numFmt numFmtId="177" formatCode="_(&quot;$&quot;* #,##0.0_);_(&quot;$&quot;* \(#,##0.0\);_(&quot;$&quot;* &quot;-&quot;??_);_(@_)"/>
    <numFmt numFmtId="178" formatCode="_(&quot;$&quot;* #,##0.000_);_(&quot;$&quot;* \(#,##0.000\);_(&quot;$&quot;* &quot;-&quot;??_);_(@_)"/>
  </numFmts>
  <fonts count="81">
    <font>
      <sz val="11"/>
      <color theme="1"/>
      <name val="Calibri"/>
      <family val="2"/>
      <scheme val="minor"/>
    </font>
    <font>
      <sz val="11"/>
      <color theme="1"/>
      <name val="Calibri"/>
      <family val="2"/>
      <scheme val="minor"/>
    </font>
    <font>
      <b/>
      <sz val="18"/>
      <color theme="3"/>
      <name val="Cambria"/>
      <family val="2"/>
      <scheme val="maj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1"/>
      <name val="Calibri"/>
      <family val="2"/>
      <scheme val="minor"/>
    </font>
    <font>
      <b/>
      <sz val="11"/>
      <color rgb="FFFF0000"/>
      <name val="Calibri"/>
      <family val="2"/>
      <scheme val="minor"/>
    </font>
    <font>
      <sz val="11"/>
      <name val="Calibri"/>
      <family val="2"/>
      <scheme val="minor"/>
    </font>
    <font>
      <u/>
      <sz val="11"/>
      <color theme="1"/>
      <name val="Calibri"/>
      <family val="2"/>
      <scheme val="minor"/>
    </font>
    <font>
      <sz val="10"/>
      <name val="Arial"/>
      <family val="2"/>
    </font>
    <font>
      <sz val="10"/>
      <color indexed="8"/>
      <name val="Arial"/>
      <family val="2"/>
    </font>
    <font>
      <sz val="4"/>
      <color indexed="8"/>
      <name val="Arial"/>
      <family val="2"/>
    </font>
    <font>
      <u/>
      <sz val="10"/>
      <color theme="10"/>
      <name val="Arial"/>
      <family val="2"/>
    </font>
    <font>
      <u/>
      <sz val="10"/>
      <color indexed="12"/>
      <name val="Arial"/>
      <family val="2"/>
    </font>
    <font>
      <u/>
      <sz val="8.5"/>
      <color indexed="12"/>
      <name val="Arial"/>
      <family val="2"/>
    </font>
    <font>
      <sz val="10"/>
      <color rgb="FF000000"/>
      <name val="Arial"/>
      <family val="2"/>
    </font>
    <font>
      <sz val="12"/>
      <color theme="1"/>
      <name val="Calibri"/>
      <family val="2"/>
      <scheme val="minor"/>
    </font>
    <font>
      <sz val="10"/>
      <color indexed="8"/>
      <name val="Sans"/>
    </font>
    <font>
      <sz val="8"/>
      <name val="Times New Roman"/>
      <family val="1"/>
    </font>
    <font>
      <b/>
      <sz val="11"/>
      <name val="Calibri"/>
      <family val="2"/>
      <scheme val="minor"/>
    </font>
    <font>
      <sz val="10"/>
      <name val="Century Gothic"/>
      <family val="2"/>
    </font>
    <font>
      <b/>
      <sz val="11"/>
      <name val="Century Gothic"/>
      <family val="2"/>
    </font>
    <font>
      <sz val="11"/>
      <name val="Century Gothic"/>
      <family val="2"/>
    </font>
    <font>
      <b/>
      <sz val="12"/>
      <name val="Arial"/>
      <family val="2"/>
    </font>
    <font>
      <sz val="12"/>
      <name val="Arial"/>
      <family val="2"/>
    </font>
    <font>
      <sz val="14"/>
      <name val="Century Gothic"/>
      <family val="2"/>
    </font>
    <font>
      <sz val="13"/>
      <name val="Century Gothic"/>
      <family val="2"/>
    </font>
    <font>
      <b/>
      <sz val="14"/>
      <name val="Century Gothic"/>
      <family val="2"/>
    </font>
    <font>
      <sz val="12"/>
      <name val="Times New Roman"/>
      <family val="1"/>
    </font>
    <font>
      <sz val="11"/>
      <color indexed="8"/>
      <name val="Calibri"/>
      <family val="2"/>
    </font>
    <font>
      <sz val="14"/>
      <name val="Calibri"/>
      <family val="2"/>
      <scheme val="minor"/>
    </font>
    <font>
      <sz val="14"/>
      <color theme="0"/>
      <name val="Century Gothic"/>
      <family val="2"/>
    </font>
    <font>
      <b/>
      <sz val="14"/>
      <color theme="0"/>
      <name val="Century Gothic"/>
      <family val="2"/>
    </font>
    <font>
      <sz val="12"/>
      <name val="Century Gothic"/>
      <family val="2"/>
    </font>
    <font>
      <sz val="11"/>
      <color theme="1"/>
      <name val="Arial"/>
      <family val="2"/>
    </font>
    <font>
      <sz val="14"/>
      <color theme="1" tint="0.14999847407452621"/>
      <name val="Arial"/>
      <family val="2"/>
    </font>
    <font>
      <sz val="14"/>
      <name val="Arial"/>
      <family val="2"/>
    </font>
    <font>
      <sz val="13"/>
      <color rgb="FFFF0000"/>
      <name val="Century Gothic"/>
      <family val="2"/>
    </font>
    <font>
      <b/>
      <sz val="16"/>
      <color theme="1" tint="0.34998626667073579"/>
      <name val="Century Gothic"/>
      <family val="2"/>
    </font>
    <font>
      <b/>
      <sz val="11"/>
      <color rgb="FF99CC00"/>
      <name val="Century Gothic"/>
      <family val="2"/>
    </font>
    <font>
      <sz val="12"/>
      <color theme="1" tint="0.249977111117893"/>
      <name val="Century Gothic"/>
      <family val="2"/>
    </font>
    <font>
      <b/>
      <u/>
      <sz val="14"/>
      <color theme="1" tint="0.249977111117893"/>
      <name val="Century Gothic"/>
      <family val="2"/>
    </font>
    <font>
      <b/>
      <sz val="14"/>
      <color theme="0"/>
      <name val="Arial"/>
      <family val="2"/>
    </font>
    <font>
      <b/>
      <sz val="14"/>
      <name val="Arial"/>
      <family val="2"/>
    </font>
    <font>
      <b/>
      <sz val="14"/>
      <name val="Calibri"/>
      <family val="2"/>
      <scheme val="minor"/>
    </font>
    <font>
      <sz val="11"/>
      <color theme="1" tint="0.34998626667073579"/>
      <name val="Century Gothic"/>
      <family val="2"/>
    </font>
    <font>
      <sz val="10"/>
      <color theme="1" tint="0.34998626667073579"/>
      <name val="Century Gothic"/>
      <family val="2"/>
    </font>
    <font>
      <b/>
      <sz val="12"/>
      <color theme="0"/>
      <name val="Century Gothic"/>
      <family val="2"/>
    </font>
    <font>
      <sz val="12"/>
      <color theme="0"/>
      <name val="Century Gothic"/>
      <family val="2"/>
    </font>
    <font>
      <b/>
      <sz val="11"/>
      <color theme="1" tint="0.34998626667073579"/>
      <name val="Century Gothic"/>
      <family val="2"/>
    </font>
    <font>
      <b/>
      <i/>
      <sz val="13"/>
      <color rgb="FF99CC00"/>
      <name val="Century Gothic"/>
      <family val="2"/>
    </font>
    <font>
      <b/>
      <i/>
      <sz val="15"/>
      <color rgb="FFFFC000"/>
      <name val="Century Gothic"/>
      <family val="2"/>
    </font>
    <font>
      <b/>
      <u/>
      <sz val="12"/>
      <color theme="1" tint="0.249977111117893"/>
      <name val="Century Gothic"/>
      <family val="2"/>
    </font>
    <font>
      <sz val="12"/>
      <color theme="1" tint="0.14999847407452621"/>
      <name val="Century Gothic"/>
      <family val="2"/>
    </font>
    <font>
      <b/>
      <sz val="14"/>
      <color theme="1" tint="0.14999847407452621"/>
      <name val="Century Gothic"/>
      <family val="2"/>
    </font>
    <font>
      <sz val="14"/>
      <color theme="1" tint="0.34998626667073579"/>
      <name val="Century Gothic"/>
      <family val="2"/>
    </font>
    <font>
      <b/>
      <sz val="16"/>
      <color theme="1" tint="0.14999847407452621"/>
      <name val="Century Gothic"/>
      <family val="2"/>
    </font>
    <font>
      <b/>
      <u/>
      <sz val="14"/>
      <color theme="9" tint="-0.249977111117893"/>
      <name val="Century Gothic"/>
      <family val="2"/>
    </font>
    <font>
      <sz val="14"/>
      <color rgb="FFFF0000"/>
      <name val="Century Gothic"/>
      <family val="2"/>
    </font>
    <font>
      <b/>
      <sz val="11"/>
      <color theme="1" tint="0.14999847407452621"/>
      <name val="Century Gothic"/>
      <family val="2"/>
    </font>
    <font>
      <sz val="11"/>
      <color rgb="FFFF0000"/>
      <name val="Century Gothic"/>
      <family val="2"/>
    </font>
    <font>
      <sz val="11"/>
      <color theme="9" tint="-0.249977111117893"/>
      <name val="Calibri"/>
      <family val="2"/>
      <scheme val="minor"/>
    </font>
    <font>
      <u/>
      <sz val="11"/>
      <color theme="9" tint="-0.249977111117893"/>
      <name val="Calibri"/>
      <family val="2"/>
      <scheme val="minor"/>
    </font>
    <font>
      <sz val="9"/>
      <color indexed="81"/>
      <name val="Tahoma"/>
      <family val="2"/>
    </font>
    <font>
      <b/>
      <sz val="9"/>
      <color indexed="81"/>
      <name val="Tahoma"/>
      <family val="2"/>
    </font>
    <font>
      <sz val="10"/>
      <color theme="1"/>
      <name val="Arial"/>
      <family val="2"/>
    </font>
    <font>
      <sz val="11"/>
      <name val="Calibri"/>
      <family val="2"/>
    </font>
    <font>
      <b/>
      <sz val="11"/>
      <name val="Calibri"/>
      <family val="2"/>
    </font>
    <font>
      <b/>
      <sz val="11"/>
      <color rgb="FFFFC000"/>
      <name val="Calibri"/>
      <family val="2"/>
      <scheme val="minor"/>
    </font>
  </fonts>
  <fills count="6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FFC000"/>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rgb="FFFFFF00"/>
        <bgColor indexed="64"/>
      </patternFill>
    </fill>
    <fill>
      <patternFill patternType="solid">
        <fgColor theme="9" tint="-0.249977111117893"/>
        <bgColor indexed="64"/>
      </patternFill>
    </fill>
    <fill>
      <patternFill patternType="solid">
        <fgColor theme="2" tint="-0.499984740745262"/>
        <bgColor indexed="64"/>
      </patternFill>
    </fill>
    <fill>
      <patternFill patternType="solid">
        <fgColor rgb="FF99CC00"/>
        <bgColor indexed="64"/>
      </patternFill>
    </fill>
    <fill>
      <patternFill patternType="solid">
        <fgColor indexed="44"/>
        <bgColor indexed="64"/>
      </patternFill>
    </fill>
    <fill>
      <patternFill patternType="solid">
        <fgColor rgb="FF669900"/>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rgb="FF7030A0"/>
        <bgColor indexed="64"/>
      </patternFill>
    </fill>
    <fill>
      <patternFill patternType="solid">
        <fgColor rgb="FFFF0000"/>
        <bgColor indexed="64"/>
      </patternFill>
    </fill>
    <fill>
      <patternFill patternType="solid">
        <fgColor theme="1" tint="0.3499862666707357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6"/>
      </patternFill>
    </fill>
    <fill>
      <patternFill patternType="solid">
        <fgColor rgb="FFA5C400"/>
        <bgColor indexed="64"/>
      </patternFill>
    </fill>
    <fill>
      <patternFill patternType="solid">
        <fgColor theme="5" tint="0.59999389629810485"/>
        <bgColor indexed="64"/>
      </patternFill>
    </fill>
    <fill>
      <patternFill patternType="solid">
        <fgColor theme="0"/>
        <bgColor indexed="64"/>
      </patternFill>
    </fill>
    <fill>
      <patternFill patternType="solid">
        <fgColor theme="4" tint="0.79998168889431442"/>
        <bgColor indexed="64"/>
      </patternFill>
    </fill>
    <fill>
      <patternFill patternType="solid">
        <fgColor rgb="FFFF66CC"/>
        <bgColor indexed="64"/>
      </patternFill>
    </fill>
    <fill>
      <patternFill patternType="solid">
        <fgColor theme="2" tint="-0.249977111117893"/>
        <bgColor indexed="64"/>
      </patternFill>
    </fill>
    <fill>
      <patternFill patternType="solid">
        <fgColor theme="3" tint="0.39997558519241921"/>
        <bgColor indexed="64"/>
      </patternFill>
    </fill>
  </fills>
  <borders count="91">
    <border>
      <left/>
      <right/>
      <top/>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style="thick">
        <color auto="1"/>
      </right>
      <top/>
      <bottom/>
      <diagonal/>
    </border>
    <border>
      <left style="thick">
        <color auto="1"/>
      </left>
      <right/>
      <top/>
      <bottom/>
      <diagonal/>
    </border>
    <border>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thick">
        <color auto="1"/>
      </left>
      <right/>
      <top/>
      <bottom style="medium">
        <color auto="1"/>
      </bottom>
      <diagonal/>
    </border>
    <border>
      <left/>
      <right style="thick">
        <color auto="1"/>
      </right>
      <top/>
      <bottom style="medium">
        <color auto="1"/>
      </bottom>
      <diagonal/>
    </border>
    <border>
      <left/>
      <right/>
      <top/>
      <bottom style="thick">
        <color auto="1"/>
      </bottom>
      <diagonal/>
    </border>
    <border>
      <left/>
      <right style="thick">
        <color auto="1"/>
      </right>
      <top/>
      <bottom style="thick">
        <color auto="1"/>
      </bottom>
      <diagonal/>
    </border>
    <border>
      <left style="thick">
        <color auto="1"/>
      </left>
      <right/>
      <top/>
      <bottom style="thin">
        <color auto="1"/>
      </bottom>
      <diagonal/>
    </border>
    <border>
      <left/>
      <right/>
      <top/>
      <bottom style="thin">
        <color indexed="64"/>
      </bottom>
      <diagonal/>
    </border>
    <border>
      <left style="thick">
        <color auto="1"/>
      </left>
      <right/>
      <top/>
      <bottom style="thick">
        <color auto="1"/>
      </bottom>
      <diagonal/>
    </border>
    <border>
      <left/>
      <right/>
      <top style="thick">
        <color auto="1"/>
      </top>
      <bottom style="hair">
        <color auto="1"/>
      </bottom>
      <diagonal/>
    </border>
    <border>
      <left/>
      <right style="thick">
        <color auto="1"/>
      </right>
      <top style="thick">
        <color auto="1"/>
      </top>
      <bottom style="hair">
        <color auto="1"/>
      </bottom>
      <diagonal/>
    </border>
    <border>
      <left style="thick">
        <color auto="1"/>
      </left>
      <right/>
      <top style="thick">
        <color auto="1"/>
      </top>
      <bottom style="hair">
        <color auto="1"/>
      </bottom>
      <diagonal/>
    </border>
    <border>
      <left style="thick">
        <color auto="1"/>
      </left>
      <right/>
      <top style="hair">
        <color auto="1"/>
      </top>
      <bottom style="hair">
        <color auto="1"/>
      </bottom>
      <diagonal/>
    </border>
    <border>
      <left/>
      <right/>
      <top style="hair">
        <color auto="1"/>
      </top>
      <bottom style="hair">
        <color auto="1"/>
      </bottom>
      <diagonal/>
    </border>
    <border>
      <left/>
      <right style="thick">
        <color auto="1"/>
      </right>
      <top style="hair">
        <color auto="1"/>
      </top>
      <bottom style="hair">
        <color auto="1"/>
      </bottom>
      <diagonal/>
    </border>
    <border>
      <left style="thick">
        <color auto="1"/>
      </left>
      <right/>
      <top style="medium">
        <color auto="1"/>
      </top>
      <bottom style="hair">
        <color auto="1"/>
      </bottom>
      <diagonal/>
    </border>
    <border>
      <left/>
      <right/>
      <top style="medium">
        <color auto="1"/>
      </top>
      <bottom style="hair">
        <color auto="1"/>
      </bottom>
      <diagonal/>
    </border>
    <border>
      <left style="thick">
        <color auto="1"/>
      </left>
      <right/>
      <top style="thin">
        <color auto="1"/>
      </top>
      <bottom/>
      <diagonal/>
    </border>
    <border>
      <left/>
      <right/>
      <top style="thin">
        <color indexed="64"/>
      </top>
      <bottom/>
      <diagonal/>
    </border>
    <border>
      <left/>
      <right style="thick">
        <color auto="1"/>
      </right>
      <top style="thin">
        <color auto="1"/>
      </top>
      <bottom/>
      <diagonal/>
    </border>
    <border>
      <left style="thick">
        <color auto="1"/>
      </left>
      <right/>
      <top style="hair">
        <color auto="1"/>
      </top>
      <bottom/>
      <diagonal/>
    </border>
    <border>
      <left/>
      <right style="thick">
        <color auto="1"/>
      </right>
      <top style="hair">
        <color auto="1"/>
      </top>
      <bottom/>
      <diagonal/>
    </border>
    <border>
      <left style="thick">
        <color auto="1"/>
      </left>
      <right/>
      <top style="double">
        <color auto="1"/>
      </top>
      <bottom/>
      <diagonal/>
    </border>
    <border>
      <left/>
      <right/>
      <top style="double">
        <color auto="1"/>
      </top>
      <bottom/>
      <diagonal/>
    </border>
    <border>
      <left style="thin">
        <color indexed="64"/>
      </left>
      <right style="thin">
        <color indexed="64"/>
      </right>
      <top style="thin">
        <color indexed="64"/>
      </top>
      <bottom style="thin">
        <color indexed="64"/>
      </bottom>
      <diagonal/>
    </border>
    <border>
      <left style="thin">
        <color theme="9" tint="-0.24994659260841701"/>
      </left>
      <right/>
      <top style="hair">
        <color theme="0" tint="-0.14996795556505021"/>
      </top>
      <bottom style="thin">
        <color theme="9" tint="-0.24994659260841701"/>
      </bottom>
      <diagonal/>
    </border>
    <border>
      <left style="thin">
        <color theme="9" tint="-0.24994659260841701"/>
      </left>
      <right/>
      <top style="hair">
        <color theme="0" tint="-0.14996795556505021"/>
      </top>
      <bottom style="hair">
        <color theme="0" tint="-0.14996795556505021"/>
      </bottom>
      <diagonal/>
    </border>
    <border>
      <left style="thin">
        <color theme="9" tint="-0.24994659260841701"/>
      </left>
      <right/>
      <top/>
      <bottom style="hair">
        <color theme="0" tint="-0.14996795556505021"/>
      </bottom>
      <diagonal/>
    </border>
    <border>
      <left style="thin">
        <color theme="9" tint="-0.24994659260841701"/>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hair">
        <color indexed="64"/>
      </top>
      <bottom style="hair">
        <color indexed="64"/>
      </bottom>
      <diagonal/>
    </border>
    <border>
      <left style="thin">
        <color indexed="64"/>
      </left>
      <right style="thin">
        <color indexed="64"/>
      </right>
      <top style="thin">
        <color theme="0" tint="-0.34998626667073579"/>
      </top>
      <bottom style="thin">
        <color theme="0" tint="-0.24994659260841701"/>
      </bottom>
      <diagonal/>
    </border>
    <border>
      <left/>
      <right/>
      <top style="dotted">
        <color rgb="FFFFC000"/>
      </top>
      <bottom style="dotted">
        <color rgb="FFFFC000"/>
      </bottom>
      <diagonal/>
    </border>
    <border>
      <left style="thin">
        <color indexed="22"/>
      </left>
      <right style="thin">
        <color indexed="22"/>
      </right>
      <top style="thin">
        <color indexed="22"/>
      </top>
      <bottom style="thin">
        <color indexed="22"/>
      </bottom>
      <diagonal/>
    </border>
    <border>
      <left style="thin">
        <color theme="9" tint="-0.24994659260841701"/>
      </left>
      <right/>
      <top style="thin">
        <color theme="9" tint="-0.24994659260841701"/>
      </top>
      <bottom style="thin">
        <color theme="9" tint="-0.24994659260841701"/>
      </bottom>
      <diagonal/>
    </border>
    <border>
      <left/>
      <right/>
      <top style="thin">
        <color theme="9" tint="-0.24994659260841701"/>
      </top>
      <bottom style="thin">
        <color theme="9" tint="-0.24994659260841701"/>
      </bottom>
      <diagonal/>
    </border>
    <border>
      <left/>
      <right style="thin">
        <color theme="9" tint="-0.24994659260841701"/>
      </right>
      <top style="thin">
        <color theme="9" tint="-0.24994659260841701"/>
      </top>
      <bottom style="thin">
        <color theme="9" tint="-0.24994659260841701"/>
      </bottom>
      <diagonal/>
    </border>
    <border>
      <left style="thick">
        <color theme="0"/>
      </left>
      <right style="thick">
        <color theme="0"/>
      </right>
      <top style="hair">
        <color theme="0" tint="-0.14996795556505021"/>
      </top>
      <bottom style="hair">
        <color theme="0" tint="-0.14996795556505021"/>
      </bottom>
      <diagonal/>
    </border>
    <border>
      <left style="thick">
        <color theme="0"/>
      </left>
      <right/>
      <top style="hair">
        <color theme="0" tint="-0.14996795556505021"/>
      </top>
      <bottom style="hair">
        <color theme="0" tint="-0.14996795556505021"/>
      </bottom>
      <diagonal/>
    </border>
    <border>
      <left/>
      <right style="thin">
        <color theme="9" tint="-0.24994659260841701"/>
      </right>
      <top style="hair">
        <color theme="0" tint="-0.14996795556505021"/>
      </top>
      <bottom style="hair">
        <color theme="0" tint="-0.14996795556505021"/>
      </bottom>
      <diagonal/>
    </border>
    <border>
      <left/>
      <right style="thin">
        <color theme="9" tint="-0.24994659260841701"/>
      </right>
      <top/>
      <bottom/>
      <diagonal/>
    </border>
    <border>
      <left/>
      <right style="thick">
        <color theme="0"/>
      </right>
      <top style="hair">
        <color theme="0" tint="-0.14996795556505021"/>
      </top>
      <bottom style="hair">
        <color theme="0" tint="-0.14996795556505021"/>
      </bottom>
      <diagonal/>
    </border>
    <border>
      <left style="thick">
        <color theme="0"/>
      </left>
      <right/>
      <top style="hair">
        <color theme="0" tint="-0.14996795556505021"/>
      </top>
      <bottom/>
      <diagonal/>
    </border>
    <border>
      <left/>
      <right style="thin">
        <color theme="9" tint="-0.24994659260841701"/>
      </right>
      <top style="hair">
        <color theme="0" tint="-0.14996795556505021"/>
      </top>
      <bottom/>
      <diagonal/>
    </border>
    <border>
      <left style="thick">
        <color theme="0"/>
      </left>
      <right/>
      <top/>
      <bottom style="hair">
        <color theme="0" tint="-0.14996795556505021"/>
      </bottom>
      <diagonal/>
    </border>
    <border>
      <left/>
      <right style="thin">
        <color theme="9" tint="-0.24994659260841701"/>
      </right>
      <top/>
      <bottom style="hair">
        <color theme="0" tint="-0.14996795556505021"/>
      </bottom>
      <diagonal/>
    </border>
    <border>
      <left/>
      <right/>
      <top style="hair">
        <color theme="0" tint="-0.14996795556505021"/>
      </top>
      <bottom/>
      <diagonal/>
    </border>
    <border>
      <left/>
      <right/>
      <top style="hair">
        <color theme="0" tint="-0.14996795556505021"/>
      </top>
      <bottom style="thin">
        <color theme="9" tint="-0.24994659260841701"/>
      </bottom>
      <diagonal/>
    </border>
    <border>
      <left/>
      <right style="thin">
        <color theme="9" tint="-0.24994659260841701"/>
      </right>
      <top style="hair">
        <color theme="0" tint="-0.14996795556505021"/>
      </top>
      <bottom style="thin">
        <color theme="9" tint="-0.24994659260841701"/>
      </bottom>
      <diagonal/>
    </border>
    <border>
      <left style="thin">
        <color theme="9" tint="-0.24994659260841701"/>
      </left>
      <right style="thick">
        <color theme="0"/>
      </right>
      <top/>
      <bottom style="thin">
        <color theme="9" tint="-0.24994659260841701"/>
      </bottom>
      <diagonal/>
    </border>
    <border>
      <left/>
      <right style="thick">
        <color theme="0"/>
      </right>
      <top/>
      <bottom style="thin">
        <color theme="9" tint="-0.24994659260841701"/>
      </bottom>
      <diagonal/>
    </border>
    <border>
      <left style="thick">
        <color theme="0"/>
      </left>
      <right style="thick">
        <color theme="0"/>
      </right>
      <top/>
      <bottom style="thin">
        <color theme="9" tint="-0.24994659260841701"/>
      </bottom>
      <diagonal/>
    </border>
    <border>
      <left style="thick">
        <color theme="0"/>
      </left>
      <right style="thin">
        <color theme="9" tint="-0.24994659260841701"/>
      </right>
      <top/>
      <bottom style="thin">
        <color theme="9" tint="-0.24994659260841701"/>
      </bottom>
      <diagonal/>
    </border>
    <border>
      <left/>
      <right/>
      <top style="thin">
        <color theme="9" tint="-0.24994659260841701"/>
      </top>
      <bottom/>
      <diagonal/>
    </border>
    <border>
      <left style="thick">
        <color theme="0"/>
      </left>
      <right style="thick">
        <color theme="0"/>
      </right>
      <top/>
      <bottom/>
      <diagonal/>
    </border>
    <border>
      <left style="thick">
        <color theme="0"/>
      </left>
      <right/>
      <top/>
      <bottom/>
      <diagonal/>
    </border>
    <border>
      <left/>
      <right/>
      <top style="dashed">
        <color theme="0" tint="-0.14996795556505021"/>
      </top>
      <bottom style="dashed">
        <color theme="0" tint="-0.14996795556505021"/>
      </bottom>
      <diagonal/>
    </border>
    <border>
      <left style="thick">
        <color theme="0"/>
      </left>
      <right style="thick">
        <color theme="0"/>
      </right>
      <top style="dashed">
        <color theme="0" tint="-0.14996795556505021"/>
      </top>
      <bottom style="dashed">
        <color theme="0" tint="-0.14996795556505021"/>
      </bottom>
      <diagonal/>
    </border>
    <border>
      <left style="thick">
        <color theme="0"/>
      </left>
      <right/>
      <top style="dashed">
        <color theme="0" tint="-0.14996795556505021"/>
      </top>
      <bottom style="dashed">
        <color theme="0" tint="-0.14996795556505021"/>
      </bottom>
      <diagonal/>
    </border>
    <border>
      <left/>
      <right style="thick">
        <color theme="0"/>
      </right>
      <top style="dashed">
        <color theme="0" tint="-0.14996795556505021"/>
      </top>
      <bottom style="dashed">
        <color theme="0" tint="-0.14996795556505021"/>
      </bottom>
      <diagonal/>
    </border>
    <border>
      <left/>
      <right style="thick">
        <color theme="0"/>
      </right>
      <top/>
      <bottom style="hair">
        <color theme="0" tint="-0.14996795556505021"/>
      </bottom>
      <diagonal/>
    </border>
    <border>
      <left style="thin">
        <color indexed="64"/>
      </left>
      <right/>
      <top style="dotted">
        <color rgb="FFFFC000"/>
      </top>
      <bottom style="dotted">
        <color rgb="FFFFC000"/>
      </bottom>
      <diagonal/>
    </border>
    <border>
      <left/>
      <right style="thin">
        <color indexed="64"/>
      </right>
      <top style="dotted">
        <color rgb="FFFFC000"/>
      </top>
      <bottom style="dotted">
        <color rgb="FFFFC000"/>
      </bottom>
      <diagonal/>
    </border>
  </borders>
  <cellStyleXfs count="4404">
    <xf numFmtId="0" fontId="0"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0" fontId="21" fillId="0" borderId="0"/>
    <xf numFmtId="0" fontId="21" fillId="0" borderId="0"/>
    <xf numFmtId="166" fontId="21" fillId="0" borderId="0" applyFont="0" applyFill="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6" fillId="11" borderId="0" applyNumberFormat="0" applyBorder="0" applyAlignment="0" applyProtection="0"/>
    <xf numFmtId="0" fontId="16" fillId="14" borderId="0" applyNumberFormat="0" applyBorder="0" applyAlignment="0" applyProtection="0"/>
    <xf numFmtId="0" fontId="16" fillId="17" borderId="0" applyNumberFormat="0" applyBorder="0" applyAlignment="0" applyProtection="0"/>
    <xf numFmtId="0" fontId="16" fillId="20" borderId="0" applyNumberFormat="0" applyBorder="0" applyAlignment="0" applyProtection="0"/>
    <xf numFmtId="0" fontId="16" fillId="23" borderId="0" applyNumberFormat="0" applyBorder="0" applyAlignment="0" applyProtection="0"/>
    <xf numFmtId="0" fontId="16" fillId="26" borderId="0" applyNumberFormat="0" applyBorder="0" applyAlignment="0" applyProtection="0"/>
    <xf numFmtId="0" fontId="13" fillId="0" borderId="0" applyNumberFormat="0" applyFill="0" applyBorder="0" applyAlignment="0" applyProtection="0"/>
    <xf numFmtId="0" fontId="10" fillId="6" borderId="3" applyNumberFormat="0" applyAlignment="0" applyProtection="0"/>
    <xf numFmtId="0" fontId="11" fillId="0" borderId="5" applyNumberFormat="0" applyFill="0" applyAlignment="0" applyProtection="0"/>
    <xf numFmtId="167" fontId="1" fillId="0" borderId="0" applyFont="0" applyFill="0" applyBorder="0" applyAlignment="0" applyProtection="0"/>
    <xf numFmtId="167" fontId="1" fillId="0" borderId="0" applyFont="0" applyFill="0" applyBorder="0" applyAlignment="0" applyProtection="0"/>
    <xf numFmtId="43" fontId="2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69" fontId="21" fillId="0" borderId="0" applyFont="0" applyFill="0" applyBorder="0" applyAlignment="0" applyProtection="0"/>
    <xf numFmtId="43"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7" fontId="2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2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2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2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166" fontId="1" fillId="0" borderId="0" applyFont="0" applyFill="0" applyBorder="0" applyAlignment="0" applyProtection="0"/>
    <xf numFmtId="44" fontId="21" fillId="0" borderId="0" applyFont="0" applyFill="0" applyBorder="0" applyAlignment="0" applyProtection="0"/>
    <xf numFmtId="166" fontId="1" fillId="0" borderId="0" applyFont="0" applyFill="0" applyBorder="0" applyAlignment="0" applyProtection="0"/>
    <xf numFmtId="170" fontId="21" fillId="0" borderId="0" applyFont="0" applyFill="0" applyBorder="0" applyAlignment="0" applyProtection="0"/>
    <xf numFmtId="166" fontId="1" fillId="0" borderId="0" applyFont="0" applyFill="0" applyBorder="0" applyAlignment="0" applyProtection="0"/>
    <xf numFmtId="170" fontId="21" fillId="0" borderId="0" applyFont="0" applyFill="0" applyBorder="0" applyAlignment="0" applyProtection="0"/>
    <xf numFmtId="44" fontId="21" fillId="0" borderId="0" applyFont="0" applyFill="0" applyBorder="0" applyAlignment="0" applyProtection="0"/>
    <xf numFmtId="166" fontId="1" fillId="0" borderId="0" applyFont="0" applyFill="0" applyBorder="0" applyAlignment="0" applyProtection="0"/>
    <xf numFmtId="170" fontId="21" fillId="0" borderId="0" applyFont="0" applyFill="0" applyBorder="0" applyAlignment="0" applyProtection="0"/>
    <xf numFmtId="166" fontId="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2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44" fontId="23"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8" fillId="5" borderId="3" applyNumberFormat="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0" fontId="24"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6" fillId="3" borderId="0" applyNumberFormat="0" applyBorder="0" applyAlignment="0" applyProtection="0"/>
    <xf numFmtId="0" fontId="25" fillId="0" borderId="0" applyNumberFormat="0" applyFill="0" applyBorder="0" applyAlignment="0" applyProtection="0">
      <alignment vertical="top"/>
      <protection locked="0"/>
    </xf>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9"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1" fillId="0" borderId="0" applyFont="0" applyFill="0" applyBorder="0" applyAlignment="0" applyProtection="0"/>
    <xf numFmtId="169" fontId="2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70" fontId="21" fillId="0" borderId="0" applyFont="0" applyFill="0" applyBorder="0" applyAlignment="0" applyProtection="0"/>
    <xf numFmtId="44" fontId="2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70" fontId="2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70" fontId="2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70" fontId="21" fillId="0" borderId="0" applyFont="0" applyFill="0" applyBorder="0" applyAlignment="0" applyProtection="0"/>
    <xf numFmtId="166" fontId="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166" fontId="2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2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7" fillId="4" borderId="0" applyNumberFormat="0" applyBorder="0" applyAlignment="0" applyProtection="0"/>
    <xf numFmtId="0" fontId="21" fillId="0" borderId="0"/>
    <xf numFmtId="0" fontId="27" fillId="0" borderId="0"/>
    <xf numFmtId="0" fontId="21" fillId="0" borderId="0"/>
    <xf numFmtId="0" fontId="21" fillId="0" borderId="0"/>
    <xf numFmtId="0" fontId="21" fillId="0" borderId="0"/>
    <xf numFmtId="0" fontId="21" fillId="0" borderId="0"/>
    <xf numFmtId="0" fontId="21" fillId="0" borderId="0"/>
    <xf numFmtId="0" fontId="21" fillId="0" borderId="0"/>
    <xf numFmtId="0" fontId="28"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21" fillId="0" borderId="0"/>
    <xf numFmtId="0" fontId="1" fillId="0" borderId="0"/>
    <xf numFmtId="0" fontId="21" fillId="0" borderId="0"/>
    <xf numFmtId="0" fontId="21" fillId="0" borderId="0"/>
    <xf numFmtId="0" fontId="2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2" fillId="0" borderId="0"/>
    <xf numFmtId="0" fontId="22"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2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21" fillId="0" borderId="0"/>
    <xf numFmtId="0" fontId="27" fillId="0" borderId="0"/>
    <xf numFmtId="0" fontId="27" fillId="0" borderId="0"/>
    <xf numFmtId="0" fontId="21" fillId="0" borderId="0"/>
    <xf numFmtId="0" fontId="1" fillId="0" borderId="0"/>
    <xf numFmtId="0" fontId="1" fillId="0" borderId="0"/>
    <xf numFmtId="0" fontId="21" fillId="0" borderId="0"/>
    <xf numFmtId="0" fontId="27" fillId="0" borderId="0"/>
    <xf numFmtId="0" fontId="21" fillId="0" borderId="0"/>
    <xf numFmtId="0" fontId="27" fillId="0" borderId="0"/>
    <xf numFmtId="0" fontId="21" fillId="0" borderId="0"/>
    <xf numFmtId="0" fontId="21" fillId="0" borderId="0"/>
    <xf numFmtId="0" fontId="1" fillId="0" borderId="0"/>
    <xf numFmtId="0" fontId="1" fillId="0" borderId="0"/>
    <xf numFmtId="0" fontId="2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21" fillId="0" borderId="0"/>
    <xf numFmtId="0" fontId="21" fillId="0" borderId="0"/>
    <xf numFmtId="0" fontId="1" fillId="0" borderId="0"/>
    <xf numFmtId="0" fontId="1" fillId="0" borderId="0"/>
    <xf numFmtId="0" fontId="22" fillId="0" borderId="0"/>
    <xf numFmtId="0" fontId="21" fillId="0" borderId="0"/>
    <xf numFmtId="0" fontId="1" fillId="0" borderId="0"/>
    <xf numFmtId="0" fontId="22" fillId="0" borderId="0"/>
    <xf numFmtId="0" fontId="1" fillId="0" borderId="0"/>
    <xf numFmtId="0" fontId="2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2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7" fillId="0" borderId="0"/>
    <xf numFmtId="0" fontId="27" fillId="0" borderId="0"/>
    <xf numFmtId="0" fontId="1" fillId="0" borderId="0"/>
    <xf numFmtId="0" fontId="1" fillId="0" borderId="0"/>
    <xf numFmtId="0" fontId="2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2" fillId="0" borderId="0"/>
    <xf numFmtId="0" fontId="1" fillId="0" borderId="0"/>
    <xf numFmtId="0" fontId="29" fillId="0" borderId="0"/>
    <xf numFmtId="0" fontId="1"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21" fillId="0" borderId="0"/>
    <xf numFmtId="0" fontId="1" fillId="0" borderId="0"/>
    <xf numFmtId="0" fontId="2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0" fillId="0" borderId="0"/>
    <xf numFmtId="0" fontId="21" fillId="0" borderId="0"/>
    <xf numFmtId="0" fontId="1" fillId="0" borderId="0"/>
    <xf numFmtId="0" fontId="30" fillId="0" borderId="0"/>
    <xf numFmtId="0" fontId="1" fillId="0" borderId="0"/>
    <xf numFmtId="0" fontId="30" fillId="0" borderId="0"/>
    <xf numFmtId="0" fontId="1"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21" fillId="0" borderId="0"/>
    <xf numFmtId="0" fontId="21" fillId="0" borderId="0"/>
    <xf numFmtId="0" fontId="21" fillId="0" borderId="0"/>
    <xf numFmtId="0" fontId="21" fillId="0" borderId="0"/>
    <xf numFmtId="0" fontId="21" fillId="0" borderId="0"/>
    <xf numFmtId="0" fontId="27" fillId="0" borderId="0"/>
    <xf numFmtId="0" fontId="1" fillId="0" borderId="0"/>
    <xf numFmtId="0" fontId="27" fillId="0" borderId="0"/>
    <xf numFmtId="0" fontId="1" fillId="0" borderId="0"/>
    <xf numFmtId="0" fontId="27" fillId="0" borderId="0"/>
    <xf numFmtId="0" fontId="1" fillId="0" borderId="0"/>
    <xf numFmtId="0" fontId="27"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29" fillId="0" borderId="0"/>
    <xf numFmtId="0" fontId="29" fillId="0" borderId="0"/>
    <xf numFmtId="0" fontId="27" fillId="0" borderId="0"/>
    <xf numFmtId="0" fontId="21" fillId="0" borderId="0"/>
    <xf numFmtId="0" fontId="21" fillId="0" borderId="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7" fillId="0" borderId="0" applyFont="0" applyFill="0" applyBorder="0" applyAlignment="0" applyProtection="0"/>
    <xf numFmtId="9" fontId="1" fillId="0" borderId="0" applyFont="0" applyFill="0" applyBorder="0" applyAlignment="0" applyProtection="0"/>
    <xf numFmtId="9" fontId="27" fillId="0" borderId="0" applyFont="0" applyFill="0" applyBorder="0" applyAlignment="0" applyProtection="0"/>
    <xf numFmtId="9" fontId="1"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5" fillId="2" borderId="0" applyNumberFormat="0" applyBorder="0" applyAlignment="0" applyProtection="0"/>
    <xf numFmtId="0" fontId="9" fillId="6" borderId="4" applyNumberFormat="0" applyAlignment="0" applyProtection="0"/>
    <xf numFmtId="0" fontId="14" fillId="0" borderId="0" applyNumberForma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4" fillId="0" borderId="0" applyNumberFormat="0" applyFill="0" applyBorder="0" applyAlignment="0" applyProtection="0"/>
    <xf numFmtId="0" fontId="12" fillId="7" borderId="6" applyNumberFormat="0" applyAlignment="0" applyProtection="0"/>
    <xf numFmtId="0" fontId="41" fillId="0" borderId="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25" fillId="0" borderId="0" applyNumberFormat="0" applyFill="0" applyBorder="0" applyAlignment="0" applyProtection="0">
      <alignment vertical="top"/>
      <protection locked="0"/>
    </xf>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22" fillId="0" borderId="0"/>
    <xf numFmtId="0" fontId="22"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cellStyleXfs>
  <cellXfs count="656">
    <xf numFmtId="0" fontId="0" fillId="0" borderId="0" xfId="0"/>
    <xf numFmtId="0" fontId="17" fillId="27" borderId="0" xfId="0" applyFont="1" applyFill="1"/>
    <xf numFmtId="0" fontId="17" fillId="27" borderId="8" xfId="0" applyFont="1" applyFill="1" applyBorder="1" applyAlignment="1">
      <alignment horizontal="center"/>
    </xf>
    <xf numFmtId="0" fontId="17" fillId="28" borderId="9" xfId="0" applyFont="1" applyFill="1" applyBorder="1"/>
    <xf numFmtId="0" fontId="17" fillId="28" borderId="0" xfId="0" applyFont="1" applyFill="1"/>
    <xf numFmtId="0" fontId="17" fillId="28" borderId="0" xfId="0" applyFont="1" applyFill="1" applyAlignment="1">
      <alignment horizontal="center"/>
    </xf>
    <xf numFmtId="0" fontId="17" fillId="28" borderId="0" xfId="0" applyFont="1" applyFill="1" applyBorder="1"/>
    <xf numFmtId="0" fontId="17" fillId="29" borderId="9" xfId="0" applyFont="1" applyFill="1" applyBorder="1"/>
    <xf numFmtId="0" fontId="17" fillId="29" borderId="0" xfId="0" applyFont="1" applyFill="1"/>
    <xf numFmtId="0" fontId="17" fillId="30" borderId="9" xfId="0" applyFont="1" applyFill="1" applyBorder="1"/>
    <xf numFmtId="0" fontId="17" fillId="30" borderId="8" xfId="0" applyFont="1" applyFill="1" applyBorder="1"/>
    <xf numFmtId="0" fontId="17" fillId="31" borderId="9" xfId="0" applyFont="1" applyFill="1" applyBorder="1"/>
    <xf numFmtId="0" fontId="17" fillId="31" borderId="0" xfId="0" applyFont="1" applyFill="1" applyBorder="1"/>
    <xf numFmtId="0" fontId="17" fillId="31" borderId="8" xfId="0" applyFont="1" applyFill="1" applyBorder="1"/>
    <xf numFmtId="0" fontId="17" fillId="0" borderId="0" xfId="0" applyFont="1"/>
    <xf numFmtId="3" fontId="17" fillId="0" borderId="0" xfId="0" applyNumberFormat="1" applyFont="1"/>
    <xf numFmtId="0" fontId="17" fillId="0" borderId="8" xfId="0" applyFont="1" applyBorder="1"/>
    <xf numFmtId="0" fontId="0" fillId="29" borderId="13" xfId="0" applyFill="1" applyBorder="1"/>
    <xf numFmtId="0" fontId="0" fillId="29" borderId="10" xfId="0" applyFill="1" applyBorder="1" applyAlignment="1">
      <alignment vertical="top" wrapText="1"/>
    </xf>
    <xf numFmtId="0" fontId="0" fillId="0" borderId="10" xfId="0" applyBorder="1" applyAlignment="1">
      <alignment vertical="top" wrapText="1"/>
    </xf>
    <xf numFmtId="0" fontId="0" fillId="0" borderId="8" xfId="0" applyBorder="1" applyAlignment="1">
      <alignment horizontal="center"/>
    </xf>
    <xf numFmtId="0" fontId="0" fillId="0" borderId="9" xfId="0" applyBorder="1"/>
    <xf numFmtId="0" fontId="15" fillId="0" borderId="0" xfId="0" applyFont="1"/>
    <xf numFmtId="0" fontId="0" fillId="0" borderId="0" xfId="0" applyFill="1" applyBorder="1" applyAlignment="1">
      <alignment horizontal="left" vertical="top" wrapText="1"/>
    </xf>
    <xf numFmtId="0" fontId="15" fillId="0" borderId="0" xfId="0" applyFont="1" applyFill="1" applyBorder="1" applyAlignment="1">
      <alignment horizontal="left"/>
    </xf>
    <xf numFmtId="0" fontId="0" fillId="0" borderId="0" xfId="0" applyFill="1" applyBorder="1" applyAlignment="1">
      <alignment horizontal="left"/>
    </xf>
    <xf numFmtId="0" fontId="0" fillId="0" borderId="0" xfId="0" applyFill="1" applyBorder="1" applyAlignment="1">
      <alignment horizontal="center"/>
    </xf>
    <xf numFmtId="0" fontId="0" fillId="0" borderId="0" xfId="0" applyAlignment="1">
      <alignment horizontal="center"/>
    </xf>
    <xf numFmtId="0" fontId="0" fillId="0" borderId="0" xfId="0" applyBorder="1"/>
    <xf numFmtId="0" fontId="18" fillId="0" borderId="9" xfId="0" applyFont="1" applyBorder="1" applyAlignment="1">
      <alignment horizontal="left"/>
    </xf>
    <xf numFmtId="0" fontId="0" fillId="0" borderId="8" xfId="0" applyBorder="1"/>
    <xf numFmtId="3" fontId="0" fillId="0" borderId="0" xfId="0" applyNumberFormat="1"/>
    <xf numFmtId="0" fontId="0" fillId="0" borderId="15" xfId="0" applyBorder="1"/>
    <xf numFmtId="0" fontId="0" fillId="0" borderId="16" xfId="0" applyBorder="1" applyAlignment="1">
      <alignment horizontal="center"/>
    </xf>
    <xf numFmtId="0" fontId="15" fillId="0" borderId="17" xfId="0" applyFont="1" applyBorder="1" applyAlignment="1">
      <alignment horizontal="center"/>
    </xf>
    <xf numFmtId="0" fontId="15" fillId="0" borderId="18" xfId="0" applyFont="1" applyBorder="1" applyAlignment="1">
      <alignment horizontal="center"/>
    </xf>
    <xf numFmtId="0" fontId="15" fillId="0" borderId="19" xfId="0" applyFont="1" applyBorder="1"/>
    <xf numFmtId="0" fontId="15" fillId="0" borderId="16" xfId="0" applyFont="1" applyBorder="1" applyAlignment="1">
      <alignment horizontal="center"/>
    </xf>
    <xf numFmtId="0" fontId="15" fillId="0" borderId="15" xfId="0" applyFont="1" applyBorder="1"/>
    <xf numFmtId="3" fontId="0" fillId="0" borderId="0" xfId="0" applyNumberFormat="1" applyAlignment="1">
      <alignment horizontal="center"/>
    </xf>
    <xf numFmtId="0" fontId="0" fillId="0" borderId="20" xfId="0" applyFill="1" applyBorder="1"/>
    <xf numFmtId="0" fontId="0" fillId="0" borderId="21" xfId="0" applyFill="1" applyBorder="1" applyAlignment="1">
      <alignment horizontal="center"/>
    </xf>
    <xf numFmtId="0" fontId="0" fillId="0" borderId="22" xfId="0" applyFill="1" applyBorder="1"/>
    <xf numFmtId="0" fontId="0" fillId="0" borderId="23" xfId="0" applyFill="1" applyBorder="1"/>
    <xf numFmtId="0" fontId="0" fillId="0" borderId="24" xfId="0" applyFill="1" applyBorder="1"/>
    <xf numFmtId="0" fontId="0" fillId="0" borderId="25" xfId="0" applyFill="1" applyBorder="1" applyAlignment="1">
      <alignment horizontal="center"/>
    </xf>
    <xf numFmtId="0" fontId="0" fillId="0" borderId="24" xfId="0" applyBorder="1"/>
    <xf numFmtId="3" fontId="0" fillId="0" borderId="25" xfId="0" applyNumberFormat="1" applyFill="1" applyBorder="1" applyAlignment="1">
      <alignment horizontal="center"/>
    </xf>
    <xf numFmtId="0" fontId="0" fillId="32" borderId="10" xfId="0" applyFill="1" applyBorder="1" applyAlignment="1">
      <alignment horizontal="left" vertical="top" wrapText="1"/>
    </xf>
    <xf numFmtId="0" fontId="0" fillId="32" borderId="10" xfId="0" applyFill="1" applyBorder="1" applyAlignment="1">
      <alignment vertical="top" wrapText="1"/>
    </xf>
    <xf numFmtId="0" fontId="0" fillId="32" borderId="10" xfId="0" applyFill="1" applyBorder="1" applyAlignment="1">
      <alignment horizontal="center" vertical="top" wrapText="1"/>
    </xf>
    <xf numFmtId="0" fontId="0" fillId="0" borderId="25" xfId="0" applyFill="1" applyBorder="1" applyAlignment="1">
      <alignment horizontal="left"/>
    </xf>
    <xf numFmtId="1" fontId="0" fillId="0" borderId="25" xfId="2" applyNumberFormat="1" applyFont="1" applyFill="1" applyBorder="1" applyAlignment="1">
      <alignment horizontal="center"/>
    </xf>
    <xf numFmtId="0" fontId="0" fillId="0" borderId="26" xfId="0" applyBorder="1" applyAlignment="1">
      <alignment horizontal="left"/>
    </xf>
    <xf numFmtId="0" fontId="0" fillId="0" borderId="27" xfId="0" applyBorder="1"/>
    <xf numFmtId="0" fontId="0" fillId="0" borderId="27" xfId="0" applyBorder="1" applyAlignment="1">
      <alignment horizontal="center"/>
    </xf>
    <xf numFmtId="9" fontId="0" fillId="0" borderId="25" xfId="0" applyNumberFormat="1" applyFill="1" applyBorder="1" applyAlignment="1"/>
    <xf numFmtId="0" fontId="0" fillId="0" borderId="23" xfId="0" applyBorder="1" applyAlignment="1">
      <alignment horizontal="left"/>
    </xf>
    <xf numFmtId="0" fontId="0" fillId="0" borderId="24" xfId="0" applyBorder="1" applyAlignment="1">
      <alignment horizontal="center"/>
    </xf>
    <xf numFmtId="9" fontId="0" fillId="0" borderId="25" xfId="0" applyNumberFormat="1" applyFill="1" applyBorder="1" applyAlignment="1">
      <alignment horizontal="center"/>
    </xf>
    <xf numFmtId="0" fontId="0" fillId="0" borderId="28" xfId="0" applyBorder="1"/>
    <xf numFmtId="0" fontId="0" fillId="0" borderId="29" xfId="0" applyBorder="1"/>
    <xf numFmtId="3" fontId="0" fillId="0" borderId="29" xfId="0" applyNumberFormat="1" applyBorder="1" applyAlignment="1">
      <alignment horizontal="center"/>
    </xf>
    <xf numFmtId="0" fontId="0" fillId="0" borderId="30" xfId="0" applyBorder="1"/>
    <xf numFmtId="0" fontId="0" fillId="0" borderId="0" xfId="0" applyFill="1" applyAlignment="1">
      <alignment horizontal="center"/>
    </xf>
    <xf numFmtId="0" fontId="0" fillId="0" borderId="24" xfId="0" quotePrefix="1" applyBorder="1"/>
    <xf numFmtId="0" fontId="19" fillId="0" borderId="25" xfId="0" applyFont="1" applyFill="1" applyBorder="1" applyAlignment="1">
      <alignment horizontal="center"/>
    </xf>
    <xf numFmtId="168" fontId="0" fillId="33" borderId="25" xfId="1" applyNumberFormat="1" applyFont="1" applyFill="1" applyBorder="1" applyAlignment="1">
      <alignment horizontal="center"/>
    </xf>
    <xf numFmtId="9" fontId="0" fillId="0" borderId="25" xfId="2" applyFont="1" applyFill="1" applyBorder="1" applyAlignment="1">
      <alignment horizontal="center"/>
    </xf>
    <xf numFmtId="0" fontId="0" fillId="33" borderId="25" xfId="0" applyFill="1" applyBorder="1" applyAlignment="1">
      <alignment horizontal="center"/>
    </xf>
    <xf numFmtId="0" fontId="0" fillId="0" borderId="25" xfId="0" applyBorder="1" applyAlignment="1">
      <alignment horizontal="center"/>
    </xf>
    <xf numFmtId="9" fontId="0" fillId="0" borderId="0" xfId="2" applyFont="1" applyAlignment="1">
      <alignment horizontal="center"/>
    </xf>
    <xf numFmtId="0" fontId="0" fillId="0" borderId="9" xfId="0" applyBorder="1" applyAlignment="1">
      <alignment horizontal="left"/>
    </xf>
    <xf numFmtId="0" fontId="0" fillId="0" borderId="23" xfId="0" applyBorder="1"/>
    <xf numFmtId="164" fontId="0" fillId="0" borderId="25" xfId="0" applyNumberFormat="1" applyBorder="1"/>
    <xf numFmtId="0" fontId="0" fillId="0" borderId="25" xfId="0" applyBorder="1"/>
    <xf numFmtId="0" fontId="0" fillId="0" borderId="31" xfId="0" applyBorder="1"/>
    <xf numFmtId="0" fontId="0" fillId="0" borderId="32" xfId="0" applyBorder="1"/>
    <xf numFmtId="3" fontId="0" fillId="0" borderId="24" xfId="0" quotePrefix="1" applyNumberFormat="1" applyBorder="1"/>
    <xf numFmtId="0" fontId="18" fillId="0" borderId="9" xfId="0" applyFont="1" applyBorder="1"/>
    <xf numFmtId="9" fontId="0" fillId="0" borderId="0" xfId="0" applyNumberFormat="1" applyAlignment="1">
      <alignment horizontal="center"/>
    </xf>
    <xf numFmtId="0" fontId="0" fillId="0" borderId="33" xfId="0" applyBorder="1"/>
    <xf numFmtId="0" fontId="0" fillId="0" borderId="34" xfId="0" applyBorder="1"/>
    <xf numFmtId="3" fontId="0" fillId="0" borderId="34" xfId="0" applyNumberFormat="1" applyBorder="1" applyAlignment="1">
      <alignment horizontal="center"/>
    </xf>
    <xf numFmtId="0" fontId="0" fillId="0" borderId="24" xfId="0" quotePrefix="1" applyFill="1" applyBorder="1"/>
    <xf numFmtId="0" fontId="15" fillId="0" borderId="9" xfId="0" applyFont="1" applyBorder="1"/>
    <xf numFmtId="0" fontId="20" fillId="0" borderId="0" xfId="0" applyFont="1" applyAlignment="1">
      <alignment horizontal="right"/>
    </xf>
    <xf numFmtId="0" fontId="20" fillId="0" borderId="0" xfId="0" applyFont="1" applyAlignment="1">
      <alignment horizontal="center"/>
    </xf>
    <xf numFmtId="0" fontId="20" fillId="0" borderId="0" xfId="0" applyFont="1"/>
    <xf numFmtId="164" fontId="0" fillId="34" borderId="0" xfId="0" applyNumberFormat="1" applyFill="1"/>
    <xf numFmtId="0" fontId="0" fillId="34" borderId="0" xfId="0" applyFill="1" applyAlignment="1">
      <alignment horizontal="center"/>
    </xf>
    <xf numFmtId="0" fontId="0" fillId="32" borderId="0" xfId="0" applyFill="1"/>
    <xf numFmtId="0" fontId="0" fillId="32" borderId="0" xfId="0" applyFill="1" applyAlignment="1">
      <alignment horizontal="right"/>
    </xf>
    <xf numFmtId="0" fontId="0" fillId="0" borderId="0" xfId="0" applyFill="1" applyAlignment="1">
      <alignment horizontal="right"/>
    </xf>
    <xf numFmtId="164" fontId="0" fillId="34" borderId="0" xfId="0" applyNumberFormat="1" applyFill="1" applyAlignment="1">
      <alignment horizontal="right"/>
    </xf>
    <xf numFmtId="164" fontId="0" fillId="32" borderId="0" xfId="0" applyNumberFormat="1" applyFill="1" applyAlignment="1">
      <alignment horizontal="right"/>
    </xf>
    <xf numFmtId="1" fontId="0" fillId="34" borderId="0" xfId="0" applyNumberFormat="1" applyFill="1"/>
    <xf numFmtId="3" fontId="0" fillId="34" borderId="0" xfId="0" applyNumberFormat="1" applyFill="1"/>
    <xf numFmtId="3" fontId="0" fillId="32" borderId="0" xfId="0" applyNumberFormat="1" applyFill="1" applyAlignment="1">
      <alignment horizontal="right"/>
    </xf>
    <xf numFmtId="164" fontId="0" fillId="0" borderId="0" xfId="0" applyNumberFormat="1"/>
    <xf numFmtId="0" fontId="19" fillId="0" borderId="0" xfId="0" applyFont="1"/>
    <xf numFmtId="0" fontId="31" fillId="0" borderId="0" xfId="0" applyFont="1"/>
    <xf numFmtId="0" fontId="19" fillId="0" borderId="35" xfId="0" applyFont="1" applyBorder="1"/>
    <xf numFmtId="0" fontId="19" fillId="0" borderId="35" xfId="0" applyFont="1" applyBorder="1" applyAlignment="1">
      <alignment horizontal="center"/>
    </xf>
    <xf numFmtId="168" fontId="19" fillId="0" borderId="43" xfId="1" applyNumberFormat="1" applyFont="1" applyBorder="1" applyAlignment="1">
      <alignment horizontal="center"/>
    </xf>
    <xf numFmtId="0" fontId="19" fillId="0" borderId="44" xfId="0" applyFont="1" applyBorder="1" applyAlignment="1">
      <alignment horizontal="center"/>
    </xf>
    <xf numFmtId="168" fontId="19" fillId="0" borderId="46" xfId="1" applyNumberFormat="1" applyFont="1" applyBorder="1" applyAlignment="1">
      <alignment horizontal="center"/>
    </xf>
    <xf numFmtId="0" fontId="19" fillId="0" borderId="47" xfId="0" applyFont="1" applyBorder="1" applyAlignment="1">
      <alignment horizontal="center"/>
    </xf>
    <xf numFmtId="0" fontId="19" fillId="0" borderId="43" xfId="0" applyFont="1" applyBorder="1" applyAlignment="1">
      <alignment horizontal="center"/>
    </xf>
    <xf numFmtId="168" fontId="19" fillId="0" borderId="35" xfId="1" applyNumberFormat="1" applyFont="1" applyBorder="1" applyAlignment="1">
      <alignment horizontal="center"/>
    </xf>
    <xf numFmtId="168" fontId="19" fillId="0" borderId="0" xfId="1" applyNumberFormat="1" applyFont="1" applyBorder="1" applyAlignment="1">
      <alignment horizontal="center"/>
    </xf>
    <xf numFmtId="0" fontId="19" fillId="0" borderId="0" xfId="0" applyFont="1" applyBorder="1" applyAlignment="1">
      <alignment horizontal="center"/>
    </xf>
    <xf numFmtId="0" fontId="19" fillId="0" borderId="40" xfId="0" applyFont="1" applyBorder="1"/>
    <xf numFmtId="9" fontId="19" fillId="0" borderId="42" xfId="0" applyNumberFormat="1" applyFont="1" applyBorder="1"/>
    <xf numFmtId="0" fontId="19" fillId="0" borderId="43" xfId="0" applyFont="1" applyBorder="1"/>
    <xf numFmtId="9" fontId="19" fillId="0" borderId="44" xfId="0" applyNumberFormat="1" applyFont="1" applyBorder="1"/>
    <xf numFmtId="0" fontId="19" fillId="0" borderId="46" xfId="0" applyFont="1" applyBorder="1"/>
    <xf numFmtId="9" fontId="19" fillId="0" borderId="47" xfId="0" applyNumberFormat="1" applyFont="1" applyBorder="1"/>
    <xf numFmtId="9" fontId="19" fillId="35" borderId="35" xfId="2" applyFont="1" applyFill="1" applyBorder="1"/>
    <xf numFmtId="168" fontId="19" fillId="35" borderId="35" xfId="1" applyNumberFormat="1" applyFont="1" applyFill="1" applyBorder="1"/>
    <xf numFmtId="0" fontId="19" fillId="35" borderId="35" xfId="0" applyFont="1" applyFill="1" applyBorder="1"/>
    <xf numFmtId="0" fontId="33" fillId="0" borderId="35" xfId="0" applyFont="1" applyBorder="1" applyAlignment="1">
      <alignment horizontal="center" vertical="center" wrapText="1"/>
    </xf>
    <xf numFmtId="168" fontId="19" fillId="0" borderId="35" xfId="1" applyNumberFormat="1" applyFont="1" applyBorder="1"/>
    <xf numFmtId="168" fontId="31" fillId="35" borderId="42" xfId="1" applyNumberFormat="1" applyFont="1" applyFill="1" applyBorder="1"/>
    <xf numFmtId="0" fontId="31" fillId="36" borderId="35" xfId="0" applyFont="1" applyFill="1" applyBorder="1" applyAlignment="1">
      <alignment horizontal="center"/>
    </xf>
    <xf numFmtId="0" fontId="19" fillId="0" borderId="0" xfId="0" applyFont="1" applyFill="1" applyBorder="1"/>
    <xf numFmtId="0" fontId="19" fillId="35" borderId="35" xfId="0" applyFont="1" applyFill="1" applyBorder="1" applyAlignment="1">
      <alignment horizontal="center"/>
    </xf>
    <xf numFmtId="0" fontId="31" fillId="0" borderId="0" xfId="0" applyFont="1" applyFill="1" applyBorder="1" applyAlignment="1">
      <alignment horizontal="center" wrapText="1"/>
    </xf>
    <xf numFmtId="0" fontId="19" fillId="0" borderId="45" xfId="0" applyFont="1" applyBorder="1"/>
    <xf numFmtId="0" fontId="31" fillId="0" borderId="35" xfId="0" applyFont="1" applyBorder="1" applyAlignment="1">
      <alignment vertical="center"/>
    </xf>
    <xf numFmtId="0" fontId="31" fillId="35" borderId="35" xfId="0" applyFont="1" applyFill="1" applyBorder="1" applyAlignment="1">
      <alignment horizontal="center" vertical="center"/>
    </xf>
    <xf numFmtId="0" fontId="31" fillId="0" borderId="0" xfId="0" applyFont="1" applyFill="1" applyBorder="1" applyAlignment="1">
      <alignment horizontal="center" vertical="center" wrapText="1"/>
    </xf>
    <xf numFmtId="0" fontId="31" fillId="0" borderId="35" xfId="0" applyFont="1" applyBorder="1"/>
    <xf numFmtId="0" fontId="31" fillId="0" borderId="0" xfId="0" applyFont="1" applyFill="1" applyBorder="1" applyAlignment="1"/>
    <xf numFmtId="0" fontId="31" fillId="0" borderId="0" xfId="0" applyFont="1" applyFill="1" applyBorder="1" applyAlignment="1">
      <alignment wrapText="1"/>
    </xf>
    <xf numFmtId="0" fontId="31" fillId="0" borderId="0" xfId="0" applyFont="1" applyFill="1" applyBorder="1" applyAlignment="1">
      <alignment horizontal="center"/>
    </xf>
    <xf numFmtId="0" fontId="19" fillId="0" borderId="35" xfId="0" applyFont="1" applyFill="1" applyBorder="1"/>
    <xf numFmtId="166" fontId="31" fillId="35" borderId="35" xfId="1" applyFont="1" applyFill="1" applyBorder="1" applyAlignment="1">
      <alignment vertical="center"/>
    </xf>
    <xf numFmtId="164" fontId="35" fillId="0" borderId="0" xfId="0" applyNumberFormat="1" applyFont="1" applyFill="1" applyBorder="1" applyProtection="1"/>
    <xf numFmtId="168" fontId="36" fillId="0" borderId="43" xfId="1" applyNumberFormat="1" applyFont="1" applyBorder="1" applyProtection="1"/>
    <xf numFmtId="0" fontId="19" fillId="0" borderId="44" xfId="0" quotePrefix="1" applyFont="1" applyBorder="1"/>
    <xf numFmtId="0" fontId="19" fillId="0" borderId="0" xfId="0" applyFont="1" applyFill="1" applyBorder="1" applyAlignment="1">
      <alignment horizontal="center" vertical="center"/>
    </xf>
    <xf numFmtId="0" fontId="19" fillId="0" borderId="44" xfId="0" applyFont="1" applyBorder="1"/>
    <xf numFmtId="0" fontId="31" fillId="35" borderId="0" xfId="0" applyFont="1" applyFill="1"/>
    <xf numFmtId="168" fontId="31" fillId="35" borderId="0" xfId="1" applyNumberFormat="1" applyFont="1" applyFill="1" applyAlignment="1">
      <alignment horizontal="left"/>
    </xf>
    <xf numFmtId="168" fontId="36" fillId="0" borderId="46" xfId="1" applyNumberFormat="1" applyFont="1" applyBorder="1" applyProtection="1"/>
    <xf numFmtId="0" fontId="19" fillId="0" borderId="47" xfId="0" applyFont="1" applyBorder="1"/>
    <xf numFmtId="0" fontId="19" fillId="35" borderId="48" xfId="0" applyFont="1" applyFill="1" applyBorder="1"/>
    <xf numFmtId="166" fontId="31" fillId="37" borderId="35" xfId="1" applyFont="1" applyFill="1" applyBorder="1" applyAlignment="1">
      <alignment vertical="center"/>
    </xf>
    <xf numFmtId="0" fontId="19" fillId="0" borderId="0" xfId="0" applyFont="1" applyBorder="1" applyAlignment="1">
      <alignment horizontal="center" vertical="center"/>
    </xf>
    <xf numFmtId="0" fontId="31" fillId="0" borderId="0" xfId="0" applyFont="1" applyBorder="1" applyAlignment="1">
      <alignment horizontal="center" wrapText="1"/>
    </xf>
    <xf numFmtId="2" fontId="31" fillId="37" borderId="35" xfId="1" applyNumberFormat="1" applyFont="1" applyFill="1" applyBorder="1" applyAlignment="1">
      <alignment horizontal="left" vertical="center"/>
    </xf>
    <xf numFmtId="9" fontId="31" fillId="37" borderId="35" xfId="2" applyFont="1" applyFill="1" applyBorder="1" applyAlignment="1">
      <alignment horizontal="left" vertical="center"/>
    </xf>
    <xf numFmtId="173" fontId="31" fillId="37" borderId="35" xfId="1" applyNumberFormat="1" applyFont="1" applyFill="1" applyBorder="1" applyAlignment="1">
      <alignment horizontal="left" vertical="center"/>
    </xf>
    <xf numFmtId="166" fontId="31" fillId="0" borderId="0" xfId="1" applyFont="1" applyFill="1" applyBorder="1" applyAlignment="1">
      <alignment vertical="center"/>
    </xf>
    <xf numFmtId="2" fontId="31" fillId="0" borderId="0" xfId="1" applyNumberFormat="1" applyFont="1" applyFill="1" applyBorder="1" applyAlignment="1">
      <alignment horizontal="left" vertical="center"/>
    </xf>
    <xf numFmtId="173" fontId="31" fillId="0" borderId="0" xfId="1" applyNumberFormat="1" applyFont="1" applyFill="1" applyBorder="1" applyAlignment="1">
      <alignment horizontal="left" vertical="center"/>
    </xf>
    <xf numFmtId="166" fontId="19" fillId="0" borderId="0" xfId="0" applyNumberFormat="1" applyFont="1"/>
    <xf numFmtId="0" fontId="19" fillId="35" borderId="0" xfId="0" applyFont="1" applyFill="1"/>
    <xf numFmtId="0" fontId="36" fillId="35" borderId="35" xfId="0" applyFont="1" applyFill="1" applyBorder="1" applyAlignment="1">
      <alignment vertical="top" wrapText="1"/>
    </xf>
    <xf numFmtId="0" fontId="36" fillId="0" borderId="40" xfId="0" applyFont="1" applyBorder="1" applyAlignment="1">
      <alignment vertical="top" wrapText="1"/>
    </xf>
    <xf numFmtId="0" fontId="36" fillId="0" borderId="41" xfId="0" applyFont="1" applyBorder="1" applyAlignment="1">
      <alignment vertical="top" wrapText="1"/>
    </xf>
    <xf numFmtId="0" fontId="36" fillId="0" borderId="35" xfId="0" applyFont="1" applyBorder="1"/>
    <xf numFmtId="3" fontId="36" fillId="0" borderId="35" xfId="0" applyNumberFormat="1" applyFont="1" applyBorder="1" applyAlignment="1">
      <alignment horizontal="center" vertical="top" wrapText="1"/>
    </xf>
    <xf numFmtId="0" fontId="36" fillId="38" borderId="35" xfId="0" applyFont="1" applyFill="1" applyBorder="1" applyProtection="1"/>
    <xf numFmtId="173" fontId="36" fillId="0" borderId="35" xfId="6" applyNumberFormat="1" applyFont="1" applyFill="1" applyBorder="1" applyAlignment="1" applyProtection="1">
      <alignment vertical="center"/>
    </xf>
    <xf numFmtId="0" fontId="36" fillId="0" borderId="35" xfId="0" applyFont="1" applyBorder="1" applyAlignment="1">
      <alignment vertical="top" wrapText="1"/>
    </xf>
    <xf numFmtId="0" fontId="36" fillId="0" borderId="35" xfId="0" applyFont="1" applyBorder="1" applyAlignment="1">
      <alignment horizontal="center" vertical="top" wrapText="1"/>
    </xf>
    <xf numFmtId="0" fontId="31" fillId="39" borderId="0" xfId="0" applyFont="1" applyFill="1" applyAlignment="1">
      <alignment horizontal="center" vertical="center"/>
    </xf>
    <xf numFmtId="0" fontId="40" fillId="0" borderId="0" xfId="0" applyFont="1"/>
    <xf numFmtId="168" fontId="0" fillId="0" borderId="0" xfId="1" applyNumberFormat="1" applyFont="1"/>
    <xf numFmtId="0" fontId="31" fillId="0" borderId="0" xfId="0" applyFont="1" applyProtection="1"/>
    <xf numFmtId="0" fontId="42" fillId="0" borderId="0" xfId="0" applyFont="1" applyBorder="1" applyAlignment="1">
      <alignment horizontal="center" vertical="center" wrapText="1"/>
    </xf>
    <xf numFmtId="0" fontId="42" fillId="0" borderId="0" xfId="0" applyFont="1" applyBorder="1" applyAlignment="1">
      <alignment horizontal="center" vertical="center"/>
    </xf>
    <xf numFmtId="0" fontId="42" fillId="0" borderId="0" xfId="0" applyFont="1" applyBorder="1" applyAlignment="1">
      <alignment vertical="center" wrapText="1"/>
    </xf>
    <xf numFmtId="0" fontId="42" fillId="0" borderId="0" xfId="0" applyFont="1" applyBorder="1" applyAlignment="1">
      <alignment horizontal="left" vertical="center" wrapText="1"/>
    </xf>
    <xf numFmtId="0" fontId="37" fillId="0" borderId="0" xfId="0" applyFont="1" applyAlignment="1">
      <alignment horizontal="center" vertical="center"/>
    </xf>
    <xf numFmtId="9" fontId="37" fillId="0" borderId="0" xfId="2" applyFont="1" applyAlignment="1">
      <alignment horizontal="center" vertical="center"/>
    </xf>
    <xf numFmtId="0" fontId="37" fillId="0" borderId="0" xfId="0" applyFont="1" applyAlignment="1">
      <alignment horizontal="center" vertical="center" wrapText="1"/>
    </xf>
    <xf numFmtId="0" fontId="43" fillId="43" borderId="48" xfId="0" applyFont="1" applyFill="1" applyBorder="1" applyAlignment="1">
      <alignment horizontal="center" vertical="center"/>
    </xf>
    <xf numFmtId="0" fontId="43" fillId="43" borderId="54" xfId="0" applyFont="1" applyFill="1" applyBorder="1" applyAlignment="1">
      <alignment horizontal="center" vertical="center"/>
    </xf>
    <xf numFmtId="9" fontId="44" fillId="43" borderId="54" xfId="2" applyFont="1" applyFill="1" applyBorder="1" applyAlignment="1">
      <alignment horizontal="center" vertical="center"/>
    </xf>
    <xf numFmtId="9" fontId="43" fillId="43" borderId="54" xfId="2" applyFont="1" applyFill="1" applyBorder="1" applyAlignment="1">
      <alignment horizontal="center" vertical="center"/>
    </xf>
    <xf numFmtId="0" fontId="43" fillId="43" borderId="49" xfId="0" applyFont="1" applyFill="1" applyBorder="1" applyAlignment="1">
      <alignment horizontal="center" vertical="center"/>
    </xf>
    <xf numFmtId="176" fontId="37" fillId="0" borderId="0" xfId="2" applyNumberFormat="1" applyFont="1" applyAlignment="1">
      <alignment horizontal="center" vertical="center"/>
    </xf>
    <xf numFmtId="168" fontId="37" fillId="0" borderId="0" xfId="1" applyNumberFormat="1" applyFont="1" applyAlignment="1">
      <alignment horizontal="center" vertical="center"/>
    </xf>
    <xf numFmtId="37" fontId="37" fillId="0" borderId="0" xfId="1" applyNumberFormat="1" applyFont="1" applyAlignment="1">
      <alignment horizontal="center" vertical="center"/>
    </xf>
    <xf numFmtId="37" fontId="43" fillId="43" borderId="0" xfId="1" applyNumberFormat="1" applyFont="1" applyFill="1" applyAlignment="1">
      <alignment horizontal="center" vertical="top"/>
    </xf>
    <xf numFmtId="37" fontId="44" fillId="43" borderId="0" xfId="1" applyNumberFormat="1" applyFont="1" applyFill="1" applyAlignment="1">
      <alignment horizontal="right" vertical="top"/>
    </xf>
    <xf numFmtId="37" fontId="44" fillId="43" borderId="0" xfId="1" applyNumberFormat="1" applyFont="1" applyFill="1" applyAlignment="1">
      <alignment horizontal="left" vertical="top"/>
    </xf>
    <xf numFmtId="37" fontId="44" fillId="43" borderId="0" xfId="1" applyNumberFormat="1" applyFont="1" applyFill="1" applyAlignment="1">
      <alignment horizontal="center" vertical="top" wrapText="1"/>
    </xf>
    <xf numFmtId="37" fontId="43" fillId="43" borderId="0" xfId="1" applyNumberFormat="1" applyFont="1" applyFill="1" applyAlignment="1">
      <alignment horizontal="center" vertical="top" wrapText="1"/>
    </xf>
    <xf numFmtId="0" fontId="42" fillId="0" borderId="0" xfId="0" applyFont="1" applyFill="1" applyBorder="1" applyAlignment="1">
      <alignment vertical="center"/>
    </xf>
    <xf numFmtId="0" fontId="42" fillId="0" borderId="0" xfId="0" applyFont="1" applyAlignment="1">
      <alignment vertical="center"/>
    </xf>
    <xf numFmtId="0" fontId="37" fillId="40" borderId="35" xfId="0" applyFont="1" applyFill="1" applyBorder="1" applyAlignment="1" applyProtection="1">
      <alignment horizontal="center" vertical="center"/>
    </xf>
    <xf numFmtId="0" fontId="37" fillId="40" borderId="35" xfId="0" applyFont="1" applyFill="1" applyBorder="1" applyAlignment="1" applyProtection="1">
      <alignment horizontal="center" vertical="center" wrapText="1"/>
    </xf>
    <xf numFmtId="0" fontId="37" fillId="40" borderId="35" xfId="0" applyFont="1" applyFill="1" applyBorder="1" applyAlignment="1" applyProtection="1">
      <alignment vertical="center" wrapText="1"/>
    </xf>
    <xf numFmtId="0" fontId="37" fillId="40" borderId="35" xfId="0" applyFont="1" applyFill="1" applyBorder="1" applyAlignment="1" applyProtection="1">
      <alignment horizontal="left" vertical="center" wrapText="1"/>
    </xf>
    <xf numFmtId="0" fontId="37" fillId="0" borderId="35" xfId="0" applyFont="1" applyBorder="1" applyAlignment="1">
      <alignment horizontal="center" vertical="center"/>
    </xf>
    <xf numFmtId="9" fontId="37" fillId="40" borderId="35" xfId="2" applyFont="1" applyFill="1" applyBorder="1" applyAlignment="1">
      <alignment horizontal="center" vertical="center"/>
    </xf>
    <xf numFmtId="0" fontId="19" fillId="36" borderId="35" xfId="0" applyFont="1" applyFill="1" applyBorder="1" applyAlignment="1">
      <alignment horizontal="center" vertical="center" wrapText="1"/>
    </xf>
    <xf numFmtId="0" fontId="37" fillId="40" borderId="35" xfId="0" applyFont="1" applyFill="1" applyBorder="1" applyAlignment="1">
      <alignment horizontal="center" vertical="center" wrapText="1"/>
    </xf>
    <xf numFmtId="0" fontId="37" fillId="40" borderId="45" xfId="0" applyFont="1" applyFill="1" applyBorder="1" applyAlignment="1">
      <alignment horizontal="center" vertical="center"/>
    </xf>
    <xf numFmtId="9" fontId="37" fillId="40" borderId="45" xfId="5" applyNumberFormat="1" applyFont="1" applyFill="1" applyBorder="1" applyAlignment="1" applyProtection="1">
      <alignment horizontal="center" vertical="center"/>
    </xf>
    <xf numFmtId="9" fontId="37" fillId="40" borderId="45" xfId="2" applyFont="1" applyFill="1" applyBorder="1" applyAlignment="1" applyProtection="1">
      <alignment horizontal="center" vertical="center"/>
    </xf>
    <xf numFmtId="176" fontId="37" fillId="40" borderId="35" xfId="2" applyNumberFormat="1" applyFont="1" applyFill="1" applyBorder="1" applyAlignment="1">
      <alignment horizontal="center" vertical="center"/>
    </xf>
    <xf numFmtId="168" fontId="37" fillId="40" borderId="35" xfId="1" applyNumberFormat="1" applyFont="1" applyFill="1" applyBorder="1" applyAlignment="1">
      <alignment horizontal="center" vertical="center"/>
    </xf>
    <xf numFmtId="0" fontId="37" fillId="40" borderId="35" xfId="0" applyFont="1" applyFill="1" applyBorder="1" applyAlignment="1">
      <alignment horizontal="center" vertical="center"/>
    </xf>
    <xf numFmtId="168" fontId="37" fillId="40" borderId="35" xfId="1" quotePrefix="1" applyNumberFormat="1" applyFont="1" applyFill="1" applyBorder="1" applyAlignment="1">
      <alignment horizontal="center" vertical="center"/>
    </xf>
    <xf numFmtId="168" fontId="37" fillId="40" borderId="35" xfId="1" quotePrefix="1" applyNumberFormat="1" applyFont="1" applyFill="1" applyBorder="1" applyAlignment="1">
      <alignment horizontal="center" vertical="center" wrapText="1"/>
    </xf>
    <xf numFmtId="168" fontId="37" fillId="40" borderId="35" xfId="1" applyNumberFormat="1" applyFont="1" applyFill="1" applyBorder="1" applyAlignment="1" applyProtection="1">
      <alignment horizontal="center" vertical="center" wrapText="1"/>
    </xf>
    <xf numFmtId="37" fontId="37" fillId="40" borderId="35" xfId="1" applyNumberFormat="1" applyFont="1" applyFill="1" applyBorder="1" applyAlignment="1" applyProtection="1">
      <alignment horizontal="center" vertical="center" wrapText="1"/>
    </xf>
    <xf numFmtId="37" fontId="37" fillId="40" borderId="35" xfId="1" applyNumberFormat="1" applyFont="1" applyFill="1" applyBorder="1" applyAlignment="1" applyProtection="1">
      <alignment horizontal="center" vertical="top" wrapText="1"/>
    </xf>
    <xf numFmtId="0" fontId="46" fillId="0" borderId="58" xfId="0" applyFont="1" applyFill="1" applyBorder="1" applyAlignment="1">
      <alignment wrapText="1"/>
    </xf>
    <xf numFmtId="37" fontId="37" fillId="0" borderId="35" xfId="1" applyNumberFormat="1" applyFont="1" applyBorder="1" applyAlignment="1" applyProtection="1">
      <alignment horizontal="center" vertical="top" wrapText="1"/>
    </xf>
    <xf numFmtId="0" fontId="47" fillId="30" borderId="35" xfId="0" applyFont="1" applyFill="1" applyBorder="1" applyAlignment="1" applyProtection="1">
      <alignment horizontal="center" vertical="top" wrapText="1"/>
    </xf>
    <xf numFmtId="0" fontId="37" fillId="0" borderId="35" xfId="0" applyFont="1" applyBorder="1" applyAlignment="1" applyProtection="1">
      <alignment horizontal="center" vertical="center" wrapText="1"/>
    </xf>
    <xf numFmtId="0" fontId="37" fillId="0" borderId="35" xfId="0" applyFont="1" applyBorder="1" applyAlignment="1" applyProtection="1">
      <alignment horizontal="center" vertical="center"/>
    </xf>
    <xf numFmtId="0" fontId="37" fillId="0" borderId="35" xfId="0" applyFont="1" applyBorder="1" applyAlignment="1" applyProtection="1">
      <alignment vertical="center" wrapText="1"/>
    </xf>
    <xf numFmtId="0" fontId="37" fillId="0" borderId="35" xfId="0" applyFont="1" applyBorder="1" applyAlignment="1" applyProtection="1">
      <alignment horizontal="left" vertical="center" wrapText="1"/>
    </xf>
    <xf numFmtId="0" fontId="37" fillId="0" borderId="35" xfId="0" applyFont="1" applyBorder="1" applyAlignment="1">
      <alignment horizontal="center" vertical="center" wrapText="1"/>
    </xf>
    <xf numFmtId="9" fontId="37" fillId="0" borderId="35" xfId="2" applyFont="1" applyBorder="1" applyAlignment="1">
      <alignment horizontal="center" vertical="center"/>
    </xf>
    <xf numFmtId="9" fontId="37" fillId="0" borderId="35" xfId="5" applyNumberFormat="1" applyFont="1" applyFill="1" applyBorder="1" applyAlignment="1" applyProtection="1">
      <alignment horizontal="center" vertical="center"/>
    </xf>
    <xf numFmtId="176" fontId="37" fillId="0" borderId="35" xfId="2" applyNumberFormat="1" applyFont="1" applyBorder="1" applyAlignment="1">
      <alignment horizontal="center" vertical="center"/>
    </xf>
    <xf numFmtId="168" fontId="37" fillId="0" borderId="35" xfId="1" applyNumberFormat="1" applyFont="1" applyBorder="1" applyAlignment="1">
      <alignment horizontal="center" vertical="center"/>
    </xf>
    <xf numFmtId="168" fontId="37" fillId="0" borderId="35" xfId="1" quotePrefix="1" applyNumberFormat="1" applyFont="1" applyBorder="1" applyAlignment="1">
      <alignment horizontal="center" vertical="center" wrapText="1"/>
    </xf>
    <xf numFmtId="37" fontId="37" fillId="0" borderId="35" xfId="1" applyNumberFormat="1" applyFont="1" applyBorder="1" applyAlignment="1" applyProtection="1">
      <alignment horizontal="center" vertical="center" wrapText="1"/>
    </xf>
    <xf numFmtId="176" fontId="42" fillId="0" borderId="0" xfId="0" applyNumberFormat="1" applyFont="1" applyFill="1" applyBorder="1" applyAlignment="1">
      <alignment vertical="center"/>
    </xf>
    <xf numFmtId="0" fontId="43" fillId="43" borderId="35" xfId="0" applyFont="1" applyFill="1" applyBorder="1" applyAlignment="1" applyProtection="1">
      <alignment horizontal="center" vertical="center" wrapText="1"/>
    </xf>
    <xf numFmtId="9" fontId="37" fillId="40" borderId="35" xfId="5" applyNumberFormat="1" applyFont="1" applyFill="1" applyBorder="1" applyAlignment="1" applyProtection="1">
      <alignment horizontal="center" vertical="center"/>
    </xf>
    <xf numFmtId="9" fontId="37" fillId="40" borderId="35" xfId="2" applyFont="1" applyFill="1" applyBorder="1" applyAlignment="1" applyProtection="1">
      <alignment horizontal="center" vertical="center"/>
    </xf>
    <xf numFmtId="168" fontId="43" fillId="43" borderId="35" xfId="1" applyNumberFormat="1" applyFont="1" applyFill="1" applyBorder="1" applyAlignment="1">
      <alignment horizontal="center" vertical="center"/>
    </xf>
    <xf numFmtId="0" fontId="48" fillId="30" borderId="35" xfId="0" applyFont="1" applyFill="1" applyBorder="1" applyAlignment="1" applyProtection="1">
      <alignment horizontal="center" vertical="center" wrapText="1"/>
    </xf>
    <xf numFmtId="176" fontId="43" fillId="43" borderId="35" xfId="2" applyNumberFormat="1" applyFont="1" applyFill="1" applyBorder="1" applyAlignment="1">
      <alignment horizontal="center" vertical="center"/>
    </xf>
    <xf numFmtId="168" fontId="37" fillId="0" borderId="35" xfId="1" quotePrefix="1" applyNumberFormat="1" applyFont="1" applyBorder="1" applyAlignment="1">
      <alignment horizontal="center" vertical="center"/>
    </xf>
    <xf numFmtId="0" fontId="43" fillId="43" borderId="35" xfId="0" applyFont="1" applyFill="1" applyBorder="1" applyAlignment="1">
      <alignment horizontal="center" vertical="center"/>
    </xf>
    <xf numFmtId="168" fontId="43" fillId="43" borderId="35" xfId="1" quotePrefix="1" applyNumberFormat="1" applyFont="1" applyFill="1" applyBorder="1" applyAlignment="1">
      <alignment horizontal="center" vertical="center" wrapText="1"/>
    </xf>
    <xf numFmtId="168" fontId="43" fillId="43" borderId="35" xfId="1" quotePrefix="1" applyNumberFormat="1" applyFont="1" applyFill="1" applyBorder="1" applyAlignment="1">
      <alignment horizontal="center" vertical="center"/>
    </xf>
    <xf numFmtId="168" fontId="45" fillId="0" borderId="35" xfId="1" quotePrefix="1" applyNumberFormat="1" applyFont="1" applyBorder="1" applyAlignment="1">
      <alignment horizontal="center" vertical="center"/>
    </xf>
    <xf numFmtId="168" fontId="43" fillId="43" borderId="35" xfId="1" applyNumberFormat="1" applyFont="1" applyFill="1" applyBorder="1" applyAlignment="1" applyProtection="1">
      <alignment horizontal="center" vertical="center" wrapText="1"/>
    </xf>
    <xf numFmtId="9" fontId="43" fillId="43" borderId="35" xfId="2" applyFont="1" applyFill="1" applyBorder="1" applyAlignment="1">
      <alignment horizontal="center" vertical="center"/>
    </xf>
    <xf numFmtId="0" fontId="43" fillId="43" borderId="35" xfId="0" applyFont="1" applyFill="1" applyBorder="1" applyAlignment="1">
      <alignment horizontal="center" vertical="center" wrapText="1"/>
    </xf>
    <xf numFmtId="37" fontId="37" fillId="0" borderId="0" xfId="1" applyNumberFormat="1" applyFont="1" applyAlignment="1">
      <alignment horizontal="center" vertical="top"/>
    </xf>
    <xf numFmtId="37" fontId="37" fillId="0" borderId="0" xfId="1" applyNumberFormat="1" applyFont="1" applyAlignment="1">
      <alignment horizontal="center" vertical="top" wrapText="1"/>
    </xf>
    <xf numFmtId="0" fontId="54" fillId="44" borderId="35" xfId="3" applyFont="1" applyFill="1" applyBorder="1" applyAlignment="1" applyProtection="1">
      <alignment horizontal="center" vertical="center" wrapText="1"/>
    </xf>
    <xf numFmtId="0" fontId="55" fillId="28" borderId="35" xfId="3" applyFont="1" applyFill="1" applyBorder="1" applyAlignment="1" applyProtection="1">
      <alignment horizontal="center" vertical="center" wrapText="1"/>
    </xf>
    <xf numFmtId="0" fontId="55" fillId="28" borderId="35" xfId="3" applyFont="1" applyFill="1" applyBorder="1" applyAlignment="1" applyProtection="1">
      <alignment horizontal="left" vertical="center" wrapText="1"/>
    </xf>
    <xf numFmtId="0" fontId="39" fillId="0" borderId="35" xfId="0" applyFont="1" applyBorder="1" applyAlignment="1">
      <alignment horizontal="center" vertical="center" wrapText="1"/>
    </xf>
    <xf numFmtId="9" fontId="39" fillId="28" borderId="35" xfId="2" applyFont="1" applyFill="1" applyBorder="1" applyAlignment="1">
      <alignment horizontal="center" vertical="center" wrapText="1"/>
    </xf>
    <xf numFmtId="0" fontId="37" fillId="28" borderId="35" xfId="0" applyFont="1" applyFill="1" applyBorder="1" applyAlignment="1">
      <alignment horizontal="center" vertical="center" wrapText="1"/>
    </xf>
    <xf numFmtId="0" fontId="39" fillId="0" borderId="40" xfId="0" applyFont="1" applyBorder="1" applyAlignment="1">
      <alignment horizontal="center" vertical="center" wrapText="1"/>
    </xf>
    <xf numFmtId="174" fontId="39" fillId="33" borderId="55" xfId="1" applyNumberFormat="1" applyFont="1" applyFill="1" applyBorder="1" applyAlignment="1" applyProtection="1">
      <alignment horizontal="center" vertical="center" wrapText="1"/>
    </xf>
    <xf numFmtId="0" fontId="39" fillId="33" borderId="56" xfId="0" applyFont="1" applyFill="1" applyBorder="1" applyAlignment="1" applyProtection="1">
      <alignment horizontal="center" vertical="center" wrapText="1"/>
    </xf>
    <xf numFmtId="9" fontId="39" fillId="37" borderId="56" xfId="2" applyFont="1" applyFill="1" applyBorder="1" applyAlignment="1" applyProtection="1">
      <alignment horizontal="center" vertical="center" wrapText="1"/>
    </xf>
    <xf numFmtId="0" fontId="39" fillId="33" borderId="57" xfId="0" applyFont="1" applyFill="1" applyBorder="1" applyAlignment="1" applyProtection="1">
      <alignment horizontal="center" vertical="center" wrapText="1"/>
    </xf>
    <xf numFmtId="0" fontId="39" fillId="0" borderId="42" xfId="0" applyFont="1" applyBorder="1" applyAlignment="1">
      <alignment horizontal="center" vertical="center" wrapText="1"/>
    </xf>
    <xf numFmtId="176" fontId="39" fillId="28" borderId="35" xfId="2" applyNumberFormat="1" applyFont="1" applyFill="1" applyBorder="1" applyAlignment="1">
      <alignment horizontal="center" vertical="center" wrapText="1"/>
    </xf>
    <xf numFmtId="168" fontId="39" fillId="0" borderId="35" xfId="1" applyNumberFormat="1" applyFont="1" applyBorder="1" applyAlignment="1">
      <alignment horizontal="center" vertical="center" wrapText="1"/>
    </xf>
    <xf numFmtId="0" fontId="39" fillId="28" borderId="35" xfId="0" applyFont="1" applyFill="1" applyBorder="1" applyAlignment="1">
      <alignment horizontal="center" vertical="center" wrapText="1"/>
    </xf>
    <xf numFmtId="168" fontId="39" fillId="28" borderId="35" xfId="1" applyNumberFormat="1" applyFont="1" applyFill="1" applyBorder="1" applyAlignment="1">
      <alignment horizontal="center" vertical="center" wrapText="1"/>
    </xf>
    <xf numFmtId="37" fontId="39" fillId="28" borderId="35" xfId="1" applyNumberFormat="1" applyFont="1" applyFill="1" applyBorder="1" applyAlignment="1">
      <alignment horizontal="center" vertical="center" wrapText="1"/>
    </xf>
    <xf numFmtId="37" fontId="39" fillId="28" borderId="35" xfId="1" applyNumberFormat="1" applyFont="1" applyFill="1" applyBorder="1" applyAlignment="1">
      <alignment horizontal="center" vertical="top" wrapText="1"/>
    </xf>
    <xf numFmtId="0" fontId="44" fillId="44" borderId="35" xfId="4" applyFont="1" applyFill="1" applyBorder="1" applyAlignment="1" applyProtection="1">
      <alignment horizontal="center" vertical="center" wrapText="1"/>
    </xf>
    <xf numFmtId="0" fontId="56" fillId="0" borderId="0" xfId="0" applyFont="1" applyFill="1" applyBorder="1" applyAlignment="1">
      <alignment vertical="center"/>
    </xf>
    <xf numFmtId="0" fontId="56" fillId="0" borderId="0" xfId="0" applyFont="1" applyAlignment="1">
      <alignment vertical="center"/>
    </xf>
    <xf numFmtId="0" fontId="31" fillId="0" borderId="0" xfId="0" applyFont="1" applyAlignment="1" applyProtection="1">
      <alignment vertical="center"/>
    </xf>
    <xf numFmtId="0" fontId="46" fillId="32" borderId="35" xfId="0" applyFont="1" applyFill="1" applyBorder="1" applyAlignment="1">
      <alignment wrapText="1"/>
    </xf>
    <xf numFmtId="0" fontId="34" fillId="33" borderId="35" xfId="0" applyFont="1" applyFill="1" applyBorder="1" applyAlignment="1">
      <alignment horizontal="center" vertical="center"/>
    </xf>
    <xf numFmtId="0" fontId="57" fillId="0" borderId="0" xfId="0" applyFont="1" applyProtection="1"/>
    <xf numFmtId="0" fontId="57" fillId="0" borderId="0" xfId="0" applyFont="1" applyFill="1" applyBorder="1" applyProtection="1"/>
    <xf numFmtId="0" fontId="57" fillId="0" borderId="68" xfId="0" applyFont="1" applyFill="1" applyBorder="1" applyProtection="1"/>
    <xf numFmtId="0" fontId="58" fillId="0" borderId="74" xfId="0" applyFont="1" applyFill="1" applyBorder="1" applyAlignment="1" applyProtection="1">
      <alignment horizontal="left" vertical="center"/>
    </xf>
    <xf numFmtId="0" fontId="63" fillId="0" borderId="0" xfId="0" applyFont="1" applyAlignment="1" applyProtection="1">
      <alignment horizontal="center" wrapText="1"/>
    </xf>
    <xf numFmtId="0" fontId="63" fillId="0" borderId="0" xfId="0" applyFont="1" applyAlignment="1" applyProtection="1">
      <alignment horizontal="center"/>
    </xf>
    <xf numFmtId="0" fontId="64" fillId="0" borderId="0" xfId="0" applyFont="1" applyBorder="1" applyAlignment="1" applyProtection="1">
      <alignment vertical="center"/>
    </xf>
    <xf numFmtId="0" fontId="61" fillId="0" borderId="0" xfId="0" applyFont="1" applyAlignment="1" applyProtection="1">
      <alignment horizontal="center" vertical="center" wrapText="1"/>
    </xf>
    <xf numFmtId="0" fontId="57" fillId="0" borderId="0" xfId="0" applyFont="1" applyAlignment="1" applyProtection="1">
      <alignment vertical="center" wrapText="1"/>
    </xf>
    <xf numFmtId="0" fontId="61" fillId="0" borderId="82" xfId="0" applyFont="1" applyBorder="1" applyAlignment="1" applyProtection="1">
      <alignment horizontal="center" vertical="center" wrapText="1"/>
    </xf>
    <xf numFmtId="0" fontId="61" fillId="0" borderId="83" xfId="0" applyFont="1" applyBorder="1" applyAlignment="1" applyProtection="1">
      <alignment horizontal="center" vertical="center" wrapText="1"/>
    </xf>
    <xf numFmtId="0" fontId="57" fillId="0" borderId="84" xfId="0" applyFont="1" applyBorder="1" applyAlignment="1" applyProtection="1">
      <alignment wrapText="1"/>
    </xf>
    <xf numFmtId="0" fontId="57" fillId="0" borderId="84" xfId="0" applyFont="1" applyBorder="1" applyAlignment="1" applyProtection="1">
      <alignment vertical="center" wrapText="1"/>
    </xf>
    <xf numFmtId="173" fontId="57" fillId="0" borderId="0" xfId="0" applyNumberFormat="1" applyFont="1" applyAlignment="1" applyProtection="1">
      <alignment horizontal="center"/>
    </xf>
    <xf numFmtId="173" fontId="61" fillId="0" borderId="0" xfId="0" applyNumberFormat="1" applyFont="1" applyAlignment="1" applyProtection="1">
      <alignment horizontal="center" vertical="center" wrapText="1"/>
    </xf>
    <xf numFmtId="0" fontId="57" fillId="0" borderId="0" xfId="0" applyFont="1" applyBorder="1" applyAlignment="1" applyProtection="1">
      <alignment horizontal="left" vertical="center" wrapText="1"/>
    </xf>
    <xf numFmtId="0" fontId="65" fillId="0" borderId="0" xfId="0" applyFont="1" applyAlignment="1" applyProtection="1">
      <alignment horizontal="right"/>
    </xf>
    <xf numFmtId="173" fontId="65" fillId="0" borderId="0" xfId="0" applyNumberFormat="1" applyFont="1" applyFill="1" applyBorder="1" applyAlignment="1" applyProtection="1">
      <alignment horizontal="center" vertical="center" wrapText="1"/>
    </xf>
    <xf numFmtId="0" fontId="66" fillId="0" borderId="0" xfId="0" applyFont="1" applyAlignment="1" applyProtection="1">
      <alignment horizontal="right"/>
    </xf>
    <xf numFmtId="0" fontId="67" fillId="0" borderId="0" xfId="0" applyFont="1" applyProtection="1"/>
    <xf numFmtId="173" fontId="66" fillId="0" borderId="0" xfId="0" applyNumberFormat="1" applyFont="1" applyFill="1" applyBorder="1" applyAlignment="1" applyProtection="1">
      <alignment horizontal="center" vertical="center" wrapText="1"/>
    </xf>
    <xf numFmtId="0" fontId="68" fillId="0" borderId="0" xfId="0" applyFont="1" applyAlignment="1" applyProtection="1">
      <alignment horizontal="right"/>
    </xf>
    <xf numFmtId="0" fontId="69" fillId="0" borderId="0" xfId="0" applyFont="1" applyProtection="1"/>
    <xf numFmtId="0" fontId="61" fillId="0" borderId="0" xfId="0" applyFont="1" applyFill="1" applyProtection="1"/>
    <xf numFmtId="0" fontId="59" fillId="56" borderId="81" xfId="0" applyFont="1" applyFill="1" applyBorder="1" applyAlignment="1" applyProtection="1">
      <alignment horizontal="center" vertical="center" wrapText="1"/>
    </xf>
    <xf numFmtId="3" fontId="0" fillId="34" borderId="25" xfId="0" applyNumberFormat="1" applyFill="1" applyBorder="1" applyAlignment="1">
      <alignment horizontal="center"/>
    </xf>
    <xf numFmtId="3" fontId="19" fillId="32" borderId="25" xfId="0" applyNumberFormat="1" applyFont="1" applyFill="1" applyBorder="1" applyAlignment="1">
      <alignment horizontal="center"/>
    </xf>
    <xf numFmtId="0" fontId="37" fillId="34" borderId="35" xfId="0" applyFont="1" applyFill="1" applyBorder="1" applyAlignment="1">
      <alignment horizontal="center" vertical="center"/>
    </xf>
    <xf numFmtId="0" fontId="37" fillId="34" borderId="35" xfId="0" applyFont="1" applyFill="1" applyBorder="1" applyAlignment="1">
      <alignment horizontal="center" vertical="center" wrapText="1"/>
    </xf>
    <xf numFmtId="0" fontId="70" fillId="0" borderId="35" xfId="0" applyFont="1" applyBorder="1" applyAlignment="1">
      <alignment horizontal="center" vertical="center" wrapText="1"/>
    </xf>
    <xf numFmtId="0" fontId="70" fillId="34" borderId="35" xfId="0" applyFont="1" applyFill="1" applyBorder="1" applyAlignment="1">
      <alignment horizontal="center" vertical="center"/>
    </xf>
    <xf numFmtId="9" fontId="37" fillId="0" borderId="35" xfId="0" applyNumberFormat="1" applyFont="1" applyBorder="1" applyAlignment="1">
      <alignment horizontal="center" vertical="center"/>
    </xf>
    <xf numFmtId="0" fontId="58" fillId="0" borderId="71" xfId="0" applyFont="1" applyFill="1" applyBorder="1" applyAlignment="1" applyProtection="1">
      <alignment horizontal="left" vertical="center" wrapText="1"/>
    </xf>
    <xf numFmtId="0" fontId="62" fillId="0" borderId="0" xfId="0" applyFont="1" applyAlignment="1" applyProtection="1">
      <alignment horizontal="center"/>
    </xf>
    <xf numFmtId="0" fontId="58" fillId="0" borderId="0" xfId="0" applyFont="1" applyFill="1" applyBorder="1" applyAlignment="1" applyProtection="1">
      <alignment horizontal="left" vertical="center" wrapText="1"/>
    </xf>
    <xf numFmtId="0" fontId="61" fillId="0" borderId="0" xfId="0" applyFont="1" applyFill="1" applyBorder="1" applyAlignment="1" applyProtection="1">
      <alignment horizontal="center" vertical="center" wrapText="1"/>
    </xf>
    <xf numFmtId="0" fontId="61" fillId="0" borderId="41" xfId="0" applyFont="1" applyFill="1" applyBorder="1" applyAlignment="1" applyProtection="1">
      <alignment horizontal="center" vertical="center" wrapText="1"/>
    </xf>
    <xf numFmtId="0" fontId="61" fillId="0" borderId="41" xfId="0" applyFont="1" applyBorder="1" applyAlignment="1" applyProtection="1">
      <alignment horizontal="center" vertical="center" wrapText="1"/>
    </xf>
    <xf numFmtId="0" fontId="61" fillId="0" borderId="42" xfId="0" applyFont="1" applyBorder="1" applyAlignment="1" applyProtection="1">
      <alignment horizontal="center" vertical="center" wrapText="1"/>
    </xf>
    <xf numFmtId="0" fontId="61" fillId="0" borderId="35" xfId="0" applyFont="1" applyFill="1" applyBorder="1" applyAlignment="1" applyProtection="1">
      <alignment horizontal="center" vertical="center" wrapText="1"/>
    </xf>
    <xf numFmtId="168" fontId="0" fillId="0" borderId="0" xfId="1" applyNumberFormat="1" applyFont="1" applyAlignment="1">
      <alignment horizontal="center"/>
    </xf>
    <xf numFmtId="0" fontId="60" fillId="0" borderId="0" xfId="0" applyFont="1" applyFill="1" applyBorder="1" applyAlignment="1" applyProtection="1">
      <alignment horizontal="center" vertical="center"/>
    </xf>
    <xf numFmtId="0" fontId="58" fillId="0" borderId="70" xfId="0" applyFont="1" applyFill="1" applyBorder="1" applyAlignment="1" applyProtection="1">
      <alignment vertical="center" wrapText="1"/>
    </xf>
    <xf numFmtId="0" fontId="58" fillId="0" borderId="71" xfId="0" applyFont="1" applyFill="1" applyBorder="1" applyAlignment="1" applyProtection="1">
      <alignment vertical="center" wrapText="1"/>
    </xf>
    <xf numFmtId="0" fontId="0" fillId="0" borderId="24" xfId="0" applyNumberFormat="1" applyFill="1" applyBorder="1" applyAlignment="1">
      <alignment horizontal="center"/>
    </xf>
    <xf numFmtId="9" fontId="58" fillId="0" borderId="74" xfId="0" applyNumberFormat="1" applyFont="1" applyFill="1" applyBorder="1" applyAlignment="1" applyProtection="1">
      <alignment horizontal="left" vertical="center"/>
    </xf>
    <xf numFmtId="0" fontId="62" fillId="0" borderId="0" xfId="0" applyFont="1" applyAlignment="1" applyProtection="1">
      <alignment wrapText="1"/>
    </xf>
    <xf numFmtId="0" fontId="62" fillId="0" borderId="0" xfId="0" applyFont="1" applyAlignment="1" applyProtection="1"/>
    <xf numFmtId="168" fontId="31" fillId="34" borderId="35" xfId="1" applyNumberFormat="1" applyFont="1" applyFill="1" applyBorder="1" applyAlignment="1">
      <alignment vertical="center"/>
    </xf>
    <xf numFmtId="168" fontId="31" fillId="35" borderId="49" xfId="1" applyNumberFormat="1" applyFont="1" applyFill="1" applyBorder="1" applyAlignment="1">
      <alignment horizontal="left"/>
    </xf>
    <xf numFmtId="9" fontId="31" fillId="34" borderId="35" xfId="2" applyFont="1" applyFill="1" applyBorder="1" applyAlignment="1">
      <alignment horizontal="left" vertical="center"/>
    </xf>
    <xf numFmtId="168" fontId="31" fillId="37" borderId="35" xfId="1" applyNumberFormat="1" applyFont="1" applyFill="1" applyBorder="1" applyAlignment="1">
      <alignment vertical="center"/>
    </xf>
    <xf numFmtId="168" fontId="31" fillId="0" borderId="35" xfId="1" applyNumberFormat="1" applyFont="1" applyFill="1" applyBorder="1" applyAlignment="1">
      <alignment horizontal="center" vertical="center"/>
    </xf>
    <xf numFmtId="168" fontId="19" fillId="0" borderId="0" xfId="1" applyNumberFormat="1" applyFont="1"/>
    <xf numFmtId="0" fontId="0" fillId="0" borderId="0" xfId="0"/>
    <xf numFmtId="0" fontId="19" fillId="0" borderId="0" xfId="0" applyFont="1"/>
    <xf numFmtId="0" fontId="31" fillId="0" borderId="0" xfId="0" applyFont="1"/>
    <xf numFmtId="0" fontId="19" fillId="0" borderId="35" xfId="0" applyFont="1" applyBorder="1" applyAlignment="1">
      <alignment horizontal="center"/>
    </xf>
    <xf numFmtId="0" fontId="19" fillId="0" borderId="0" xfId="0" applyFont="1" applyAlignment="1">
      <alignment horizontal="center"/>
    </xf>
    <xf numFmtId="0" fontId="19" fillId="0" borderId="0" xfId="0" applyFont="1" applyBorder="1" applyAlignment="1">
      <alignment horizontal="center"/>
    </xf>
    <xf numFmtId="168" fontId="19" fillId="0" borderId="35" xfId="1" applyNumberFormat="1" applyFont="1" applyBorder="1"/>
    <xf numFmtId="166" fontId="31" fillId="37" borderId="35" xfId="1" applyFont="1" applyFill="1" applyBorder="1" applyAlignment="1">
      <alignment vertical="center"/>
    </xf>
    <xf numFmtId="0" fontId="19" fillId="0" borderId="0" xfId="0" applyFont="1" applyBorder="1" applyAlignment="1">
      <alignment horizontal="center" vertical="center"/>
    </xf>
    <xf numFmtId="0" fontId="31" fillId="0" borderId="0" xfId="0" applyFont="1" applyBorder="1" applyAlignment="1">
      <alignment horizontal="center" wrapText="1"/>
    </xf>
    <xf numFmtId="2" fontId="31" fillId="37" borderId="35" xfId="1" applyNumberFormat="1" applyFont="1" applyFill="1" applyBorder="1" applyAlignment="1">
      <alignment horizontal="left" vertical="center"/>
    </xf>
    <xf numFmtId="9" fontId="31" fillId="37" borderId="35" xfId="2" applyFont="1" applyFill="1" applyBorder="1" applyAlignment="1">
      <alignment horizontal="left" vertical="center"/>
    </xf>
    <xf numFmtId="173" fontId="31" fillId="37" borderId="35" xfId="1" applyNumberFormat="1" applyFont="1" applyFill="1" applyBorder="1" applyAlignment="1">
      <alignment horizontal="left" vertical="center"/>
    </xf>
    <xf numFmtId="0" fontId="19" fillId="36" borderId="35" xfId="0" applyFont="1" applyFill="1" applyBorder="1" applyAlignment="1">
      <alignment horizontal="center" vertical="center" wrapText="1"/>
    </xf>
    <xf numFmtId="0" fontId="37" fillId="40" borderId="35" xfId="0" applyFont="1" applyFill="1" applyBorder="1" applyAlignment="1">
      <alignment horizontal="center" vertical="center"/>
    </xf>
    <xf numFmtId="173" fontId="57" fillId="0" borderId="85" xfId="1" applyNumberFormat="1" applyFont="1" applyBorder="1" applyAlignment="1" applyProtection="1">
      <alignment horizontal="center" vertical="center" wrapText="1"/>
    </xf>
    <xf numFmtId="173" fontId="57" fillId="0" borderId="86" xfId="0" applyNumberFormat="1" applyFont="1" applyBorder="1" applyAlignment="1" applyProtection="1">
      <alignment horizontal="center" vertical="center" wrapText="1"/>
    </xf>
    <xf numFmtId="0" fontId="57" fillId="0" borderId="0" xfId="0" applyFont="1" applyFill="1" applyProtection="1"/>
    <xf numFmtId="0" fontId="57" fillId="0" borderId="0" xfId="0" applyFont="1" applyFill="1" applyAlignment="1" applyProtection="1">
      <alignment horizontal="center"/>
    </xf>
    <xf numFmtId="0" fontId="57" fillId="0" borderId="87" xfId="0" applyFont="1" applyBorder="1" applyAlignment="1" applyProtection="1">
      <alignment horizontal="left" vertical="center"/>
    </xf>
    <xf numFmtId="0" fontId="57" fillId="0" borderId="84" xfId="0" applyFont="1" applyBorder="1" applyAlignment="1" applyProtection="1">
      <alignment horizontal="left" vertical="center" wrapText="1"/>
    </xf>
    <xf numFmtId="176" fontId="68" fillId="0" borderId="0" xfId="2" applyNumberFormat="1" applyFont="1" applyFill="1" applyBorder="1" applyAlignment="1" applyProtection="1">
      <alignment horizontal="center" vertical="center" wrapText="1"/>
    </xf>
    <xf numFmtId="173" fontId="65" fillId="59" borderId="0" xfId="0" applyNumberFormat="1" applyFont="1" applyFill="1" applyBorder="1" applyAlignment="1" applyProtection="1">
      <alignment horizontal="center" vertical="center" wrapText="1"/>
    </xf>
    <xf numFmtId="0" fontId="57" fillId="59" borderId="0" xfId="0" applyFont="1" applyFill="1" applyBorder="1" applyAlignment="1" applyProtection="1">
      <alignment horizontal="center"/>
    </xf>
    <xf numFmtId="9" fontId="71" fillId="59" borderId="0" xfId="2" applyFont="1" applyFill="1" applyBorder="1" applyAlignment="1" applyProtection="1">
      <alignment horizontal="center" vertical="center" wrapText="1"/>
    </xf>
    <xf numFmtId="173" fontId="65" fillId="59" borderId="0" xfId="0" applyNumberFormat="1" applyFont="1" applyFill="1" applyBorder="1" applyAlignment="1" applyProtection="1">
      <alignment horizontal="right" vertical="center" wrapText="1"/>
    </xf>
    <xf numFmtId="0" fontId="72" fillId="0" borderId="87" xfId="0" applyFont="1" applyBorder="1" applyAlignment="1" applyProtection="1">
      <alignment horizontal="left" vertical="center"/>
    </xf>
    <xf numFmtId="0" fontId="57" fillId="0" borderId="84" xfId="0" applyFont="1" applyBorder="1" applyAlignment="1" applyProtection="1">
      <alignment horizontal="left" vertical="center"/>
    </xf>
    <xf numFmtId="0" fontId="73" fillId="0" borderId="23" xfId="0" applyFont="1" applyFill="1" applyBorder="1"/>
    <xf numFmtId="0" fontId="19" fillId="0" borderId="23" xfId="0" applyFont="1" applyFill="1" applyBorder="1"/>
    <xf numFmtId="0" fontId="13" fillId="0" borderId="23" xfId="0" applyFont="1" applyFill="1" applyBorder="1"/>
    <xf numFmtId="0" fontId="74" fillId="0" borderId="23" xfId="0" applyFont="1" applyFill="1" applyBorder="1"/>
    <xf numFmtId="0" fontId="16" fillId="43" borderId="24" xfId="0" applyFont="1" applyFill="1" applyBorder="1"/>
    <xf numFmtId="0" fontId="19" fillId="34" borderId="0" xfId="0" applyFont="1" applyFill="1"/>
    <xf numFmtId="173" fontId="57" fillId="0" borderId="86" xfId="0" applyNumberFormat="1" applyFont="1" applyFill="1" applyBorder="1" applyAlignment="1" applyProtection="1">
      <alignment horizontal="center" vertical="center" wrapText="1"/>
    </xf>
    <xf numFmtId="1" fontId="0" fillId="33" borderId="25" xfId="1" applyNumberFormat="1" applyFont="1" applyFill="1" applyBorder="1" applyAlignment="1">
      <alignment horizontal="center"/>
    </xf>
    <xf numFmtId="3" fontId="19" fillId="33" borderId="25" xfId="0" applyNumberFormat="1" applyFont="1" applyFill="1" applyBorder="1" applyAlignment="1">
      <alignment horizontal="center"/>
    </xf>
    <xf numFmtId="3" fontId="0" fillId="33" borderId="25" xfId="0" applyNumberFormat="1" applyFill="1" applyBorder="1" applyAlignment="1">
      <alignment horizontal="center"/>
    </xf>
    <xf numFmtId="164" fontId="16" fillId="43" borderId="25" xfId="0" applyNumberFormat="1" applyFont="1" applyFill="1" applyBorder="1" applyAlignment="1">
      <alignment horizontal="center"/>
    </xf>
    <xf numFmtId="0" fontId="61" fillId="0" borderId="50" xfId="0" applyFont="1" applyFill="1" applyBorder="1" applyAlignment="1" applyProtection="1">
      <alignment horizontal="center" vertical="center" wrapText="1"/>
    </xf>
    <xf numFmtId="0" fontId="50" fillId="0" borderId="0" xfId="0" applyFont="1" applyAlignment="1" applyProtection="1">
      <alignment horizontal="center" vertical="center"/>
    </xf>
    <xf numFmtId="0" fontId="58" fillId="0" borderId="37" xfId="0" applyFont="1" applyBorder="1" applyAlignment="1" applyProtection="1">
      <alignment horizontal="left" vertical="center" wrapText="1"/>
    </xf>
    <xf numFmtId="0" fontId="58" fillId="0" borderId="69" xfId="0" applyFont="1" applyBorder="1" applyAlignment="1" applyProtection="1">
      <alignment horizontal="left" vertical="center" wrapText="1"/>
    </xf>
    <xf numFmtId="0" fontId="77" fillId="34" borderId="0" xfId="0" applyFont="1" applyFill="1"/>
    <xf numFmtId="0" fontId="15" fillId="0" borderId="18" xfId="0" applyFont="1" applyBorder="1"/>
    <xf numFmtId="168" fontId="15" fillId="0" borderId="18" xfId="1" applyNumberFormat="1" applyFont="1" applyBorder="1" applyAlignment="1">
      <alignment horizontal="center"/>
    </xf>
    <xf numFmtId="0" fontId="0" fillId="0" borderId="0" xfId="0" applyProtection="1"/>
    <xf numFmtId="0" fontId="34" fillId="33" borderId="74" xfId="0" applyFont="1" applyFill="1" applyBorder="1" applyAlignment="1" applyProtection="1">
      <alignment horizontal="center" vertical="center" wrapText="1"/>
    </xf>
    <xf numFmtId="0" fontId="34" fillId="0" borderId="74" xfId="0" applyFont="1" applyFill="1" applyBorder="1" applyAlignment="1" applyProtection="1">
      <alignment horizontal="center" vertical="center" wrapText="1"/>
    </xf>
    <xf numFmtId="9" fontId="34" fillId="33" borderId="65" xfId="2" applyFont="1" applyFill="1" applyBorder="1" applyAlignment="1" applyProtection="1">
      <alignment horizontal="center" vertical="center" wrapText="1"/>
    </xf>
    <xf numFmtId="0" fontId="0" fillId="0" borderId="0" xfId="0" applyFill="1" applyProtection="1"/>
    <xf numFmtId="0" fontId="34" fillId="0" borderId="65" xfId="2" applyNumberFormat="1" applyFont="1" applyFill="1" applyBorder="1" applyAlignment="1" applyProtection="1">
      <alignment horizontal="center" vertical="center" wrapText="1"/>
    </xf>
    <xf numFmtId="0" fontId="34" fillId="33" borderId="65" xfId="0" applyFont="1" applyFill="1" applyBorder="1" applyAlignment="1" applyProtection="1">
      <alignment horizontal="center" vertical="center" wrapText="1"/>
    </xf>
    <xf numFmtId="9" fontId="34" fillId="33" borderId="74" xfId="0" applyNumberFormat="1" applyFont="1" applyFill="1" applyBorder="1" applyAlignment="1" applyProtection="1">
      <alignment horizontal="center" vertical="center" wrapText="1"/>
    </xf>
    <xf numFmtId="173" fontId="34" fillId="33" borderId="75" xfId="1" applyNumberFormat="1" applyFont="1" applyFill="1" applyBorder="1" applyAlignment="1" applyProtection="1">
      <alignment horizontal="center" vertical="center" wrapText="1"/>
    </xf>
    <xf numFmtId="9" fontId="34" fillId="33" borderId="77" xfId="1" applyNumberFormat="1" applyFont="1" applyFill="1" applyBorder="1" applyAlignment="1" applyProtection="1">
      <alignment horizontal="center" vertical="center" wrapText="1"/>
    </xf>
    <xf numFmtId="9" fontId="34" fillId="33" borderId="78" xfId="1" applyNumberFormat="1" applyFont="1" applyFill="1" applyBorder="1" applyAlignment="1" applyProtection="1">
      <alignment horizontal="center" vertical="center" wrapText="1"/>
    </xf>
    <xf numFmtId="9" fontId="34" fillId="33" borderId="79" xfId="1" applyNumberFormat="1" applyFont="1" applyFill="1" applyBorder="1" applyAlignment="1" applyProtection="1">
      <alignment horizontal="center" vertical="center" wrapText="1"/>
    </xf>
    <xf numFmtId="9" fontId="34" fillId="33" borderId="80" xfId="1" applyNumberFormat="1" applyFont="1" applyFill="1" applyBorder="1" applyAlignment="1" applyProtection="1">
      <alignment horizontal="center" vertical="center" wrapText="1"/>
    </xf>
    <xf numFmtId="0" fontId="51" fillId="0" borderId="81" xfId="0" applyFont="1" applyBorder="1" applyAlignment="1" applyProtection="1">
      <alignment vertical="center"/>
    </xf>
    <xf numFmtId="0" fontId="51" fillId="0" borderId="0" xfId="0" applyFont="1" applyBorder="1" applyAlignment="1" applyProtection="1">
      <alignment horizontal="center" vertical="center"/>
    </xf>
    <xf numFmtId="0" fontId="51" fillId="34" borderId="0" xfId="0" applyFont="1" applyFill="1" applyBorder="1" applyAlignment="1" applyProtection="1">
      <alignment horizontal="center" vertical="center"/>
    </xf>
    <xf numFmtId="0" fontId="0" fillId="0" borderId="40" xfId="0" applyFont="1" applyBorder="1" applyAlignment="1" applyProtection="1">
      <alignment vertical="center"/>
    </xf>
    <xf numFmtId="0" fontId="0" fillId="0" borderId="41" xfId="0" applyFont="1" applyBorder="1" applyAlignment="1" applyProtection="1">
      <alignment horizontal="center" vertical="center"/>
    </xf>
    <xf numFmtId="0" fontId="52" fillId="33" borderId="60" xfId="0" applyFont="1" applyFill="1" applyBorder="1" applyProtection="1"/>
    <xf numFmtId="0" fontId="0" fillId="0" borderId="0" xfId="0" applyAlignment="1" applyProtection="1">
      <alignment horizontal="center"/>
    </xf>
    <xf numFmtId="0" fontId="0" fillId="0" borderId="53" xfId="0" applyBorder="1" applyProtection="1"/>
    <xf numFmtId="168" fontId="52" fillId="33" borderId="60" xfId="1" applyNumberFormat="1" applyFont="1" applyFill="1" applyBorder="1" applyAlignment="1" applyProtection="1">
      <alignment vertical="center"/>
    </xf>
    <xf numFmtId="168" fontId="0" fillId="0" borderId="53" xfId="1" applyNumberFormat="1" applyFont="1" applyBorder="1" applyProtection="1"/>
    <xf numFmtId="174" fontId="49" fillId="34" borderId="59" xfId="0" applyNumberFormat="1" applyFont="1" applyFill="1" applyBorder="1" applyAlignment="1" applyProtection="1">
      <alignment horizontal="center" vertical="center" wrapText="1"/>
    </xf>
    <xf numFmtId="0" fontId="51" fillId="0" borderId="43" xfId="0" applyFont="1" applyBorder="1" applyAlignment="1" applyProtection="1">
      <alignment horizontal="center" vertical="center"/>
    </xf>
    <xf numFmtId="168" fontId="0" fillId="0" borderId="0" xfId="0" applyNumberFormat="1" applyProtection="1"/>
    <xf numFmtId="174" fontId="38" fillId="34" borderId="59" xfId="0" applyNumberFormat="1" applyFont="1" applyFill="1" applyBorder="1" applyAlignment="1" applyProtection="1">
      <alignment horizontal="center" vertical="center" wrapText="1"/>
    </xf>
    <xf numFmtId="0" fontId="51" fillId="0" borderId="44" xfId="0" applyFont="1" applyBorder="1" applyAlignment="1" applyProtection="1">
      <alignment horizontal="center" vertical="center"/>
    </xf>
    <xf numFmtId="1" fontId="0" fillId="0" borderId="0" xfId="0" applyNumberFormat="1" applyProtection="1"/>
    <xf numFmtId="0" fontId="52" fillId="33" borderId="60" xfId="0" applyFont="1" applyFill="1" applyBorder="1" applyAlignment="1" applyProtection="1"/>
    <xf numFmtId="0" fontId="0" fillId="0" borderId="45" xfId="0" applyBorder="1" applyProtection="1"/>
    <xf numFmtId="0" fontId="15" fillId="0" borderId="0" xfId="0" applyFont="1" applyProtection="1"/>
    <xf numFmtId="173" fontId="57" fillId="33" borderId="84" xfId="0" applyNumberFormat="1" applyFont="1" applyFill="1" applyBorder="1" applyAlignment="1" applyProtection="1">
      <alignment horizontal="center" vertical="center" wrapText="1"/>
    </xf>
    <xf numFmtId="173" fontId="57" fillId="58" borderId="84" xfId="0" applyNumberFormat="1" applyFont="1" applyFill="1" applyBorder="1" applyAlignment="1" applyProtection="1">
      <alignment horizontal="center" vertical="center" wrapText="1"/>
    </xf>
    <xf numFmtId="0" fontId="0" fillId="0" borderId="40" xfId="0" applyBorder="1" applyAlignment="1" applyProtection="1">
      <alignment horizontal="center"/>
    </xf>
    <xf numFmtId="0" fontId="0" fillId="0" borderId="41" xfId="0" applyBorder="1" applyAlignment="1" applyProtection="1">
      <alignment horizontal="center"/>
    </xf>
    <xf numFmtId="0" fontId="0" fillId="0" borderId="42" xfId="0" applyBorder="1" applyAlignment="1" applyProtection="1">
      <alignment horizontal="center"/>
    </xf>
    <xf numFmtId="168" fontId="52" fillId="33" borderId="89" xfId="1" applyNumberFormat="1" applyFont="1" applyFill="1" applyBorder="1" applyAlignment="1" applyProtection="1">
      <alignment vertical="center"/>
    </xf>
    <xf numFmtId="168" fontId="52" fillId="33" borderId="90" xfId="1" applyNumberFormat="1" applyFont="1" applyFill="1" applyBorder="1" applyAlignment="1" applyProtection="1">
      <alignment vertical="center"/>
    </xf>
    <xf numFmtId="0" fontId="52" fillId="33" borderId="0" xfId="0" applyFont="1" applyFill="1" applyBorder="1" applyProtection="1"/>
    <xf numFmtId="173" fontId="53" fillId="0" borderId="0" xfId="0" applyNumberFormat="1" applyFont="1" applyBorder="1" applyAlignment="1" applyProtection="1">
      <alignment horizontal="center"/>
    </xf>
    <xf numFmtId="173" fontId="53" fillId="0" borderId="0" xfId="0" applyNumberFormat="1" applyFont="1" applyBorder="1" applyAlignment="1" applyProtection="1">
      <alignment vertical="center"/>
    </xf>
    <xf numFmtId="173" fontId="53" fillId="0" borderId="46" xfId="0" applyNumberFormat="1" applyFont="1" applyBorder="1" applyAlignment="1" applyProtection="1">
      <alignment vertical="center"/>
    </xf>
    <xf numFmtId="173" fontId="53" fillId="0" borderId="47" xfId="0" applyNumberFormat="1" applyFont="1" applyBorder="1" applyAlignment="1" applyProtection="1">
      <alignment vertical="center"/>
    </xf>
    <xf numFmtId="173" fontId="0" fillId="0" borderId="0" xfId="0" applyNumberFormat="1" applyProtection="1"/>
    <xf numFmtId="0" fontId="0" fillId="59" borderId="0" xfId="0" applyFill="1" applyBorder="1" applyProtection="1"/>
    <xf numFmtId="168" fontId="0" fillId="59" borderId="0" xfId="1" applyNumberFormat="1" applyFont="1" applyFill="1" applyBorder="1" applyAlignment="1" applyProtection="1">
      <alignment horizontal="left"/>
    </xf>
    <xf numFmtId="1" fontId="0" fillId="59" borderId="0" xfId="0" applyNumberFormat="1" applyFill="1" applyBorder="1" applyProtection="1"/>
    <xf numFmtId="176" fontId="1" fillId="59" borderId="0" xfId="2" applyNumberFormat="1" applyFont="1" applyFill="1" applyBorder="1" applyProtection="1"/>
    <xf numFmtId="164" fontId="0" fillId="59" borderId="0" xfId="0" applyNumberFormat="1" applyFill="1" applyBorder="1" applyProtection="1"/>
    <xf numFmtId="164" fontId="16" fillId="44" borderId="25" xfId="0" applyNumberFormat="1" applyFont="1" applyFill="1" applyBorder="1" applyAlignment="1">
      <alignment horizontal="center"/>
    </xf>
    <xf numFmtId="0" fontId="0" fillId="0" borderId="0" xfId="0" applyAlignment="1">
      <alignment vertical="center" wrapText="1"/>
    </xf>
    <xf numFmtId="0" fontId="34" fillId="33" borderId="65" xfId="2" applyNumberFormat="1" applyFont="1" applyFill="1" applyBorder="1" applyAlignment="1" applyProtection="1">
      <alignment horizontal="center" vertical="center" wrapText="1"/>
    </xf>
    <xf numFmtId="0" fontId="57" fillId="0" borderId="39" xfId="1" applyNumberFormat="1" applyFont="1" applyFill="1" applyBorder="1" applyAlignment="1" applyProtection="1">
      <alignment horizontal="left" vertical="center"/>
    </xf>
    <xf numFmtId="0" fontId="57" fillId="0" borderId="0" xfId="0" applyNumberFormat="1" applyFont="1" applyBorder="1" applyAlignment="1" applyProtection="1">
      <alignment horizontal="center" vertical="center" wrapText="1"/>
    </xf>
    <xf numFmtId="0" fontId="61" fillId="0" borderId="39" xfId="1" applyNumberFormat="1" applyFont="1" applyFill="1" applyBorder="1" applyAlignment="1" applyProtection="1">
      <alignment horizontal="center" vertical="center" wrapText="1"/>
    </xf>
    <xf numFmtId="0" fontId="61" fillId="0" borderId="0" xfId="0" applyNumberFormat="1" applyFont="1" applyBorder="1" applyAlignment="1" applyProtection="1">
      <alignment horizontal="center" vertical="center" wrapText="1"/>
    </xf>
    <xf numFmtId="0" fontId="61" fillId="0" borderId="68" xfId="0" applyNumberFormat="1" applyFont="1" applyBorder="1" applyAlignment="1" applyProtection="1">
      <alignment horizontal="center" vertical="center" wrapText="1"/>
    </xf>
    <xf numFmtId="0" fontId="34" fillId="33" borderId="79" xfId="1" applyNumberFormat="1" applyFont="1" applyFill="1" applyBorder="1" applyAlignment="1" applyProtection="1">
      <alignment horizontal="center" vertical="center" wrapText="1"/>
    </xf>
    <xf numFmtId="9" fontId="57" fillId="0" borderId="68" xfId="2" applyFont="1" applyBorder="1" applyAlignment="1" applyProtection="1">
      <alignment horizontal="center" wrapText="1"/>
    </xf>
    <xf numFmtId="164" fontId="0" fillId="60" borderId="25" xfId="0" applyNumberFormat="1" applyFill="1" applyBorder="1" applyAlignment="1">
      <alignment horizontal="center"/>
    </xf>
    <xf numFmtId="0" fontId="31" fillId="0" borderId="0" xfId="0" applyFont="1" applyAlignment="1">
      <alignment vertical="center"/>
    </xf>
    <xf numFmtId="0" fontId="19" fillId="0" borderId="0" xfId="0" applyFont="1" applyAlignment="1">
      <alignment vertical="center"/>
    </xf>
    <xf numFmtId="168" fontId="19" fillId="0" borderId="0" xfId="1" applyNumberFormat="1" applyFont="1" applyAlignment="1">
      <alignment vertical="center"/>
    </xf>
    <xf numFmtId="0" fontId="31" fillId="40" borderId="40" xfId="0" applyFont="1" applyFill="1" applyBorder="1" applyAlignment="1">
      <alignment vertical="center"/>
    </xf>
    <xf numFmtId="0" fontId="31" fillId="40" borderId="35" xfId="0" applyFont="1" applyFill="1" applyBorder="1" applyAlignment="1">
      <alignment vertical="center" wrapText="1"/>
    </xf>
    <xf numFmtId="0" fontId="19" fillId="40" borderId="50" xfId="0" applyFont="1" applyFill="1" applyBorder="1"/>
    <xf numFmtId="0" fontId="31" fillId="40" borderId="40" xfId="0" applyFont="1" applyFill="1" applyBorder="1"/>
    <xf numFmtId="0" fontId="31" fillId="40" borderId="42" xfId="0" applyFont="1" applyFill="1" applyBorder="1"/>
    <xf numFmtId="0" fontId="31" fillId="40" borderId="35" xfId="0" applyFont="1" applyFill="1" applyBorder="1" applyAlignment="1">
      <alignment wrapText="1"/>
    </xf>
    <xf numFmtId="0" fontId="31" fillId="40" borderId="42" xfId="0" applyFont="1" applyFill="1" applyBorder="1" applyAlignment="1">
      <alignment wrapText="1"/>
    </xf>
    <xf numFmtId="0" fontId="19" fillId="40" borderId="45" xfId="0" applyFont="1" applyFill="1" applyBorder="1"/>
    <xf numFmtId="0" fontId="19" fillId="40" borderId="35" xfId="0" applyFont="1" applyFill="1" applyBorder="1" applyAlignment="1">
      <alignment horizontal="center" wrapText="1"/>
    </xf>
    <xf numFmtId="0" fontId="19" fillId="40" borderId="35" xfId="0" applyFont="1" applyFill="1" applyBorder="1" applyAlignment="1">
      <alignment wrapText="1"/>
    </xf>
    <xf numFmtId="0" fontId="19" fillId="0" borderId="40" xfId="0" applyFont="1" applyBorder="1" applyAlignment="1">
      <alignment vertical="center"/>
    </xf>
    <xf numFmtId="0" fontId="19" fillId="0" borderId="35" xfId="0" applyFont="1" applyBorder="1" applyAlignment="1">
      <alignment vertical="center" wrapText="1"/>
    </xf>
    <xf numFmtId="0" fontId="31" fillId="0" borderId="35" xfId="0" applyFont="1" applyFill="1" applyBorder="1" applyAlignment="1">
      <alignment vertical="center"/>
    </xf>
    <xf numFmtId="9" fontId="19" fillId="0" borderId="35" xfId="0" applyNumberFormat="1" applyFont="1" applyFill="1" applyBorder="1"/>
    <xf numFmtId="0" fontId="19" fillId="0" borderId="50" xfId="0" applyFont="1" applyFill="1" applyBorder="1"/>
    <xf numFmtId="166" fontId="78" fillId="0" borderId="52" xfId="1" applyNumberFormat="1" applyFont="1" applyFill="1" applyBorder="1" applyAlignment="1">
      <alignment horizontal="center" vertical="center"/>
    </xf>
    <xf numFmtId="166" fontId="78" fillId="0" borderId="50" xfId="1" applyNumberFormat="1" applyFont="1" applyFill="1" applyBorder="1" applyAlignment="1">
      <alignment horizontal="center" vertical="center"/>
    </xf>
    <xf numFmtId="0" fontId="31" fillId="0" borderId="50" xfId="0" applyFont="1" applyFill="1" applyBorder="1" applyAlignment="1">
      <alignment vertical="center"/>
    </xf>
    <xf numFmtId="9" fontId="19" fillId="0" borderId="45" xfId="0" applyNumberFormat="1" applyFont="1" applyFill="1" applyBorder="1"/>
    <xf numFmtId="0" fontId="19" fillId="0" borderId="53" xfId="0" applyFont="1" applyFill="1" applyBorder="1"/>
    <xf numFmtId="166" fontId="78" fillId="0" borderId="43" xfId="1" applyNumberFormat="1" applyFont="1" applyFill="1" applyBorder="1" applyAlignment="1">
      <alignment horizontal="center" vertical="center"/>
    </xf>
    <xf numFmtId="166" fontId="78" fillId="0" borderId="53" xfId="1" applyNumberFormat="1" applyFont="1" applyFill="1" applyBorder="1" applyAlignment="1">
      <alignment horizontal="center" vertical="center"/>
    </xf>
    <xf numFmtId="0" fontId="31" fillId="0" borderId="53" xfId="0" applyFont="1" applyFill="1" applyBorder="1" applyAlignment="1">
      <alignment vertical="center"/>
    </xf>
    <xf numFmtId="9" fontId="19" fillId="0" borderId="53" xfId="0" applyNumberFormat="1" applyFont="1" applyFill="1" applyBorder="1"/>
    <xf numFmtId="0" fontId="19" fillId="0" borderId="45" xfId="0" applyFont="1" applyFill="1" applyBorder="1"/>
    <xf numFmtId="166" fontId="78" fillId="0" borderId="46" xfId="1" applyNumberFormat="1" applyFont="1" applyFill="1" applyBorder="1" applyAlignment="1">
      <alignment horizontal="center" vertical="center"/>
    </xf>
    <xf numFmtId="166" fontId="78" fillId="0" borderId="45" xfId="1" applyNumberFormat="1" applyFont="1" applyFill="1" applyBorder="1" applyAlignment="1">
      <alignment horizontal="center" vertical="center"/>
    </xf>
    <xf numFmtId="0" fontId="31" fillId="0" borderId="45" xfId="0" applyFont="1" applyFill="1" applyBorder="1" applyAlignment="1">
      <alignment vertical="center"/>
    </xf>
    <xf numFmtId="0" fontId="19" fillId="41" borderId="53" xfId="0" applyFont="1" applyFill="1" applyBorder="1"/>
    <xf numFmtId="166" fontId="78" fillId="41" borderId="43" xfId="1" applyNumberFormat="1" applyFont="1" applyFill="1" applyBorder="1" applyAlignment="1">
      <alignment horizontal="center" vertical="center"/>
    </xf>
    <xf numFmtId="166" fontId="78" fillId="41" borderId="53" xfId="1" applyNumberFormat="1" applyFont="1" applyFill="1" applyBorder="1" applyAlignment="1">
      <alignment horizontal="center" vertical="center"/>
    </xf>
    <xf numFmtId="0" fontId="19" fillId="41" borderId="45" xfId="0" applyFont="1" applyFill="1" applyBorder="1"/>
    <xf numFmtId="166" fontId="78" fillId="41" borderId="46" xfId="1" applyNumberFormat="1" applyFont="1" applyFill="1" applyBorder="1" applyAlignment="1">
      <alignment horizontal="center" vertical="center"/>
    </xf>
    <xf numFmtId="166" fontId="78" fillId="41" borderId="45" xfId="1" applyNumberFormat="1" applyFont="1" applyFill="1" applyBorder="1" applyAlignment="1">
      <alignment horizontal="center" vertical="center"/>
    </xf>
    <xf numFmtId="0" fontId="19" fillId="0" borderId="0" xfId="0" applyFont="1" applyBorder="1" applyAlignment="1">
      <alignment horizontal="left"/>
    </xf>
    <xf numFmtId="0" fontId="19" fillId="0" borderId="0" xfId="0" applyFont="1" applyAlignment="1">
      <alignment wrapText="1"/>
    </xf>
    <xf numFmtId="166" fontId="78" fillId="0" borderId="0" xfId="1" applyNumberFormat="1" applyFont="1" applyFill="1" applyBorder="1" applyAlignment="1">
      <alignment horizontal="center" vertical="center"/>
    </xf>
    <xf numFmtId="0" fontId="19" fillId="0" borderId="0" xfId="0" applyFont="1" applyBorder="1"/>
    <xf numFmtId="168" fontId="19" fillId="0" borderId="0" xfId="1" applyNumberFormat="1" applyFont="1" applyBorder="1"/>
    <xf numFmtId="0" fontId="79" fillId="0" borderId="0" xfId="3177" applyFont="1" applyFill="1" applyBorder="1" applyAlignment="1">
      <alignment wrapText="1"/>
    </xf>
    <xf numFmtId="0" fontId="19" fillId="27" borderId="40" xfId="0" applyFont="1" applyFill="1" applyBorder="1" applyAlignment="1">
      <alignment vertical="center"/>
    </xf>
    <xf numFmtId="0" fontId="19" fillId="27" borderId="41" xfId="0" applyFont="1" applyFill="1" applyBorder="1" applyAlignment="1">
      <alignment vertical="center"/>
    </xf>
    <xf numFmtId="168" fontId="19" fillId="27" borderId="41" xfId="1" applyNumberFormat="1" applyFont="1" applyFill="1" applyBorder="1" applyAlignment="1">
      <alignment vertical="center"/>
    </xf>
    <xf numFmtId="168" fontId="19" fillId="27" borderId="42" xfId="1" applyNumberFormat="1" applyFont="1" applyFill="1" applyBorder="1" applyAlignment="1">
      <alignment vertical="center"/>
    </xf>
    <xf numFmtId="0" fontId="19" fillId="0" borderId="0" xfId="0" applyFont="1" applyFill="1"/>
    <xf numFmtId="0" fontId="19" fillId="0" borderId="0" xfId="0" applyFont="1" applyFill="1" applyAlignment="1"/>
    <xf numFmtId="168" fontId="19" fillId="0" borderId="0" xfId="1" applyNumberFormat="1" applyFont="1" applyFill="1" applyAlignment="1"/>
    <xf numFmtId="166" fontId="78" fillId="0" borderId="40" xfId="1" applyNumberFormat="1" applyFont="1" applyBorder="1" applyAlignment="1">
      <alignment horizontal="center" vertical="center"/>
    </xf>
    <xf numFmtId="166" fontId="78" fillId="0" borderId="35" xfId="1" applyNumberFormat="1" applyFont="1" applyBorder="1" applyAlignment="1">
      <alignment horizontal="center" vertical="center"/>
    </xf>
    <xf numFmtId="0" fontId="78" fillId="0" borderId="0" xfId="3177" applyFont="1"/>
    <xf numFmtId="2" fontId="78" fillId="0" borderId="40" xfId="3177" applyNumberFormat="1" applyFont="1" applyBorder="1" applyAlignment="1">
      <alignment horizontal="center" vertical="center"/>
    </xf>
    <xf numFmtId="2" fontId="78" fillId="0" borderId="35" xfId="3177" applyNumberFormat="1" applyFont="1" applyBorder="1" applyAlignment="1">
      <alignment horizontal="center" vertical="center"/>
    </xf>
    <xf numFmtId="175" fontId="19" fillId="0" borderId="0" xfId="0" applyNumberFormat="1" applyFont="1" applyFill="1"/>
    <xf numFmtId="9" fontId="19" fillId="0" borderId="0" xfId="0" applyNumberFormat="1" applyFont="1" applyFill="1"/>
    <xf numFmtId="168" fontId="19" fillId="0" borderId="0" xfId="1" applyNumberFormat="1" applyFont="1" applyFill="1"/>
    <xf numFmtId="168" fontId="19" fillId="0" borderId="0" xfId="0" applyNumberFormat="1" applyFont="1" applyFill="1"/>
    <xf numFmtId="0" fontId="31" fillId="0" borderId="40" xfId="0" applyFont="1" applyBorder="1" applyAlignment="1">
      <alignment horizontal="center" vertical="center"/>
    </xf>
    <xf numFmtId="0" fontId="31" fillId="0" borderId="41" xfId="0" applyFont="1" applyBorder="1" applyAlignment="1">
      <alignment horizontal="center" vertical="center"/>
    </xf>
    <xf numFmtId="0" fontId="31" fillId="0" borderId="42" xfId="0" applyFont="1" applyBorder="1" applyAlignment="1">
      <alignment horizontal="center" vertical="center"/>
    </xf>
    <xf numFmtId="0" fontId="31" fillId="0" borderId="35" xfId="0" applyFont="1" applyBorder="1" applyAlignment="1">
      <alignment horizontal="center" vertical="center" wrapText="1"/>
    </xf>
    <xf numFmtId="168" fontId="19" fillId="0" borderId="52" xfId="1" applyNumberFormat="1" applyFont="1" applyBorder="1" applyAlignment="1">
      <alignment horizontal="center"/>
    </xf>
    <xf numFmtId="168" fontId="19" fillId="0" borderId="51" xfId="1" applyNumberFormat="1" applyFont="1" applyBorder="1" applyAlignment="1">
      <alignment horizontal="center"/>
    </xf>
    <xf numFmtId="0" fontId="19" fillId="0" borderId="52" xfId="0" applyFont="1" applyBorder="1" applyAlignment="1">
      <alignment horizontal="center"/>
    </xf>
    <xf numFmtId="0" fontId="19" fillId="0" borderId="51" xfId="0" applyFont="1" applyBorder="1" applyAlignment="1">
      <alignment horizontal="center"/>
    </xf>
    <xf numFmtId="0" fontId="78" fillId="35" borderId="35" xfId="3177" applyFont="1" applyFill="1" applyBorder="1" applyAlignment="1">
      <alignment horizontal="center" vertical="center"/>
    </xf>
    <xf numFmtId="0" fontId="19" fillId="0" borderId="41" xfId="0" applyFont="1" applyBorder="1" applyAlignment="1" applyProtection="1">
      <alignment vertical="center"/>
    </xf>
    <xf numFmtId="0" fontId="19" fillId="33" borderId="35" xfId="0" applyFont="1" applyFill="1" applyBorder="1" applyAlignment="1">
      <alignment horizontal="center" vertical="center"/>
    </xf>
    <xf numFmtId="0" fontId="19" fillId="0" borderId="41" xfId="0" applyFont="1" applyBorder="1" applyAlignment="1">
      <alignment horizontal="center" vertical="center" wrapText="1"/>
    </xf>
    <xf numFmtId="168" fontId="19" fillId="32" borderId="35" xfId="1" applyNumberFormat="1" applyFont="1" applyFill="1" applyBorder="1" applyAlignment="1">
      <alignment horizontal="center" vertical="center"/>
    </xf>
    <xf numFmtId="168" fontId="19" fillId="32" borderId="42" xfId="1" applyNumberFormat="1" applyFont="1" applyFill="1" applyBorder="1" applyAlignment="1">
      <alignment horizontal="center" vertical="center" wrapText="1"/>
    </xf>
    <xf numFmtId="0" fontId="19" fillId="0" borderId="41" xfId="0" applyFont="1" applyBorder="1" applyAlignment="1">
      <alignment vertical="center"/>
    </xf>
    <xf numFmtId="0" fontId="19" fillId="32" borderId="35" xfId="0" applyFont="1" applyFill="1" applyBorder="1" applyAlignment="1">
      <alignment horizontal="center" vertical="center"/>
    </xf>
    <xf numFmtId="0" fontId="19" fillId="32" borderId="42" xfId="0" applyFont="1" applyFill="1" applyBorder="1" applyAlignment="1">
      <alignment horizontal="center" vertical="center" wrapText="1"/>
    </xf>
    <xf numFmtId="0" fontId="78" fillId="0" borderId="0" xfId="3177" applyFont="1" applyFill="1"/>
    <xf numFmtId="168" fontId="78" fillId="0" borderId="0" xfId="1" applyNumberFormat="1" applyFont="1" applyFill="1"/>
    <xf numFmtId="168" fontId="78" fillId="0" borderId="0" xfId="3177" applyNumberFormat="1" applyFont="1" applyFill="1"/>
    <xf numFmtId="168" fontId="78" fillId="0" borderId="0" xfId="3177" applyNumberFormat="1" applyFont="1"/>
    <xf numFmtId="168" fontId="78" fillId="0" borderId="0" xfId="1" applyNumberFormat="1" applyFont="1"/>
    <xf numFmtId="168" fontId="19" fillId="0" borderId="0" xfId="0" applyNumberFormat="1" applyFont="1"/>
    <xf numFmtId="168" fontId="78" fillId="57" borderId="0" xfId="3177" applyNumberFormat="1" applyFont="1" applyFill="1"/>
    <xf numFmtId="166" fontId="78" fillId="57" borderId="0" xfId="1" applyNumberFormat="1" applyFont="1" applyFill="1"/>
    <xf numFmtId="177" fontId="78" fillId="57" borderId="0" xfId="1" applyNumberFormat="1" applyFont="1" applyFill="1"/>
    <xf numFmtId="168" fontId="19" fillId="57" borderId="0" xfId="1" applyNumberFormat="1" applyFont="1" applyFill="1"/>
    <xf numFmtId="0" fontId="19" fillId="57" borderId="0" xfId="0" applyFont="1" applyFill="1"/>
    <xf numFmtId="168" fontId="78" fillId="57" borderId="0" xfId="1" applyNumberFormat="1" applyFont="1" applyFill="1"/>
    <xf numFmtId="168" fontId="19" fillId="57" borderId="0" xfId="0" applyNumberFormat="1" applyFont="1" applyFill="1"/>
    <xf numFmtId="168" fontId="78" fillId="30" borderId="0" xfId="3177" applyNumberFormat="1" applyFont="1" applyFill="1"/>
    <xf numFmtId="168" fontId="78" fillId="30" borderId="0" xfId="1" applyNumberFormat="1" applyFont="1" applyFill="1"/>
    <xf numFmtId="168" fontId="19" fillId="30" borderId="0" xfId="1" applyNumberFormat="1" applyFont="1" applyFill="1"/>
    <xf numFmtId="168" fontId="19" fillId="30" borderId="0" xfId="0" applyNumberFormat="1" applyFont="1" applyFill="1"/>
    <xf numFmtId="2" fontId="19" fillId="0" borderId="0" xfId="0" applyNumberFormat="1" applyFont="1"/>
    <xf numFmtId="9" fontId="61" fillId="0" borderId="0" xfId="2" applyFont="1" applyFill="1" applyBorder="1" applyAlignment="1" applyProtection="1">
      <alignment horizontal="center" vertical="center" wrapText="1"/>
    </xf>
    <xf numFmtId="0" fontId="19" fillId="0" borderId="41" xfId="0" applyFont="1" applyBorder="1"/>
    <xf numFmtId="9" fontId="31" fillId="0" borderId="44" xfId="2" applyFont="1" applyFill="1" applyBorder="1" applyAlignment="1">
      <alignment vertical="center" wrapText="1"/>
    </xf>
    <xf numFmtId="9" fontId="31" fillId="0" borderId="43" xfId="2" applyFont="1" applyFill="1" applyBorder="1" applyAlignment="1">
      <alignment vertical="center" wrapText="1"/>
    </xf>
    <xf numFmtId="9" fontId="31" fillId="0" borderId="46" xfId="2" applyFont="1" applyFill="1" applyBorder="1" applyAlignment="1">
      <alignment vertical="center" wrapText="1"/>
    </xf>
    <xf numFmtId="9" fontId="31" fillId="0" borderId="47" xfId="2" applyFont="1" applyFill="1" applyBorder="1" applyAlignment="1">
      <alignment vertical="center"/>
    </xf>
    <xf numFmtId="0" fontId="19" fillId="0" borderId="40" xfId="0" applyFont="1" applyFill="1" applyBorder="1"/>
    <xf numFmtId="0" fontId="19" fillId="0" borderId="42" xfId="0" applyFont="1" applyFill="1" applyBorder="1"/>
    <xf numFmtId="9" fontId="31" fillId="0" borderId="0" xfId="0" applyNumberFormat="1" applyFont="1" applyFill="1" applyBorder="1" applyAlignment="1">
      <alignment horizontal="center" vertical="center" wrapText="1"/>
    </xf>
    <xf numFmtId="9" fontId="35" fillId="0" borderId="0" xfId="0" applyNumberFormat="1" applyFont="1" applyFill="1" applyBorder="1" applyProtection="1"/>
    <xf numFmtId="9" fontId="19" fillId="0" borderId="0" xfId="2" applyFont="1" applyFill="1" applyBorder="1"/>
    <xf numFmtId="0" fontId="61" fillId="34" borderId="0" xfId="0" applyFont="1" applyFill="1" applyBorder="1" applyAlignment="1" applyProtection="1">
      <alignment horizontal="center" vertical="center" wrapText="1"/>
    </xf>
    <xf numFmtId="0" fontId="0" fillId="34" borderId="0" xfId="0" applyFill="1" applyProtection="1"/>
    <xf numFmtId="168" fontId="0" fillId="34" borderId="0" xfId="0" applyNumberFormat="1" applyFill="1" applyProtection="1"/>
    <xf numFmtId="0" fontId="61" fillId="35" borderId="0" xfId="0" applyFont="1" applyFill="1" applyBorder="1" applyAlignment="1" applyProtection="1">
      <alignment horizontal="center" vertical="center" wrapText="1"/>
    </xf>
    <xf numFmtId="0" fontId="0" fillId="35" borderId="0" xfId="0" applyFill="1" applyProtection="1"/>
    <xf numFmtId="168" fontId="0" fillId="35" borderId="0" xfId="0" applyNumberFormat="1" applyFill="1" applyProtection="1"/>
    <xf numFmtId="0" fontId="0" fillId="0" borderId="0" xfId="0" applyAlignment="1" applyProtection="1">
      <alignment wrapText="1"/>
    </xf>
    <xf numFmtId="168" fontId="0" fillId="0" borderId="0" xfId="1" applyNumberFormat="1" applyFont="1" applyProtection="1"/>
    <xf numFmtId="168" fontId="0" fillId="0" borderId="0" xfId="0" applyNumberFormat="1" applyFill="1" applyProtection="1"/>
    <xf numFmtId="0" fontId="0" fillId="32" borderId="10" xfId="0" applyFill="1" applyBorder="1" applyAlignment="1">
      <alignment horizontal="left" vertical="top" wrapText="1"/>
    </xf>
    <xf numFmtId="3" fontId="19" fillId="0" borderId="25" xfId="0" applyNumberFormat="1" applyFont="1" applyFill="1" applyBorder="1" applyAlignment="1">
      <alignment horizontal="center"/>
    </xf>
    <xf numFmtId="164" fontId="19" fillId="0" borderId="25" xfId="0" applyNumberFormat="1" applyFont="1" applyFill="1" applyBorder="1" applyAlignment="1">
      <alignment horizontal="center"/>
    </xf>
    <xf numFmtId="0" fontId="0" fillId="0" borderId="24" xfId="0" applyFill="1" applyBorder="1" applyAlignment="1">
      <alignment horizontal="center"/>
    </xf>
    <xf numFmtId="0" fontId="0" fillId="0" borderId="24" xfId="2" applyNumberFormat="1" applyFont="1" applyFill="1" applyBorder="1" applyAlignment="1">
      <alignment horizontal="center"/>
    </xf>
    <xf numFmtId="9" fontId="0" fillId="0" borderId="24" xfId="0" applyNumberFormat="1" applyFill="1" applyBorder="1" applyAlignment="1">
      <alignment horizontal="center"/>
    </xf>
    <xf numFmtId="3" fontId="0" fillId="0" borderId="24" xfId="0" applyNumberFormat="1" applyFill="1" applyBorder="1" applyAlignment="1">
      <alignment horizontal="center"/>
    </xf>
    <xf numFmtId="0" fontId="19" fillId="0" borderId="24" xfId="0" applyFont="1" applyFill="1" applyBorder="1"/>
    <xf numFmtId="9" fontId="19" fillId="0" borderId="24" xfId="2" applyFont="1" applyFill="1" applyBorder="1" applyAlignment="1">
      <alignment horizontal="center"/>
    </xf>
    <xf numFmtId="9" fontId="0" fillId="0" borderId="24" xfId="2" applyFont="1" applyFill="1" applyBorder="1" applyAlignment="1">
      <alignment horizontal="center"/>
    </xf>
    <xf numFmtId="1" fontId="0" fillId="0" borderId="24" xfId="0" applyNumberFormat="1" applyFill="1" applyBorder="1" applyAlignment="1">
      <alignment horizontal="center"/>
    </xf>
    <xf numFmtId="0" fontId="19" fillId="0" borderId="25" xfId="0" applyFont="1" applyBorder="1" applyAlignment="1">
      <alignment horizontal="center"/>
    </xf>
    <xf numFmtId="3" fontId="19" fillId="0" borderId="25" xfId="0" applyNumberFormat="1" applyFont="1" applyBorder="1" applyAlignment="1">
      <alignment horizontal="center"/>
    </xf>
    <xf numFmtId="1" fontId="19" fillId="0" borderId="25" xfId="0" applyNumberFormat="1" applyFont="1" applyBorder="1" applyAlignment="1">
      <alignment horizontal="center"/>
    </xf>
    <xf numFmtId="0" fontId="15" fillId="0" borderId="23" xfId="0" applyFont="1" applyBorder="1" applyAlignment="1">
      <alignment horizontal="left"/>
    </xf>
    <xf numFmtId="0" fontId="0" fillId="0" borderId="24" xfId="0" applyBorder="1" applyAlignment="1">
      <alignment horizontal="left"/>
    </xf>
    <xf numFmtId="9" fontId="0" fillId="0" borderId="24" xfId="0" applyNumberFormat="1" applyBorder="1" applyAlignment="1">
      <alignment horizontal="center"/>
    </xf>
    <xf numFmtId="0" fontId="0" fillId="0" borderId="24" xfId="0" applyFill="1" applyBorder="1" applyAlignment="1">
      <alignment horizontal="left"/>
    </xf>
    <xf numFmtId="168" fontId="80" fillId="0" borderId="0" xfId="1" applyNumberFormat="1" applyFont="1" applyAlignment="1">
      <alignment horizontal="center"/>
    </xf>
    <xf numFmtId="9" fontId="19" fillId="34" borderId="25" xfId="0" applyNumberFormat="1" applyFont="1" applyFill="1" applyBorder="1" applyAlignment="1">
      <alignment horizontal="center"/>
    </xf>
    <xf numFmtId="168" fontId="41" fillId="0" borderId="0" xfId="1" applyNumberFormat="1" applyFont="1"/>
    <xf numFmtId="166" fontId="41" fillId="61" borderId="0" xfId="1" applyNumberFormat="1" applyFont="1" applyFill="1"/>
    <xf numFmtId="9" fontId="19" fillId="0" borderId="0" xfId="0" applyNumberFormat="1" applyFont="1"/>
    <xf numFmtId="166" fontId="78" fillId="0" borderId="0" xfId="1" applyNumberFormat="1" applyFont="1" applyFill="1"/>
    <xf numFmtId="168" fontId="19" fillId="34" borderId="25" xfId="1" applyNumberFormat="1" applyFont="1" applyFill="1" applyBorder="1" applyAlignment="1">
      <alignment horizontal="center"/>
    </xf>
    <xf numFmtId="0" fontId="0" fillId="34" borderId="9" xfId="0" applyFill="1" applyBorder="1"/>
    <xf numFmtId="3" fontId="19" fillId="34" borderId="25" xfId="0" applyNumberFormat="1" applyFont="1" applyFill="1" applyBorder="1" applyAlignment="1">
      <alignment horizontal="center"/>
    </xf>
    <xf numFmtId="1" fontId="19" fillId="34" borderId="25" xfId="0" applyNumberFormat="1" applyFont="1" applyFill="1" applyBorder="1" applyAlignment="1">
      <alignment horizontal="center"/>
    </xf>
    <xf numFmtId="0" fontId="0" fillId="34" borderId="21" xfId="0" applyFill="1" applyBorder="1" applyAlignment="1">
      <alignment horizontal="center"/>
    </xf>
    <xf numFmtId="0" fontId="19" fillId="34" borderId="25" xfId="0" applyFont="1" applyFill="1" applyBorder="1" applyAlignment="1">
      <alignment horizontal="center"/>
    </xf>
    <xf numFmtId="0" fontId="19" fillId="34" borderId="25" xfId="2" applyNumberFormat="1" applyFont="1" applyFill="1" applyBorder="1" applyAlignment="1">
      <alignment horizontal="center"/>
    </xf>
    <xf numFmtId="166" fontId="19" fillId="0" borderId="0" xfId="0" applyNumberFormat="1" applyFont="1" applyFill="1"/>
    <xf numFmtId="177" fontId="19" fillId="0" borderId="0" xfId="0" applyNumberFormat="1" applyFont="1" applyFill="1"/>
    <xf numFmtId="164" fontId="57" fillId="33" borderId="84" xfId="0" applyNumberFormat="1" applyFont="1" applyFill="1" applyBorder="1" applyAlignment="1" applyProtection="1">
      <alignment horizontal="left" vertical="center" wrapText="1" indent="3"/>
    </xf>
    <xf numFmtId="164" fontId="19" fillId="62" borderId="25" xfId="0" applyNumberFormat="1" applyFont="1" applyFill="1" applyBorder="1" applyAlignment="1">
      <alignment horizontal="center"/>
    </xf>
    <xf numFmtId="166" fontId="19" fillId="57" borderId="0" xfId="1" applyNumberFormat="1" applyFont="1" applyFill="1"/>
    <xf numFmtId="168" fontId="19" fillId="34" borderId="0" xfId="0" applyNumberFormat="1" applyFont="1" applyFill="1"/>
    <xf numFmtId="166" fontId="78" fillId="34" borderId="0" xfId="1" applyNumberFormat="1" applyFont="1" applyFill="1"/>
    <xf numFmtId="178" fontId="19" fillId="0" borderId="0" xfId="0" applyNumberFormat="1" applyFont="1" applyFill="1"/>
    <xf numFmtId="168" fontId="78" fillId="34" borderId="0" xfId="1" applyNumberFormat="1" applyFont="1" applyFill="1"/>
    <xf numFmtId="177" fontId="19" fillId="57" borderId="0" xfId="0" applyNumberFormat="1" applyFont="1" applyFill="1"/>
    <xf numFmtId="164" fontId="57" fillId="33" borderId="84" xfId="0" applyNumberFormat="1" applyFont="1" applyFill="1" applyBorder="1" applyAlignment="1" applyProtection="1">
      <alignment horizontal="center" vertical="center" wrapText="1"/>
    </xf>
    <xf numFmtId="0" fontId="16" fillId="42" borderId="23" xfId="0" applyFont="1" applyFill="1" applyBorder="1"/>
    <xf numFmtId="0" fontId="16" fillId="42" borderId="24" xfId="0" applyFont="1" applyFill="1" applyBorder="1"/>
    <xf numFmtId="3" fontId="16" fillId="42" borderId="25" xfId="0" applyNumberFormat="1" applyFont="1" applyFill="1" applyBorder="1" applyAlignment="1">
      <alignment horizontal="center"/>
    </xf>
    <xf numFmtId="164" fontId="16" fillId="42" borderId="23" xfId="0" applyNumberFormat="1" applyFont="1" applyFill="1" applyBorder="1"/>
    <xf numFmtId="0" fontId="0" fillId="0" borderId="0" xfId="0" applyAlignment="1">
      <alignment horizontal="left"/>
    </xf>
    <xf numFmtId="0" fontId="0" fillId="27" borderId="10" xfId="0" applyFill="1" applyBorder="1" applyAlignment="1">
      <alignment horizontal="left" vertical="top" wrapText="1"/>
    </xf>
    <xf numFmtId="0" fontId="17" fillId="27" borderId="0" xfId="0" applyFont="1" applyFill="1" applyAlignment="1">
      <alignment horizontal="left"/>
    </xf>
    <xf numFmtId="0" fontId="0" fillId="0" borderId="15" xfId="0" applyBorder="1" applyAlignment="1">
      <alignment horizontal="left"/>
    </xf>
    <xf numFmtId="0" fontId="21" fillId="0" borderId="0" xfId="4" applyAlignment="1">
      <alignment horizontal="left" vertical="top"/>
    </xf>
    <xf numFmtId="0" fontId="15" fillId="0" borderId="13" xfId="0" applyFont="1" applyBorder="1" applyAlignment="1">
      <alignment horizontal="left" vertical="top" wrapText="1"/>
    </xf>
    <xf numFmtId="0" fontId="15" fillId="0" borderId="10" xfId="0" applyFont="1" applyBorder="1" applyAlignment="1">
      <alignment horizontal="left" vertical="top" wrapText="1"/>
    </xf>
    <xf numFmtId="0" fontId="15" fillId="0" borderId="14" xfId="0" applyFont="1" applyBorder="1" applyAlignment="1">
      <alignment horizontal="left" vertical="top" wrapText="1"/>
    </xf>
    <xf numFmtId="0" fontId="0" fillId="0" borderId="0" xfId="0" applyAlignment="1">
      <alignment horizontal="left"/>
    </xf>
    <xf numFmtId="0" fontId="0" fillId="32" borderId="10" xfId="0" applyFill="1" applyBorder="1" applyAlignment="1">
      <alignment horizontal="left" vertical="top" wrapText="1"/>
    </xf>
    <xf numFmtId="0" fontId="0" fillId="27" borderId="10" xfId="0" applyFill="1" applyBorder="1" applyAlignment="1">
      <alignment horizontal="left" vertical="top" wrapText="1"/>
    </xf>
    <xf numFmtId="0" fontId="0" fillId="27" borderId="11" xfId="0" applyFill="1" applyBorder="1" applyAlignment="1">
      <alignment horizontal="left" vertical="top" wrapText="1"/>
    </xf>
    <xf numFmtId="0" fontId="0" fillId="28" borderId="12" xfId="0" applyFill="1" applyBorder="1" applyAlignment="1">
      <alignment horizontal="left" vertical="top" wrapText="1"/>
    </xf>
    <xf numFmtId="0" fontId="0" fillId="28" borderId="10" xfId="0" applyFill="1" applyBorder="1" applyAlignment="1">
      <alignment horizontal="left" vertical="top" wrapText="1"/>
    </xf>
    <xf numFmtId="0" fontId="0" fillId="30" borderId="13" xfId="0" applyFill="1" applyBorder="1" applyAlignment="1">
      <alignment horizontal="left" vertical="top" wrapText="1"/>
    </xf>
    <xf numFmtId="0" fontId="0" fillId="30" borderId="14" xfId="0" applyFill="1" applyBorder="1" applyAlignment="1">
      <alignment horizontal="left" vertical="top" wrapText="1"/>
    </xf>
    <xf numFmtId="0" fontId="0" fillId="31" borderId="13" xfId="0" applyFill="1" applyBorder="1" applyAlignment="1">
      <alignment horizontal="left" vertical="top" wrapText="1"/>
    </xf>
    <xf numFmtId="0" fontId="0" fillId="31" borderId="10" xfId="0" applyFill="1" applyBorder="1" applyAlignment="1">
      <alignment horizontal="left" vertical="top" wrapText="1"/>
    </xf>
    <xf numFmtId="0" fontId="0" fillId="31" borderId="14" xfId="0" applyFill="1" applyBorder="1" applyAlignment="1">
      <alignment horizontal="left" vertical="top" wrapText="1"/>
    </xf>
    <xf numFmtId="168" fontId="58" fillId="0" borderId="75" xfId="1" applyNumberFormat="1" applyFont="1" applyBorder="1" applyAlignment="1" applyProtection="1">
      <alignment horizontal="left" vertical="center" wrapText="1"/>
    </xf>
    <xf numFmtId="168" fontId="58" fillId="0" borderId="76" xfId="1" applyNumberFormat="1" applyFont="1" applyBorder="1" applyAlignment="1" applyProtection="1">
      <alignment horizontal="left" vertical="center" wrapText="1"/>
    </xf>
    <xf numFmtId="0" fontId="50" fillId="0" borderId="0" xfId="0" applyFont="1" applyAlignment="1" applyProtection="1">
      <alignment horizontal="center" vertical="center"/>
    </xf>
    <xf numFmtId="0" fontId="58" fillId="0" borderId="37" xfId="0" applyFont="1" applyBorder="1" applyAlignment="1" applyProtection="1">
      <alignment horizontal="left" vertical="center" wrapText="1"/>
    </xf>
    <xf numFmtId="0" fontId="58" fillId="0" borderId="69" xfId="0" applyFont="1" applyBorder="1" applyAlignment="1" applyProtection="1">
      <alignment horizontal="left" vertical="center" wrapText="1"/>
    </xf>
    <xf numFmtId="0" fontId="59" fillId="56" borderId="62" xfId="0" applyNumberFormat="1" applyFont="1" applyFill="1" applyBorder="1" applyAlignment="1" applyProtection="1">
      <alignment horizontal="center" vertical="center" wrapText="1"/>
    </xf>
    <xf numFmtId="0" fontId="59" fillId="56" borderId="63" xfId="0" applyNumberFormat="1" applyFont="1" applyFill="1" applyBorder="1" applyAlignment="1" applyProtection="1">
      <alignment horizontal="center" vertical="center" wrapText="1"/>
    </xf>
    <xf numFmtId="0" fontId="58" fillId="0" borderId="38" xfId="0" applyFont="1" applyFill="1" applyBorder="1" applyAlignment="1" applyProtection="1">
      <alignment horizontal="left" vertical="center" wrapText="1"/>
    </xf>
    <xf numFmtId="0" fontId="58" fillId="0" borderId="88" xfId="0" applyFont="1" applyFill="1" applyBorder="1" applyAlignment="1" applyProtection="1">
      <alignment horizontal="left" vertical="center" wrapText="1"/>
    </xf>
    <xf numFmtId="10" fontId="58" fillId="0" borderId="72" xfId="0" applyNumberFormat="1" applyFont="1" applyFill="1" applyBorder="1" applyAlignment="1" applyProtection="1">
      <alignment horizontal="left" vertical="center" wrapText="1"/>
    </xf>
    <xf numFmtId="0" fontId="58" fillId="0" borderId="73" xfId="0" applyFont="1" applyFill="1" applyBorder="1" applyAlignment="1" applyProtection="1">
      <alignment horizontal="left" vertical="center" wrapText="1"/>
    </xf>
    <xf numFmtId="0" fontId="58" fillId="0" borderId="37" xfId="0" applyFont="1" applyBorder="1" applyAlignment="1" applyProtection="1">
      <alignment horizontal="left" vertical="center"/>
    </xf>
    <xf numFmtId="0" fontId="58" fillId="0" borderId="69" xfId="0" applyFont="1" applyBorder="1" applyAlignment="1" applyProtection="1">
      <alignment horizontal="left" vertical="center"/>
    </xf>
    <xf numFmtId="0" fontId="59" fillId="56" borderId="63" xfId="0" applyFont="1" applyFill="1" applyBorder="1" applyAlignment="1" applyProtection="1">
      <alignment horizontal="center" vertical="center" wrapText="1"/>
    </xf>
    <xf numFmtId="0" fontId="59" fillId="56" borderId="64" xfId="0" applyFont="1" applyFill="1" applyBorder="1" applyAlignment="1" applyProtection="1">
      <alignment horizontal="center" vertical="center" wrapText="1"/>
    </xf>
    <xf numFmtId="9" fontId="58" fillId="0" borderId="66" xfId="0" applyNumberFormat="1" applyFont="1" applyFill="1" applyBorder="1" applyAlignment="1" applyProtection="1">
      <alignment horizontal="left" vertical="center" wrapText="1"/>
    </xf>
    <xf numFmtId="0" fontId="58" fillId="0" borderId="67" xfId="0" applyFont="1" applyFill="1" applyBorder="1" applyAlignment="1" applyProtection="1">
      <alignment horizontal="left" vertical="center" wrapText="1"/>
    </xf>
    <xf numFmtId="0" fontId="51" fillId="0" borderId="0" xfId="0" applyFont="1" applyBorder="1" applyAlignment="1" applyProtection="1">
      <alignment horizontal="center" vertical="center"/>
    </xf>
    <xf numFmtId="0" fontId="58" fillId="0" borderId="72" xfId="0" applyFont="1" applyFill="1" applyBorder="1" applyAlignment="1" applyProtection="1">
      <alignment horizontal="left" vertical="center" wrapText="1"/>
    </xf>
    <xf numFmtId="0" fontId="58" fillId="0" borderId="37" xfId="0" applyFont="1" applyFill="1" applyBorder="1" applyAlignment="1" applyProtection="1">
      <alignment horizontal="left" vertical="center" wrapText="1"/>
    </xf>
    <xf numFmtId="0" fontId="32" fillId="0" borderId="66" xfId="2" applyNumberFormat="1" applyFont="1" applyFill="1" applyBorder="1" applyAlignment="1" applyProtection="1">
      <alignment horizontal="left" vertical="center" wrapText="1"/>
    </xf>
    <xf numFmtId="0" fontId="32" fillId="0" borderId="67" xfId="2" applyNumberFormat="1" applyFont="1" applyFill="1" applyBorder="1" applyAlignment="1" applyProtection="1">
      <alignment horizontal="left" vertical="center" wrapText="1"/>
    </xf>
    <xf numFmtId="0" fontId="58" fillId="0" borderId="66" xfId="0" applyFont="1" applyFill="1" applyBorder="1" applyAlignment="1" applyProtection="1">
      <alignment horizontal="left" vertical="center" wrapText="1"/>
    </xf>
    <xf numFmtId="0" fontId="58" fillId="0" borderId="36" xfId="0" applyFont="1" applyBorder="1" applyAlignment="1" applyProtection="1">
      <alignment horizontal="left" vertical="center" wrapText="1"/>
    </xf>
    <xf numFmtId="0" fontId="58" fillId="0" borderId="75" xfId="0" applyFont="1" applyBorder="1" applyAlignment="1" applyProtection="1">
      <alignment horizontal="left" vertical="center" wrapText="1"/>
    </xf>
    <xf numFmtId="168" fontId="19" fillId="0" borderId="40" xfId="1" applyNumberFormat="1" applyFont="1" applyBorder="1" applyAlignment="1">
      <alignment horizontal="center"/>
    </xf>
    <xf numFmtId="168" fontId="19" fillId="0" borderId="42" xfId="1" applyNumberFormat="1" applyFont="1" applyBorder="1" applyAlignment="1">
      <alignment horizontal="center"/>
    </xf>
    <xf numFmtId="0" fontId="19" fillId="0" borderId="40" xfId="0" applyFont="1" applyBorder="1" applyAlignment="1">
      <alignment horizontal="center"/>
    </xf>
    <xf numFmtId="0" fontId="19" fillId="0" borderId="42" xfId="0" applyFont="1" applyBorder="1" applyAlignment="1">
      <alignment horizontal="center"/>
    </xf>
    <xf numFmtId="0" fontId="31" fillId="40" borderId="40" xfId="0" applyFont="1" applyFill="1" applyBorder="1" applyAlignment="1">
      <alignment horizontal="center" vertical="center" wrapText="1"/>
    </xf>
    <xf numFmtId="0" fontId="31" fillId="40" borderId="42" xfId="0" applyFont="1" applyFill="1" applyBorder="1" applyAlignment="1">
      <alignment horizontal="center" vertical="center" wrapText="1"/>
    </xf>
    <xf numFmtId="0" fontId="31" fillId="40" borderId="52" xfId="0" applyFont="1" applyFill="1" applyBorder="1" applyAlignment="1">
      <alignment horizontal="center" vertical="center" wrapText="1"/>
    </xf>
    <xf numFmtId="0" fontId="31" fillId="40" borderId="29" xfId="0" applyFont="1" applyFill="1" applyBorder="1" applyAlignment="1">
      <alignment horizontal="center" vertical="center" wrapText="1"/>
    </xf>
    <xf numFmtId="0" fontId="31" fillId="40" borderId="51" xfId="0" applyFont="1" applyFill="1" applyBorder="1" applyAlignment="1">
      <alignment horizontal="center" vertical="center" wrapText="1"/>
    </xf>
    <xf numFmtId="0" fontId="19" fillId="40" borderId="52" xfId="0" quotePrefix="1" applyFont="1" applyFill="1" applyBorder="1" applyAlignment="1">
      <alignment horizontal="center" vertical="center" wrapText="1"/>
    </xf>
    <xf numFmtId="0" fontId="19" fillId="40" borderId="51" xfId="0" quotePrefix="1" applyFont="1" applyFill="1" applyBorder="1" applyAlignment="1">
      <alignment horizontal="center" vertical="center" wrapText="1"/>
    </xf>
    <xf numFmtId="0" fontId="19" fillId="40" borderId="43" xfId="0" quotePrefix="1" applyFont="1" applyFill="1" applyBorder="1" applyAlignment="1">
      <alignment horizontal="center" vertical="center" wrapText="1"/>
    </xf>
    <xf numFmtId="0" fontId="19" fillId="40" borderId="44" xfId="0" quotePrefix="1" applyFont="1" applyFill="1" applyBorder="1" applyAlignment="1">
      <alignment horizontal="center" vertical="center" wrapText="1"/>
    </xf>
    <xf numFmtId="0" fontId="19" fillId="40" borderId="46" xfId="0" quotePrefix="1" applyFont="1" applyFill="1" applyBorder="1" applyAlignment="1">
      <alignment horizontal="center" vertical="center" wrapText="1"/>
    </xf>
    <xf numFmtId="0" fontId="19" fillId="40" borderId="47" xfId="0" quotePrefix="1" applyFont="1" applyFill="1" applyBorder="1" applyAlignment="1">
      <alignment horizontal="center" vertical="center" wrapText="1"/>
    </xf>
    <xf numFmtId="0" fontId="19" fillId="0" borderId="40" xfId="0" applyFont="1" applyBorder="1" applyAlignment="1">
      <alignment horizontal="center" vertical="center" wrapText="1"/>
    </xf>
    <xf numFmtId="0" fontId="19" fillId="0" borderId="51" xfId="0" applyFont="1" applyBorder="1" applyAlignment="1">
      <alignment horizontal="center" vertical="center" wrapText="1"/>
    </xf>
    <xf numFmtId="0" fontId="19" fillId="0" borderId="50" xfId="0" applyFont="1" applyBorder="1" applyAlignment="1">
      <alignment horizontal="center" wrapText="1"/>
    </xf>
    <xf numFmtId="0" fontId="19" fillId="0" borderId="45" xfId="0" applyFont="1" applyBorder="1" applyAlignment="1">
      <alignment horizontal="center" wrapText="1"/>
    </xf>
    <xf numFmtId="0" fontId="19" fillId="0" borderId="53" xfId="0" applyFont="1" applyBorder="1" applyAlignment="1">
      <alignment horizontal="center" wrapText="1"/>
    </xf>
    <xf numFmtId="0" fontId="19" fillId="42" borderId="0" xfId="0" applyFont="1" applyFill="1" applyBorder="1" applyAlignment="1">
      <alignment horizontal="center" vertical="center"/>
    </xf>
    <xf numFmtId="0" fontId="19" fillId="42" borderId="44" xfId="0" applyFont="1" applyFill="1" applyBorder="1" applyAlignment="1">
      <alignment horizontal="center" vertical="center"/>
    </xf>
    <xf numFmtId="176" fontId="0" fillId="0" borderId="34" xfId="2" applyNumberFormat="1" applyFont="1" applyBorder="1" applyAlignment="1">
      <alignment horizontal="center"/>
    </xf>
  </cellXfs>
  <cellStyles count="4404">
    <cellStyle name="20 % - Accent1 2" xfId="7" xr:uid="{00000000-0005-0000-0000-000000000000}"/>
    <cellStyle name="20 % - Accent1 2 2" xfId="8" xr:uid="{00000000-0005-0000-0000-000001000000}"/>
    <cellStyle name="20 % - Accent1 2 2 2" xfId="9" xr:uid="{00000000-0005-0000-0000-000002000000}"/>
    <cellStyle name="20 % - Accent1 2 2 2 2" xfId="10" xr:uid="{00000000-0005-0000-0000-000003000000}"/>
    <cellStyle name="20 % - Accent1 2 2 2_Inputs" xfId="3180" xr:uid="{00000000-0005-0000-0000-000004000000}"/>
    <cellStyle name="20 % - Accent1 2 2 3" xfId="11" xr:uid="{00000000-0005-0000-0000-000005000000}"/>
    <cellStyle name="20 % - Accent1 2 2 3 2" xfId="12" xr:uid="{00000000-0005-0000-0000-000006000000}"/>
    <cellStyle name="20 % - Accent1 2 2 3_Inputs" xfId="3181" xr:uid="{00000000-0005-0000-0000-000007000000}"/>
    <cellStyle name="20 % - Accent1 2 2 4" xfId="13" xr:uid="{00000000-0005-0000-0000-000008000000}"/>
    <cellStyle name="20 % - Accent1 2 2_Inputs" xfId="3179" xr:uid="{00000000-0005-0000-0000-000009000000}"/>
    <cellStyle name="20 % - Accent1 2 3" xfId="14" xr:uid="{00000000-0005-0000-0000-00000A000000}"/>
    <cellStyle name="20 % - Accent1 2 3 2" xfId="15" xr:uid="{00000000-0005-0000-0000-00000B000000}"/>
    <cellStyle name="20 % - Accent1 2 3_Inputs" xfId="3182" xr:uid="{00000000-0005-0000-0000-00000C000000}"/>
    <cellStyle name="20 % - Accent1 2 4" xfId="16" xr:uid="{00000000-0005-0000-0000-00000D000000}"/>
    <cellStyle name="20 % - Accent1 2 4 2" xfId="17" xr:uid="{00000000-0005-0000-0000-00000E000000}"/>
    <cellStyle name="20 % - Accent1 2 4_Inputs" xfId="3183" xr:uid="{00000000-0005-0000-0000-00000F000000}"/>
    <cellStyle name="20 % - Accent1 2 5" xfId="18" xr:uid="{00000000-0005-0000-0000-000010000000}"/>
    <cellStyle name="20 % - Accent1 2_Inputs" xfId="3178" xr:uid="{00000000-0005-0000-0000-000011000000}"/>
    <cellStyle name="20 % - Accent1 3" xfId="19" xr:uid="{00000000-0005-0000-0000-000012000000}"/>
    <cellStyle name="20 % - Accent1 3 2" xfId="20" xr:uid="{00000000-0005-0000-0000-000013000000}"/>
    <cellStyle name="20 % - Accent1 3 2 2" xfId="21" xr:uid="{00000000-0005-0000-0000-000014000000}"/>
    <cellStyle name="20 % - Accent1 3 2_Inputs" xfId="3185" xr:uid="{00000000-0005-0000-0000-000015000000}"/>
    <cellStyle name="20 % - Accent1 3 3" xfId="22" xr:uid="{00000000-0005-0000-0000-000016000000}"/>
    <cellStyle name="20 % - Accent1 3 3 2" xfId="23" xr:uid="{00000000-0005-0000-0000-000017000000}"/>
    <cellStyle name="20 % - Accent1 3 3_Inputs" xfId="3186" xr:uid="{00000000-0005-0000-0000-000018000000}"/>
    <cellStyle name="20 % - Accent1 3 4" xfId="24" xr:uid="{00000000-0005-0000-0000-000019000000}"/>
    <cellStyle name="20 % - Accent1 3_Inputs" xfId="3184" xr:uid="{00000000-0005-0000-0000-00001A000000}"/>
    <cellStyle name="20 % - Accent1 4" xfId="25" xr:uid="{00000000-0005-0000-0000-00001B000000}"/>
    <cellStyle name="20 % - Accent1 4 2" xfId="26" xr:uid="{00000000-0005-0000-0000-00001C000000}"/>
    <cellStyle name="20 % - Accent1 4_Inputs" xfId="3187" xr:uid="{00000000-0005-0000-0000-00001D000000}"/>
    <cellStyle name="20 % - Accent1 5" xfId="27" xr:uid="{00000000-0005-0000-0000-00001E000000}"/>
    <cellStyle name="20 % - Accent1 5 2" xfId="28" xr:uid="{00000000-0005-0000-0000-00001F000000}"/>
    <cellStyle name="20 % - Accent1 5_Inputs" xfId="3188" xr:uid="{00000000-0005-0000-0000-000020000000}"/>
    <cellStyle name="20 % - Accent2 2" xfId="29" xr:uid="{00000000-0005-0000-0000-000021000000}"/>
    <cellStyle name="20 % - Accent2 2 2" xfId="30" xr:uid="{00000000-0005-0000-0000-000022000000}"/>
    <cellStyle name="20 % - Accent2 2 2 2" xfId="31" xr:uid="{00000000-0005-0000-0000-000023000000}"/>
    <cellStyle name="20 % - Accent2 2 2 2 2" xfId="32" xr:uid="{00000000-0005-0000-0000-000024000000}"/>
    <cellStyle name="20 % - Accent2 2 2 2_Inputs" xfId="3191" xr:uid="{00000000-0005-0000-0000-000025000000}"/>
    <cellStyle name="20 % - Accent2 2 2 3" xfId="33" xr:uid="{00000000-0005-0000-0000-000026000000}"/>
    <cellStyle name="20 % - Accent2 2 2 3 2" xfId="34" xr:uid="{00000000-0005-0000-0000-000027000000}"/>
    <cellStyle name="20 % - Accent2 2 2 3_Inputs" xfId="3192" xr:uid="{00000000-0005-0000-0000-000028000000}"/>
    <cellStyle name="20 % - Accent2 2 2 4" xfId="35" xr:uid="{00000000-0005-0000-0000-000029000000}"/>
    <cellStyle name="20 % - Accent2 2 2_Inputs" xfId="3190" xr:uid="{00000000-0005-0000-0000-00002A000000}"/>
    <cellStyle name="20 % - Accent2 2 3" xfId="36" xr:uid="{00000000-0005-0000-0000-00002B000000}"/>
    <cellStyle name="20 % - Accent2 2 3 2" xfId="37" xr:uid="{00000000-0005-0000-0000-00002C000000}"/>
    <cellStyle name="20 % - Accent2 2 3_Inputs" xfId="3193" xr:uid="{00000000-0005-0000-0000-00002D000000}"/>
    <cellStyle name="20 % - Accent2 2 4" xfId="38" xr:uid="{00000000-0005-0000-0000-00002E000000}"/>
    <cellStyle name="20 % - Accent2 2 4 2" xfId="39" xr:uid="{00000000-0005-0000-0000-00002F000000}"/>
    <cellStyle name="20 % - Accent2 2 4_Inputs" xfId="3194" xr:uid="{00000000-0005-0000-0000-000030000000}"/>
    <cellStyle name="20 % - Accent2 2 5" xfId="40" xr:uid="{00000000-0005-0000-0000-000031000000}"/>
    <cellStyle name="20 % - Accent2 2_Inputs" xfId="3189" xr:uid="{00000000-0005-0000-0000-000032000000}"/>
    <cellStyle name="20 % - Accent2 3" xfId="41" xr:uid="{00000000-0005-0000-0000-000033000000}"/>
    <cellStyle name="20 % - Accent2 3 2" xfId="42" xr:uid="{00000000-0005-0000-0000-000034000000}"/>
    <cellStyle name="20 % - Accent2 3 2 2" xfId="43" xr:uid="{00000000-0005-0000-0000-000035000000}"/>
    <cellStyle name="20 % - Accent2 3 2_Inputs" xfId="3196" xr:uid="{00000000-0005-0000-0000-000036000000}"/>
    <cellStyle name="20 % - Accent2 3 3" xfId="44" xr:uid="{00000000-0005-0000-0000-000037000000}"/>
    <cellStyle name="20 % - Accent2 3 3 2" xfId="45" xr:uid="{00000000-0005-0000-0000-000038000000}"/>
    <cellStyle name="20 % - Accent2 3 3_Inputs" xfId="3197" xr:uid="{00000000-0005-0000-0000-000039000000}"/>
    <cellStyle name="20 % - Accent2 3 4" xfId="46" xr:uid="{00000000-0005-0000-0000-00003A000000}"/>
    <cellStyle name="20 % - Accent2 3_Inputs" xfId="3195" xr:uid="{00000000-0005-0000-0000-00003B000000}"/>
    <cellStyle name="20 % - Accent2 4" xfId="47" xr:uid="{00000000-0005-0000-0000-00003C000000}"/>
    <cellStyle name="20 % - Accent2 4 2" xfId="48" xr:uid="{00000000-0005-0000-0000-00003D000000}"/>
    <cellStyle name="20 % - Accent2 4_Inputs" xfId="3198" xr:uid="{00000000-0005-0000-0000-00003E000000}"/>
    <cellStyle name="20 % - Accent2 5" xfId="49" xr:uid="{00000000-0005-0000-0000-00003F000000}"/>
    <cellStyle name="20 % - Accent2 5 2" xfId="50" xr:uid="{00000000-0005-0000-0000-000040000000}"/>
    <cellStyle name="20 % - Accent2 5_Inputs" xfId="3199" xr:uid="{00000000-0005-0000-0000-000041000000}"/>
    <cellStyle name="20 % - Accent3 2" xfId="51" xr:uid="{00000000-0005-0000-0000-000042000000}"/>
    <cellStyle name="20 % - Accent3 2 2" xfId="52" xr:uid="{00000000-0005-0000-0000-000043000000}"/>
    <cellStyle name="20 % - Accent3 2 2 2" xfId="53" xr:uid="{00000000-0005-0000-0000-000044000000}"/>
    <cellStyle name="20 % - Accent3 2 2 2 2" xfId="54" xr:uid="{00000000-0005-0000-0000-000045000000}"/>
    <cellStyle name="20 % - Accent3 2 2 2_Inputs" xfId="3202" xr:uid="{00000000-0005-0000-0000-000046000000}"/>
    <cellStyle name="20 % - Accent3 2 2 3" xfId="55" xr:uid="{00000000-0005-0000-0000-000047000000}"/>
    <cellStyle name="20 % - Accent3 2 2 3 2" xfId="56" xr:uid="{00000000-0005-0000-0000-000048000000}"/>
    <cellStyle name="20 % - Accent3 2 2 3_Inputs" xfId="3203" xr:uid="{00000000-0005-0000-0000-000049000000}"/>
    <cellStyle name="20 % - Accent3 2 2 4" xfId="57" xr:uid="{00000000-0005-0000-0000-00004A000000}"/>
    <cellStyle name="20 % - Accent3 2 2_Inputs" xfId="3201" xr:uid="{00000000-0005-0000-0000-00004B000000}"/>
    <cellStyle name="20 % - Accent3 2 3" xfId="58" xr:uid="{00000000-0005-0000-0000-00004C000000}"/>
    <cellStyle name="20 % - Accent3 2 3 2" xfId="59" xr:uid="{00000000-0005-0000-0000-00004D000000}"/>
    <cellStyle name="20 % - Accent3 2 3_Inputs" xfId="3204" xr:uid="{00000000-0005-0000-0000-00004E000000}"/>
    <cellStyle name="20 % - Accent3 2 4" xfId="60" xr:uid="{00000000-0005-0000-0000-00004F000000}"/>
    <cellStyle name="20 % - Accent3 2 4 2" xfId="61" xr:uid="{00000000-0005-0000-0000-000050000000}"/>
    <cellStyle name="20 % - Accent3 2 4_Inputs" xfId="3205" xr:uid="{00000000-0005-0000-0000-000051000000}"/>
    <cellStyle name="20 % - Accent3 2 5" xfId="62" xr:uid="{00000000-0005-0000-0000-000052000000}"/>
    <cellStyle name="20 % - Accent3 2_Inputs" xfId="3200" xr:uid="{00000000-0005-0000-0000-000053000000}"/>
    <cellStyle name="20 % - Accent3 3" xfId="63" xr:uid="{00000000-0005-0000-0000-000054000000}"/>
    <cellStyle name="20 % - Accent3 3 2" xfId="64" xr:uid="{00000000-0005-0000-0000-000055000000}"/>
    <cellStyle name="20 % - Accent3 3 2 2" xfId="65" xr:uid="{00000000-0005-0000-0000-000056000000}"/>
    <cellStyle name="20 % - Accent3 3 2_Inputs" xfId="3207" xr:uid="{00000000-0005-0000-0000-000057000000}"/>
    <cellStyle name="20 % - Accent3 3 3" xfId="66" xr:uid="{00000000-0005-0000-0000-000058000000}"/>
    <cellStyle name="20 % - Accent3 3 3 2" xfId="67" xr:uid="{00000000-0005-0000-0000-000059000000}"/>
    <cellStyle name="20 % - Accent3 3 3_Inputs" xfId="3208" xr:uid="{00000000-0005-0000-0000-00005A000000}"/>
    <cellStyle name="20 % - Accent3 3 4" xfId="68" xr:uid="{00000000-0005-0000-0000-00005B000000}"/>
    <cellStyle name="20 % - Accent3 3_Inputs" xfId="3206" xr:uid="{00000000-0005-0000-0000-00005C000000}"/>
    <cellStyle name="20 % - Accent3 4" xfId="69" xr:uid="{00000000-0005-0000-0000-00005D000000}"/>
    <cellStyle name="20 % - Accent3 4 2" xfId="70" xr:uid="{00000000-0005-0000-0000-00005E000000}"/>
    <cellStyle name="20 % - Accent3 4_Inputs" xfId="3209" xr:uid="{00000000-0005-0000-0000-00005F000000}"/>
    <cellStyle name="20 % - Accent3 5" xfId="71" xr:uid="{00000000-0005-0000-0000-000060000000}"/>
    <cellStyle name="20 % - Accent3 5 2" xfId="72" xr:uid="{00000000-0005-0000-0000-000061000000}"/>
    <cellStyle name="20 % - Accent3 5_Inputs" xfId="3210" xr:uid="{00000000-0005-0000-0000-000062000000}"/>
    <cellStyle name="20 % - Accent4 2" xfId="73" xr:uid="{00000000-0005-0000-0000-000063000000}"/>
    <cellStyle name="20 % - Accent4 2 2" xfId="74" xr:uid="{00000000-0005-0000-0000-000064000000}"/>
    <cellStyle name="20 % - Accent4 2 2 2" xfId="75" xr:uid="{00000000-0005-0000-0000-000065000000}"/>
    <cellStyle name="20 % - Accent4 2 2 2 2" xfId="76" xr:uid="{00000000-0005-0000-0000-000066000000}"/>
    <cellStyle name="20 % - Accent4 2 2 2_Inputs" xfId="3213" xr:uid="{00000000-0005-0000-0000-000067000000}"/>
    <cellStyle name="20 % - Accent4 2 2 3" xfId="77" xr:uid="{00000000-0005-0000-0000-000068000000}"/>
    <cellStyle name="20 % - Accent4 2 2 3 2" xfId="78" xr:uid="{00000000-0005-0000-0000-000069000000}"/>
    <cellStyle name="20 % - Accent4 2 2 3_Inputs" xfId="3214" xr:uid="{00000000-0005-0000-0000-00006A000000}"/>
    <cellStyle name="20 % - Accent4 2 2 4" xfId="79" xr:uid="{00000000-0005-0000-0000-00006B000000}"/>
    <cellStyle name="20 % - Accent4 2 2_Inputs" xfId="3212" xr:uid="{00000000-0005-0000-0000-00006C000000}"/>
    <cellStyle name="20 % - Accent4 2 3" xfId="80" xr:uid="{00000000-0005-0000-0000-00006D000000}"/>
    <cellStyle name="20 % - Accent4 2 3 2" xfId="81" xr:uid="{00000000-0005-0000-0000-00006E000000}"/>
    <cellStyle name="20 % - Accent4 2 3_Inputs" xfId="3215" xr:uid="{00000000-0005-0000-0000-00006F000000}"/>
    <cellStyle name="20 % - Accent4 2 4" xfId="82" xr:uid="{00000000-0005-0000-0000-000070000000}"/>
    <cellStyle name="20 % - Accent4 2 4 2" xfId="83" xr:uid="{00000000-0005-0000-0000-000071000000}"/>
    <cellStyle name="20 % - Accent4 2 4_Inputs" xfId="3216" xr:uid="{00000000-0005-0000-0000-000072000000}"/>
    <cellStyle name="20 % - Accent4 2 5" xfId="84" xr:uid="{00000000-0005-0000-0000-000073000000}"/>
    <cellStyle name="20 % - Accent4 2_Inputs" xfId="3211" xr:uid="{00000000-0005-0000-0000-000074000000}"/>
    <cellStyle name="20 % - Accent4 3" xfId="85" xr:uid="{00000000-0005-0000-0000-000075000000}"/>
    <cellStyle name="20 % - Accent4 3 2" xfId="86" xr:uid="{00000000-0005-0000-0000-000076000000}"/>
    <cellStyle name="20 % - Accent4 3 2 2" xfId="87" xr:uid="{00000000-0005-0000-0000-000077000000}"/>
    <cellStyle name="20 % - Accent4 3 2_Inputs" xfId="3218" xr:uid="{00000000-0005-0000-0000-000078000000}"/>
    <cellStyle name="20 % - Accent4 3 3" xfId="88" xr:uid="{00000000-0005-0000-0000-000079000000}"/>
    <cellStyle name="20 % - Accent4 3 3 2" xfId="89" xr:uid="{00000000-0005-0000-0000-00007A000000}"/>
    <cellStyle name="20 % - Accent4 3 3_Inputs" xfId="3219" xr:uid="{00000000-0005-0000-0000-00007B000000}"/>
    <cellStyle name="20 % - Accent4 3 4" xfId="90" xr:uid="{00000000-0005-0000-0000-00007C000000}"/>
    <cellStyle name="20 % - Accent4 3_Inputs" xfId="3217" xr:uid="{00000000-0005-0000-0000-00007D000000}"/>
    <cellStyle name="20 % - Accent4 4" xfId="91" xr:uid="{00000000-0005-0000-0000-00007E000000}"/>
    <cellStyle name="20 % - Accent4 4 2" xfId="92" xr:uid="{00000000-0005-0000-0000-00007F000000}"/>
    <cellStyle name="20 % - Accent4 4_Inputs" xfId="3220" xr:uid="{00000000-0005-0000-0000-000080000000}"/>
    <cellStyle name="20 % - Accent4 5" xfId="93" xr:uid="{00000000-0005-0000-0000-000081000000}"/>
    <cellStyle name="20 % - Accent4 5 2" xfId="94" xr:uid="{00000000-0005-0000-0000-000082000000}"/>
    <cellStyle name="20 % - Accent4 5_Inputs" xfId="3221" xr:uid="{00000000-0005-0000-0000-000083000000}"/>
    <cellStyle name="20 % - Accent5 2" xfId="95" xr:uid="{00000000-0005-0000-0000-000084000000}"/>
    <cellStyle name="20 % - Accent5 2 2" xfId="96" xr:uid="{00000000-0005-0000-0000-000085000000}"/>
    <cellStyle name="20 % - Accent5 2 2 2" xfId="97" xr:uid="{00000000-0005-0000-0000-000086000000}"/>
    <cellStyle name="20 % - Accent5 2 2 2 2" xfId="98" xr:uid="{00000000-0005-0000-0000-000087000000}"/>
    <cellStyle name="20 % - Accent5 2 2 2_Inputs" xfId="3224" xr:uid="{00000000-0005-0000-0000-000088000000}"/>
    <cellStyle name="20 % - Accent5 2 2 3" xfId="99" xr:uid="{00000000-0005-0000-0000-000089000000}"/>
    <cellStyle name="20 % - Accent5 2 2 3 2" xfId="100" xr:uid="{00000000-0005-0000-0000-00008A000000}"/>
    <cellStyle name="20 % - Accent5 2 2 3_Inputs" xfId="3225" xr:uid="{00000000-0005-0000-0000-00008B000000}"/>
    <cellStyle name="20 % - Accent5 2 2 4" xfId="101" xr:uid="{00000000-0005-0000-0000-00008C000000}"/>
    <cellStyle name="20 % - Accent5 2 2_Inputs" xfId="3223" xr:uid="{00000000-0005-0000-0000-00008D000000}"/>
    <cellStyle name="20 % - Accent5 2 3" xfId="102" xr:uid="{00000000-0005-0000-0000-00008E000000}"/>
    <cellStyle name="20 % - Accent5 2 3 2" xfId="103" xr:uid="{00000000-0005-0000-0000-00008F000000}"/>
    <cellStyle name="20 % - Accent5 2 3_Inputs" xfId="3226" xr:uid="{00000000-0005-0000-0000-000090000000}"/>
    <cellStyle name="20 % - Accent5 2 4" xfId="104" xr:uid="{00000000-0005-0000-0000-000091000000}"/>
    <cellStyle name="20 % - Accent5 2 4 2" xfId="105" xr:uid="{00000000-0005-0000-0000-000092000000}"/>
    <cellStyle name="20 % - Accent5 2 4_Inputs" xfId="3227" xr:uid="{00000000-0005-0000-0000-000093000000}"/>
    <cellStyle name="20 % - Accent5 2 5" xfId="106" xr:uid="{00000000-0005-0000-0000-000094000000}"/>
    <cellStyle name="20 % - Accent5 2_Inputs" xfId="3222" xr:uid="{00000000-0005-0000-0000-000095000000}"/>
    <cellStyle name="20 % - Accent5 3" xfId="107" xr:uid="{00000000-0005-0000-0000-000096000000}"/>
    <cellStyle name="20 % - Accent5 3 2" xfId="108" xr:uid="{00000000-0005-0000-0000-000097000000}"/>
    <cellStyle name="20 % - Accent5 3 2 2" xfId="109" xr:uid="{00000000-0005-0000-0000-000098000000}"/>
    <cellStyle name="20 % - Accent5 3 2_Inputs" xfId="3229" xr:uid="{00000000-0005-0000-0000-000099000000}"/>
    <cellStyle name="20 % - Accent5 3 3" xfId="110" xr:uid="{00000000-0005-0000-0000-00009A000000}"/>
    <cellStyle name="20 % - Accent5 3 3 2" xfId="111" xr:uid="{00000000-0005-0000-0000-00009B000000}"/>
    <cellStyle name="20 % - Accent5 3 3_Inputs" xfId="3230" xr:uid="{00000000-0005-0000-0000-00009C000000}"/>
    <cellStyle name="20 % - Accent5 3 4" xfId="112" xr:uid="{00000000-0005-0000-0000-00009D000000}"/>
    <cellStyle name="20 % - Accent5 3_Inputs" xfId="3228" xr:uid="{00000000-0005-0000-0000-00009E000000}"/>
    <cellStyle name="20 % - Accent5 4" xfId="113" xr:uid="{00000000-0005-0000-0000-00009F000000}"/>
    <cellStyle name="20 % - Accent5 4 2" xfId="114" xr:uid="{00000000-0005-0000-0000-0000A0000000}"/>
    <cellStyle name="20 % - Accent5 4_Inputs" xfId="3231" xr:uid="{00000000-0005-0000-0000-0000A1000000}"/>
    <cellStyle name="20 % - Accent5 5" xfId="115" xr:uid="{00000000-0005-0000-0000-0000A2000000}"/>
    <cellStyle name="20 % - Accent5 5 2" xfId="116" xr:uid="{00000000-0005-0000-0000-0000A3000000}"/>
    <cellStyle name="20 % - Accent5 5_Inputs" xfId="3232" xr:uid="{00000000-0005-0000-0000-0000A4000000}"/>
    <cellStyle name="20 % - Accent6 2" xfId="117" xr:uid="{00000000-0005-0000-0000-0000A5000000}"/>
    <cellStyle name="20 % - Accent6 2 2" xfId="118" xr:uid="{00000000-0005-0000-0000-0000A6000000}"/>
    <cellStyle name="20 % - Accent6 2 2 2" xfId="119" xr:uid="{00000000-0005-0000-0000-0000A7000000}"/>
    <cellStyle name="20 % - Accent6 2 2 2 2" xfId="120" xr:uid="{00000000-0005-0000-0000-0000A8000000}"/>
    <cellStyle name="20 % - Accent6 2 2 2_Inputs" xfId="3235" xr:uid="{00000000-0005-0000-0000-0000A9000000}"/>
    <cellStyle name="20 % - Accent6 2 2 3" xfId="121" xr:uid="{00000000-0005-0000-0000-0000AA000000}"/>
    <cellStyle name="20 % - Accent6 2 2 3 2" xfId="122" xr:uid="{00000000-0005-0000-0000-0000AB000000}"/>
    <cellStyle name="20 % - Accent6 2 2 3_Inputs" xfId="3236" xr:uid="{00000000-0005-0000-0000-0000AC000000}"/>
    <cellStyle name="20 % - Accent6 2 2 4" xfId="123" xr:uid="{00000000-0005-0000-0000-0000AD000000}"/>
    <cellStyle name="20 % - Accent6 2 2_Inputs" xfId="3234" xr:uid="{00000000-0005-0000-0000-0000AE000000}"/>
    <cellStyle name="20 % - Accent6 2 3" xfId="124" xr:uid="{00000000-0005-0000-0000-0000AF000000}"/>
    <cellStyle name="20 % - Accent6 2 3 2" xfId="125" xr:uid="{00000000-0005-0000-0000-0000B0000000}"/>
    <cellStyle name="20 % - Accent6 2 3_Inputs" xfId="3237" xr:uid="{00000000-0005-0000-0000-0000B1000000}"/>
    <cellStyle name="20 % - Accent6 2 4" xfId="126" xr:uid="{00000000-0005-0000-0000-0000B2000000}"/>
    <cellStyle name="20 % - Accent6 2 4 2" xfId="127" xr:uid="{00000000-0005-0000-0000-0000B3000000}"/>
    <cellStyle name="20 % - Accent6 2 4_Inputs" xfId="3238" xr:uid="{00000000-0005-0000-0000-0000B4000000}"/>
    <cellStyle name="20 % - Accent6 2 5" xfId="128" xr:uid="{00000000-0005-0000-0000-0000B5000000}"/>
    <cellStyle name="20 % - Accent6 2_Inputs" xfId="3233" xr:uid="{00000000-0005-0000-0000-0000B6000000}"/>
    <cellStyle name="20 % - Accent6 3" xfId="129" xr:uid="{00000000-0005-0000-0000-0000B7000000}"/>
    <cellStyle name="20 % - Accent6 3 2" xfId="130" xr:uid="{00000000-0005-0000-0000-0000B8000000}"/>
    <cellStyle name="20 % - Accent6 3 2 2" xfId="131" xr:uid="{00000000-0005-0000-0000-0000B9000000}"/>
    <cellStyle name="20 % - Accent6 3 2_Inputs" xfId="3240" xr:uid="{00000000-0005-0000-0000-0000BA000000}"/>
    <cellStyle name="20 % - Accent6 3 3" xfId="132" xr:uid="{00000000-0005-0000-0000-0000BB000000}"/>
    <cellStyle name="20 % - Accent6 3 3 2" xfId="133" xr:uid="{00000000-0005-0000-0000-0000BC000000}"/>
    <cellStyle name="20 % - Accent6 3 3_Inputs" xfId="3241" xr:uid="{00000000-0005-0000-0000-0000BD000000}"/>
    <cellStyle name="20 % - Accent6 3 4" xfId="134" xr:uid="{00000000-0005-0000-0000-0000BE000000}"/>
    <cellStyle name="20 % - Accent6 3_Inputs" xfId="3239" xr:uid="{00000000-0005-0000-0000-0000BF000000}"/>
    <cellStyle name="20 % - Accent6 4" xfId="135" xr:uid="{00000000-0005-0000-0000-0000C0000000}"/>
    <cellStyle name="20 % - Accent6 4 2" xfId="136" xr:uid="{00000000-0005-0000-0000-0000C1000000}"/>
    <cellStyle name="20 % - Accent6 4_Inputs" xfId="3242" xr:uid="{00000000-0005-0000-0000-0000C2000000}"/>
    <cellStyle name="20 % - Accent6 5" xfId="137" xr:uid="{00000000-0005-0000-0000-0000C3000000}"/>
    <cellStyle name="20 % - Accent6 5 2" xfId="138" xr:uid="{00000000-0005-0000-0000-0000C4000000}"/>
    <cellStyle name="20 % - Accent6 5_Inputs" xfId="3243" xr:uid="{00000000-0005-0000-0000-0000C5000000}"/>
    <cellStyle name="20% - Accent1 2" xfId="139" xr:uid="{00000000-0005-0000-0000-0000C6000000}"/>
    <cellStyle name="20% - Accent1 2 2" xfId="140" xr:uid="{00000000-0005-0000-0000-0000C7000000}"/>
    <cellStyle name="20% - Accent1 2 2 2" xfId="141" xr:uid="{00000000-0005-0000-0000-0000C8000000}"/>
    <cellStyle name="20% - Accent1 2 2 2 2" xfId="142" xr:uid="{00000000-0005-0000-0000-0000C9000000}"/>
    <cellStyle name="20% - Accent1 2 2 2 2 2" xfId="143" xr:uid="{00000000-0005-0000-0000-0000CA000000}"/>
    <cellStyle name="20% - Accent1 2 2 2 2_Inputs" xfId="3245" xr:uid="{00000000-0005-0000-0000-0000CB000000}"/>
    <cellStyle name="20% - Accent1 2 2 2 3" xfId="144" xr:uid="{00000000-0005-0000-0000-0000CC000000}"/>
    <cellStyle name="20% - Accent1 2 2 2 3 2" xfId="145" xr:uid="{00000000-0005-0000-0000-0000CD000000}"/>
    <cellStyle name="20% - Accent1 2 2 2 3_Inputs" xfId="3246" xr:uid="{00000000-0005-0000-0000-0000CE000000}"/>
    <cellStyle name="20% - Accent1 2 2 2 4" xfId="146" xr:uid="{00000000-0005-0000-0000-0000CF000000}"/>
    <cellStyle name="20% - Accent1 2 2 2_Inputs" xfId="3244" xr:uid="{00000000-0005-0000-0000-0000D0000000}"/>
    <cellStyle name="20% - Accent1 2 2 3" xfId="147" xr:uid="{00000000-0005-0000-0000-0000D1000000}"/>
    <cellStyle name="20% - Accent1 2 2 3 2" xfId="148" xr:uid="{00000000-0005-0000-0000-0000D2000000}"/>
    <cellStyle name="20% - Accent1 2 2 3 2 2" xfId="149" xr:uid="{00000000-0005-0000-0000-0000D3000000}"/>
    <cellStyle name="20% - Accent1 2 2 3 2_Inputs" xfId="3248" xr:uid="{00000000-0005-0000-0000-0000D4000000}"/>
    <cellStyle name="20% - Accent1 2 2 3 3" xfId="150" xr:uid="{00000000-0005-0000-0000-0000D5000000}"/>
    <cellStyle name="20% - Accent1 2 2 3 3 2" xfId="151" xr:uid="{00000000-0005-0000-0000-0000D6000000}"/>
    <cellStyle name="20% - Accent1 2 2 3 3_Inputs" xfId="3249" xr:uid="{00000000-0005-0000-0000-0000D7000000}"/>
    <cellStyle name="20% - Accent1 2 2 3 4" xfId="152" xr:uid="{00000000-0005-0000-0000-0000D8000000}"/>
    <cellStyle name="20% - Accent1 2 2 3_Inputs" xfId="3247" xr:uid="{00000000-0005-0000-0000-0000D9000000}"/>
    <cellStyle name="20% - Accent1 2 2 4" xfId="153" xr:uid="{00000000-0005-0000-0000-0000DA000000}"/>
    <cellStyle name="20% - Accent1 2 2 4 2" xfId="154" xr:uid="{00000000-0005-0000-0000-0000DB000000}"/>
    <cellStyle name="20% - Accent1 2 2 4_Inputs" xfId="3250" xr:uid="{00000000-0005-0000-0000-0000DC000000}"/>
    <cellStyle name="20% - Accent1 2 2 5" xfId="155" xr:uid="{00000000-0005-0000-0000-0000DD000000}"/>
    <cellStyle name="20% - Accent1 2 2 5 2" xfId="156" xr:uid="{00000000-0005-0000-0000-0000DE000000}"/>
    <cellStyle name="20% - Accent1 2 2 5_Inputs" xfId="3251" xr:uid="{00000000-0005-0000-0000-0000DF000000}"/>
    <cellStyle name="20% - Accent1 2 2 6" xfId="157" xr:uid="{00000000-0005-0000-0000-0000E0000000}"/>
    <cellStyle name="20% - Accent1 2 2_Bdx 1517" xfId="158" xr:uid="{00000000-0005-0000-0000-0000E1000000}"/>
    <cellStyle name="20% - Accent1 2 3" xfId="159" xr:uid="{00000000-0005-0000-0000-0000E2000000}"/>
    <cellStyle name="20% - Accent1 2 3 2" xfId="160" xr:uid="{00000000-0005-0000-0000-0000E3000000}"/>
    <cellStyle name="20% - Accent1 2 3 2 2" xfId="161" xr:uid="{00000000-0005-0000-0000-0000E4000000}"/>
    <cellStyle name="20% - Accent1 2 3 2 2 2" xfId="162" xr:uid="{00000000-0005-0000-0000-0000E5000000}"/>
    <cellStyle name="20% - Accent1 2 3 2 2_Inputs" xfId="3253" xr:uid="{00000000-0005-0000-0000-0000E6000000}"/>
    <cellStyle name="20% - Accent1 2 3 2 3" xfId="163" xr:uid="{00000000-0005-0000-0000-0000E7000000}"/>
    <cellStyle name="20% - Accent1 2 3 2 3 2" xfId="164" xr:uid="{00000000-0005-0000-0000-0000E8000000}"/>
    <cellStyle name="20% - Accent1 2 3 2 3_Inputs" xfId="3254" xr:uid="{00000000-0005-0000-0000-0000E9000000}"/>
    <cellStyle name="20% - Accent1 2 3 2 4" xfId="165" xr:uid="{00000000-0005-0000-0000-0000EA000000}"/>
    <cellStyle name="20% - Accent1 2 3 2_Inputs" xfId="3252" xr:uid="{00000000-0005-0000-0000-0000EB000000}"/>
    <cellStyle name="20% - Accent1 2 3 3" xfId="166" xr:uid="{00000000-0005-0000-0000-0000EC000000}"/>
    <cellStyle name="20% - Accent1 2 3 3 2" xfId="167" xr:uid="{00000000-0005-0000-0000-0000ED000000}"/>
    <cellStyle name="20% - Accent1 2 3 3 2 2" xfId="168" xr:uid="{00000000-0005-0000-0000-0000EE000000}"/>
    <cellStyle name="20% - Accent1 2 3 3 2_Inputs" xfId="3256" xr:uid="{00000000-0005-0000-0000-0000EF000000}"/>
    <cellStyle name="20% - Accent1 2 3 3 3" xfId="169" xr:uid="{00000000-0005-0000-0000-0000F0000000}"/>
    <cellStyle name="20% - Accent1 2 3 3 3 2" xfId="170" xr:uid="{00000000-0005-0000-0000-0000F1000000}"/>
    <cellStyle name="20% - Accent1 2 3 3 3_Inputs" xfId="3257" xr:uid="{00000000-0005-0000-0000-0000F2000000}"/>
    <cellStyle name="20% - Accent1 2 3 3 4" xfId="171" xr:uid="{00000000-0005-0000-0000-0000F3000000}"/>
    <cellStyle name="20% - Accent1 2 3 3_Inputs" xfId="3255" xr:uid="{00000000-0005-0000-0000-0000F4000000}"/>
    <cellStyle name="20% - Accent1 2 3 4" xfId="172" xr:uid="{00000000-0005-0000-0000-0000F5000000}"/>
    <cellStyle name="20% - Accent1 2 3 4 2" xfId="173" xr:uid="{00000000-0005-0000-0000-0000F6000000}"/>
    <cellStyle name="20% - Accent1 2 3 4_Inputs" xfId="3258" xr:uid="{00000000-0005-0000-0000-0000F7000000}"/>
    <cellStyle name="20% - Accent1 2 3 5" xfId="174" xr:uid="{00000000-0005-0000-0000-0000F8000000}"/>
    <cellStyle name="20% - Accent1 2 3 5 2" xfId="175" xr:uid="{00000000-0005-0000-0000-0000F9000000}"/>
    <cellStyle name="20% - Accent1 2 3 5_Inputs" xfId="3259" xr:uid="{00000000-0005-0000-0000-0000FA000000}"/>
    <cellStyle name="20% - Accent1 2 3 6" xfId="176" xr:uid="{00000000-0005-0000-0000-0000FB000000}"/>
    <cellStyle name="20% - Accent1 2 3_Bdx 1517" xfId="177" xr:uid="{00000000-0005-0000-0000-0000FC000000}"/>
    <cellStyle name="20% - Accent1 2 4" xfId="178" xr:uid="{00000000-0005-0000-0000-0000FD000000}"/>
    <cellStyle name="20% - Accent1 2 4 2" xfId="179" xr:uid="{00000000-0005-0000-0000-0000FE000000}"/>
    <cellStyle name="20% - Accent1 2 4 2 2" xfId="180" xr:uid="{00000000-0005-0000-0000-0000FF000000}"/>
    <cellStyle name="20% - Accent1 2 4 2_Inputs" xfId="3261" xr:uid="{00000000-0005-0000-0000-000000010000}"/>
    <cellStyle name="20% - Accent1 2 4 3" xfId="181" xr:uid="{00000000-0005-0000-0000-000001010000}"/>
    <cellStyle name="20% - Accent1 2 4 3 2" xfId="182" xr:uid="{00000000-0005-0000-0000-000002010000}"/>
    <cellStyle name="20% - Accent1 2 4 3_Inputs" xfId="3262" xr:uid="{00000000-0005-0000-0000-000003010000}"/>
    <cellStyle name="20% - Accent1 2 4 4" xfId="183" xr:uid="{00000000-0005-0000-0000-000004010000}"/>
    <cellStyle name="20% - Accent1 2 4_Inputs" xfId="3260" xr:uid="{00000000-0005-0000-0000-000005010000}"/>
    <cellStyle name="20% - Accent1 2 5" xfId="184" xr:uid="{00000000-0005-0000-0000-000006010000}"/>
    <cellStyle name="20% - Accent1 2 5 2" xfId="185" xr:uid="{00000000-0005-0000-0000-000007010000}"/>
    <cellStyle name="20% - Accent1 2 5 2 2" xfId="186" xr:uid="{00000000-0005-0000-0000-000008010000}"/>
    <cellStyle name="20% - Accent1 2 5 2_Inputs" xfId="3264" xr:uid="{00000000-0005-0000-0000-000009010000}"/>
    <cellStyle name="20% - Accent1 2 5 3" xfId="187" xr:uid="{00000000-0005-0000-0000-00000A010000}"/>
    <cellStyle name="20% - Accent1 2 5 3 2" xfId="188" xr:uid="{00000000-0005-0000-0000-00000B010000}"/>
    <cellStyle name="20% - Accent1 2 5 3_Inputs" xfId="3265" xr:uid="{00000000-0005-0000-0000-00000C010000}"/>
    <cellStyle name="20% - Accent1 2 5 4" xfId="189" xr:uid="{00000000-0005-0000-0000-00000D010000}"/>
    <cellStyle name="20% - Accent1 2 5_Inputs" xfId="3263" xr:uid="{00000000-0005-0000-0000-00000E010000}"/>
    <cellStyle name="20% - Accent1 2 6" xfId="190" xr:uid="{00000000-0005-0000-0000-00000F010000}"/>
    <cellStyle name="20% - Accent1 2 6 2" xfId="191" xr:uid="{00000000-0005-0000-0000-000010010000}"/>
    <cellStyle name="20% - Accent1 2 6_Inputs" xfId="3266" xr:uid="{00000000-0005-0000-0000-000011010000}"/>
    <cellStyle name="20% - Accent1 2 7" xfId="192" xr:uid="{00000000-0005-0000-0000-000012010000}"/>
    <cellStyle name="20% - Accent1 2 7 2" xfId="193" xr:uid="{00000000-0005-0000-0000-000013010000}"/>
    <cellStyle name="20% - Accent1 2 7_Inputs" xfId="3267" xr:uid="{00000000-0005-0000-0000-000014010000}"/>
    <cellStyle name="20% - Accent1 2 8" xfId="194" xr:uid="{00000000-0005-0000-0000-000015010000}"/>
    <cellStyle name="20% - Accent1 2_Bdx 1517" xfId="195" xr:uid="{00000000-0005-0000-0000-000016010000}"/>
    <cellStyle name="20% - Accent1 3" xfId="196" xr:uid="{00000000-0005-0000-0000-000017010000}"/>
    <cellStyle name="20% - Accent1 3 2" xfId="197" xr:uid="{00000000-0005-0000-0000-000018010000}"/>
    <cellStyle name="20% - Accent1 3 2 2" xfId="198" xr:uid="{00000000-0005-0000-0000-000019010000}"/>
    <cellStyle name="20% - Accent1 3 2 2 2" xfId="199" xr:uid="{00000000-0005-0000-0000-00001A010000}"/>
    <cellStyle name="20% - Accent1 3 2 2 2 2" xfId="200" xr:uid="{00000000-0005-0000-0000-00001B010000}"/>
    <cellStyle name="20% - Accent1 3 2 2 2_Inputs" xfId="3269" xr:uid="{00000000-0005-0000-0000-00001C010000}"/>
    <cellStyle name="20% - Accent1 3 2 2 3" xfId="201" xr:uid="{00000000-0005-0000-0000-00001D010000}"/>
    <cellStyle name="20% - Accent1 3 2 2 3 2" xfId="202" xr:uid="{00000000-0005-0000-0000-00001E010000}"/>
    <cellStyle name="20% - Accent1 3 2 2 3_Inputs" xfId="3270" xr:uid="{00000000-0005-0000-0000-00001F010000}"/>
    <cellStyle name="20% - Accent1 3 2 2 4" xfId="203" xr:uid="{00000000-0005-0000-0000-000020010000}"/>
    <cellStyle name="20% - Accent1 3 2 2_Inputs" xfId="3268" xr:uid="{00000000-0005-0000-0000-000021010000}"/>
    <cellStyle name="20% - Accent1 3 2 3" xfId="204" xr:uid="{00000000-0005-0000-0000-000022010000}"/>
    <cellStyle name="20% - Accent1 3 2 3 2" xfId="205" xr:uid="{00000000-0005-0000-0000-000023010000}"/>
    <cellStyle name="20% - Accent1 3 2 3 2 2" xfId="206" xr:uid="{00000000-0005-0000-0000-000024010000}"/>
    <cellStyle name="20% - Accent1 3 2 3 2_Inputs" xfId="3272" xr:uid="{00000000-0005-0000-0000-000025010000}"/>
    <cellStyle name="20% - Accent1 3 2 3 3" xfId="207" xr:uid="{00000000-0005-0000-0000-000026010000}"/>
    <cellStyle name="20% - Accent1 3 2 3 3 2" xfId="208" xr:uid="{00000000-0005-0000-0000-000027010000}"/>
    <cellStyle name="20% - Accent1 3 2 3 3_Inputs" xfId="3273" xr:uid="{00000000-0005-0000-0000-000028010000}"/>
    <cellStyle name="20% - Accent1 3 2 3 4" xfId="209" xr:uid="{00000000-0005-0000-0000-000029010000}"/>
    <cellStyle name="20% - Accent1 3 2 3_Inputs" xfId="3271" xr:uid="{00000000-0005-0000-0000-00002A010000}"/>
    <cellStyle name="20% - Accent1 3 2 4" xfId="210" xr:uid="{00000000-0005-0000-0000-00002B010000}"/>
    <cellStyle name="20% - Accent1 3 2 4 2" xfId="211" xr:uid="{00000000-0005-0000-0000-00002C010000}"/>
    <cellStyle name="20% - Accent1 3 2 4_Inputs" xfId="3274" xr:uid="{00000000-0005-0000-0000-00002D010000}"/>
    <cellStyle name="20% - Accent1 3 2 5" xfId="212" xr:uid="{00000000-0005-0000-0000-00002E010000}"/>
    <cellStyle name="20% - Accent1 3 2 5 2" xfId="213" xr:uid="{00000000-0005-0000-0000-00002F010000}"/>
    <cellStyle name="20% - Accent1 3 2 5_Inputs" xfId="3275" xr:uid="{00000000-0005-0000-0000-000030010000}"/>
    <cellStyle name="20% - Accent1 3 2 6" xfId="214" xr:uid="{00000000-0005-0000-0000-000031010000}"/>
    <cellStyle name="20% - Accent1 3 2_Bdx 1517" xfId="215" xr:uid="{00000000-0005-0000-0000-000032010000}"/>
    <cellStyle name="20% - Accent1 3 3" xfId="216" xr:uid="{00000000-0005-0000-0000-000033010000}"/>
    <cellStyle name="20% - Accent1 3 3 2" xfId="217" xr:uid="{00000000-0005-0000-0000-000034010000}"/>
    <cellStyle name="20% - Accent1 3 3 2 2" xfId="218" xr:uid="{00000000-0005-0000-0000-000035010000}"/>
    <cellStyle name="20% - Accent1 3 3 2_Inputs" xfId="3277" xr:uid="{00000000-0005-0000-0000-000036010000}"/>
    <cellStyle name="20% - Accent1 3 3 3" xfId="219" xr:uid="{00000000-0005-0000-0000-000037010000}"/>
    <cellStyle name="20% - Accent1 3 3 3 2" xfId="220" xr:uid="{00000000-0005-0000-0000-000038010000}"/>
    <cellStyle name="20% - Accent1 3 3 3_Inputs" xfId="3278" xr:uid="{00000000-0005-0000-0000-000039010000}"/>
    <cellStyle name="20% - Accent1 3 3 4" xfId="221" xr:uid="{00000000-0005-0000-0000-00003A010000}"/>
    <cellStyle name="20% - Accent1 3 3_Inputs" xfId="3276" xr:uid="{00000000-0005-0000-0000-00003B010000}"/>
    <cellStyle name="20% - Accent1 3 4" xfId="222" xr:uid="{00000000-0005-0000-0000-00003C010000}"/>
    <cellStyle name="20% - Accent1 3 4 2" xfId="223" xr:uid="{00000000-0005-0000-0000-00003D010000}"/>
    <cellStyle name="20% - Accent1 3 4 2 2" xfId="224" xr:uid="{00000000-0005-0000-0000-00003E010000}"/>
    <cellStyle name="20% - Accent1 3 4 2_Inputs" xfId="3280" xr:uid="{00000000-0005-0000-0000-00003F010000}"/>
    <cellStyle name="20% - Accent1 3 4 3" xfId="225" xr:uid="{00000000-0005-0000-0000-000040010000}"/>
    <cellStyle name="20% - Accent1 3 4 3 2" xfId="226" xr:uid="{00000000-0005-0000-0000-000041010000}"/>
    <cellStyle name="20% - Accent1 3 4 3_Inputs" xfId="3281" xr:uid="{00000000-0005-0000-0000-000042010000}"/>
    <cellStyle name="20% - Accent1 3 4 4" xfId="227" xr:uid="{00000000-0005-0000-0000-000043010000}"/>
    <cellStyle name="20% - Accent1 3 4_Inputs" xfId="3279" xr:uid="{00000000-0005-0000-0000-000044010000}"/>
    <cellStyle name="20% - Accent1 3 5" xfId="228" xr:uid="{00000000-0005-0000-0000-000045010000}"/>
    <cellStyle name="20% - Accent1 3 5 2" xfId="229" xr:uid="{00000000-0005-0000-0000-000046010000}"/>
    <cellStyle name="20% - Accent1 3 5_Inputs" xfId="3282" xr:uid="{00000000-0005-0000-0000-000047010000}"/>
    <cellStyle name="20% - Accent1 3 6" xfId="230" xr:uid="{00000000-0005-0000-0000-000048010000}"/>
    <cellStyle name="20% - Accent1 3 6 2" xfId="231" xr:uid="{00000000-0005-0000-0000-000049010000}"/>
    <cellStyle name="20% - Accent1 3 6_Inputs" xfId="3283" xr:uid="{00000000-0005-0000-0000-00004A010000}"/>
    <cellStyle name="20% - Accent1 3 7" xfId="232" xr:uid="{00000000-0005-0000-0000-00004B010000}"/>
    <cellStyle name="20% - Accent1 3_Bdx 1517" xfId="233" xr:uid="{00000000-0005-0000-0000-00004C010000}"/>
    <cellStyle name="20% - Accent1 4" xfId="234" xr:uid="{00000000-0005-0000-0000-00004D010000}"/>
    <cellStyle name="20% - Accent1 4 2" xfId="235" xr:uid="{00000000-0005-0000-0000-00004E010000}"/>
    <cellStyle name="20% - Accent1 4 2 2" xfId="236" xr:uid="{00000000-0005-0000-0000-00004F010000}"/>
    <cellStyle name="20% - Accent1 4 2 2 2" xfId="237" xr:uid="{00000000-0005-0000-0000-000050010000}"/>
    <cellStyle name="20% - Accent1 4 2 2_Inputs" xfId="3285" xr:uid="{00000000-0005-0000-0000-000051010000}"/>
    <cellStyle name="20% - Accent1 4 2 3" xfId="238" xr:uid="{00000000-0005-0000-0000-000052010000}"/>
    <cellStyle name="20% - Accent1 4 2 3 2" xfId="239" xr:uid="{00000000-0005-0000-0000-000053010000}"/>
    <cellStyle name="20% - Accent1 4 2 3_Inputs" xfId="3286" xr:uid="{00000000-0005-0000-0000-000054010000}"/>
    <cellStyle name="20% - Accent1 4 2 4" xfId="240" xr:uid="{00000000-0005-0000-0000-000055010000}"/>
    <cellStyle name="20% - Accent1 4 2_Inputs" xfId="3284" xr:uid="{00000000-0005-0000-0000-000056010000}"/>
    <cellStyle name="20% - Accent1 4 3" xfId="241" xr:uid="{00000000-0005-0000-0000-000057010000}"/>
    <cellStyle name="20% - Accent1 4 3 2" xfId="242" xr:uid="{00000000-0005-0000-0000-000058010000}"/>
    <cellStyle name="20% - Accent1 4 3 2 2" xfId="243" xr:uid="{00000000-0005-0000-0000-000059010000}"/>
    <cellStyle name="20% - Accent1 4 3 2_Inputs" xfId="3288" xr:uid="{00000000-0005-0000-0000-00005A010000}"/>
    <cellStyle name="20% - Accent1 4 3 3" xfId="244" xr:uid="{00000000-0005-0000-0000-00005B010000}"/>
    <cellStyle name="20% - Accent1 4 3 3 2" xfId="245" xr:uid="{00000000-0005-0000-0000-00005C010000}"/>
    <cellStyle name="20% - Accent1 4 3 3_Inputs" xfId="3289" xr:uid="{00000000-0005-0000-0000-00005D010000}"/>
    <cellStyle name="20% - Accent1 4 3 4" xfId="246" xr:uid="{00000000-0005-0000-0000-00005E010000}"/>
    <cellStyle name="20% - Accent1 4 3_Inputs" xfId="3287" xr:uid="{00000000-0005-0000-0000-00005F010000}"/>
    <cellStyle name="20% - Accent1 4 4" xfId="247" xr:uid="{00000000-0005-0000-0000-000060010000}"/>
    <cellStyle name="20% - Accent1 4 4 2" xfId="248" xr:uid="{00000000-0005-0000-0000-000061010000}"/>
    <cellStyle name="20% - Accent1 4 4_Inputs" xfId="3290" xr:uid="{00000000-0005-0000-0000-000062010000}"/>
    <cellStyle name="20% - Accent1 4 5" xfId="249" xr:uid="{00000000-0005-0000-0000-000063010000}"/>
    <cellStyle name="20% - Accent1 4 5 2" xfId="250" xr:uid="{00000000-0005-0000-0000-000064010000}"/>
    <cellStyle name="20% - Accent1 4 5_Inputs" xfId="3291" xr:uid="{00000000-0005-0000-0000-000065010000}"/>
    <cellStyle name="20% - Accent1 4 6" xfId="251" xr:uid="{00000000-0005-0000-0000-000066010000}"/>
    <cellStyle name="20% - Accent1 4_Bdx 1517" xfId="252" xr:uid="{00000000-0005-0000-0000-000067010000}"/>
    <cellStyle name="20% - Accent1 5" xfId="253" xr:uid="{00000000-0005-0000-0000-000068010000}"/>
    <cellStyle name="20% - Accent1 5 2" xfId="254" xr:uid="{00000000-0005-0000-0000-000069010000}"/>
    <cellStyle name="20% - Accent1 5 2 2" xfId="255" xr:uid="{00000000-0005-0000-0000-00006A010000}"/>
    <cellStyle name="20% - Accent1 5 2_Inputs" xfId="3293" xr:uid="{00000000-0005-0000-0000-00006B010000}"/>
    <cellStyle name="20% - Accent1 5 3" xfId="256" xr:uid="{00000000-0005-0000-0000-00006C010000}"/>
    <cellStyle name="20% - Accent1 5 3 2" xfId="257" xr:uid="{00000000-0005-0000-0000-00006D010000}"/>
    <cellStyle name="20% - Accent1 5 3_Inputs" xfId="3294" xr:uid="{00000000-0005-0000-0000-00006E010000}"/>
    <cellStyle name="20% - Accent1 5 4" xfId="258" xr:uid="{00000000-0005-0000-0000-00006F010000}"/>
    <cellStyle name="20% - Accent1 5_Inputs" xfId="3292" xr:uid="{00000000-0005-0000-0000-000070010000}"/>
    <cellStyle name="20% - Accent1 6" xfId="259" xr:uid="{00000000-0005-0000-0000-000071010000}"/>
    <cellStyle name="20% - Accent1 6 2" xfId="260" xr:uid="{00000000-0005-0000-0000-000072010000}"/>
    <cellStyle name="20% - Accent1 6_Inputs" xfId="3295" xr:uid="{00000000-0005-0000-0000-000073010000}"/>
    <cellStyle name="20% - Accent1 7" xfId="261" xr:uid="{00000000-0005-0000-0000-000074010000}"/>
    <cellStyle name="20% - Accent1 7 2" xfId="262" xr:uid="{00000000-0005-0000-0000-000075010000}"/>
    <cellStyle name="20% - Accent1 7_Inputs" xfId="3296" xr:uid="{00000000-0005-0000-0000-000076010000}"/>
    <cellStyle name="20% - Accent1 8" xfId="263" xr:uid="{00000000-0005-0000-0000-000077010000}"/>
    <cellStyle name="20% - Accent2 2" xfId="264" xr:uid="{00000000-0005-0000-0000-000078010000}"/>
    <cellStyle name="20% - Accent2 2 2" xfId="265" xr:uid="{00000000-0005-0000-0000-000079010000}"/>
    <cellStyle name="20% - Accent2 2 2 2" xfId="266" xr:uid="{00000000-0005-0000-0000-00007A010000}"/>
    <cellStyle name="20% - Accent2 2 2 2 2" xfId="267" xr:uid="{00000000-0005-0000-0000-00007B010000}"/>
    <cellStyle name="20% - Accent2 2 2 2 2 2" xfId="268" xr:uid="{00000000-0005-0000-0000-00007C010000}"/>
    <cellStyle name="20% - Accent2 2 2 2 2_Inputs" xfId="3298" xr:uid="{00000000-0005-0000-0000-00007D010000}"/>
    <cellStyle name="20% - Accent2 2 2 2 3" xfId="269" xr:uid="{00000000-0005-0000-0000-00007E010000}"/>
    <cellStyle name="20% - Accent2 2 2 2 3 2" xfId="270" xr:uid="{00000000-0005-0000-0000-00007F010000}"/>
    <cellStyle name="20% - Accent2 2 2 2 3_Inputs" xfId="3299" xr:uid="{00000000-0005-0000-0000-000080010000}"/>
    <cellStyle name="20% - Accent2 2 2 2 4" xfId="271" xr:uid="{00000000-0005-0000-0000-000081010000}"/>
    <cellStyle name="20% - Accent2 2 2 2_Inputs" xfId="3297" xr:uid="{00000000-0005-0000-0000-000082010000}"/>
    <cellStyle name="20% - Accent2 2 2 3" xfId="272" xr:uid="{00000000-0005-0000-0000-000083010000}"/>
    <cellStyle name="20% - Accent2 2 2 3 2" xfId="273" xr:uid="{00000000-0005-0000-0000-000084010000}"/>
    <cellStyle name="20% - Accent2 2 2 3 2 2" xfId="274" xr:uid="{00000000-0005-0000-0000-000085010000}"/>
    <cellStyle name="20% - Accent2 2 2 3 2_Inputs" xfId="3301" xr:uid="{00000000-0005-0000-0000-000086010000}"/>
    <cellStyle name="20% - Accent2 2 2 3 3" xfId="275" xr:uid="{00000000-0005-0000-0000-000087010000}"/>
    <cellStyle name="20% - Accent2 2 2 3 3 2" xfId="276" xr:uid="{00000000-0005-0000-0000-000088010000}"/>
    <cellStyle name="20% - Accent2 2 2 3 3_Inputs" xfId="3302" xr:uid="{00000000-0005-0000-0000-000089010000}"/>
    <cellStyle name="20% - Accent2 2 2 3 4" xfId="277" xr:uid="{00000000-0005-0000-0000-00008A010000}"/>
    <cellStyle name="20% - Accent2 2 2 3_Inputs" xfId="3300" xr:uid="{00000000-0005-0000-0000-00008B010000}"/>
    <cellStyle name="20% - Accent2 2 2 4" xfId="278" xr:uid="{00000000-0005-0000-0000-00008C010000}"/>
    <cellStyle name="20% - Accent2 2 2 4 2" xfId="279" xr:uid="{00000000-0005-0000-0000-00008D010000}"/>
    <cellStyle name="20% - Accent2 2 2 4_Inputs" xfId="3303" xr:uid="{00000000-0005-0000-0000-00008E010000}"/>
    <cellStyle name="20% - Accent2 2 2 5" xfId="280" xr:uid="{00000000-0005-0000-0000-00008F010000}"/>
    <cellStyle name="20% - Accent2 2 2 5 2" xfId="281" xr:uid="{00000000-0005-0000-0000-000090010000}"/>
    <cellStyle name="20% - Accent2 2 2 5_Inputs" xfId="3304" xr:uid="{00000000-0005-0000-0000-000091010000}"/>
    <cellStyle name="20% - Accent2 2 2 6" xfId="282" xr:uid="{00000000-0005-0000-0000-000092010000}"/>
    <cellStyle name="20% - Accent2 2 2_Bdx 1517" xfId="283" xr:uid="{00000000-0005-0000-0000-000093010000}"/>
    <cellStyle name="20% - Accent2 2 3" xfId="284" xr:uid="{00000000-0005-0000-0000-000094010000}"/>
    <cellStyle name="20% - Accent2 2 3 2" xfId="285" xr:uid="{00000000-0005-0000-0000-000095010000}"/>
    <cellStyle name="20% - Accent2 2 3 2 2" xfId="286" xr:uid="{00000000-0005-0000-0000-000096010000}"/>
    <cellStyle name="20% - Accent2 2 3 2 2 2" xfId="287" xr:uid="{00000000-0005-0000-0000-000097010000}"/>
    <cellStyle name="20% - Accent2 2 3 2 2_Inputs" xfId="3306" xr:uid="{00000000-0005-0000-0000-000098010000}"/>
    <cellStyle name="20% - Accent2 2 3 2 3" xfId="288" xr:uid="{00000000-0005-0000-0000-000099010000}"/>
    <cellStyle name="20% - Accent2 2 3 2 3 2" xfId="289" xr:uid="{00000000-0005-0000-0000-00009A010000}"/>
    <cellStyle name="20% - Accent2 2 3 2 3_Inputs" xfId="3307" xr:uid="{00000000-0005-0000-0000-00009B010000}"/>
    <cellStyle name="20% - Accent2 2 3 2 4" xfId="290" xr:uid="{00000000-0005-0000-0000-00009C010000}"/>
    <cellStyle name="20% - Accent2 2 3 2_Inputs" xfId="3305" xr:uid="{00000000-0005-0000-0000-00009D010000}"/>
    <cellStyle name="20% - Accent2 2 3 3" xfId="291" xr:uid="{00000000-0005-0000-0000-00009E010000}"/>
    <cellStyle name="20% - Accent2 2 3 3 2" xfId="292" xr:uid="{00000000-0005-0000-0000-00009F010000}"/>
    <cellStyle name="20% - Accent2 2 3 3 2 2" xfId="293" xr:uid="{00000000-0005-0000-0000-0000A0010000}"/>
    <cellStyle name="20% - Accent2 2 3 3 2_Inputs" xfId="3309" xr:uid="{00000000-0005-0000-0000-0000A1010000}"/>
    <cellStyle name="20% - Accent2 2 3 3 3" xfId="294" xr:uid="{00000000-0005-0000-0000-0000A2010000}"/>
    <cellStyle name="20% - Accent2 2 3 3 3 2" xfId="295" xr:uid="{00000000-0005-0000-0000-0000A3010000}"/>
    <cellStyle name="20% - Accent2 2 3 3 3_Inputs" xfId="3310" xr:uid="{00000000-0005-0000-0000-0000A4010000}"/>
    <cellStyle name="20% - Accent2 2 3 3 4" xfId="296" xr:uid="{00000000-0005-0000-0000-0000A5010000}"/>
    <cellStyle name="20% - Accent2 2 3 3_Inputs" xfId="3308" xr:uid="{00000000-0005-0000-0000-0000A6010000}"/>
    <cellStyle name="20% - Accent2 2 3 4" xfId="297" xr:uid="{00000000-0005-0000-0000-0000A7010000}"/>
    <cellStyle name="20% - Accent2 2 3 4 2" xfId="298" xr:uid="{00000000-0005-0000-0000-0000A8010000}"/>
    <cellStyle name="20% - Accent2 2 3 4_Inputs" xfId="3311" xr:uid="{00000000-0005-0000-0000-0000A9010000}"/>
    <cellStyle name="20% - Accent2 2 3 5" xfId="299" xr:uid="{00000000-0005-0000-0000-0000AA010000}"/>
    <cellStyle name="20% - Accent2 2 3 5 2" xfId="300" xr:uid="{00000000-0005-0000-0000-0000AB010000}"/>
    <cellStyle name="20% - Accent2 2 3 5_Inputs" xfId="3312" xr:uid="{00000000-0005-0000-0000-0000AC010000}"/>
    <cellStyle name="20% - Accent2 2 3 6" xfId="301" xr:uid="{00000000-0005-0000-0000-0000AD010000}"/>
    <cellStyle name="20% - Accent2 2 3_Bdx 1517" xfId="302" xr:uid="{00000000-0005-0000-0000-0000AE010000}"/>
    <cellStyle name="20% - Accent2 2 4" xfId="303" xr:uid="{00000000-0005-0000-0000-0000AF010000}"/>
    <cellStyle name="20% - Accent2 2 4 2" xfId="304" xr:uid="{00000000-0005-0000-0000-0000B0010000}"/>
    <cellStyle name="20% - Accent2 2 4 2 2" xfId="305" xr:uid="{00000000-0005-0000-0000-0000B1010000}"/>
    <cellStyle name="20% - Accent2 2 4 2_Inputs" xfId="3314" xr:uid="{00000000-0005-0000-0000-0000B2010000}"/>
    <cellStyle name="20% - Accent2 2 4 3" xfId="306" xr:uid="{00000000-0005-0000-0000-0000B3010000}"/>
    <cellStyle name="20% - Accent2 2 4 3 2" xfId="307" xr:uid="{00000000-0005-0000-0000-0000B4010000}"/>
    <cellStyle name="20% - Accent2 2 4 3_Inputs" xfId="3315" xr:uid="{00000000-0005-0000-0000-0000B5010000}"/>
    <cellStyle name="20% - Accent2 2 4 4" xfId="308" xr:uid="{00000000-0005-0000-0000-0000B6010000}"/>
    <cellStyle name="20% - Accent2 2 4_Inputs" xfId="3313" xr:uid="{00000000-0005-0000-0000-0000B7010000}"/>
    <cellStyle name="20% - Accent2 2 5" xfId="309" xr:uid="{00000000-0005-0000-0000-0000B8010000}"/>
    <cellStyle name="20% - Accent2 2 5 2" xfId="310" xr:uid="{00000000-0005-0000-0000-0000B9010000}"/>
    <cellStyle name="20% - Accent2 2 5 2 2" xfId="311" xr:uid="{00000000-0005-0000-0000-0000BA010000}"/>
    <cellStyle name="20% - Accent2 2 5 2_Inputs" xfId="3317" xr:uid="{00000000-0005-0000-0000-0000BB010000}"/>
    <cellStyle name="20% - Accent2 2 5 3" xfId="312" xr:uid="{00000000-0005-0000-0000-0000BC010000}"/>
    <cellStyle name="20% - Accent2 2 5 3 2" xfId="313" xr:uid="{00000000-0005-0000-0000-0000BD010000}"/>
    <cellStyle name="20% - Accent2 2 5 3_Inputs" xfId="3318" xr:uid="{00000000-0005-0000-0000-0000BE010000}"/>
    <cellStyle name="20% - Accent2 2 5 4" xfId="314" xr:uid="{00000000-0005-0000-0000-0000BF010000}"/>
    <cellStyle name="20% - Accent2 2 5_Inputs" xfId="3316" xr:uid="{00000000-0005-0000-0000-0000C0010000}"/>
    <cellStyle name="20% - Accent2 2 6" xfId="315" xr:uid="{00000000-0005-0000-0000-0000C1010000}"/>
    <cellStyle name="20% - Accent2 2 6 2" xfId="316" xr:uid="{00000000-0005-0000-0000-0000C2010000}"/>
    <cellStyle name="20% - Accent2 2 6_Inputs" xfId="3319" xr:uid="{00000000-0005-0000-0000-0000C3010000}"/>
    <cellStyle name="20% - Accent2 2 7" xfId="317" xr:uid="{00000000-0005-0000-0000-0000C4010000}"/>
    <cellStyle name="20% - Accent2 2 7 2" xfId="318" xr:uid="{00000000-0005-0000-0000-0000C5010000}"/>
    <cellStyle name="20% - Accent2 2 7_Inputs" xfId="3320" xr:uid="{00000000-0005-0000-0000-0000C6010000}"/>
    <cellStyle name="20% - Accent2 2 8" xfId="319" xr:uid="{00000000-0005-0000-0000-0000C7010000}"/>
    <cellStyle name="20% - Accent2 2_Bdx 1517" xfId="320" xr:uid="{00000000-0005-0000-0000-0000C8010000}"/>
    <cellStyle name="20% - Accent2 3" xfId="321" xr:uid="{00000000-0005-0000-0000-0000C9010000}"/>
    <cellStyle name="20% - Accent2 3 2" xfId="322" xr:uid="{00000000-0005-0000-0000-0000CA010000}"/>
    <cellStyle name="20% - Accent2 3 2 2" xfId="323" xr:uid="{00000000-0005-0000-0000-0000CB010000}"/>
    <cellStyle name="20% - Accent2 3 2 2 2" xfId="324" xr:uid="{00000000-0005-0000-0000-0000CC010000}"/>
    <cellStyle name="20% - Accent2 3 2 2 2 2" xfId="325" xr:uid="{00000000-0005-0000-0000-0000CD010000}"/>
    <cellStyle name="20% - Accent2 3 2 2 2_Inputs" xfId="3322" xr:uid="{00000000-0005-0000-0000-0000CE010000}"/>
    <cellStyle name="20% - Accent2 3 2 2 3" xfId="326" xr:uid="{00000000-0005-0000-0000-0000CF010000}"/>
    <cellStyle name="20% - Accent2 3 2 2 3 2" xfId="327" xr:uid="{00000000-0005-0000-0000-0000D0010000}"/>
    <cellStyle name="20% - Accent2 3 2 2 3_Inputs" xfId="3323" xr:uid="{00000000-0005-0000-0000-0000D1010000}"/>
    <cellStyle name="20% - Accent2 3 2 2 4" xfId="328" xr:uid="{00000000-0005-0000-0000-0000D2010000}"/>
    <cellStyle name="20% - Accent2 3 2 2_Inputs" xfId="3321" xr:uid="{00000000-0005-0000-0000-0000D3010000}"/>
    <cellStyle name="20% - Accent2 3 2 3" xfId="329" xr:uid="{00000000-0005-0000-0000-0000D4010000}"/>
    <cellStyle name="20% - Accent2 3 2 3 2" xfId="330" xr:uid="{00000000-0005-0000-0000-0000D5010000}"/>
    <cellStyle name="20% - Accent2 3 2 3 2 2" xfId="331" xr:uid="{00000000-0005-0000-0000-0000D6010000}"/>
    <cellStyle name="20% - Accent2 3 2 3 2_Inputs" xfId="3325" xr:uid="{00000000-0005-0000-0000-0000D7010000}"/>
    <cellStyle name="20% - Accent2 3 2 3 3" xfId="332" xr:uid="{00000000-0005-0000-0000-0000D8010000}"/>
    <cellStyle name="20% - Accent2 3 2 3 3 2" xfId="333" xr:uid="{00000000-0005-0000-0000-0000D9010000}"/>
    <cellStyle name="20% - Accent2 3 2 3 3_Inputs" xfId="3326" xr:uid="{00000000-0005-0000-0000-0000DA010000}"/>
    <cellStyle name="20% - Accent2 3 2 3 4" xfId="334" xr:uid="{00000000-0005-0000-0000-0000DB010000}"/>
    <cellStyle name="20% - Accent2 3 2 3_Inputs" xfId="3324" xr:uid="{00000000-0005-0000-0000-0000DC010000}"/>
    <cellStyle name="20% - Accent2 3 2 4" xfId="335" xr:uid="{00000000-0005-0000-0000-0000DD010000}"/>
    <cellStyle name="20% - Accent2 3 2 4 2" xfId="336" xr:uid="{00000000-0005-0000-0000-0000DE010000}"/>
    <cellStyle name="20% - Accent2 3 2 4_Inputs" xfId="3327" xr:uid="{00000000-0005-0000-0000-0000DF010000}"/>
    <cellStyle name="20% - Accent2 3 2 5" xfId="337" xr:uid="{00000000-0005-0000-0000-0000E0010000}"/>
    <cellStyle name="20% - Accent2 3 2 5 2" xfId="338" xr:uid="{00000000-0005-0000-0000-0000E1010000}"/>
    <cellStyle name="20% - Accent2 3 2 5_Inputs" xfId="3328" xr:uid="{00000000-0005-0000-0000-0000E2010000}"/>
    <cellStyle name="20% - Accent2 3 2 6" xfId="339" xr:uid="{00000000-0005-0000-0000-0000E3010000}"/>
    <cellStyle name="20% - Accent2 3 2_Bdx 1517" xfId="340" xr:uid="{00000000-0005-0000-0000-0000E4010000}"/>
    <cellStyle name="20% - Accent2 3 3" xfId="341" xr:uid="{00000000-0005-0000-0000-0000E5010000}"/>
    <cellStyle name="20% - Accent2 3 3 2" xfId="342" xr:uid="{00000000-0005-0000-0000-0000E6010000}"/>
    <cellStyle name="20% - Accent2 3 3 2 2" xfId="343" xr:uid="{00000000-0005-0000-0000-0000E7010000}"/>
    <cellStyle name="20% - Accent2 3 3 2_Inputs" xfId="3330" xr:uid="{00000000-0005-0000-0000-0000E8010000}"/>
    <cellStyle name="20% - Accent2 3 3 3" xfId="344" xr:uid="{00000000-0005-0000-0000-0000E9010000}"/>
    <cellStyle name="20% - Accent2 3 3 3 2" xfId="345" xr:uid="{00000000-0005-0000-0000-0000EA010000}"/>
    <cellStyle name="20% - Accent2 3 3 3_Inputs" xfId="3331" xr:uid="{00000000-0005-0000-0000-0000EB010000}"/>
    <cellStyle name="20% - Accent2 3 3 4" xfId="346" xr:uid="{00000000-0005-0000-0000-0000EC010000}"/>
    <cellStyle name="20% - Accent2 3 3_Inputs" xfId="3329" xr:uid="{00000000-0005-0000-0000-0000ED010000}"/>
    <cellStyle name="20% - Accent2 3 4" xfId="347" xr:uid="{00000000-0005-0000-0000-0000EE010000}"/>
    <cellStyle name="20% - Accent2 3 4 2" xfId="348" xr:uid="{00000000-0005-0000-0000-0000EF010000}"/>
    <cellStyle name="20% - Accent2 3 4 2 2" xfId="349" xr:uid="{00000000-0005-0000-0000-0000F0010000}"/>
    <cellStyle name="20% - Accent2 3 4 2_Inputs" xfId="3333" xr:uid="{00000000-0005-0000-0000-0000F1010000}"/>
    <cellStyle name="20% - Accent2 3 4 3" xfId="350" xr:uid="{00000000-0005-0000-0000-0000F2010000}"/>
    <cellStyle name="20% - Accent2 3 4 3 2" xfId="351" xr:uid="{00000000-0005-0000-0000-0000F3010000}"/>
    <cellStyle name="20% - Accent2 3 4 3_Inputs" xfId="3334" xr:uid="{00000000-0005-0000-0000-0000F4010000}"/>
    <cellStyle name="20% - Accent2 3 4 4" xfId="352" xr:uid="{00000000-0005-0000-0000-0000F5010000}"/>
    <cellStyle name="20% - Accent2 3 4_Inputs" xfId="3332" xr:uid="{00000000-0005-0000-0000-0000F6010000}"/>
    <cellStyle name="20% - Accent2 3 5" xfId="353" xr:uid="{00000000-0005-0000-0000-0000F7010000}"/>
    <cellStyle name="20% - Accent2 3 5 2" xfId="354" xr:uid="{00000000-0005-0000-0000-0000F8010000}"/>
    <cellStyle name="20% - Accent2 3 5_Inputs" xfId="3335" xr:uid="{00000000-0005-0000-0000-0000F9010000}"/>
    <cellStyle name="20% - Accent2 3 6" xfId="355" xr:uid="{00000000-0005-0000-0000-0000FA010000}"/>
    <cellStyle name="20% - Accent2 3 6 2" xfId="356" xr:uid="{00000000-0005-0000-0000-0000FB010000}"/>
    <cellStyle name="20% - Accent2 3 6_Inputs" xfId="3336" xr:uid="{00000000-0005-0000-0000-0000FC010000}"/>
    <cellStyle name="20% - Accent2 3 7" xfId="357" xr:uid="{00000000-0005-0000-0000-0000FD010000}"/>
    <cellStyle name="20% - Accent2 3_Bdx 1517" xfId="358" xr:uid="{00000000-0005-0000-0000-0000FE010000}"/>
    <cellStyle name="20% - Accent2 4" xfId="359" xr:uid="{00000000-0005-0000-0000-0000FF010000}"/>
    <cellStyle name="20% - Accent2 4 2" xfId="360" xr:uid="{00000000-0005-0000-0000-000000020000}"/>
    <cellStyle name="20% - Accent2 4 2 2" xfId="361" xr:uid="{00000000-0005-0000-0000-000001020000}"/>
    <cellStyle name="20% - Accent2 4 2 2 2" xfId="362" xr:uid="{00000000-0005-0000-0000-000002020000}"/>
    <cellStyle name="20% - Accent2 4 2 2_Inputs" xfId="3338" xr:uid="{00000000-0005-0000-0000-000003020000}"/>
    <cellStyle name="20% - Accent2 4 2 3" xfId="363" xr:uid="{00000000-0005-0000-0000-000004020000}"/>
    <cellStyle name="20% - Accent2 4 2 3 2" xfId="364" xr:uid="{00000000-0005-0000-0000-000005020000}"/>
    <cellStyle name="20% - Accent2 4 2 3_Inputs" xfId="3339" xr:uid="{00000000-0005-0000-0000-000006020000}"/>
    <cellStyle name="20% - Accent2 4 2 4" xfId="365" xr:uid="{00000000-0005-0000-0000-000007020000}"/>
    <cellStyle name="20% - Accent2 4 2_Inputs" xfId="3337" xr:uid="{00000000-0005-0000-0000-000008020000}"/>
    <cellStyle name="20% - Accent2 4 3" xfId="366" xr:uid="{00000000-0005-0000-0000-000009020000}"/>
    <cellStyle name="20% - Accent2 4 3 2" xfId="367" xr:uid="{00000000-0005-0000-0000-00000A020000}"/>
    <cellStyle name="20% - Accent2 4 3 2 2" xfId="368" xr:uid="{00000000-0005-0000-0000-00000B020000}"/>
    <cellStyle name="20% - Accent2 4 3 2_Inputs" xfId="3341" xr:uid="{00000000-0005-0000-0000-00000C020000}"/>
    <cellStyle name="20% - Accent2 4 3 3" xfId="369" xr:uid="{00000000-0005-0000-0000-00000D020000}"/>
    <cellStyle name="20% - Accent2 4 3 3 2" xfId="370" xr:uid="{00000000-0005-0000-0000-00000E020000}"/>
    <cellStyle name="20% - Accent2 4 3 3_Inputs" xfId="3342" xr:uid="{00000000-0005-0000-0000-00000F020000}"/>
    <cellStyle name="20% - Accent2 4 3 4" xfId="371" xr:uid="{00000000-0005-0000-0000-000010020000}"/>
    <cellStyle name="20% - Accent2 4 3_Inputs" xfId="3340" xr:uid="{00000000-0005-0000-0000-000011020000}"/>
    <cellStyle name="20% - Accent2 4 4" xfId="372" xr:uid="{00000000-0005-0000-0000-000012020000}"/>
    <cellStyle name="20% - Accent2 4 4 2" xfId="373" xr:uid="{00000000-0005-0000-0000-000013020000}"/>
    <cellStyle name="20% - Accent2 4 4_Inputs" xfId="3343" xr:uid="{00000000-0005-0000-0000-000014020000}"/>
    <cellStyle name="20% - Accent2 4 5" xfId="374" xr:uid="{00000000-0005-0000-0000-000015020000}"/>
    <cellStyle name="20% - Accent2 4 5 2" xfId="375" xr:uid="{00000000-0005-0000-0000-000016020000}"/>
    <cellStyle name="20% - Accent2 4 5_Inputs" xfId="3344" xr:uid="{00000000-0005-0000-0000-000017020000}"/>
    <cellStyle name="20% - Accent2 4 6" xfId="376" xr:uid="{00000000-0005-0000-0000-000018020000}"/>
    <cellStyle name="20% - Accent2 4_Bdx 1517" xfId="377" xr:uid="{00000000-0005-0000-0000-000019020000}"/>
    <cellStyle name="20% - Accent2 5" xfId="378" xr:uid="{00000000-0005-0000-0000-00001A020000}"/>
    <cellStyle name="20% - Accent2 5 2" xfId="379" xr:uid="{00000000-0005-0000-0000-00001B020000}"/>
    <cellStyle name="20% - Accent2 5 2 2" xfId="380" xr:uid="{00000000-0005-0000-0000-00001C020000}"/>
    <cellStyle name="20% - Accent2 5 2_Inputs" xfId="3346" xr:uid="{00000000-0005-0000-0000-00001D020000}"/>
    <cellStyle name="20% - Accent2 5 3" xfId="381" xr:uid="{00000000-0005-0000-0000-00001E020000}"/>
    <cellStyle name="20% - Accent2 5 3 2" xfId="382" xr:uid="{00000000-0005-0000-0000-00001F020000}"/>
    <cellStyle name="20% - Accent2 5 3_Inputs" xfId="3347" xr:uid="{00000000-0005-0000-0000-000020020000}"/>
    <cellStyle name="20% - Accent2 5 4" xfId="383" xr:uid="{00000000-0005-0000-0000-000021020000}"/>
    <cellStyle name="20% - Accent2 5_Inputs" xfId="3345" xr:uid="{00000000-0005-0000-0000-000022020000}"/>
    <cellStyle name="20% - Accent2 6" xfId="384" xr:uid="{00000000-0005-0000-0000-000023020000}"/>
    <cellStyle name="20% - Accent2 6 2" xfId="385" xr:uid="{00000000-0005-0000-0000-000024020000}"/>
    <cellStyle name="20% - Accent2 6_Inputs" xfId="3348" xr:uid="{00000000-0005-0000-0000-000025020000}"/>
    <cellStyle name="20% - Accent2 7" xfId="386" xr:uid="{00000000-0005-0000-0000-000026020000}"/>
    <cellStyle name="20% - Accent2 7 2" xfId="387" xr:uid="{00000000-0005-0000-0000-000027020000}"/>
    <cellStyle name="20% - Accent2 7_Inputs" xfId="3349" xr:uid="{00000000-0005-0000-0000-000028020000}"/>
    <cellStyle name="20% - Accent2 8" xfId="388" xr:uid="{00000000-0005-0000-0000-000029020000}"/>
    <cellStyle name="20% - Accent3 2" xfId="389" xr:uid="{00000000-0005-0000-0000-00002A020000}"/>
    <cellStyle name="20% - Accent3 2 2" xfId="390" xr:uid="{00000000-0005-0000-0000-00002B020000}"/>
    <cellStyle name="20% - Accent3 2 2 2" xfId="391" xr:uid="{00000000-0005-0000-0000-00002C020000}"/>
    <cellStyle name="20% - Accent3 2 2 2 2" xfId="392" xr:uid="{00000000-0005-0000-0000-00002D020000}"/>
    <cellStyle name="20% - Accent3 2 2 2 2 2" xfId="393" xr:uid="{00000000-0005-0000-0000-00002E020000}"/>
    <cellStyle name="20% - Accent3 2 2 2 2_Inputs" xfId="3351" xr:uid="{00000000-0005-0000-0000-00002F020000}"/>
    <cellStyle name="20% - Accent3 2 2 2 3" xfId="394" xr:uid="{00000000-0005-0000-0000-000030020000}"/>
    <cellStyle name="20% - Accent3 2 2 2 3 2" xfId="395" xr:uid="{00000000-0005-0000-0000-000031020000}"/>
    <cellStyle name="20% - Accent3 2 2 2 3_Inputs" xfId="3352" xr:uid="{00000000-0005-0000-0000-000032020000}"/>
    <cellStyle name="20% - Accent3 2 2 2 4" xfId="396" xr:uid="{00000000-0005-0000-0000-000033020000}"/>
    <cellStyle name="20% - Accent3 2 2 2_Inputs" xfId="3350" xr:uid="{00000000-0005-0000-0000-000034020000}"/>
    <cellStyle name="20% - Accent3 2 2 3" xfId="397" xr:uid="{00000000-0005-0000-0000-000035020000}"/>
    <cellStyle name="20% - Accent3 2 2 3 2" xfId="398" xr:uid="{00000000-0005-0000-0000-000036020000}"/>
    <cellStyle name="20% - Accent3 2 2 3 2 2" xfId="399" xr:uid="{00000000-0005-0000-0000-000037020000}"/>
    <cellStyle name="20% - Accent3 2 2 3 2_Inputs" xfId="3354" xr:uid="{00000000-0005-0000-0000-000038020000}"/>
    <cellStyle name="20% - Accent3 2 2 3 3" xfId="400" xr:uid="{00000000-0005-0000-0000-000039020000}"/>
    <cellStyle name="20% - Accent3 2 2 3 3 2" xfId="401" xr:uid="{00000000-0005-0000-0000-00003A020000}"/>
    <cellStyle name="20% - Accent3 2 2 3 3_Inputs" xfId="3355" xr:uid="{00000000-0005-0000-0000-00003B020000}"/>
    <cellStyle name="20% - Accent3 2 2 3 4" xfId="402" xr:uid="{00000000-0005-0000-0000-00003C020000}"/>
    <cellStyle name="20% - Accent3 2 2 3_Inputs" xfId="3353" xr:uid="{00000000-0005-0000-0000-00003D020000}"/>
    <cellStyle name="20% - Accent3 2 2 4" xfId="403" xr:uid="{00000000-0005-0000-0000-00003E020000}"/>
    <cellStyle name="20% - Accent3 2 2 4 2" xfId="404" xr:uid="{00000000-0005-0000-0000-00003F020000}"/>
    <cellStyle name="20% - Accent3 2 2 4_Inputs" xfId="3356" xr:uid="{00000000-0005-0000-0000-000040020000}"/>
    <cellStyle name="20% - Accent3 2 2 5" xfId="405" xr:uid="{00000000-0005-0000-0000-000041020000}"/>
    <cellStyle name="20% - Accent3 2 2 5 2" xfId="406" xr:uid="{00000000-0005-0000-0000-000042020000}"/>
    <cellStyle name="20% - Accent3 2 2 5_Inputs" xfId="3357" xr:uid="{00000000-0005-0000-0000-000043020000}"/>
    <cellStyle name="20% - Accent3 2 2 6" xfId="407" xr:uid="{00000000-0005-0000-0000-000044020000}"/>
    <cellStyle name="20% - Accent3 2 2_Bdx 1517" xfId="408" xr:uid="{00000000-0005-0000-0000-000045020000}"/>
    <cellStyle name="20% - Accent3 2 3" xfId="409" xr:uid="{00000000-0005-0000-0000-000046020000}"/>
    <cellStyle name="20% - Accent3 2 3 2" xfId="410" xr:uid="{00000000-0005-0000-0000-000047020000}"/>
    <cellStyle name="20% - Accent3 2 3 2 2" xfId="411" xr:uid="{00000000-0005-0000-0000-000048020000}"/>
    <cellStyle name="20% - Accent3 2 3 2 2 2" xfId="412" xr:uid="{00000000-0005-0000-0000-000049020000}"/>
    <cellStyle name="20% - Accent3 2 3 2 2_Inputs" xfId="3359" xr:uid="{00000000-0005-0000-0000-00004A020000}"/>
    <cellStyle name="20% - Accent3 2 3 2 3" xfId="413" xr:uid="{00000000-0005-0000-0000-00004B020000}"/>
    <cellStyle name="20% - Accent3 2 3 2 3 2" xfId="414" xr:uid="{00000000-0005-0000-0000-00004C020000}"/>
    <cellStyle name="20% - Accent3 2 3 2 3_Inputs" xfId="3360" xr:uid="{00000000-0005-0000-0000-00004D020000}"/>
    <cellStyle name="20% - Accent3 2 3 2 4" xfId="415" xr:uid="{00000000-0005-0000-0000-00004E020000}"/>
    <cellStyle name="20% - Accent3 2 3 2_Inputs" xfId="3358" xr:uid="{00000000-0005-0000-0000-00004F020000}"/>
    <cellStyle name="20% - Accent3 2 3 3" xfId="416" xr:uid="{00000000-0005-0000-0000-000050020000}"/>
    <cellStyle name="20% - Accent3 2 3 3 2" xfId="417" xr:uid="{00000000-0005-0000-0000-000051020000}"/>
    <cellStyle name="20% - Accent3 2 3 3 2 2" xfId="418" xr:uid="{00000000-0005-0000-0000-000052020000}"/>
    <cellStyle name="20% - Accent3 2 3 3 2_Inputs" xfId="3362" xr:uid="{00000000-0005-0000-0000-000053020000}"/>
    <cellStyle name="20% - Accent3 2 3 3 3" xfId="419" xr:uid="{00000000-0005-0000-0000-000054020000}"/>
    <cellStyle name="20% - Accent3 2 3 3 3 2" xfId="420" xr:uid="{00000000-0005-0000-0000-000055020000}"/>
    <cellStyle name="20% - Accent3 2 3 3 3_Inputs" xfId="3363" xr:uid="{00000000-0005-0000-0000-000056020000}"/>
    <cellStyle name="20% - Accent3 2 3 3 4" xfId="421" xr:uid="{00000000-0005-0000-0000-000057020000}"/>
    <cellStyle name="20% - Accent3 2 3 3_Inputs" xfId="3361" xr:uid="{00000000-0005-0000-0000-000058020000}"/>
    <cellStyle name="20% - Accent3 2 3 4" xfId="422" xr:uid="{00000000-0005-0000-0000-000059020000}"/>
    <cellStyle name="20% - Accent3 2 3 4 2" xfId="423" xr:uid="{00000000-0005-0000-0000-00005A020000}"/>
    <cellStyle name="20% - Accent3 2 3 4_Inputs" xfId="3364" xr:uid="{00000000-0005-0000-0000-00005B020000}"/>
    <cellStyle name="20% - Accent3 2 3 5" xfId="424" xr:uid="{00000000-0005-0000-0000-00005C020000}"/>
    <cellStyle name="20% - Accent3 2 3 5 2" xfId="425" xr:uid="{00000000-0005-0000-0000-00005D020000}"/>
    <cellStyle name="20% - Accent3 2 3 5_Inputs" xfId="3365" xr:uid="{00000000-0005-0000-0000-00005E020000}"/>
    <cellStyle name="20% - Accent3 2 3 6" xfId="426" xr:uid="{00000000-0005-0000-0000-00005F020000}"/>
    <cellStyle name="20% - Accent3 2 3_Bdx 1517" xfId="427" xr:uid="{00000000-0005-0000-0000-000060020000}"/>
    <cellStyle name="20% - Accent3 2 4" xfId="428" xr:uid="{00000000-0005-0000-0000-000061020000}"/>
    <cellStyle name="20% - Accent3 2 4 2" xfId="429" xr:uid="{00000000-0005-0000-0000-000062020000}"/>
    <cellStyle name="20% - Accent3 2 4 2 2" xfId="430" xr:uid="{00000000-0005-0000-0000-000063020000}"/>
    <cellStyle name="20% - Accent3 2 4 2_Inputs" xfId="3367" xr:uid="{00000000-0005-0000-0000-000064020000}"/>
    <cellStyle name="20% - Accent3 2 4 3" xfId="431" xr:uid="{00000000-0005-0000-0000-000065020000}"/>
    <cellStyle name="20% - Accent3 2 4 3 2" xfId="432" xr:uid="{00000000-0005-0000-0000-000066020000}"/>
    <cellStyle name="20% - Accent3 2 4 3_Inputs" xfId="3368" xr:uid="{00000000-0005-0000-0000-000067020000}"/>
    <cellStyle name="20% - Accent3 2 4 4" xfId="433" xr:uid="{00000000-0005-0000-0000-000068020000}"/>
    <cellStyle name="20% - Accent3 2 4_Inputs" xfId="3366" xr:uid="{00000000-0005-0000-0000-000069020000}"/>
    <cellStyle name="20% - Accent3 2 5" xfId="434" xr:uid="{00000000-0005-0000-0000-00006A020000}"/>
    <cellStyle name="20% - Accent3 2 5 2" xfId="435" xr:uid="{00000000-0005-0000-0000-00006B020000}"/>
    <cellStyle name="20% - Accent3 2 5 2 2" xfId="436" xr:uid="{00000000-0005-0000-0000-00006C020000}"/>
    <cellStyle name="20% - Accent3 2 5 2_Inputs" xfId="3370" xr:uid="{00000000-0005-0000-0000-00006D020000}"/>
    <cellStyle name="20% - Accent3 2 5 3" xfId="437" xr:uid="{00000000-0005-0000-0000-00006E020000}"/>
    <cellStyle name="20% - Accent3 2 5 3 2" xfId="438" xr:uid="{00000000-0005-0000-0000-00006F020000}"/>
    <cellStyle name="20% - Accent3 2 5 3_Inputs" xfId="3371" xr:uid="{00000000-0005-0000-0000-000070020000}"/>
    <cellStyle name="20% - Accent3 2 5 4" xfId="439" xr:uid="{00000000-0005-0000-0000-000071020000}"/>
    <cellStyle name="20% - Accent3 2 5_Inputs" xfId="3369" xr:uid="{00000000-0005-0000-0000-000072020000}"/>
    <cellStyle name="20% - Accent3 2 6" xfId="440" xr:uid="{00000000-0005-0000-0000-000073020000}"/>
    <cellStyle name="20% - Accent3 2 6 2" xfId="441" xr:uid="{00000000-0005-0000-0000-000074020000}"/>
    <cellStyle name="20% - Accent3 2 6_Inputs" xfId="3372" xr:uid="{00000000-0005-0000-0000-000075020000}"/>
    <cellStyle name="20% - Accent3 2 7" xfId="442" xr:uid="{00000000-0005-0000-0000-000076020000}"/>
    <cellStyle name="20% - Accent3 2 7 2" xfId="443" xr:uid="{00000000-0005-0000-0000-000077020000}"/>
    <cellStyle name="20% - Accent3 2 7_Inputs" xfId="3373" xr:uid="{00000000-0005-0000-0000-000078020000}"/>
    <cellStyle name="20% - Accent3 2 8" xfId="444" xr:uid="{00000000-0005-0000-0000-000079020000}"/>
    <cellStyle name="20% - Accent3 2_Bdx 1517" xfId="445" xr:uid="{00000000-0005-0000-0000-00007A020000}"/>
    <cellStyle name="20% - Accent3 3" xfId="446" xr:uid="{00000000-0005-0000-0000-00007B020000}"/>
    <cellStyle name="20% - Accent3 3 2" xfId="447" xr:uid="{00000000-0005-0000-0000-00007C020000}"/>
    <cellStyle name="20% - Accent3 3 2 2" xfId="448" xr:uid="{00000000-0005-0000-0000-00007D020000}"/>
    <cellStyle name="20% - Accent3 3 2 2 2" xfId="449" xr:uid="{00000000-0005-0000-0000-00007E020000}"/>
    <cellStyle name="20% - Accent3 3 2 2 2 2" xfId="450" xr:uid="{00000000-0005-0000-0000-00007F020000}"/>
    <cellStyle name="20% - Accent3 3 2 2 2_Inputs" xfId="3375" xr:uid="{00000000-0005-0000-0000-000080020000}"/>
    <cellStyle name="20% - Accent3 3 2 2 3" xfId="451" xr:uid="{00000000-0005-0000-0000-000081020000}"/>
    <cellStyle name="20% - Accent3 3 2 2 3 2" xfId="452" xr:uid="{00000000-0005-0000-0000-000082020000}"/>
    <cellStyle name="20% - Accent3 3 2 2 3_Inputs" xfId="3376" xr:uid="{00000000-0005-0000-0000-000083020000}"/>
    <cellStyle name="20% - Accent3 3 2 2 4" xfId="453" xr:uid="{00000000-0005-0000-0000-000084020000}"/>
    <cellStyle name="20% - Accent3 3 2 2_Inputs" xfId="3374" xr:uid="{00000000-0005-0000-0000-000085020000}"/>
    <cellStyle name="20% - Accent3 3 2 3" xfId="454" xr:uid="{00000000-0005-0000-0000-000086020000}"/>
    <cellStyle name="20% - Accent3 3 2 3 2" xfId="455" xr:uid="{00000000-0005-0000-0000-000087020000}"/>
    <cellStyle name="20% - Accent3 3 2 3 2 2" xfId="456" xr:uid="{00000000-0005-0000-0000-000088020000}"/>
    <cellStyle name="20% - Accent3 3 2 3 2_Inputs" xfId="3378" xr:uid="{00000000-0005-0000-0000-000089020000}"/>
    <cellStyle name="20% - Accent3 3 2 3 3" xfId="457" xr:uid="{00000000-0005-0000-0000-00008A020000}"/>
    <cellStyle name="20% - Accent3 3 2 3 3 2" xfId="458" xr:uid="{00000000-0005-0000-0000-00008B020000}"/>
    <cellStyle name="20% - Accent3 3 2 3 3_Inputs" xfId="3379" xr:uid="{00000000-0005-0000-0000-00008C020000}"/>
    <cellStyle name="20% - Accent3 3 2 3 4" xfId="459" xr:uid="{00000000-0005-0000-0000-00008D020000}"/>
    <cellStyle name="20% - Accent3 3 2 3_Inputs" xfId="3377" xr:uid="{00000000-0005-0000-0000-00008E020000}"/>
    <cellStyle name="20% - Accent3 3 2 4" xfId="460" xr:uid="{00000000-0005-0000-0000-00008F020000}"/>
    <cellStyle name="20% - Accent3 3 2 4 2" xfId="461" xr:uid="{00000000-0005-0000-0000-000090020000}"/>
    <cellStyle name="20% - Accent3 3 2 4_Inputs" xfId="3380" xr:uid="{00000000-0005-0000-0000-000091020000}"/>
    <cellStyle name="20% - Accent3 3 2 5" xfId="462" xr:uid="{00000000-0005-0000-0000-000092020000}"/>
    <cellStyle name="20% - Accent3 3 2 5 2" xfId="463" xr:uid="{00000000-0005-0000-0000-000093020000}"/>
    <cellStyle name="20% - Accent3 3 2 5_Inputs" xfId="3381" xr:uid="{00000000-0005-0000-0000-000094020000}"/>
    <cellStyle name="20% - Accent3 3 2 6" xfId="464" xr:uid="{00000000-0005-0000-0000-000095020000}"/>
    <cellStyle name="20% - Accent3 3 2_Bdx 1517" xfId="465" xr:uid="{00000000-0005-0000-0000-000096020000}"/>
    <cellStyle name="20% - Accent3 3 3" xfId="466" xr:uid="{00000000-0005-0000-0000-000097020000}"/>
    <cellStyle name="20% - Accent3 3 3 2" xfId="467" xr:uid="{00000000-0005-0000-0000-000098020000}"/>
    <cellStyle name="20% - Accent3 3 3 2 2" xfId="468" xr:uid="{00000000-0005-0000-0000-000099020000}"/>
    <cellStyle name="20% - Accent3 3 3 2_Inputs" xfId="3383" xr:uid="{00000000-0005-0000-0000-00009A020000}"/>
    <cellStyle name="20% - Accent3 3 3 3" xfId="469" xr:uid="{00000000-0005-0000-0000-00009B020000}"/>
    <cellStyle name="20% - Accent3 3 3 3 2" xfId="470" xr:uid="{00000000-0005-0000-0000-00009C020000}"/>
    <cellStyle name="20% - Accent3 3 3 3_Inputs" xfId="3384" xr:uid="{00000000-0005-0000-0000-00009D020000}"/>
    <cellStyle name="20% - Accent3 3 3 4" xfId="471" xr:uid="{00000000-0005-0000-0000-00009E020000}"/>
    <cellStyle name="20% - Accent3 3 3_Inputs" xfId="3382" xr:uid="{00000000-0005-0000-0000-00009F020000}"/>
    <cellStyle name="20% - Accent3 3 4" xfId="472" xr:uid="{00000000-0005-0000-0000-0000A0020000}"/>
    <cellStyle name="20% - Accent3 3 4 2" xfId="473" xr:uid="{00000000-0005-0000-0000-0000A1020000}"/>
    <cellStyle name="20% - Accent3 3 4 2 2" xfId="474" xr:uid="{00000000-0005-0000-0000-0000A2020000}"/>
    <cellStyle name="20% - Accent3 3 4 2_Inputs" xfId="3386" xr:uid="{00000000-0005-0000-0000-0000A3020000}"/>
    <cellStyle name="20% - Accent3 3 4 3" xfId="475" xr:uid="{00000000-0005-0000-0000-0000A4020000}"/>
    <cellStyle name="20% - Accent3 3 4 3 2" xfId="476" xr:uid="{00000000-0005-0000-0000-0000A5020000}"/>
    <cellStyle name="20% - Accent3 3 4 3_Inputs" xfId="3387" xr:uid="{00000000-0005-0000-0000-0000A6020000}"/>
    <cellStyle name="20% - Accent3 3 4 4" xfId="477" xr:uid="{00000000-0005-0000-0000-0000A7020000}"/>
    <cellStyle name="20% - Accent3 3 4_Inputs" xfId="3385" xr:uid="{00000000-0005-0000-0000-0000A8020000}"/>
    <cellStyle name="20% - Accent3 3 5" xfId="478" xr:uid="{00000000-0005-0000-0000-0000A9020000}"/>
    <cellStyle name="20% - Accent3 3 5 2" xfId="479" xr:uid="{00000000-0005-0000-0000-0000AA020000}"/>
    <cellStyle name="20% - Accent3 3 5_Inputs" xfId="3388" xr:uid="{00000000-0005-0000-0000-0000AB020000}"/>
    <cellStyle name="20% - Accent3 3 6" xfId="480" xr:uid="{00000000-0005-0000-0000-0000AC020000}"/>
    <cellStyle name="20% - Accent3 3 6 2" xfId="481" xr:uid="{00000000-0005-0000-0000-0000AD020000}"/>
    <cellStyle name="20% - Accent3 3 6_Inputs" xfId="3389" xr:uid="{00000000-0005-0000-0000-0000AE020000}"/>
    <cellStyle name="20% - Accent3 3 7" xfId="482" xr:uid="{00000000-0005-0000-0000-0000AF020000}"/>
    <cellStyle name="20% - Accent3 3_Bdx 1517" xfId="483" xr:uid="{00000000-0005-0000-0000-0000B0020000}"/>
    <cellStyle name="20% - Accent3 4" xfId="484" xr:uid="{00000000-0005-0000-0000-0000B1020000}"/>
    <cellStyle name="20% - Accent3 4 2" xfId="485" xr:uid="{00000000-0005-0000-0000-0000B2020000}"/>
    <cellStyle name="20% - Accent3 4 2 2" xfId="486" xr:uid="{00000000-0005-0000-0000-0000B3020000}"/>
    <cellStyle name="20% - Accent3 4 2 2 2" xfId="487" xr:uid="{00000000-0005-0000-0000-0000B4020000}"/>
    <cellStyle name="20% - Accent3 4 2 2_Inputs" xfId="3391" xr:uid="{00000000-0005-0000-0000-0000B5020000}"/>
    <cellStyle name="20% - Accent3 4 2 3" xfId="488" xr:uid="{00000000-0005-0000-0000-0000B6020000}"/>
    <cellStyle name="20% - Accent3 4 2 3 2" xfId="489" xr:uid="{00000000-0005-0000-0000-0000B7020000}"/>
    <cellStyle name="20% - Accent3 4 2 3_Inputs" xfId="3392" xr:uid="{00000000-0005-0000-0000-0000B8020000}"/>
    <cellStyle name="20% - Accent3 4 2 4" xfId="490" xr:uid="{00000000-0005-0000-0000-0000B9020000}"/>
    <cellStyle name="20% - Accent3 4 2_Inputs" xfId="3390" xr:uid="{00000000-0005-0000-0000-0000BA020000}"/>
    <cellStyle name="20% - Accent3 4 3" xfId="491" xr:uid="{00000000-0005-0000-0000-0000BB020000}"/>
    <cellStyle name="20% - Accent3 4 3 2" xfId="492" xr:uid="{00000000-0005-0000-0000-0000BC020000}"/>
    <cellStyle name="20% - Accent3 4 3 2 2" xfId="493" xr:uid="{00000000-0005-0000-0000-0000BD020000}"/>
    <cellStyle name="20% - Accent3 4 3 2_Inputs" xfId="3394" xr:uid="{00000000-0005-0000-0000-0000BE020000}"/>
    <cellStyle name="20% - Accent3 4 3 3" xfId="494" xr:uid="{00000000-0005-0000-0000-0000BF020000}"/>
    <cellStyle name="20% - Accent3 4 3 3 2" xfId="495" xr:uid="{00000000-0005-0000-0000-0000C0020000}"/>
    <cellStyle name="20% - Accent3 4 3 3_Inputs" xfId="3395" xr:uid="{00000000-0005-0000-0000-0000C1020000}"/>
    <cellStyle name="20% - Accent3 4 3 4" xfId="496" xr:uid="{00000000-0005-0000-0000-0000C2020000}"/>
    <cellStyle name="20% - Accent3 4 3_Inputs" xfId="3393" xr:uid="{00000000-0005-0000-0000-0000C3020000}"/>
    <cellStyle name="20% - Accent3 4 4" xfId="497" xr:uid="{00000000-0005-0000-0000-0000C4020000}"/>
    <cellStyle name="20% - Accent3 4 4 2" xfId="498" xr:uid="{00000000-0005-0000-0000-0000C5020000}"/>
    <cellStyle name="20% - Accent3 4 4_Inputs" xfId="3396" xr:uid="{00000000-0005-0000-0000-0000C6020000}"/>
    <cellStyle name="20% - Accent3 4 5" xfId="499" xr:uid="{00000000-0005-0000-0000-0000C7020000}"/>
    <cellStyle name="20% - Accent3 4 5 2" xfId="500" xr:uid="{00000000-0005-0000-0000-0000C8020000}"/>
    <cellStyle name="20% - Accent3 4 5_Inputs" xfId="3397" xr:uid="{00000000-0005-0000-0000-0000C9020000}"/>
    <cellStyle name="20% - Accent3 4 6" xfId="501" xr:uid="{00000000-0005-0000-0000-0000CA020000}"/>
    <cellStyle name="20% - Accent3 4_Bdx 1517" xfId="502" xr:uid="{00000000-0005-0000-0000-0000CB020000}"/>
    <cellStyle name="20% - Accent3 5" xfId="503" xr:uid="{00000000-0005-0000-0000-0000CC020000}"/>
    <cellStyle name="20% - Accent3 5 2" xfId="504" xr:uid="{00000000-0005-0000-0000-0000CD020000}"/>
    <cellStyle name="20% - Accent3 5 2 2" xfId="505" xr:uid="{00000000-0005-0000-0000-0000CE020000}"/>
    <cellStyle name="20% - Accent3 5 2_Inputs" xfId="3399" xr:uid="{00000000-0005-0000-0000-0000CF020000}"/>
    <cellStyle name="20% - Accent3 5 3" xfId="506" xr:uid="{00000000-0005-0000-0000-0000D0020000}"/>
    <cellStyle name="20% - Accent3 5 3 2" xfId="507" xr:uid="{00000000-0005-0000-0000-0000D1020000}"/>
    <cellStyle name="20% - Accent3 5 3_Inputs" xfId="3400" xr:uid="{00000000-0005-0000-0000-0000D2020000}"/>
    <cellStyle name="20% - Accent3 5 4" xfId="508" xr:uid="{00000000-0005-0000-0000-0000D3020000}"/>
    <cellStyle name="20% - Accent3 5_Inputs" xfId="3398" xr:uid="{00000000-0005-0000-0000-0000D4020000}"/>
    <cellStyle name="20% - Accent3 6" xfId="509" xr:uid="{00000000-0005-0000-0000-0000D5020000}"/>
    <cellStyle name="20% - Accent3 6 2" xfId="510" xr:uid="{00000000-0005-0000-0000-0000D6020000}"/>
    <cellStyle name="20% - Accent3 6_Inputs" xfId="3401" xr:uid="{00000000-0005-0000-0000-0000D7020000}"/>
    <cellStyle name="20% - Accent3 7" xfId="511" xr:uid="{00000000-0005-0000-0000-0000D8020000}"/>
    <cellStyle name="20% - Accent3 7 2" xfId="512" xr:uid="{00000000-0005-0000-0000-0000D9020000}"/>
    <cellStyle name="20% - Accent3 7_Inputs" xfId="3402" xr:uid="{00000000-0005-0000-0000-0000DA020000}"/>
    <cellStyle name="20% - Accent3 8" xfId="513" xr:uid="{00000000-0005-0000-0000-0000DB020000}"/>
    <cellStyle name="20% - Accent4 2" xfId="514" xr:uid="{00000000-0005-0000-0000-0000DC020000}"/>
    <cellStyle name="20% - Accent4 2 2" xfId="515" xr:uid="{00000000-0005-0000-0000-0000DD020000}"/>
    <cellStyle name="20% - Accent4 2 2 2" xfId="516" xr:uid="{00000000-0005-0000-0000-0000DE020000}"/>
    <cellStyle name="20% - Accent4 2 2 2 2" xfId="517" xr:uid="{00000000-0005-0000-0000-0000DF020000}"/>
    <cellStyle name="20% - Accent4 2 2 2 2 2" xfId="518" xr:uid="{00000000-0005-0000-0000-0000E0020000}"/>
    <cellStyle name="20% - Accent4 2 2 2 2_Inputs" xfId="3404" xr:uid="{00000000-0005-0000-0000-0000E1020000}"/>
    <cellStyle name="20% - Accent4 2 2 2 3" xfId="519" xr:uid="{00000000-0005-0000-0000-0000E2020000}"/>
    <cellStyle name="20% - Accent4 2 2 2 3 2" xfId="520" xr:uid="{00000000-0005-0000-0000-0000E3020000}"/>
    <cellStyle name="20% - Accent4 2 2 2 3_Inputs" xfId="3405" xr:uid="{00000000-0005-0000-0000-0000E4020000}"/>
    <cellStyle name="20% - Accent4 2 2 2 4" xfId="521" xr:uid="{00000000-0005-0000-0000-0000E5020000}"/>
    <cellStyle name="20% - Accent4 2 2 2_Inputs" xfId="3403" xr:uid="{00000000-0005-0000-0000-0000E6020000}"/>
    <cellStyle name="20% - Accent4 2 2 3" xfId="522" xr:uid="{00000000-0005-0000-0000-0000E7020000}"/>
    <cellStyle name="20% - Accent4 2 2 3 2" xfId="523" xr:uid="{00000000-0005-0000-0000-0000E8020000}"/>
    <cellStyle name="20% - Accent4 2 2 3 2 2" xfId="524" xr:uid="{00000000-0005-0000-0000-0000E9020000}"/>
    <cellStyle name="20% - Accent4 2 2 3 2_Inputs" xfId="3407" xr:uid="{00000000-0005-0000-0000-0000EA020000}"/>
    <cellStyle name="20% - Accent4 2 2 3 3" xfId="525" xr:uid="{00000000-0005-0000-0000-0000EB020000}"/>
    <cellStyle name="20% - Accent4 2 2 3 3 2" xfId="526" xr:uid="{00000000-0005-0000-0000-0000EC020000}"/>
    <cellStyle name="20% - Accent4 2 2 3 3_Inputs" xfId="3408" xr:uid="{00000000-0005-0000-0000-0000ED020000}"/>
    <cellStyle name="20% - Accent4 2 2 3 4" xfId="527" xr:uid="{00000000-0005-0000-0000-0000EE020000}"/>
    <cellStyle name="20% - Accent4 2 2 3_Inputs" xfId="3406" xr:uid="{00000000-0005-0000-0000-0000EF020000}"/>
    <cellStyle name="20% - Accent4 2 2 4" xfId="528" xr:uid="{00000000-0005-0000-0000-0000F0020000}"/>
    <cellStyle name="20% - Accent4 2 2 4 2" xfId="529" xr:uid="{00000000-0005-0000-0000-0000F1020000}"/>
    <cellStyle name="20% - Accent4 2 2 4_Inputs" xfId="3409" xr:uid="{00000000-0005-0000-0000-0000F2020000}"/>
    <cellStyle name="20% - Accent4 2 2 5" xfId="530" xr:uid="{00000000-0005-0000-0000-0000F3020000}"/>
    <cellStyle name="20% - Accent4 2 2 5 2" xfId="531" xr:uid="{00000000-0005-0000-0000-0000F4020000}"/>
    <cellStyle name="20% - Accent4 2 2 5_Inputs" xfId="3410" xr:uid="{00000000-0005-0000-0000-0000F5020000}"/>
    <cellStyle name="20% - Accent4 2 2 6" xfId="532" xr:uid="{00000000-0005-0000-0000-0000F6020000}"/>
    <cellStyle name="20% - Accent4 2 2_Bdx 1517" xfId="533" xr:uid="{00000000-0005-0000-0000-0000F7020000}"/>
    <cellStyle name="20% - Accent4 2 3" xfId="534" xr:uid="{00000000-0005-0000-0000-0000F8020000}"/>
    <cellStyle name="20% - Accent4 2 3 2" xfId="535" xr:uid="{00000000-0005-0000-0000-0000F9020000}"/>
    <cellStyle name="20% - Accent4 2 3 2 2" xfId="536" xr:uid="{00000000-0005-0000-0000-0000FA020000}"/>
    <cellStyle name="20% - Accent4 2 3 2 2 2" xfId="537" xr:uid="{00000000-0005-0000-0000-0000FB020000}"/>
    <cellStyle name="20% - Accent4 2 3 2 2_Inputs" xfId="3412" xr:uid="{00000000-0005-0000-0000-0000FC020000}"/>
    <cellStyle name="20% - Accent4 2 3 2 3" xfId="538" xr:uid="{00000000-0005-0000-0000-0000FD020000}"/>
    <cellStyle name="20% - Accent4 2 3 2 3 2" xfId="539" xr:uid="{00000000-0005-0000-0000-0000FE020000}"/>
    <cellStyle name="20% - Accent4 2 3 2 3_Inputs" xfId="3413" xr:uid="{00000000-0005-0000-0000-0000FF020000}"/>
    <cellStyle name="20% - Accent4 2 3 2 4" xfId="540" xr:uid="{00000000-0005-0000-0000-000000030000}"/>
    <cellStyle name="20% - Accent4 2 3 2_Inputs" xfId="3411" xr:uid="{00000000-0005-0000-0000-000001030000}"/>
    <cellStyle name="20% - Accent4 2 3 3" xfId="541" xr:uid="{00000000-0005-0000-0000-000002030000}"/>
    <cellStyle name="20% - Accent4 2 3 3 2" xfId="542" xr:uid="{00000000-0005-0000-0000-000003030000}"/>
    <cellStyle name="20% - Accent4 2 3 3 2 2" xfId="543" xr:uid="{00000000-0005-0000-0000-000004030000}"/>
    <cellStyle name="20% - Accent4 2 3 3 2_Inputs" xfId="3415" xr:uid="{00000000-0005-0000-0000-000005030000}"/>
    <cellStyle name="20% - Accent4 2 3 3 3" xfId="544" xr:uid="{00000000-0005-0000-0000-000006030000}"/>
    <cellStyle name="20% - Accent4 2 3 3 3 2" xfId="545" xr:uid="{00000000-0005-0000-0000-000007030000}"/>
    <cellStyle name="20% - Accent4 2 3 3 3_Inputs" xfId="3416" xr:uid="{00000000-0005-0000-0000-000008030000}"/>
    <cellStyle name="20% - Accent4 2 3 3 4" xfId="546" xr:uid="{00000000-0005-0000-0000-000009030000}"/>
    <cellStyle name="20% - Accent4 2 3 3_Inputs" xfId="3414" xr:uid="{00000000-0005-0000-0000-00000A030000}"/>
    <cellStyle name="20% - Accent4 2 3 4" xfId="547" xr:uid="{00000000-0005-0000-0000-00000B030000}"/>
    <cellStyle name="20% - Accent4 2 3 4 2" xfId="548" xr:uid="{00000000-0005-0000-0000-00000C030000}"/>
    <cellStyle name="20% - Accent4 2 3 4_Inputs" xfId="3417" xr:uid="{00000000-0005-0000-0000-00000D030000}"/>
    <cellStyle name="20% - Accent4 2 3 5" xfId="549" xr:uid="{00000000-0005-0000-0000-00000E030000}"/>
    <cellStyle name="20% - Accent4 2 3 5 2" xfId="550" xr:uid="{00000000-0005-0000-0000-00000F030000}"/>
    <cellStyle name="20% - Accent4 2 3 5_Inputs" xfId="3418" xr:uid="{00000000-0005-0000-0000-000010030000}"/>
    <cellStyle name="20% - Accent4 2 3 6" xfId="551" xr:uid="{00000000-0005-0000-0000-000011030000}"/>
    <cellStyle name="20% - Accent4 2 3_Bdx 1517" xfId="552" xr:uid="{00000000-0005-0000-0000-000012030000}"/>
    <cellStyle name="20% - Accent4 2 4" xfId="553" xr:uid="{00000000-0005-0000-0000-000013030000}"/>
    <cellStyle name="20% - Accent4 2 4 2" xfId="554" xr:uid="{00000000-0005-0000-0000-000014030000}"/>
    <cellStyle name="20% - Accent4 2 4 2 2" xfId="555" xr:uid="{00000000-0005-0000-0000-000015030000}"/>
    <cellStyle name="20% - Accent4 2 4 2_Inputs" xfId="3420" xr:uid="{00000000-0005-0000-0000-000016030000}"/>
    <cellStyle name="20% - Accent4 2 4 3" xfId="556" xr:uid="{00000000-0005-0000-0000-000017030000}"/>
    <cellStyle name="20% - Accent4 2 4 3 2" xfId="557" xr:uid="{00000000-0005-0000-0000-000018030000}"/>
    <cellStyle name="20% - Accent4 2 4 3_Inputs" xfId="3421" xr:uid="{00000000-0005-0000-0000-000019030000}"/>
    <cellStyle name="20% - Accent4 2 4 4" xfId="558" xr:uid="{00000000-0005-0000-0000-00001A030000}"/>
    <cellStyle name="20% - Accent4 2 4_Inputs" xfId="3419" xr:uid="{00000000-0005-0000-0000-00001B030000}"/>
    <cellStyle name="20% - Accent4 2 5" xfId="559" xr:uid="{00000000-0005-0000-0000-00001C030000}"/>
    <cellStyle name="20% - Accent4 2 5 2" xfId="560" xr:uid="{00000000-0005-0000-0000-00001D030000}"/>
    <cellStyle name="20% - Accent4 2 5 2 2" xfId="561" xr:uid="{00000000-0005-0000-0000-00001E030000}"/>
    <cellStyle name="20% - Accent4 2 5 2_Inputs" xfId="3423" xr:uid="{00000000-0005-0000-0000-00001F030000}"/>
    <cellStyle name="20% - Accent4 2 5 3" xfId="562" xr:uid="{00000000-0005-0000-0000-000020030000}"/>
    <cellStyle name="20% - Accent4 2 5 3 2" xfId="563" xr:uid="{00000000-0005-0000-0000-000021030000}"/>
    <cellStyle name="20% - Accent4 2 5 3_Inputs" xfId="3424" xr:uid="{00000000-0005-0000-0000-000022030000}"/>
    <cellStyle name="20% - Accent4 2 5 4" xfId="564" xr:uid="{00000000-0005-0000-0000-000023030000}"/>
    <cellStyle name="20% - Accent4 2 5_Inputs" xfId="3422" xr:uid="{00000000-0005-0000-0000-000024030000}"/>
    <cellStyle name="20% - Accent4 2 6" xfId="565" xr:uid="{00000000-0005-0000-0000-000025030000}"/>
    <cellStyle name="20% - Accent4 2 6 2" xfId="566" xr:uid="{00000000-0005-0000-0000-000026030000}"/>
    <cellStyle name="20% - Accent4 2 6_Inputs" xfId="3425" xr:uid="{00000000-0005-0000-0000-000027030000}"/>
    <cellStyle name="20% - Accent4 2 7" xfId="567" xr:uid="{00000000-0005-0000-0000-000028030000}"/>
    <cellStyle name="20% - Accent4 2 7 2" xfId="568" xr:uid="{00000000-0005-0000-0000-000029030000}"/>
    <cellStyle name="20% - Accent4 2 7_Inputs" xfId="3426" xr:uid="{00000000-0005-0000-0000-00002A030000}"/>
    <cellStyle name="20% - Accent4 2 8" xfId="569" xr:uid="{00000000-0005-0000-0000-00002B030000}"/>
    <cellStyle name="20% - Accent4 2_Bdx 1517" xfId="570" xr:uid="{00000000-0005-0000-0000-00002C030000}"/>
    <cellStyle name="20% - Accent4 3" xfId="571" xr:uid="{00000000-0005-0000-0000-00002D030000}"/>
    <cellStyle name="20% - Accent4 3 2" xfId="572" xr:uid="{00000000-0005-0000-0000-00002E030000}"/>
    <cellStyle name="20% - Accent4 3 2 2" xfId="573" xr:uid="{00000000-0005-0000-0000-00002F030000}"/>
    <cellStyle name="20% - Accent4 3 2 2 2" xfId="574" xr:uid="{00000000-0005-0000-0000-000030030000}"/>
    <cellStyle name="20% - Accent4 3 2 2 2 2" xfId="575" xr:uid="{00000000-0005-0000-0000-000031030000}"/>
    <cellStyle name="20% - Accent4 3 2 2 2_Inputs" xfId="3428" xr:uid="{00000000-0005-0000-0000-000032030000}"/>
    <cellStyle name="20% - Accent4 3 2 2 3" xfId="576" xr:uid="{00000000-0005-0000-0000-000033030000}"/>
    <cellStyle name="20% - Accent4 3 2 2 3 2" xfId="577" xr:uid="{00000000-0005-0000-0000-000034030000}"/>
    <cellStyle name="20% - Accent4 3 2 2 3_Inputs" xfId="3429" xr:uid="{00000000-0005-0000-0000-000035030000}"/>
    <cellStyle name="20% - Accent4 3 2 2 4" xfId="578" xr:uid="{00000000-0005-0000-0000-000036030000}"/>
    <cellStyle name="20% - Accent4 3 2 2_Inputs" xfId="3427" xr:uid="{00000000-0005-0000-0000-000037030000}"/>
    <cellStyle name="20% - Accent4 3 2 3" xfId="579" xr:uid="{00000000-0005-0000-0000-000038030000}"/>
    <cellStyle name="20% - Accent4 3 2 3 2" xfId="580" xr:uid="{00000000-0005-0000-0000-000039030000}"/>
    <cellStyle name="20% - Accent4 3 2 3 2 2" xfId="581" xr:uid="{00000000-0005-0000-0000-00003A030000}"/>
    <cellStyle name="20% - Accent4 3 2 3 2_Inputs" xfId="3431" xr:uid="{00000000-0005-0000-0000-00003B030000}"/>
    <cellStyle name="20% - Accent4 3 2 3 3" xfId="582" xr:uid="{00000000-0005-0000-0000-00003C030000}"/>
    <cellStyle name="20% - Accent4 3 2 3 3 2" xfId="583" xr:uid="{00000000-0005-0000-0000-00003D030000}"/>
    <cellStyle name="20% - Accent4 3 2 3 3_Inputs" xfId="3432" xr:uid="{00000000-0005-0000-0000-00003E030000}"/>
    <cellStyle name="20% - Accent4 3 2 3 4" xfId="584" xr:uid="{00000000-0005-0000-0000-00003F030000}"/>
    <cellStyle name="20% - Accent4 3 2 3_Inputs" xfId="3430" xr:uid="{00000000-0005-0000-0000-000040030000}"/>
    <cellStyle name="20% - Accent4 3 2 4" xfId="585" xr:uid="{00000000-0005-0000-0000-000041030000}"/>
    <cellStyle name="20% - Accent4 3 2 4 2" xfId="586" xr:uid="{00000000-0005-0000-0000-000042030000}"/>
    <cellStyle name="20% - Accent4 3 2 4_Inputs" xfId="3433" xr:uid="{00000000-0005-0000-0000-000043030000}"/>
    <cellStyle name="20% - Accent4 3 2 5" xfId="587" xr:uid="{00000000-0005-0000-0000-000044030000}"/>
    <cellStyle name="20% - Accent4 3 2 5 2" xfId="588" xr:uid="{00000000-0005-0000-0000-000045030000}"/>
    <cellStyle name="20% - Accent4 3 2 5_Inputs" xfId="3434" xr:uid="{00000000-0005-0000-0000-000046030000}"/>
    <cellStyle name="20% - Accent4 3 2 6" xfId="589" xr:uid="{00000000-0005-0000-0000-000047030000}"/>
    <cellStyle name="20% - Accent4 3 2_Bdx 1517" xfId="590" xr:uid="{00000000-0005-0000-0000-000048030000}"/>
    <cellStyle name="20% - Accent4 3 3" xfId="591" xr:uid="{00000000-0005-0000-0000-000049030000}"/>
    <cellStyle name="20% - Accent4 3 3 2" xfId="592" xr:uid="{00000000-0005-0000-0000-00004A030000}"/>
    <cellStyle name="20% - Accent4 3 3 2 2" xfId="593" xr:uid="{00000000-0005-0000-0000-00004B030000}"/>
    <cellStyle name="20% - Accent4 3 3 2_Inputs" xfId="3436" xr:uid="{00000000-0005-0000-0000-00004C030000}"/>
    <cellStyle name="20% - Accent4 3 3 3" xfId="594" xr:uid="{00000000-0005-0000-0000-00004D030000}"/>
    <cellStyle name="20% - Accent4 3 3 3 2" xfId="595" xr:uid="{00000000-0005-0000-0000-00004E030000}"/>
    <cellStyle name="20% - Accent4 3 3 3_Inputs" xfId="3437" xr:uid="{00000000-0005-0000-0000-00004F030000}"/>
    <cellStyle name="20% - Accent4 3 3 4" xfId="596" xr:uid="{00000000-0005-0000-0000-000050030000}"/>
    <cellStyle name="20% - Accent4 3 3_Inputs" xfId="3435" xr:uid="{00000000-0005-0000-0000-000051030000}"/>
    <cellStyle name="20% - Accent4 3 4" xfId="597" xr:uid="{00000000-0005-0000-0000-000052030000}"/>
    <cellStyle name="20% - Accent4 3 4 2" xfId="598" xr:uid="{00000000-0005-0000-0000-000053030000}"/>
    <cellStyle name="20% - Accent4 3 4 2 2" xfId="599" xr:uid="{00000000-0005-0000-0000-000054030000}"/>
    <cellStyle name="20% - Accent4 3 4 2_Inputs" xfId="3439" xr:uid="{00000000-0005-0000-0000-000055030000}"/>
    <cellStyle name="20% - Accent4 3 4 3" xfId="600" xr:uid="{00000000-0005-0000-0000-000056030000}"/>
    <cellStyle name="20% - Accent4 3 4 3 2" xfId="601" xr:uid="{00000000-0005-0000-0000-000057030000}"/>
    <cellStyle name="20% - Accent4 3 4 3_Inputs" xfId="3440" xr:uid="{00000000-0005-0000-0000-000058030000}"/>
    <cellStyle name="20% - Accent4 3 4 4" xfId="602" xr:uid="{00000000-0005-0000-0000-000059030000}"/>
    <cellStyle name="20% - Accent4 3 4_Inputs" xfId="3438" xr:uid="{00000000-0005-0000-0000-00005A030000}"/>
    <cellStyle name="20% - Accent4 3 5" xfId="603" xr:uid="{00000000-0005-0000-0000-00005B030000}"/>
    <cellStyle name="20% - Accent4 3 5 2" xfId="604" xr:uid="{00000000-0005-0000-0000-00005C030000}"/>
    <cellStyle name="20% - Accent4 3 5_Inputs" xfId="3441" xr:uid="{00000000-0005-0000-0000-00005D030000}"/>
    <cellStyle name="20% - Accent4 3 6" xfId="605" xr:uid="{00000000-0005-0000-0000-00005E030000}"/>
    <cellStyle name="20% - Accent4 3 6 2" xfId="606" xr:uid="{00000000-0005-0000-0000-00005F030000}"/>
    <cellStyle name="20% - Accent4 3 6_Inputs" xfId="3442" xr:uid="{00000000-0005-0000-0000-000060030000}"/>
    <cellStyle name="20% - Accent4 3 7" xfId="607" xr:uid="{00000000-0005-0000-0000-000061030000}"/>
    <cellStyle name="20% - Accent4 3_Bdx 1517" xfId="608" xr:uid="{00000000-0005-0000-0000-000062030000}"/>
    <cellStyle name="20% - Accent4 4" xfId="609" xr:uid="{00000000-0005-0000-0000-000063030000}"/>
    <cellStyle name="20% - Accent4 4 2" xfId="610" xr:uid="{00000000-0005-0000-0000-000064030000}"/>
    <cellStyle name="20% - Accent4 4 2 2" xfId="611" xr:uid="{00000000-0005-0000-0000-000065030000}"/>
    <cellStyle name="20% - Accent4 4 2 2 2" xfId="612" xr:uid="{00000000-0005-0000-0000-000066030000}"/>
    <cellStyle name="20% - Accent4 4 2 2_Inputs" xfId="3444" xr:uid="{00000000-0005-0000-0000-000067030000}"/>
    <cellStyle name="20% - Accent4 4 2 3" xfId="613" xr:uid="{00000000-0005-0000-0000-000068030000}"/>
    <cellStyle name="20% - Accent4 4 2 3 2" xfId="614" xr:uid="{00000000-0005-0000-0000-000069030000}"/>
    <cellStyle name="20% - Accent4 4 2 3_Inputs" xfId="3445" xr:uid="{00000000-0005-0000-0000-00006A030000}"/>
    <cellStyle name="20% - Accent4 4 2 4" xfId="615" xr:uid="{00000000-0005-0000-0000-00006B030000}"/>
    <cellStyle name="20% - Accent4 4 2_Inputs" xfId="3443" xr:uid="{00000000-0005-0000-0000-00006C030000}"/>
    <cellStyle name="20% - Accent4 4 3" xfId="616" xr:uid="{00000000-0005-0000-0000-00006D030000}"/>
    <cellStyle name="20% - Accent4 4 3 2" xfId="617" xr:uid="{00000000-0005-0000-0000-00006E030000}"/>
    <cellStyle name="20% - Accent4 4 3 2 2" xfId="618" xr:uid="{00000000-0005-0000-0000-00006F030000}"/>
    <cellStyle name="20% - Accent4 4 3 2_Inputs" xfId="3447" xr:uid="{00000000-0005-0000-0000-000070030000}"/>
    <cellStyle name="20% - Accent4 4 3 3" xfId="619" xr:uid="{00000000-0005-0000-0000-000071030000}"/>
    <cellStyle name="20% - Accent4 4 3 3 2" xfId="620" xr:uid="{00000000-0005-0000-0000-000072030000}"/>
    <cellStyle name="20% - Accent4 4 3 3_Inputs" xfId="3448" xr:uid="{00000000-0005-0000-0000-000073030000}"/>
    <cellStyle name="20% - Accent4 4 3 4" xfId="621" xr:uid="{00000000-0005-0000-0000-000074030000}"/>
    <cellStyle name="20% - Accent4 4 3_Inputs" xfId="3446" xr:uid="{00000000-0005-0000-0000-000075030000}"/>
    <cellStyle name="20% - Accent4 4 4" xfId="622" xr:uid="{00000000-0005-0000-0000-000076030000}"/>
    <cellStyle name="20% - Accent4 4 4 2" xfId="623" xr:uid="{00000000-0005-0000-0000-000077030000}"/>
    <cellStyle name="20% - Accent4 4 4_Inputs" xfId="3449" xr:uid="{00000000-0005-0000-0000-000078030000}"/>
    <cellStyle name="20% - Accent4 4 5" xfId="624" xr:uid="{00000000-0005-0000-0000-000079030000}"/>
    <cellStyle name="20% - Accent4 4 5 2" xfId="625" xr:uid="{00000000-0005-0000-0000-00007A030000}"/>
    <cellStyle name="20% - Accent4 4 5_Inputs" xfId="3450" xr:uid="{00000000-0005-0000-0000-00007B030000}"/>
    <cellStyle name="20% - Accent4 4 6" xfId="626" xr:uid="{00000000-0005-0000-0000-00007C030000}"/>
    <cellStyle name="20% - Accent4 4_Bdx 1517" xfId="627" xr:uid="{00000000-0005-0000-0000-00007D030000}"/>
    <cellStyle name="20% - Accent4 5" xfId="628" xr:uid="{00000000-0005-0000-0000-00007E030000}"/>
    <cellStyle name="20% - Accent4 5 2" xfId="629" xr:uid="{00000000-0005-0000-0000-00007F030000}"/>
    <cellStyle name="20% - Accent4 5 2 2" xfId="630" xr:uid="{00000000-0005-0000-0000-000080030000}"/>
    <cellStyle name="20% - Accent4 5 2_Inputs" xfId="3452" xr:uid="{00000000-0005-0000-0000-000081030000}"/>
    <cellStyle name="20% - Accent4 5 3" xfId="631" xr:uid="{00000000-0005-0000-0000-000082030000}"/>
    <cellStyle name="20% - Accent4 5 3 2" xfId="632" xr:uid="{00000000-0005-0000-0000-000083030000}"/>
    <cellStyle name="20% - Accent4 5 3_Inputs" xfId="3453" xr:uid="{00000000-0005-0000-0000-000084030000}"/>
    <cellStyle name="20% - Accent4 5 4" xfId="633" xr:uid="{00000000-0005-0000-0000-000085030000}"/>
    <cellStyle name="20% - Accent4 5_Inputs" xfId="3451" xr:uid="{00000000-0005-0000-0000-000086030000}"/>
    <cellStyle name="20% - Accent4 6" xfId="634" xr:uid="{00000000-0005-0000-0000-000087030000}"/>
    <cellStyle name="20% - Accent4 6 2" xfId="635" xr:uid="{00000000-0005-0000-0000-000088030000}"/>
    <cellStyle name="20% - Accent4 6_Inputs" xfId="3454" xr:uid="{00000000-0005-0000-0000-000089030000}"/>
    <cellStyle name="20% - Accent4 7" xfId="636" xr:uid="{00000000-0005-0000-0000-00008A030000}"/>
    <cellStyle name="20% - Accent4 7 2" xfId="637" xr:uid="{00000000-0005-0000-0000-00008B030000}"/>
    <cellStyle name="20% - Accent4 7_Inputs" xfId="3455" xr:uid="{00000000-0005-0000-0000-00008C030000}"/>
    <cellStyle name="20% - Accent4 8" xfId="638" xr:uid="{00000000-0005-0000-0000-00008D030000}"/>
    <cellStyle name="20% - Accent5 2" xfId="639" xr:uid="{00000000-0005-0000-0000-00008E030000}"/>
    <cellStyle name="20% - Accent5 2 2" xfId="640" xr:uid="{00000000-0005-0000-0000-00008F030000}"/>
    <cellStyle name="20% - Accent5 2 2 2" xfId="641" xr:uid="{00000000-0005-0000-0000-000090030000}"/>
    <cellStyle name="20% - Accent5 2 2 2 2" xfId="642" xr:uid="{00000000-0005-0000-0000-000091030000}"/>
    <cellStyle name="20% - Accent5 2 2 2 2 2" xfId="643" xr:uid="{00000000-0005-0000-0000-000092030000}"/>
    <cellStyle name="20% - Accent5 2 2 2 2_Inputs" xfId="3457" xr:uid="{00000000-0005-0000-0000-000093030000}"/>
    <cellStyle name="20% - Accent5 2 2 2 3" xfId="644" xr:uid="{00000000-0005-0000-0000-000094030000}"/>
    <cellStyle name="20% - Accent5 2 2 2 3 2" xfId="645" xr:uid="{00000000-0005-0000-0000-000095030000}"/>
    <cellStyle name="20% - Accent5 2 2 2 3_Inputs" xfId="3458" xr:uid="{00000000-0005-0000-0000-000096030000}"/>
    <cellStyle name="20% - Accent5 2 2 2 4" xfId="646" xr:uid="{00000000-0005-0000-0000-000097030000}"/>
    <cellStyle name="20% - Accent5 2 2 2_Inputs" xfId="3456" xr:uid="{00000000-0005-0000-0000-000098030000}"/>
    <cellStyle name="20% - Accent5 2 2 3" xfId="647" xr:uid="{00000000-0005-0000-0000-000099030000}"/>
    <cellStyle name="20% - Accent5 2 2 3 2" xfId="648" xr:uid="{00000000-0005-0000-0000-00009A030000}"/>
    <cellStyle name="20% - Accent5 2 2 3 2 2" xfId="649" xr:uid="{00000000-0005-0000-0000-00009B030000}"/>
    <cellStyle name="20% - Accent5 2 2 3 2_Inputs" xfId="3460" xr:uid="{00000000-0005-0000-0000-00009C030000}"/>
    <cellStyle name="20% - Accent5 2 2 3 3" xfId="650" xr:uid="{00000000-0005-0000-0000-00009D030000}"/>
    <cellStyle name="20% - Accent5 2 2 3 3 2" xfId="651" xr:uid="{00000000-0005-0000-0000-00009E030000}"/>
    <cellStyle name="20% - Accent5 2 2 3 3_Inputs" xfId="3461" xr:uid="{00000000-0005-0000-0000-00009F030000}"/>
    <cellStyle name="20% - Accent5 2 2 3 4" xfId="652" xr:uid="{00000000-0005-0000-0000-0000A0030000}"/>
    <cellStyle name="20% - Accent5 2 2 3_Inputs" xfId="3459" xr:uid="{00000000-0005-0000-0000-0000A1030000}"/>
    <cellStyle name="20% - Accent5 2 2 4" xfId="653" xr:uid="{00000000-0005-0000-0000-0000A2030000}"/>
    <cellStyle name="20% - Accent5 2 2 4 2" xfId="654" xr:uid="{00000000-0005-0000-0000-0000A3030000}"/>
    <cellStyle name="20% - Accent5 2 2 4_Inputs" xfId="3462" xr:uid="{00000000-0005-0000-0000-0000A4030000}"/>
    <cellStyle name="20% - Accent5 2 2 5" xfId="655" xr:uid="{00000000-0005-0000-0000-0000A5030000}"/>
    <cellStyle name="20% - Accent5 2 2 5 2" xfId="656" xr:uid="{00000000-0005-0000-0000-0000A6030000}"/>
    <cellStyle name="20% - Accent5 2 2 5_Inputs" xfId="3463" xr:uid="{00000000-0005-0000-0000-0000A7030000}"/>
    <cellStyle name="20% - Accent5 2 2 6" xfId="657" xr:uid="{00000000-0005-0000-0000-0000A8030000}"/>
    <cellStyle name="20% - Accent5 2 2_Bdx 1517" xfId="658" xr:uid="{00000000-0005-0000-0000-0000A9030000}"/>
    <cellStyle name="20% - Accent5 2 3" xfId="659" xr:uid="{00000000-0005-0000-0000-0000AA030000}"/>
    <cellStyle name="20% - Accent5 2 3 2" xfId="660" xr:uid="{00000000-0005-0000-0000-0000AB030000}"/>
    <cellStyle name="20% - Accent5 2 3 2 2" xfId="661" xr:uid="{00000000-0005-0000-0000-0000AC030000}"/>
    <cellStyle name="20% - Accent5 2 3 2 2 2" xfId="662" xr:uid="{00000000-0005-0000-0000-0000AD030000}"/>
    <cellStyle name="20% - Accent5 2 3 2 2_Inputs" xfId="3465" xr:uid="{00000000-0005-0000-0000-0000AE030000}"/>
    <cellStyle name="20% - Accent5 2 3 2 3" xfId="663" xr:uid="{00000000-0005-0000-0000-0000AF030000}"/>
    <cellStyle name="20% - Accent5 2 3 2 3 2" xfId="664" xr:uid="{00000000-0005-0000-0000-0000B0030000}"/>
    <cellStyle name="20% - Accent5 2 3 2 3_Inputs" xfId="3466" xr:uid="{00000000-0005-0000-0000-0000B1030000}"/>
    <cellStyle name="20% - Accent5 2 3 2 4" xfId="665" xr:uid="{00000000-0005-0000-0000-0000B2030000}"/>
    <cellStyle name="20% - Accent5 2 3 2_Inputs" xfId="3464" xr:uid="{00000000-0005-0000-0000-0000B3030000}"/>
    <cellStyle name="20% - Accent5 2 3 3" xfId="666" xr:uid="{00000000-0005-0000-0000-0000B4030000}"/>
    <cellStyle name="20% - Accent5 2 3 3 2" xfId="667" xr:uid="{00000000-0005-0000-0000-0000B5030000}"/>
    <cellStyle name="20% - Accent5 2 3 3 2 2" xfId="668" xr:uid="{00000000-0005-0000-0000-0000B6030000}"/>
    <cellStyle name="20% - Accent5 2 3 3 2_Inputs" xfId="3468" xr:uid="{00000000-0005-0000-0000-0000B7030000}"/>
    <cellStyle name="20% - Accent5 2 3 3 3" xfId="669" xr:uid="{00000000-0005-0000-0000-0000B8030000}"/>
    <cellStyle name="20% - Accent5 2 3 3 3 2" xfId="670" xr:uid="{00000000-0005-0000-0000-0000B9030000}"/>
    <cellStyle name="20% - Accent5 2 3 3 3_Inputs" xfId="3469" xr:uid="{00000000-0005-0000-0000-0000BA030000}"/>
    <cellStyle name="20% - Accent5 2 3 3 4" xfId="671" xr:uid="{00000000-0005-0000-0000-0000BB030000}"/>
    <cellStyle name="20% - Accent5 2 3 3_Inputs" xfId="3467" xr:uid="{00000000-0005-0000-0000-0000BC030000}"/>
    <cellStyle name="20% - Accent5 2 3 4" xfId="672" xr:uid="{00000000-0005-0000-0000-0000BD030000}"/>
    <cellStyle name="20% - Accent5 2 3 4 2" xfId="673" xr:uid="{00000000-0005-0000-0000-0000BE030000}"/>
    <cellStyle name="20% - Accent5 2 3 4_Inputs" xfId="3470" xr:uid="{00000000-0005-0000-0000-0000BF030000}"/>
    <cellStyle name="20% - Accent5 2 3 5" xfId="674" xr:uid="{00000000-0005-0000-0000-0000C0030000}"/>
    <cellStyle name="20% - Accent5 2 3 5 2" xfId="675" xr:uid="{00000000-0005-0000-0000-0000C1030000}"/>
    <cellStyle name="20% - Accent5 2 3 5_Inputs" xfId="3471" xr:uid="{00000000-0005-0000-0000-0000C2030000}"/>
    <cellStyle name="20% - Accent5 2 3 6" xfId="676" xr:uid="{00000000-0005-0000-0000-0000C3030000}"/>
    <cellStyle name="20% - Accent5 2 3_Bdx 1517" xfId="677" xr:uid="{00000000-0005-0000-0000-0000C4030000}"/>
    <cellStyle name="20% - Accent5 2 4" xfId="678" xr:uid="{00000000-0005-0000-0000-0000C5030000}"/>
    <cellStyle name="20% - Accent5 2 4 2" xfId="679" xr:uid="{00000000-0005-0000-0000-0000C6030000}"/>
    <cellStyle name="20% - Accent5 2 4 2 2" xfId="680" xr:uid="{00000000-0005-0000-0000-0000C7030000}"/>
    <cellStyle name="20% - Accent5 2 4 2_Inputs" xfId="3473" xr:uid="{00000000-0005-0000-0000-0000C8030000}"/>
    <cellStyle name="20% - Accent5 2 4 3" xfId="681" xr:uid="{00000000-0005-0000-0000-0000C9030000}"/>
    <cellStyle name="20% - Accent5 2 4 3 2" xfId="682" xr:uid="{00000000-0005-0000-0000-0000CA030000}"/>
    <cellStyle name="20% - Accent5 2 4 3_Inputs" xfId="3474" xr:uid="{00000000-0005-0000-0000-0000CB030000}"/>
    <cellStyle name="20% - Accent5 2 4 4" xfId="683" xr:uid="{00000000-0005-0000-0000-0000CC030000}"/>
    <cellStyle name="20% - Accent5 2 4_Inputs" xfId="3472" xr:uid="{00000000-0005-0000-0000-0000CD030000}"/>
    <cellStyle name="20% - Accent5 2 5" xfId="684" xr:uid="{00000000-0005-0000-0000-0000CE030000}"/>
    <cellStyle name="20% - Accent5 2 5 2" xfId="685" xr:uid="{00000000-0005-0000-0000-0000CF030000}"/>
    <cellStyle name="20% - Accent5 2 5 2 2" xfId="686" xr:uid="{00000000-0005-0000-0000-0000D0030000}"/>
    <cellStyle name="20% - Accent5 2 5 2_Inputs" xfId="3476" xr:uid="{00000000-0005-0000-0000-0000D1030000}"/>
    <cellStyle name="20% - Accent5 2 5 3" xfId="687" xr:uid="{00000000-0005-0000-0000-0000D2030000}"/>
    <cellStyle name="20% - Accent5 2 5 3 2" xfId="688" xr:uid="{00000000-0005-0000-0000-0000D3030000}"/>
    <cellStyle name="20% - Accent5 2 5 3_Inputs" xfId="3477" xr:uid="{00000000-0005-0000-0000-0000D4030000}"/>
    <cellStyle name="20% - Accent5 2 5 4" xfId="689" xr:uid="{00000000-0005-0000-0000-0000D5030000}"/>
    <cellStyle name="20% - Accent5 2 5_Inputs" xfId="3475" xr:uid="{00000000-0005-0000-0000-0000D6030000}"/>
    <cellStyle name="20% - Accent5 2 6" xfId="690" xr:uid="{00000000-0005-0000-0000-0000D7030000}"/>
    <cellStyle name="20% - Accent5 2 6 2" xfId="691" xr:uid="{00000000-0005-0000-0000-0000D8030000}"/>
    <cellStyle name="20% - Accent5 2 6_Inputs" xfId="3478" xr:uid="{00000000-0005-0000-0000-0000D9030000}"/>
    <cellStyle name="20% - Accent5 2 7" xfId="692" xr:uid="{00000000-0005-0000-0000-0000DA030000}"/>
    <cellStyle name="20% - Accent5 2 7 2" xfId="693" xr:uid="{00000000-0005-0000-0000-0000DB030000}"/>
    <cellStyle name="20% - Accent5 2 7_Inputs" xfId="3479" xr:uid="{00000000-0005-0000-0000-0000DC030000}"/>
    <cellStyle name="20% - Accent5 2 8" xfId="694" xr:uid="{00000000-0005-0000-0000-0000DD030000}"/>
    <cellStyle name="20% - Accent5 2_Bdx 1517" xfId="695" xr:uid="{00000000-0005-0000-0000-0000DE030000}"/>
    <cellStyle name="20% - Accent5 3" xfId="696" xr:uid="{00000000-0005-0000-0000-0000DF030000}"/>
    <cellStyle name="20% - Accent5 3 2" xfId="697" xr:uid="{00000000-0005-0000-0000-0000E0030000}"/>
    <cellStyle name="20% - Accent5 3 2 2" xfId="698" xr:uid="{00000000-0005-0000-0000-0000E1030000}"/>
    <cellStyle name="20% - Accent5 3 2 2 2" xfId="699" xr:uid="{00000000-0005-0000-0000-0000E2030000}"/>
    <cellStyle name="20% - Accent5 3 2 2 2 2" xfId="700" xr:uid="{00000000-0005-0000-0000-0000E3030000}"/>
    <cellStyle name="20% - Accent5 3 2 2 2_Inputs" xfId="3481" xr:uid="{00000000-0005-0000-0000-0000E4030000}"/>
    <cellStyle name="20% - Accent5 3 2 2 3" xfId="701" xr:uid="{00000000-0005-0000-0000-0000E5030000}"/>
    <cellStyle name="20% - Accent5 3 2 2 3 2" xfId="702" xr:uid="{00000000-0005-0000-0000-0000E6030000}"/>
    <cellStyle name="20% - Accent5 3 2 2 3_Inputs" xfId="3482" xr:uid="{00000000-0005-0000-0000-0000E7030000}"/>
    <cellStyle name="20% - Accent5 3 2 2 4" xfId="703" xr:uid="{00000000-0005-0000-0000-0000E8030000}"/>
    <cellStyle name="20% - Accent5 3 2 2_Inputs" xfId="3480" xr:uid="{00000000-0005-0000-0000-0000E9030000}"/>
    <cellStyle name="20% - Accent5 3 2 3" xfId="704" xr:uid="{00000000-0005-0000-0000-0000EA030000}"/>
    <cellStyle name="20% - Accent5 3 2 3 2" xfId="705" xr:uid="{00000000-0005-0000-0000-0000EB030000}"/>
    <cellStyle name="20% - Accent5 3 2 3 2 2" xfId="706" xr:uid="{00000000-0005-0000-0000-0000EC030000}"/>
    <cellStyle name="20% - Accent5 3 2 3 2_Inputs" xfId="3484" xr:uid="{00000000-0005-0000-0000-0000ED030000}"/>
    <cellStyle name="20% - Accent5 3 2 3 3" xfId="707" xr:uid="{00000000-0005-0000-0000-0000EE030000}"/>
    <cellStyle name="20% - Accent5 3 2 3 3 2" xfId="708" xr:uid="{00000000-0005-0000-0000-0000EF030000}"/>
    <cellStyle name="20% - Accent5 3 2 3 3_Inputs" xfId="3485" xr:uid="{00000000-0005-0000-0000-0000F0030000}"/>
    <cellStyle name="20% - Accent5 3 2 3 4" xfId="709" xr:uid="{00000000-0005-0000-0000-0000F1030000}"/>
    <cellStyle name="20% - Accent5 3 2 3_Inputs" xfId="3483" xr:uid="{00000000-0005-0000-0000-0000F2030000}"/>
    <cellStyle name="20% - Accent5 3 2 4" xfId="710" xr:uid="{00000000-0005-0000-0000-0000F3030000}"/>
    <cellStyle name="20% - Accent5 3 2 4 2" xfId="711" xr:uid="{00000000-0005-0000-0000-0000F4030000}"/>
    <cellStyle name="20% - Accent5 3 2 4_Inputs" xfId="3486" xr:uid="{00000000-0005-0000-0000-0000F5030000}"/>
    <cellStyle name="20% - Accent5 3 2 5" xfId="712" xr:uid="{00000000-0005-0000-0000-0000F6030000}"/>
    <cellStyle name="20% - Accent5 3 2 5 2" xfId="713" xr:uid="{00000000-0005-0000-0000-0000F7030000}"/>
    <cellStyle name="20% - Accent5 3 2 5_Inputs" xfId="3487" xr:uid="{00000000-0005-0000-0000-0000F8030000}"/>
    <cellStyle name="20% - Accent5 3 2 6" xfId="714" xr:uid="{00000000-0005-0000-0000-0000F9030000}"/>
    <cellStyle name="20% - Accent5 3 2_Bdx 1517" xfId="715" xr:uid="{00000000-0005-0000-0000-0000FA030000}"/>
    <cellStyle name="20% - Accent5 3 3" xfId="716" xr:uid="{00000000-0005-0000-0000-0000FB030000}"/>
    <cellStyle name="20% - Accent5 3 3 2" xfId="717" xr:uid="{00000000-0005-0000-0000-0000FC030000}"/>
    <cellStyle name="20% - Accent5 3 3 2 2" xfId="718" xr:uid="{00000000-0005-0000-0000-0000FD030000}"/>
    <cellStyle name="20% - Accent5 3 3 2_Inputs" xfId="3489" xr:uid="{00000000-0005-0000-0000-0000FE030000}"/>
    <cellStyle name="20% - Accent5 3 3 3" xfId="719" xr:uid="{00000000-0005-0000-0000-0000FF030000}"/>
    <cellStyle name="20% - Accent5 3 3 3 2" xfId="720" xr:uid="{00000000-0005-0000-0000-000000040000}"/>
    <cellStyle name="20% - Accent5 3 3 3_Inputs" xfId="3490" xr:uid="{00000000-0005-0000-0000-000001040000}"/>
    <cellStyle name="20% - Accent5 3 3 4" xfId="721" xr:uid="{00000000-0005-0000-0000-000002040000}"/>
    <cellStyle name="20% - Accent5 3 3_Inputs" xfId="3488" xr:uid="{00000000-0005-0000-0000-000003040000}"/>
    <cellStyle name="20% - Accent5 3 4" xfId="722" xr:uid="{00000000-0005-0000-0000-000004040000}"/>
    <cellStyle name="20% - Accent5 3 4 2" xfId="723" xr:uid="{00000000-0005-0000-0000-000005040000}"/>
    <cellStyle name="20% - Accent5 3 4 2 2" xfId="724" xr:uid="{00000000-0005-0000-0000-000006040000}"/>
    <cellStyle name="20% - Accent5 3 4 2_Inputs" xfId="3492" xr:uid="{00000000-0005-0000-0000-000007040000}"/>
    <cellStyle name="20% - Accent5 3 4 3" xfId="725" xr:uid="{00000000-0005-0000-0000-000008040000}"/>
    <cellStyle name="20% - Accent5 3 4 3 2" xfId="726" xr:uid="{00000000-0005-0000-0000-000009040000}"/>
    <cellStyle name="20% - Accent5 3 4 3_Inputs" xfId="3493" xr:uid="{00000000-0005-0000-0000-00000A040000}"/>
    <cellStyle name="20% - Accent5 3 4 4" xfId="727" xr:uid="{00000000-0005-0000-0000-00000B040000}"/>
    <cellStyle name="20% - Accent5 3 4_Inputs" xfId="3491" xr:uid="{00000000-0005-0000-0000-00000C040000}"/>
    <cellStyle name="20% - Accent5 3 5" xfId="728" xr:uid="{00000000-0005-0000-0000-00000D040000}"/>
    <cellStyle name="20% - Accent5 3 5 2" xfId="729" xr:uid="{00000000-0005-0000-0000-00000E040000}"/>
    <cellStyle name="20% - Accent5 3 5_Inputs" xfId="3494" xr:uid="{00000000-0005-0000-0000-00000F040000}"/>
    <cellStyle name="20% - Accent5 3 6" xfId="730" xr:uid="{00000000-0005-0000-0000-000010040000}"/>
    <cellStyle name="20% - Accent5 3 6 2" xfId="731" xr:uid="{00000000-0005-0000-0000-000011040000}"/>
    <cellStyle name="20% - Accent5 3 6_Inputs" xfId="3495" xr:uid="{00000000-0005-0000-0000-000012040000}"/>
    <cellStyle name="20% - Accent5 3 7" xfId="732" xr:uid="{00000000-0005-0000-0000-000013040000}"/>
    <cellStyle name="20% - Accent5 3_Bdx 1517" xfId="733" xr:uid="{00000000-0005-0000-0000-000014040000}"/>
    <cellStyle name="20% - Accent5 4" xfId="734" xr:uid="{00000000-0005-0000-0000-000015040000}"/>
    <cellStyle name="20% - Accent5 4 2" xfId="735" xr:uid="{00000000-0005-0000-0000-000016040000}"/>
    <cellStyle name="20% - Accent5 4 2 2" xfId="736" xr:uid="{00000000-0005-0000-0000-000017040000}"/>
    <cellStyle name="20% - Accent5 4 2 2 2" xfId="737" xr:uid="{00000000-0005-0000-0000-000018040000}"/>
    <cellStyle name="20% - Accent5 4 2 2_Inputs" xfId="3497" xr:uid="{00000000-0005-0000-0000-000019040000}"/>
    <cellStyle name="20% - Accent5 4 2 3" xfId="738" xr:uid="{00000000-0005-0000-0000-00001A040000}"/>
    <cellStyle name="20% - Accent5 4 2 3 2" xfId="739" xr:uid="{00000000-0005-0000-0000-00001B040000}"/>
    <cellStyle name="20% - Accent5 4 2 3_Inputs" xfId="3498" xr:uid="{00000000-0005-0000-0000-00001C040000}"/>
    <cellStyle name="20% - Accent5 4 2 4" xfId="740" xr:uid="{00000000-0005-0000-0000-00001D040000}"/>
    <cellStyle name="20% - Accent5 4 2_Inputs" xfId="3496" xr:uid="{00000000-0005-0000-0000-00001E040000}"/>
    <cellStyle name="20% - Accent5 4 3" xfId="741" xr:uid="{00000000-0005-0000-0000-00001F040000}"/>
    <cellStyle name="20% - Accent5 4 3 2" xfId="742" xr:uid="{00000000-0005-0000-0000-000020040000}"/>
    <cellStyle name="20% - Accent5 4 3 2 2" xfId="743" xr:uid="{00000000-0005-0000-0000-000021040000}"/>
    <cellStyle name="20% - Accent5 4 3 2_Inputs" xfId="3500" xr:uid="{00000000-0005-0000-0000-000022040000}"/>
    <cellStyle name="20% - Accent5 4 3 3" xfId="744" xr:uid="{00000000-0005-0000-0000-000023040000}"/>
    <cellStyle name="20% - Accent5 4 3 3 2" xfId="745" xr:uid="{00000000-0005-0000-0000-000024040000}"/>
    <cellStyle name="20% - Accent5 4 3 3_Inputs" xfId="3501" xr:uid="{00000000-0005-0000-0000-000025040000}"/>
    <cellStyle name="20% - Accent5 4 3 4" xfId="746" xr:uid="{00000000-0005-0000-0000-000026040000}"/>
    <cellStyle name="20% - Accent5 4 3_Inputs" xfId="3499" xr:uid="{00000000-0005-0000-0000-000027040000}"/>
    <cellStyle name="20% - Accent5 4 4" xfId="747" xr:uid="{00000000-0005-0000-0000-000028040000}"/>
    <cellStyle name="20% - Accent5 4 4 2" xfId="748" xr:uid="{00000000-0005-0000-0000-000029040000}"/>
    <cellStyle name="20% - Accent5 4 4_Inputs" xfId="3502" xr:uid="{00000000-0005-0000-0000-00002A040000}"/>
    <cellStyle name="20% - Accent5 4 5" xfId="749" xr:uid="{00000000-0005-0000-0000-00002B040000}"/>
    <cellStyle name="20% - Accent5 4 5 2" xfId="750" xr:uid="{00000000-0005-0000-0000-00002C040000}"/>
    <cellStyle name="20% - Accent5 4 5_Inputs" xfId="3503" xr:uid="{00000000-0005-0000-0000-00002D040000}"/>
    <cellStyle name="20% - Accent5 4 6" xfId="751" xr:uid="{00000000-0005-0000-0000-00002E040000}"/>
    <cellStyle name="20% - Accent5 4_Bdx 1517" xfId="752" xr:uid="{00000000-0005-0000-0000-00002F040000}"/>
    <cellStyle name="20% - Accent5 5" xfId="753" xr:uid="{00000000-0005-0000-0000-000030040000}"/>
    <cellStyle name="20% - Accent5 5 2" xfId="754" xr:uid="{00000000-0005-0000-0000-000031040000}"/>
    <cellStyle name="20% - Accent5 5 2 2" xfId="755" xr:uid="{00000000-0005-0000-0000-000032040000}"/>
    <cellStyle name="20% - Accent5 5 2_Inputs" xfId="3505" xr:uid="{00000000-0005-0000-0000-000033040000}"/>
    <cellStyle name="20% - Accent5 5 3" xfId="756" xr:uid="{00000000-0005-0000-0000-000034040000}"/>
    <cellStyle name="20% - Accent5 5 3 2" xfId="757" xr:uid="{00000000-0005-0000-0000-000035040000}"/>
    <cellStyle name="20% - Accent5 5 3_Inputs" xfId="3506" xr:uid="{00000000-0005-0000-0000-000036040000}"/>
    <cellStyle name="20% - Accent5 5 4" xfId="758" xr:uid="{00000000-0005-0000-0000-000037040000}"/>
    <cellStyle name="20% - Accent5 5_Inputs" xfId="3504" xr:uid="{00000000-0005-0000-0000-000038040000}"/>
    <cellStyle name="20% - Accent5 6" xfId="759" xr:uid="{00000000-0005-0000-0000-000039040000}"/>
    <cellStyle name="20% - Accent5 6 2" xfId="760" xr:uid="{00000000-0005-0000-0000-00003A040000}"/>
    <cellStyle name="20% - Accent5 6_Inputs" xfId="3507" xr:uid="{00000000-0005-0000-0000-00003B040000}"/>
    <cellStyle name="20% - Accent5 7" xfId="761" xr:uid="{00000000-0005-0000-0000-00003C040000}"/>
    <cellStyle name="20% - Accent5 7 2" xfId="762" xr:uid="{00000000-0005-0000-0000-00003D040000}"/>
    <cellStyle name="20% - Accent5 7_Inputs" xfId="3508" xr:uid="{00000000-0005-0000-0000-00003E040000}"/>
    <cellStyle name="20% - Accent5 8" xfId="763" xr:uid="{00000000-0005-0000-0000-00003F040000}"/>
    <cellStyle name="20% - Accent6 2" xfId="764" xr:uid="{00000000-0005-0000-0000-000040040000}"/>
    <cellStyle name="20% - Accent6 2 2" xfId="765" xr:uid="{00000000-0005-0000-0000-000041040000}"/>
    <cellStyle name="20% - Accent6 2 2 2" xfId="766" xr:uid="{00000000-0005-0000-0000-000042040000}"/>
    <cellStyle name="20% - Accent6 2 2 2 2" xfId="767" xr:uid="{00000000-0005-0000-0000-000043040000}"/>
    <cellStyle name="20% - Accent6 2 2 2 2 2" xfId="768" xr:uid="{00000000-0005-0000-0000-000044040000}"/>
    <cellStyle name="20% - Accent6 2 2 2 2_Inputs" xfId="3510" xr:uid="{00000000-0005-0000-0000-000045040000}"/>
    <cellStyle name="20% - Accent6 2 2 2 3" xfId="769" xr:uid="{00000000-0005-0000-0000-000046040000}"/>
    <cellStyle name="20% - Accent6 2 2 2 3 2" xfId="770" xr:uid="{00000000-0005-0000-0000-000047040000}"/>
    <cellStyle name="20% - Accent6 2 2 2 3_Inputs" xfId="3511" xr:uid="{00000000-0005-0000-0000-000048040000}"/>
    <cellStyle name="20% - Accent6 2 2 2 4" xfId="771" xr:uid="{00000000-0005-0000-0000-000049040000}"/>
    <cellStyle name="20% - Accent6 2 2 2_Inputs" xfId="3509" xr:uid="{00000000-0005-0000-0000-00004A040000}"/>
    <cellStyle name="20% - Accent6 2 2 3" xfId="772" xr:uid="{00000000-0005-0000-0000-00004B040000}"/>
    <cellStyle name="20% - Accent6 2 2 3 2" xfId="773" xr:uid="{00000000-0005-0000-0000-00004C040000}"/>
    <cellStyle name="20% - Accent6 2 2 3 2 2" xfId="774" xr:uid="{00000000-0005-0000-0000-00004D040000}"/>
    <cellStyle name="20% - Accent6 2 2 3 2_Inputs" xfId="3513" xr:uid="{00000000-0005-0000-0000-00004E040000}"/>
    <cellStyle name="20% - Accent6 2 2 3 3" xfId="775" xr:uid="{00000000-0005-0000-0000-00004F040000}"/>
    <cellStyle name="20% - Accent6 2 2 3 3 2" xfId="776" xr:uid="{00000000-0005-0000-0000-000050040000}"/>
    <cellStyle name="20% - Accent6 2 2 3 3_Inputs" xfId="3514" xr:uid="{00000000-0005-0000-0000-000051040000}"/>
    <cellStyle name="20% - Accent6 2 2 3 4" xfId="777" xr:uid="{00000000-0005-0000-0000-000052040000}"/>
    <cellStyle name="20% - Accent6 2 2 3_Inputs" xfId="3512" xr:uid="{00000000-0005-0000-0000-000053040000}"/>
    <cellStyle name="20% - Accent6 2 2 4" xfId="778" xr:uid="{00000000-0005-0000-0000-000054040000}"/>
    <cellStyle name="20% - Accent6 2 2 4 2" xfId="779" xr:uid="{00000000-0005-0000-0000-000055040000}"/>
    <cellStyle name="20% - Accent6 2 2 4_Inputs" xfId="3515" xr:uid="{00000000-0005-0000-0000-000056040000}"/>
    <cellStyle name="20% - Accent6 2 2 5" xfId="780" xr:uid="{00000000-0005-0000-0000-000057040000}"/>
    <cellStyle name="20% - Accent6 2 2 5 2" xfId="781" xr:uid="{00000000-0005-0000-0000-000058040000}"/>
    <cellStyle name="20% - Accent6 2 2 5_Inputs" xfId="3516" xr:uid="{00000000-0005-0000-0000-000059040000}"/>
    <cellStyle name="20% - Accent6 2 2 6" xfId="782" xr:uid="{00000000-0005-0000-0000-00005A040000}"/>
    <cellStyle name="20% - Accent6 2 2_Bdx 1517" xfId="783" xr:uid="{00000000-0005-0000-0000-00005B040000}"/>
    <cellStyle name="20% - Accent6 2 3" xfId="784" xr:uid="{00000000-0005-0000-0000-00005C040000}"/>
    <cellStyle name="20% - Accent6 2 3 2" xfId="785" xr:uid="{00000000-0005-0000-0000-00005D040000}"/>
    <cellStyle name="20% - Accent6 2 3 2 2" xfId="786" xr:uid="{00000000-0005-0000-0000-00005E040000}"/>
    <cellStyle name="20% - Accent6 2 3 2 2 2" xfId="787" xr:uid="{00000000-0005-0000-0000-00005F040000}"/>
    <cellStyle name="20% - Accent6 2 3 2 2_Inputs" xfId="3518" xr:uid="{00000000-0005-0000-0000-000060040000}"/>
    <cellStyle name="20% - Accent6 2 3 2 3" xfId="788" xr:uid="{00000000-0005-0000-0000-000061040000}"/>
    <cellStyle name="20% - Accent6 2 3 2 3 2" xfId="789" xr:uid="{00000000-0005-0000-0000-000062040000}"/>
    <cellStyle name="20% - Accent6 2 3 2 3_Inputs" xfId="3519" xr:uid="{00000000-0005-0000-0000-000063040000}"/>
    <cellStyle name="20% - Accent6 2 3 2 4" xfId="790" xr:uid="{00000000-0005-0000-0000-000064040000}"/>
    <cellStyle name="20% - Accent6 2 3 2_Inputs" xfId="3517" xr:uid="{00000000-0005-0000-0000-000065040000}"/>
    <cellStyle name="20% - Accent6 2 3 3" xfId="791" xr:uid="{00000000-0005-0000-0000-000066040000}"/>
    <cellStyle name="20% - Accent6 2 3 3 2" xfId="792" xr:uid="{00000000-0005-0000-0000-000067040000}"/>
    <cellStyle name="20% - Accent6 2 3 3 2 2" xfId="793" xr:uid="{00000000-0005-0000-0000-000068040000}"/>
    <cellStyle name="20% - Accent6 2 3 3 2_Inputs" xfId="3521" xr:uid="{00000000-0005-0000-0000-000069040000}"/>
    <cellStyle name="20% - Accent6 2 3 3 3" xfId="794" xr:uid="{00000000-0005-0000-0000-00006A040000}"/>
    <cellStyle name="20% - Accent6 2 3 3 3 2" xfId="795" xr:uid="{00000000-0005-0000-0000-00006B040000}"/>
    <cellStyle name="20% - Accent6 2 3 3 3_Inputs" xfId="3522" xr:uid="{00000000-0005-0000-0000-00006C040000}"/>
    <cellStyle name="20% - Accent6 2 3 3 4" xfId="796" xr:uid="{00000000-0005-0000-0000-00006D040000}"/>
    <cellStyle name="20% - Accent6 2 3 3_Inputs" xfId="3520" xr:uid="{00000000-0005-0000-0000-00006E040000}"/>
    <cellStyle name="20% - Accent6 2 3 4" xfId="797" xr:uid="{00000000-0005-0000-0000-00006F040000}"/>
    <cellStyle name="20% - Accent6 2 3 4 2" xfId="798" xr:uid="{00000000-0005-0000-0000-000070040000}"/>
    <cellStyle name="20% - Accent6 2 3 4_Inputs" xfId="3523" xr:uid="{00000000-0005-0000-0000-000071040000}"/>
    <cellStyle name="20% - Accent6 2 3 5" xfId="799" xr:uid="{00000000-0005-0000-0000-000072040000}"/>
    <cellStyle name="20% - Accent6 2 3 5 2" xfId="800" xr:uid="{00000000-0005-0000-0000-000073040000}"/>
    <cellStyle name="20% - Accent6 2 3 5_Inputs" xfId="3524" xr:uid="{00000000-0005-0000-0000-000074040000}"/>
    <cellStyle name="20% - Accent6 2 3 6" xfId="801" xr:uid="{00000000-0005-0000-0000-000075040000}"/>
    <cellStyle name="20% - Accent6 2 3_Bdx 1517" xfId="802" xr:uid="{00000000-0005-0000-0000-000076040000}"/>
    <cellStyle name="20% - Accent6 2 4" xfId="803" xr:uid="{00000000-0005-0000-0000-000077040000}"/>
    <cellStyle name="20% - Accent6 2 4 2" xfId="804" xr:uid="{00000000-0005-0000-0000-000078040000}"/>
    <cellStyle name="20% - Accent6 2 4 2 2" xfId="805" xr:uid="{00000000-0005-0000-0000-000079040000}"/>
    <cellStyle name="20% - Accent6 2 4 2_Inputs" xfId="3526" xr:uid="{00000000-0005-0000-0000-00007A040000}"/>
    <cellStyle name="20% - Accent6 2 4 3" xfId="806" xr:uid="{00000000-0005-0000-0000-00007B040000}"/>
    <cellStyle name="20% - Accent6 2 4 3 2" xfId="807" xr:uid="{00000000-0005-0000-0000-00007C040000}"/>
    <cellStyle name="20% - Accent6 2 4 3_Inputs" xfId="3527" xr:uid="{00000000-0005-0000-0000-00007D040000}"/>
    <cellStyle name="20% - Accent6 2 4 4" xfId="808" xr:uid="{00000000-0005-0000-0000-00007E040000}"/>
    <cellStyle name="20% - Accent6 2 4_Inputs" xfId="3525" xr:uid="{00000000-0005-0000-0000-00007F040000}"/>
    <cellStyle name="20% - Accent6 2 5" xfId="809" xr:uid="{00000000-0005-0000-0000-000080040000}"/>
    <cellStyle name="20% - Accent6 2 5 2" xfId="810" xr:uid="{00000000-0005-0000-0000-000081040000}"/>
    <cellStyle name="20% - Accent6 2 5 2 2" xfId="811" xr:uid="{00000000-0005-0000-0000-000082040000}"/>
    <cellStyle name="20% - Accent6 2 5 2_Inputs" xfId="3529" xr:uid="{00000000-0005-0000-0000-000083040000}"/>
    <cellStyle name="20% - Accent6 2 5 3" xfId="812" xr:uid="{00000000-0005-0000-0000-000084040000}"/>
    <cellStyle name="20% - Accent6 2 5 3 2" xfId="813" xr:uid="{00000000-0005-0000-0000-000085040000}"/>
    <cellStyle name="20% - Accent6 2 5 3_Inputs" xfId="3530" xr:uid="{00000000-0005-0000-0000-000086040000}"/>
    <cellStyle name="20% - Accent6 2 5 4" xfId="814" xr:uid="{00000000-0005-0000-0000-000087040000}"/>
    <cellStyle name="20% - Accent6 2 5_Inputs" xfId="3528" xr:uid="{00000000-0005-0000-0000-000088040000}"/>
    <cellStyle name="20% - Accent6 2 6" xfId="815" xr:uid="{00000000-0005-0000-0000-000089040000}"/>
    <cellStyle name="20% - Accent6 2 6 2" xfId="816" xr:uid="{00000000-0005-0000-0000-00008A040000}"/>
    <cellStyle name="20% - Accent6 2 6_Inputs" xfId="3531" xr:uid="{00000000-0005-0000-0000-00008B040000}"/>
    <cellStyle name="20% - Accent6 2 7" xfId="817" xr:uid="{00000000-0005-0000-0000-00008C040000}"/>
    <cellStyle name="20% - Accent6 2 7 2" xfId="818" xr:uid="{00000000-0005-0000-0000-00008D040000}"/>
    <cellStyle name="20% - Accent6 2 7_Inputs" xfId="3532" xr:uid="{00000000-0005-0000-0000-00008E040000}"/>
    <cellStyle name="20% - Accent6 2 8" xfId="819" xr:uid="{00000000-0005-0000-0000-00008F040000}"/>
    <cellStyle name="20% - Accent6 2_Bdx 1517" xfId="820" xr:uid="{00000000-0005-0000-0000-000090040000}"/>
    <cellStyle name="20% - Accent6 3" xfId="821" xr:uid="{00000000-0005-0000-0000-000091040000}"/>
    <cellStyle name="20% - Accent6 3 2" xfId="822" xr:uid="{00000000-0005-0000-0000-000092040000}"/>
    <cellStyle name="20% - Accent6 3 2 2" xfId="823" xr:uid="{00000000-0005-0000-0000-000093040000}"/>
    <cellStyle name="20% - Accent6 3 2 2 2" xfId="824" xr:uid="{00000000-0005-0000-0000-000094040000}"/>
    <cellStyle name="20% - Accent6 3 2 2 2 2" xfId="825" xr:uid="{00000000-0005-0000-0000-000095040000}"/>
    <cellStyle name="20% - Accent6 3 2 2 2_Inputs" xfId="3534" xr:uid="{00000000-0005-0000-0000-000096040000}"/>
    <cellStyle name="20% - Accent6 3 2 2 3" xfId="826" xr:uid="{00000000-0005-0000-0000-000097040000}"/>
    <cellStyle name="20% - Accent6 3 2 2 3 2" xfId="827" xr:uid="{00000000-0005-0000-0000-000098040000}"/>
    <cellStyle name="20% - Accent6 3 2 2 3_Inputs" xfId="3535" xr:uid="{00000000-0005-0000-0000-000099040000}"/>
    <cellStyle name="20% - Accent6 3 2 2 4" xfId="828" xr:uid="{00000000-0005-0000-0000-00009A040000}"/>
    <cellStyle name="20% - Accent6 3 2 2_Inputs" xfId="3533" xr:uid="{00000000-0005-0000-0000-00009B040000}"/>
    <cellStyle name="20% - Accent6 3 2 3" xfId="829" xr:uid="{00000000-0005-0000-0000-00009C040000}"/>
    <cellStyle name="20% - Accent6 3 2 3 2" xfId="830" xr:uid="{00000000-0005-0000-0000-00009D040000}"/>
    <cellStyle name="20% - Accent6 3 2 3 2 2" xfId="831" xr:uid="{00000000-0005-0000-0000-00009E040000}"/>
    <cellStyle name="20% - Accent6 3 2 3 2_Inputs" xfId="3537" xr:uid="{00000000-0005-0000-0000-00009F040000}"/>
    <cellStyle name="20% - Accent6 3 2 3 3" xfId="832" xr:uid="{00000000-0005-0000-0000-0000A0040000}"/>
    <cellStyle name="20% - Accent6 3 2 3 3 2" xfId="833" xr:uid="{00000000-0005-0000-0000-0000A1040000}"/>
    <cellStyle name="20% - Accent6 3 2 3 3_Inputs" xfId="3538" xr:uid="{00000000-0005-0000-0000-0000A2040000}"/>
    <cellStyle name="20% - Accent6 3 2 3 4" xfId="834" xr:uid="{00000000-0005-0000-0000-0000A3040000}"/>
    <cellStyle name="20% - Accent6 3 2 3_Inputs" xfId="3536" xr:uid="{00000000-0005-0000-0000-0000A4040000}"/>
    <cellStyle name="20% - Accent6 3 2 4" xfId="835" xr:uid="{00000000-0005-0000-0000-0000A5040000}"/>
    <cellStyle name="20% - Accent6 3 2 4 2" xfId="836" xr:uid="{00000000-0005-0000-0000-0000A6040000}"/>
    <cellStyle name="20% - Accent6 3 2 4_Inputs" xfId="3539" xr:uid="{00000000-0005-0000-0000-0000A7040000}"/>
    <cellStyle name="20% - Accent6 3 2 5" xfId="837" xr:uid="{00000000-0005-0000-0000-0000A8040000}"/>
    <cellStyle name="20% - Accent6 3 2 5 2" xfId="838" xr:uid="{00000000-0005-0000-0000-0000A9040000}"/>
    <cellStyle name="20% - Accent6 3 2 5_Inputs" xfId="3540" xr:uid="{00000000-0005-0000-0000-0000AA040000}"/>
    <cellStyle name="20% - Accent6 3 2 6" xfId="839" xr:uid="{00000000-0005-0000-0000-0000AB040000}"/>
    <cellStyle name="20% - Accent6 3 2_Bdx 1517" xfId="840" xr:uid="{00000000-0005-0000-0000-0000AC040000}"/>
    <cellStyle name="20% - Accent6 3 3" xfId="841" xr:uid="{00000000-0005-0000-0000-0000AD040000}"/>
    <cellStyle name="20% - Accent6 3 3 2" xfId="842" xr:uid="{00000000-0005-0000-0000-0000AE040000}"/>
    <cellStyle name="20% - Accent6 3 3 2 2" xfId="843" xr:uid="{00000000-0005-0000-0000-0000AF040000}"/>
    <cellStyle name="20% - Accent6 3 3 2_Inputs" xfId="3542" xr:uid="{00000000-0005-0000-0000-0000B0040000}"/>
    <cellStyle name="20% - Accent6 3 3 3" xfId="844" xr:uid="{00000000-0005-0000-0000-0000B1040000}"/>
    <cellStyle name="20% - Accent6 3 3 3 2" xfId="845" xr:uid="{00000000-0005-0000-0000-0000B2040000}"/>
    <cellStyle name="20% - Accent6 3 3 3_Inputs" xfId="3543" xr:uid="{00000000-0005-0000-0000-0000B3040000}"/>
    <cellStyle name="20% - Accent6 3 3 4" xfId="846" xr:uid="{00000000-0005-0000-0000-0000B4040000}"/>
    <cellStyle name="20% - Accent6 3 3_Inputs" xfId="3541" xr:uid="{00000000-0005-0000-0000-0000B5040000}"/>
    <cellStyle name="20% - Accent6 3 4" xfId="847" xr:uid="{00000000-0005-0000-0000-0000B6040000}"/>
    <cellStyle name="20% - Accent6 3 4 2" xfId="848" xr:uid="{00000000-0005-0000-0000-0000B7040000}"/>
    <cellStyle name="20% - Accent6 3 4 2 2" xfId="849" xr:uid="{00000000-0005-0000-0000-0000B8040000}"/>
    <cellStyle name="20% - Accent6 3 4 2_Inputs" xfId="3545" xr:uid="{00000000-0005-0000-0000-0000B9040000}"/>
    <cellStyle name="20% - Accent6 3 4 3" xfId="850" xr:uid="{00000000-0005-0000-0000-0000BA040000}"/>
    <cellStyle name="20% - Accent6 3 4 3 2" xfId="851" xr:uid="{00000000-0005-0000-0000-0000BB040000}"/>
    <cellStyle name="20% - Accent6 3 4 3_Inputs" xfId="3546" xr:uid="{00000000-0005-0000-0000-0000BC040000}"/>
    <cellStyle name="20% - Accent6 3 4 4" xfId="852" xr:uid="{00000000-0005-0000-0000-0000BD040000}"/>
    <cellStyle name="20% - Accent6 3 4_Inputs" xfId="3544" xr:uid="{00000000-0005-0000-0000-0000BE040000}"/>
    <cellStyle name="20% - Accent6 3 5" xfId="853" xr:uid="{00000000-0005-0000-0000-0000BF040000}"/>
    <cellStyle name="20% - Accent6 3 5 2" xfId="854" xr:uid="{00000000-0005-0000-0000-0000C0040000}"/>
    <cellStyle name="20% - Accent6 3 5_Inputs" xfId="3547" xr:uid="{00000000-0005-0000-0000-0000C1040000}"/>
    <cellStyle name="20% - Accent6 3 6" xfId="855" xr:uid="{00000000-0005-0000-0000-0000C2040000}"/>
    <cellStyle name="20% - Accent6 3 6 2" xfId="856" xr:uid="{00000000-0005-0000-0000-0000C3040000}"/>
    <cellStyle name="20% - Accent6 3 6_Inputs" xfId="3548" xr:uid="{00000000-0005-0000-0000-0000C4040000}"/>
    <cellStyle name="20% - Accent6 3 7" xfId="857" xr:uid="{00000000-0005-0000-0000-0000C5040000}"/>
    <cellStyle name="20% - Accent6 3_Bdx 1517" xfId="858" xr:uid="{00000000-0005-0000-0000-0000C6040000}"/>
    <cellStyle name="20% - Accent6 4" xfId="859" xr:uid="{00000000-0005-0000-0000-0000C7040000}"/>
    <cellStyle name="20% - Accent6 4 2" xfId="860" xr:uid="{00000000-0005-0000-0000-0000C8040000}"/>
    <cellStyle name="20% - Accent6 4 2 2" xfId="861" xr:uid="{00000000-0005-0000-0000-0000C9040000}"/>
    <cellStyle name="20% - Accent6 4 2 2 2" xfId="862" xr:uid="{00000000-0005-0000-0000-0000CA040000}"/>
    <cellStyle name="20% - Accent6 4 2 2_Inputs" xfId="3550" xr:uid="{00000000-0005-0000-0000-0000CB040000}"/>
    <cellStyle name="20% - Accent6 4 2 3" xfId="863" xr:uid="{00000000-0005-0000-0000-0000CC040000}"/>
    <cellStyle name="20% - Accent6 4 2 3 2" xfId="864" xr:uid="{00000000-0005-0000-0000-0000CD040000}"/>
    <cellStyle name="20% - Accent6 4 2 3_Inputs" xfId="3551" xr:uid="{00000000-0005-0000-0000-0000CE040000}"/>
    <cellStyle name="20% - Accent6 4 2 4" xfId="865" xr:uid="{00000000-0005-0000-0000-0000CF040000}"/>
    <cellStyle name="20% - Accent6 4 2_Inputs" xfId="3549" xr:uid="{00000000-0005-0000-0000-0000D0040000}"/>
    <cellStyle name="20% - Accent6 4 3" xfId="866" xr:uid="{00000000-0005-0000-0000-0000D1040000}"/>
    <cellStyle name="20% - Accent6 4 3 2" xfId="867" xr:uid="{00000000-0005-0000-0000-0000D2040000}"/>
    <cellStyle name="20% - Accent6 4 3 2 2" xfId="868" xr:uid="{00000000-0005-0000-0000-0000D3040000}"/>
    <cellStyle name="20% - Accent6 4 3 2_Inputs" xfId="3553" xr:uid="{00000000-0005-0000-0000-0000D4040000}"/>
    <cellStyle name="20% - Accent6 4 3 3" xfId="869" xr:uid="{00000000-0005-0000-0000-0000D5040000}"/>
    <cellStyle name="20% - Accent6 4 3 3 2" xfId="870" xr:uid="{00000000-0005-0000-0000-0000D6040000}"/>
    <cellStyle name="20% - Accent6 4 3 3_Inputs" xfId="3554" xr:uid="{00000000-0005-0000-0000-0000D7040000}"/>
    <cellStyle name="20% - Accent6 4 3 4" xfId="871" xr:uid="{00000000-0005-0000-0000-0000D8040000}"/>
    <cellStyle name="20% - Accent6 4 3_Inputs" xfId="3552" xr:uid="{00000000-0005-0000-0000-0000D9040000}"/>
    <cellStyle name="20% - Accent6 4 4" xfId="872" xr:uid="{00000000-0005-0000-0000-0000DA040000}"/>
    <cellStyle name="20% - Accent6 4 4 2" xfId="873" xr:uid="{00000000-0005-0000-0000-0000DB040000}"/>
    <cellStyle name="20% - Accent6 4 4_Inputs" xfId="3555" xr:uid="{00000000-0005-0000-0000-0000DC040000}"/>
    <cellStyle name="20% - Accent6 4 5" xfId="874" xr:uid="{00000000-0005-0000-0000-0000DD040000}"/>
    <cellStyle name="20% - Accent6 4 5 2" xfId="875" xr:uid="{00000000-0005-0000-0000-0000DE040000}"/>
    <cellStyle name="20% - Accent6 4 5_Inputs" xfId="3556" xr:uid="{00000000-0005-0000-0000-0000DF040000}"/>
    <cellStyle name="20% - Accent6 4 6" xfId="876" xr:uid="{00000000-0005-0000-0000-0000E0040000}"/>
    <cellStyle name="20% - Accent6 4_Bdx 1517" xfId="877" xr:uid="{00000000-0005-0000-0000-0000E1040000}"/>
    <cellStyle name="20% - Accent6 5" xfId="878" xr:uid="{00000000-0005-0000-0000-0000E2040000}"/>
    <cellStyle name="20% - Accent6 5 2" xfId="879" xr:uid="{00000000-0005-0000-0000-0000E3040000}"/>
    <cellStyle name="20% - Accent6 5 2 2" xfId="880" xr:uid="{00000000-0005-0000-0000-0000E4040000}"/>
    <cellStyle name="20% - Accent6 5 2_Inputs" xfId="3558" xr:uid="{00000000-0005-0000-0000-0000E5040000}"/>
    <cellStyle name="20% - Accent6 5 3" xfId="881" xr:uid="{00000000-0005-0000-0000-0000E6040000}"/>
    <cellStyle name="20% - Accent6 5 3 2" xfId="882" xr:uid="{00000000-0005-0000-0000-0000E7040000}"/>
    <cellStyle name="20% - Accent6 5 3_Inputs" xfId="3559" xr:uid="{00000000-0005-0000-0000-0000E8040000}"/>
    <cellStyle name="20% - Accent6 5 4" xfId="883" xr:uid="{00000000-0005-0000-0000-0000E9040000}"/>
    <cellStyle name="20% - Accent6 5_Inputs" xfId="3557" xr:uid="{00000000-0005-0000-0000-0000EA040000}"/>
    <cellStyle name="20% - Accent6 6" xfId="884" xr:uid="{00000000-0005-0000-0000-0000EB040000}"/>
    <cellStyle name="20% - Accent6 6 2" xfId="885" xr:uid="{00000000-0005-0000-0000-0000EC040000}"/>
    <cellStyle name="20% - Accent6 6_Inputs" xfId="3560" xr:uid="{00000000-0005-0000-0000-0000ED040000}"/>
    <cellStyle name="20% - Accent6 7" xfId="886" xr:uid="{00000000-0005-0000-0000-0000EE040000}"/>
    <cellStyle name="20% - Accent6 7 2" xfId="887" xr:uid="{00000000-0005-0000-0000-0000EF040000}"/>
    <cellStyle name="20% - Accent6 7_Inputs" xfId="3561" xr:uid="{00000000-0005-0000-0000-0000F0040000}"/>
    <cellStyle name="20% - Accent6 8" xfId="888" xr:uid="{00000000-0005-0000-0000-0000F1040000}"/>
    <cellStyle name="40 % - Accent1 2" xfId="889" xr:uid="{00000000-0005-0000-0000-0000F2040000}"/>
    <cellStyle name="40 % - Accent1 2 2" xfId="890" xr:uid="{00000000-0005-0000-0000-0000F3040000}"/>
    <cellStyle name="40 % - Accent1 2 2 2" xfId="891" xr:uid="{00000000-0005-0000-0000-0000F4040000}"/>
    <cellStyle name="40 % - Accent1 2 2 2 2" xfId="892" xr:uid="{00000000-0005-0000-0000-0000F5040000}"/>
    <cellStyle name="40 % - Accent1 2 2 2_Inputs" xfId="3564" xr:uid="{00000000-0005-0000-0000-0000F6040000}"/>
    <cellStyle name="40 % - Accent1 2 2 3" xfId="893" xr:uid="{00000000-0005-0000-0000-0000F7040000}"/>
    <cellStyle name="40 % - Accent1 2 2 3 2" xfId="894" xr:uid="{00000000-0005-0000-0000-0000F8040000}"/>
    <cellStyle name="40 % - Accent1 2 2 3_Inputs" xfId="3565" xr:uid="{00000000-0005-0000-0000-0000F9040000}"/>
    <cellStyle name="40 % - Accent1 2 2 4" xfId="895" xr:uid="{00000000-0005-0000-0000-0000FA040000}"/>
    <cellStyle name="40 % - Accent1 2 2_Inputs" xfId="3563" xr:uid="{00000000-0005-0000-0000-0000FB040000}"/>
    <cellStyle name="40 % - Accent1 2 3" xfId="896" xr:uid="{00000000-0005-0000-0000-0000FC040000}"/>
    <cellStyle name="40 % - Accent1 2 3 2" xfId="897" xr:uid="{00000000-0005-0000-0000-0000FD040000}"/>
    <cellStyle name="40 % - Accent1 2 3_Inputs" xfId="3566" xr:uid="{00000000-0005-0000-0000-0000FE040000}"/>
    <cellStyle name="40 % - Accent1 2 4" xfId="898" xr:uid="{00000000-0005-0000-0000-0000FF040000}"/>
    <cellStyle name="40 % - Accent1 2 4 2" xfId="899" xr:uid="{00000000-0005-0000-0000-000000050000}"/>
    <cellStyle name="40 % - Accent1 2 4_Inputs" xfId="3567" xr:uid="{00000000-0005-0000-0000-000001050000}"/>
    <cellStyle name="40 % - Accent1 2 5" xfId="900" xr:uid="{00000000-0005-0000-0000-000002050000}"/>
    <cellStyle name="40 % - Accent1 2_Inputs" xfId="3562" xr:uid="{00000000-0005-0000-0000-000003050000}"/>
    <cellStyle name="40 % - Accent1 3" xfId="901" xr:uid="{00000000-0005-0000-0000-000004050000}"/>
    <cellStyle name="40 % - Accent1 3 2" xfId="902" xr:uid="{00000000-0005-0000-0000-000005050000}"/>
    <cellStyle name="40 % - Accent1 3 2 2" xfId="903" xr:uid="{00000000-0005-0000-0000-000006050000}"/>
    <cellStyle name="40 % - Accent1 3 2_Inputs" xfId="3569" xr:uid="{00000000-0005-0000-0000-000007050000}"/>
    <cellStyle name="40 % - Accent1 3 3" xfId="904" xr:uid="{00000000-0005-0000-0000-000008050000}"/>
    <cellStyle name="40 % - Accent1 3 3 2" xfId="905" xr:uid="{00000000-0005-0000-0000-000009050000}"/>
    <cellStyle name="40 % - Accent1 3 3_Inputs" xfId="3570" xr:uid="{00000000-0005-0000-0000-00000A050000}"/>
    <cellStyle name="40 % - Accent1 3 4" xfId="906" xr:uid="{00000000-0005-0000-0000-00000B050000}"/>
    <cellStyle name="40 % - Accent1 3_Inputs" xfId="3568" xr:uid="{00000000-0005-0000-0000-00000C050000}"/>
    <cellStyle name="40 % - Accent1 4" xfId="907" xr:uid="{00000000-0005-0000-0000-00000D050000}"/>
    <cellStyle name="40 % - Accent1 4 2" xfId="908" xr:uid="{00000000-0005-0000-0000-00000E050000}"/>
    <cellStyle name="40 % - Accent1 4_Inputs" xfId="3571" xr:uid="{00000000-0005-0000-0000-00000F050000}"/>
    <cellStyle name="40 % - Accent1 5" xfId="909" xr:uid="{00000000-0005-0000-0000-000010050000}"/>
    <cellStyle name="40 % - Accent1 5 2" xfId="910" xr:uid="{00000000-0005-0000-0000-000011050000}"/>
    <cellStyle name="40 % - Accent1 5_Inputs" xfId="3572" xr:uid="{00000000-0005-0000-0000-000012050000}"/>
    <cellStyle name="40 % - Accent2 2" xfId="911" xr:uid="{00000000-0005-0000-0000-000013050000}"/>
    <cellStyle name="40 % - Accent2 2 2" xfId="912" xr:uid="{00000000-0005-0000-0000-000014050000}"/>
    <cellStyle name="40 % - Accent2 2 2 2" xfId="913" xr:uid="{00000000-0005-0000-0000-000015050000}"/>
    <cellStyle name="40 % - Accent2 2 2 2 2" xfId="914" xr:uid="{00000000-0005-0000-0000-000016050000}"/>
    <cellStyle name="40 % - Accent2 2 2 2_Inputs" xfId="3575" xr:uid="{00000000-0005-0000-0000-000017050000}"/>
    <cellStyle name="40 % - Accent2 2 2 3" xfId="915" xr:uid="{00000000-0005-0000-0000-000018050000}"/>
    <cellStyle name="40 % - Accent2 2 2 3 2" xfId="916" xr:uid="{00000000-0005-0000-0000-000019050000}"/>
    <cellStyle name="40 % - Accent2 2 2 3_Inputs" xfId="3576" xr:uid="{00000000-0005-0000-0000-00001A050000}"/>
    <cellStyle name="40 % - Accent2 2 2 4" xfId="917" xr:uid="{00000000-0005-0000-0000-00001B050000}"/>
    <cellStyle name="40 % - Accent2 2 2_Inputs" xfId="3574" xr:uid="{00000000-0005-0000-0000-00001C050000}"/>
    <cellStyle name="40 % - Accent2 2 3" xfId="918" xr:uid="{00000000-0005-0000-0000-00001D050000}"/>
    <cellStyle name="40 % - Accent2 2 3 2" xfId="919" xr:uid="{00000000-0005-0000-0000-00001E050000}"/>
    <cellStyle name="40 % - Accent2 2 3_Inputs" xfId="3577" xr:uid="{00000000-0005-0000-0000-00001F050000}"/>
    <cellStyle name="40 % - Accent2 2 4" xfId="920" xr:uid="{00000000-0005-0000-0000-000020050000}"/>
    <cellStyle name="40 % - Accent2 2 4 2" xfId="921" xr:uid="{00000000-0005-0000-0000-000021050000}"/>
    <cellStyle name="40 % - Accent2 2 4_Inputs" xfId="3578" xr:uid="{00000000-0005-0000-0000-000022050000}"/>
    <cellStyle name="40 % - Accent2 2 5" xfId="922" xr:uid="{00000000-0005-0000-0000-000023050000}"/>
    <cellStyle name="40 % - Accent2 2_Inputs" xfId="3573" xr:uid="{00000000-0005-0000-0000-000024050000}"/>
    <cellStyle name="40 % - Accent2 3" xfId="923" xr:uid="{00000000-0005-0000-0000-000025050000}"/>
    <cellStyle name="40 % - Accent2 3 2" xfId="924" xr:uid="{00000000-0005-0000-0000-000026050000}"/>
    <cellStyle name="40 % - Accent2 3 2 2" xfId="925" xr:uid="{00000000-0005-0000-0000-000027050000}"/>
    <cellStyle name="40 % - Accent2 3 2_Inputs" xfId="3580" xr:uid="{00000000-0005-0000-0000-000028050000}"/>
    <cellStyle name="40 % - Accent2 3 3" xfId="926" xr:uid="{00000000-0005-0000-0000-000029050000}"/>
    <cellStyle name="40 % - Accent2 3 3 2" xfId="927" xr:uid="{00000000-0005-0000-0000-00002A050000}"/>
    <cellStyle name="40 % - Accent2 3 3_Inputs" xfId="3581" xr:uid="{00000000-0005-0000-0000-00002B050000}"/>
    <cellStyle name="40 % - Accent2 3 4" xfId="928" xr:uid="{00000000-0005-0000-0000-00002C050000}"/>
    <cellStyle name="40 % - Accent2 3_Inputs" xfId="3579" xr:uid="{00000000-0005-0000-0000-00002D050000}"/>
    <cellStyle name="40 % - Accent2 4" xfId="929" xr:uid="{00000000-0005-0000-0000-00002E050000}"/>
    <cellStyle name="40 % - Accent2 4 2" xfId="930" xr:uid="{00000000-0005-0000-0000-00002F050000}"/>
    <cellStyle name="40 % - Accent2 4_Inputs" xfId="3582" xr:uid="{00000000-0005-0000-0000-000030050000}"/>
    <cellStyle name="40 % - Accent2 5" xfId="931" xr:uid="{00000000-0005-0000-0000-000031050000}"/>
    <cellStyle name="40 % - Accent2 5 2" xfId="932" xr:uid="{00000000-0005-0000-0000-000032050000}"/>
    <cellStyle name="40 % - Accent2 5_Inputs" xfId="3583" xr:uid="{00000000-0005-0000-0000-000033050000}"/>
    <cellStyle name="40 % - Accent3 2" xfId="933" xr:uid="{00000000-0005-0000-0000-000034050000}"/>
    <cellStyle name="40 % - Accent3 2 2" xfId="934" xr:uid="{00000000-0005-0000-0000-000035050000}"/>
    <cellStyle name="40 % - Accent3 2 2 2" xfId="935" xr:uid="{00000000-0005-0000-0000-000036050000}"/>
    <cellStyle name="40 % - Accent3 2 2 2 2" xfId="936" xr:uid="{00000000-0005-0000-0000-000037050000}"/>
    <cellStyle name="40 % - Accent3 2 2 2_Inputs" xfId="3586" xr:uid="{00000000-0005-0000-0000-000038050000}"/>
    <cellStyle name="40 % - Accent3 2 2 3" xfId="937" xr:uid="{00000000-0005-0000-0000-000039050000}"/>
    <cellStyle name="40 % - Accent3 2 2 3 2" xfId="938" xr:uid="{00000000-0005-0000-0000-00003A050000}"/>
    <cellStyle name="40 % - Accent3 2 2 3_Inputs" xfId="3587" xr:uid="{00000000-0005-0000-0000-00003B050000}"/>
    <cellStyle name="40 % - Accent3 2 2 4" xfId="939" xr:uid="{00000000-0005-0000-0000-00003C050000}"/>
    <cellStyle name="40 % - Accent3 2 2_Inputs" xfId="3585" xr:uid="{00000000-0005-0000-0000-00003D050000}"/>
    <cellStyle name="40 % - Accent3 2 3" xfId="940" xr:uid="{00000000-0005-0000-0000-00003E050000}"/>
    <cellStyle name="40 % - Accent3 2 3 2" xfId="941" xr:uid="{00000000-0005-0000-0000-00003F050000}"/>
    <cellStyle name="40 % - Accent3 2 3_Inputs" xfId="3588" xr:uid="{00000000-0005-0000-0000-000040050000}"/>
    <cellStyle name="40 % - Accent3 2 4" xfId="942" xr:uid="{00000000-0005-0000-0000-000041050000}"/>
    <cellStyle name="40 % - Accent3 2 4 2" xfId="943" xr:uid="{00000000-0005-0000-0000-000042050000}"/>
    <cellStyle name="40 % - Accent3 2 4_Inputs" xfId="3589" xr:uid="{00000000-0005-0000-0000-000043050000}"/>
    <cellStyle name="40 % - Accent3 2 5" xfId="944" xr:uid="{00000000-0005-0000-0000-000044050000}"/>
    <cellStyle name="40 % - Accent3 2_Inputs" xfId="3584" xr:uid="{00000000-0005-0000-0000-000045050000}"/>
    <cellStyle name="40 % - Accent3 3" xfId="945" xr:uid="{00000000-0005-0000-0000-000046050000}"/>
    <cellStyle name="40 % - Accent3 3 2" xfId="946" xr:uid="{00000000-0005-0000-0000-000047050000}"/>
    <cellStyle name="40 % - Accent3 3 2 2" xfId="947" xr:uid="{00000000-0005-0000-0000-000048050000}"/>
    <cellStyle name="40 % - Accent3 3 2_Inputs" xfId="3591" xr:uid="{00000000-0005-0000-0000-000049050000}"/>
    <cellStyle name="40 % - Accent3 3 3" xfId="948" xr:uid="{00000000-0005-0000-0000-00004A050000}"/>
    <cellStyle name="40 % - Accent3 3 3 2" xfId="949" xr:uid="{00000000-0005-0000-0000-00004B050000}"/>
    <cellStyle name="40 % - Accent3 3 3_Inputs" xfId="3592" xr:uid="{00000000-0005-0000-0000-00004C050000}"/>
    <cellStyle name="40 % - Accent3 3 4" xfId="950" xr:uid="{00000000-0005-0000-0000-00004D050000}"/>
    <cellStyle name="40 % - Accent3 3_Inputs" xfId="3590" xr:uid="{00000000-0005-0000-0000-00004E050000}"/>
    <cellStyle name="40 % - Accent3 4" xfId="951" xr:uid="{00000000-0005-0000-0000-00004F050000}"/>
    <cellStyle name="40 % - Accent3 4 2" xfId="952" xr:uid="{00000000-0005-0000-0000-000050050000}"/>
    <cellStyle name="40 % - Accent3 4_Inputs" xfId="3593" xr:uid="{00000000-0005-0000-0000-000051050000}"/>
    <cellStyle name="40 % - Accent3 5" xfId="953" xr:uid="{00000000-0005-0000-0000-000052050000}"/>
    <cellStyle name="40 % - Accent3 5 2" xfId="954" xr:uid="{00000000-0005-0000-0000-000053050000}"/>
    <cellStyle name="40 % - Accent3 5_Inputs" xfId="3594" xr:uid="{00000000-0005-0000-0000-000054050000}"/>
    <cellStyle name="40 % - Accent4 2" xfId="955" xr:uid="{00000000-0005-0000-0000-000055050000}"/>
    <cellStyle name="40 % - Accent4 2 2" xfId="956" xr:uid="{00000000-0005-0000-0000-000056050000}"/>
    <cellStyle name="40 % - Accent4 2 2 2" xfId="957" xr:uid="{00000000-0005-0000-0000-000057050000}"/>
    <cellStyle name="40 % - Accent4 2 2 2 2" xfId="958" xr:uid="{00000000-0005-0000-0000-000058050000}"/>
    <cellStyle name="40 % - Accent4 2 2 2_Inputs" xfId="3597" xr:uid="{00000000-0005-0000-0000-000059050000}"/>
    <cellStyle name="40 % - Accent4 2 2 3" xfId="959" xr:uid="{00000000-0005-0000-0000-00005A050000}"/>
    <cellStyle name="40 % - Accent4 2 2 3 2" xfId="960" xr:uid="{00000000-0005-0000-0000-00005B050000}"/>
    <cellStyle name="40 % - Accent4 2 2 3_Inputs" xfId="3598" xr:uid="{00000000-0005-0000-0000-00005C050000}"/>
    <cellStyle name="40 % - Accent4 2 2 4" xfId="961" xr:uid="{00000000-0005-0000-0000-00005D050000}"/>
    <cellStyle name="40 % - Accent4 2 2_Inputs" xfId="3596" xr:uid="{00000000-0005-0000-0000-00005E050000}"/>
    <cellStyle name="40 % - Accent4 2 3" xfId="962" xr:uid="{00000000-0005-0000-0000-00005F050000}"/>
    <cellStyle name="40 % - Accent4 2 3 2" xfId="963" xr:uid="{00000000-0005-0000-0000-000060050000}"/>
    <cellStyle name="40 % - Accent4 2 3_Inputs" xfId="3599" xr:uid="{00000000-0005-0000-0000-000061050000}"/>
    <cellStyle name="40 % - Accent4 2 4" xfId="964" xr:uid="{00000000-0005-0000-0000-000062050000}"/>
    <cellStyle name="40 % - Accent4 2 4 2" xfId="965" xr:uid="{00000000-0005-0000-0000-000063050000}"/>
    <cellStyle name="40 % - Accent4 2 4_Inputs" xfId="3600" xr:uid="{00000000-0005-0000-0000-000064050000}"/>
    <cellStyle name="40 % - Accent4 2 5" xfId="966" xr:uid="{00000000-0005-0000-0000-000065050000}"/>
    <cellStyle name="40 % - Accent4 2_Inputs" xfId="3595" xr:uid="{00000000-0005-0000-0000-000066050000}"/>
    <cellStyle name="40 % - Accent4 3" xfId="967" xr:uid="{00000000-0005-0000-0000-000067050000}"/>
    <cellStyle name="40 % - Accent4 3 2" xfId="968" xr:uid="{00000000-0005-0000-0000-000068050000}"/>
    <cellStyle name="40 % - Accent4 3 2 2" xfId="969" xr:uid="{00000000-0005-0000-0000-000069050000}"/>
    <cellStyle name="40 % - Accent4 3 2_Inputs" xfId="3602" xr:uid="{00000000-0005-0000-0000-00006A050000}"/>
    <cellStyle name="40 % - Accent4 3 3" xfId="970" xr:uid="{00000000-0005-0000-0000-00006B050000}"/>
    <cellStyle name="40 % - Accent4 3 3 2" xfId="971" xr:uid="{00000000-0005-0000-0000-00006C050000}"/>
    <cellStyle name="40 % - Accent4 3 3_Inputs" xfId="3603" xr:uid="{00000000-0005-0000-0000-00006D050000}"/>
    <cellStyle name="40 % - Accent4 3 4" xfId="972" xr:uid="{00000000-0005-0000-0000-00006E050000}"/>
    <cellStyle name="40 % - Accent4 3_Inputs" xfId="3601" xr:uid="{00000000-0005-0000-0000-00006F050000}"/>
    <cellStyle name="40 % - Accent4 4" xfId="973" xr:uid="{00000000-0005-0000-0000-000070050000}"/>
    <cellStyle name="40 % - Accent4 4 2" xfId="974" xr:uid="{00000000-0005-0000-0000-000071050000}"/>
    <cellStyle name="40 % - Accent4 4_Inputs" xfId="3604" xr:uid="{00000000-0005-0000-0000-000072050000}"/>
    <cellStyle name="40 % - Accent4 5" xfId="975" xr:uid="{00000000-0005-0000-0000-000073050000}"/>
    <cellStyle name="40 % - Accent4 5 2" xfId="976" xr:uid="{00000000-0005-0000-0000-000074050000}"/>
    <cellStyle name="40 % - Accent4 5_Inputs" xfId="3605" xr:uid="{00000000-0005-0000-0000-000075050000}"/>
    <cellStyle name="40 % - Accent5 2" xfId="977" xr:uid="{00000000-0005-0000-0000-000076050000}"/>
    <cellStyle name="40 % - Accent5 2 2" xfId="978" xr:uid="{00000000-0005-0000-0000-000077050000}"/>
    <cellStyle name="40 % - Accent5 2 2 2" xfId="979" xr:uid="{00000000-0005-0000-0000-000078050000}"/>
    <cellStyle name="40 % - Accent5 2 2 2 2" xfId="980" xr:uid="{00000000-0005-0000-0000-000079050000}"/>
    <cellStyle name="40 % - Accent5 2 2 2_Inputs" xfId="3608" xr:uid="{00000000-0005-0000-0000-00007A050000}"/>
    <cellStyle name="40 % - Accent5 2 2 3" xfId="981" xr:uid="{00000000-0005-0000-0000-00007B050000}"/>
    <cellStyle name="40 % - Accent5 2 2 3 2" xfId="982" xr:uid="{00000000-0005-0000-0000-00007C050000}"/>
    <cellStyle name="40 % - Accent5 2 2 3_Inputs" xfId="3609" xr:uid="{00000000-0005-0000-0000-00007D050000}"/>
    <cellStyle name="40 % - Accent5 2 2 4" xfId="983" xr:uid="{00000000-0005-0000-0000-00007E050000}"/>
    <cellStyle name="40 % - Accent5 2 2_Inputs" xfId="3607" xr:uid="{00000000-0005-0000-0000-00007F050000}"/>
    <cellStyle name="40 % - Accent5 2 3" xfId="984" xr:uid="{00000000-0005-0000-0000-000080050000}"/>
    <cellStyle name="40 % - Accent5 2 3 2" xfId="985" xr:uid="{00000000-0005-0000-0000-000081050000}"/>
    <cellStyle name="40 % - Accent5 2 3_Inputs" xfId="3610" xr:uid="{00000000-0005-0000-0000-000082050000}"/>
    <cellStyle name="40 % - Accent5 2 4" xfId="986" xr:uid="{00000000-0005-0000-0000-000083050000}"/>
    <cellStyle name="40 % - Accent5 2 4 2" xfId="987" xr:uid="{00000000-0005-0000-0000-000084050000}"/>
    <cellStyle name="40 % - Accent5 2 4_Inputs" xfId="3611" xr:uid="{00000000-0005-0000-0000-000085050000}"/>
    <cellStyle name="40 % - Accent5 2 5" xfId="988" xr:uid="{00000000-0005-0000-0000-000086050000}"/>
    <cellStyle name="40 % - Accent5 2_Inputs" xfId="3606" xr:uid="{00000000-0005-0000-0000-000087050000}"/>
    <cellStyle name="40 % - Accent5 3" xfId="989" xr:uid="{00000000-0005-0000-0000-000088050000}"/>
    <cellStyle name="40 % - Accent5 3 2" xfId="990" xr:uid="{00000000-0005-0000-0000-000089050000}"/>
    <cellStyle name="40 % - Accent5 3 2 2" xfId="991" xr:uid="{00000000-0005-0000-0000-00008A050000}"/>
    <cellStyle name="40 % - Accent5 3 2_Inputs" xfId="3613" xr:uid="{00000000-0005-0000-0000-00008B050000}"/>
    <cellStyle name="40 % - Accent5 3 3" xfId="992" xr:uid="{00000000-0005-0000-0000-00008C050000}"/>
    <cellStyle name="40 % - Accent5 3 3 2" xfId="993" xr:uid="{00000000-0005-0000-0000-00008D050000}"/>
    <cellStyle name="40 % - Accent5 3 3_Inputs" xfId="3614" xr:uid="{00000000-0005-0000-0000-00008E050000}"/>
    <cellStyle name="40 % - Accent5 3 4" xfId="994" xr:uid="{00000000-0005-0000-0000-00008F050000}"/>
    <cellStyle name="40 % - Accent5 3_Inputs" xfId="3612" xr:uid="{00000000-0005-0000-0000-000090050000}"/>
    <cellStyle name="40 % - Accent5 4" xfId="995" xr:uid="{00000000-0005-0000-0000-000091050000}"/>
    <cellStyle name="40 % - Accent5 4 2" xfId="996" xr:uid="{00000000-0005-0000-0000-000092050000}"/>
    <cellStyle name="40 % - Accent5 4_Inputs" xfId="3615" xr:uid="{00000000-0005-0000-0000-000093050000}"/>
    <cellStyle name="40 % - Accent5 5" xfId="997" xr:uid="{00000000-0005-0000-0000-000094050000}"/>
    <cellStyle name="40 % - Accent5 5 2" xfId="998" xr:uid="{00000000-0005-0000-0000-000095050000}"/>
    <cellStyle name="40 % - Accent5 5_Inputs" xfId="3616" xr:uid="{00000000-0005-0000-0000-000096050000}"/>
    <cellStyle name="40 % - Accent6 2" xfId="999" xr:uid="{00000000-0005-0000-0000-000097050000}"/>
    <cellStyle name="40 % - Accent6 2 2" xfId="1000" xr:uid="{00000000-0005-0000-0000-000098050000}"/>
    <cellStyle name="40 % - Accent6 2 2 2" xfId="1001" xr:uid="{00000000-0005-0000-0000-000099050000}"/>
    <cellStyle name="40 % - Accent6 2 2 2 2" xfId="1002" xr:uid="{00000000-0005-0000-0000-00009A050000}"/>
    <cellStyle name="40 % - Accent6 2 2 2_Inputs" xfId="3619" xr:uid="{00000000-0005-0000-0000-00009B050000}"/>
    <cellStyle name="40 % - Accent6 2 2 3" xfId="1003" xr:uid="{00000000-0005-0000-0000-00009C050000}"/>
    <cellStyle name="40 % - Accent6 2 2 3 2" xfId="1004" xr:uid="{00000000-0005-0000-0000-00009D050000}"/>
    <cellStyle name="40 % - Accent6 2 2 3_Inputs" xfId="3620" xr:uid="{00000000-0005-0000-0000-00009E050000}"/>
    <cellStyle name="40 % - Accent6 2 2 4" xfId="1005" xr:uid="{00000000-0005-0000-0000-00009F050000}"/>
    <cellStyle name="40 % - Accent6 2 2_Inputs" xfId="3618" xr:uid="{00000000-0005-0000-0000-0000A0050000}"/>
    <cellStyle name="40 % - Accent6 2 3" xfId="1006" xr:uid="{00000000-0005-0000-0000-0000A1050000}"/>
    <cellStyle name="40 % - Accent6 2 3 2" xfId="1007" xr:uid="{00000000-0005-0000-0000-0000A2050000}"/>
    <cellStyle name="40 % - Accent6 2 3_Inputs" xfId="3621" xr:uid="{00000000-0005-0000-0000-0000A3050000}"/>
    <cellStyle name="40 % - Accent6 2 4" xfId="1008" xr:uid="{00000000-0005-0000-0000-0000A4050000}"/>
    <cellStyle name="40 % - Accent6 2 4 2" xfId="1009" xr:uid="{00000000-0005-0000-0000-0000A5050000}"/>
    <cellStyle name="40 % - Accent6 2 4_Inputs" xfId="3622" xr:uid="{00000000-0005-0000-0000-0000A6050000}"/>
    <cellStyle name="40 % - Accent6 2 5" xfId="1010" xr:uid="{00000000-0005-0000-0000-0000A7050000}"/>
    <cellStyle name="40 % - Accent6 2_Inputs" xfId="3617" xr:uid="{00000000-0005-0000-0000-0000A8050000}"/>
    <cellStyle name="40 % - Accent6 3" xfId="1011" xr:uid="{00000000-0005-0000-0000-0000A9050000}"/>
    <cellStyle name="40 % - Accent6 3 2" xfId="1012" xr:uid="{00000000-0005-0000-0000-0000AA050000}"/>
    <cellStyle name="40 % - Accent6 3 2 2" xfId="1013" xr:uid="{00000000-0005-0000-0000-0000AB050000}"/>
    <cellStyle name="40 % - Accent6 3 2_Inputs" xfId="3624" xr:uid="{00000000-0005-0000-0000-0000AC050000}"/>
    <cellStyle name="40 % - Accent6 3 3" xfId="1014" xr:uid="{00000000-0005-0000-0000-0000AD050000}"/>
    <cellStyle name="40 % - Accent6 3 3 2" xfId="1015" xr:uid="{00000000-0005-0000-0000-0000AE050000}"/>
    <cellStyle name="40 % - Accent6 3 3_Inputs" xfId="3625" xr:uid="{00000000-0005-0000-0000-0000AF050000}"/>
    <cellStyle name="40 % - Accent6 3 4" xfId="1016" xr:uid="{00000000-0005-0000-0000-0000B0050000}"/>
    <cellStyle name="40 % - Accent6 3_Inputs" xfId="3623" xr:uid="{00000000-0005-0000-0000-0000B1050000}"/>
    <cellStyle name="40 % - Accent6 4" xfId="1017" xr:uid="{00000000-0005-0000-0000-0000B2050000}"/>
    <cellStyle name="40 % - Accent6 4 2" xfId="1018" xr:uid="{00000000-0005-0000-0000-0000B3050000}"/>
    <cellStyle name="40 % - Accent6 4_Inputs" xfId="3626" xr:uid="{00000000-0005-0000-0000-0000B4050000}"/>
    <cellStyle name="40 % - Accent6 5" xfId="1019" xr:uid="{00000000-0005-0000-0000-0000B5050000}"/>
    <cellStyle name="40 % - Accent6 5 2" xfId="1020" xr:uid="{00000000-0005-0000-0000-0000B6050000}"/>
    <cellStyle name="40 % - Accent6 5_Inputs" xfId="3627" xr:uid="{00000000-0005-0000-0000-0000B7050000}"/>
    <cellStyle name="40% - Accent1 2" xfId="1021" xr:uid="{00000000-0005-0000-0000-0000B8050000}"/>
    <cellStyle name="40% - Accent1 2 2" xfId="1022" xr:uid="{00000000-0005-0000-0000-0000B9050000}"/>
    <cellStyle name="40% - Accent1 2 2 2" xfId="1023" xr:uid="{00000000-0005-0000-0000-0000BA050000}"/>
    <cellStyle name="40% - Accent1 2 2 2 2" xfId="1024" xr:uid="{00000000-0005-0000-0000-0000BB050000}"/>
    <cellStyle name="40% - Accent1 2 2 2 2 2" xfId="1025" xr:uid="{00000000-0005-0000-0000-0000BC050000}"/>
    <cellStyle name="40% - Accent1 2 2 2 2_Inputs" xfId="3629" xr:uid="{00000000-0005-0000-0000-0000BD050000}"/>
    <cellStyle name="40% - Accent1 2 2 2 3" xfId="1026" xr:uid="{00000000-0005-0000-0000-0000BE050000}"/>
    <cellStyle name="40% - Accent1 2 2 2 3 2" xfId="1027" xr:uid="{00000000-0005-0000-0000-0000BF050000}"/>
    <cellStyle name="40% - Accent1 2 2 2 3_Inputs" xfId="3630" xr:uid="{00000000-0005-0000-0000-0000C0050000}"/>
    <cellStyle name="40% - Accent1 2 2 2 4" xfId="1028" xr:uid="{00000000-0005-0000-0000-0000C1050000}"/>
    <cellStyle name="40% - Accent1 2 2 2_Inputs" xfId="3628" xr:uid="{00000000-0005-0000-0000-0000C2050000}"/>
    <cellStyle name="40% - Accent1 2 2 3" xfId="1029" xr:uid="{00000000-0005-0000-0000-0000C3050000}"/>
    <cellStyle name="40% - Accent1 2 2 3 2" xfId="1030" xr:uid="{00000000-0005-0000-0000-0000C4050000}"/>
    <cellStyle name="40% - Accent1 2 2 3 2 2" xfId="1031" xr:uid="{00000000-0005-0000-0000-0000C5050000}"/>
    <cellStyle name="40% - Accent1 2 2 3 2_Inputs" xfId="3632" xr:uid="{00000000-0005-0000-0000-0000C6050000}"/>
    <cellStyle name="40% - Accent1 2 2 3 3" xfId="1032" xr:uid="{00000000-0005-0000-0000-0000C7050000}"/>
    <cellStyle name="40% - Accent1 2 2 3 3 2" xfId="1033" xr:uid="{00000000-0005-0000-0000-0000C8050000}"/>
    <cellStyle name="40% - Accent1 2 2 3 3_Inputs" xfId="3633" xr:uid="{00000000-0005-0000-0000-0000C9050000}"/>
    <cellStyle name="40% - Accent1 2 2 3 4" xfId="1034" xr:uid="{00000000-0005-0000-0000-0000CA050000}"/>
    <cellStyle name="40% - Accent1 2 2 3_Inputs" xfId="3631" xr:uid="{00000000-0005-0000-0000-0000CB050000}"/>
    <cellStyle name="40% - Accent1 2 2 4" xfId="1035" xr:uid="{00000000-0005-0000-0000-0000CC050000}"/>
    <cellStyle name="40% - Accent1 2 2 4 2" xfId="1036" xr:uid="{00000000-0005-0000-0000-0000CD050000}"/>
    <cellStyle name="40% - Accent1 2 2 4_Inputs" xfId="3634" xr:uid="{00000000-0005-0000-0000-0000CE050000}"/>
    <cellStyle name="40% - Accent1 2 2 5" xfId="1037" xr:uid="{00000000-0005-0000-0000-0000CF050000}"/>
    <cellStyle name="40% - Accent1 2 2 5 2" xfId="1038" xr:uid="{00000000-0005-0000-0000-0000D0050000}"/>
    <cellStyle name="40% - Accent1 2 2 5_Inputs" xfId="3635" xr:uid="{00000000-0005-0000-0000-0000D1050000}"/>
    <cellStyle name="40% - Accent1 2 2 6" xfId="1039" xr:uid="{00000000-0005-0000-0000-0000D2050000}"/>
    <cellStyle name="40% - Accent1 2 2_Bdx 1517" xfId="1040" xr:uid="{00000000-0005-0000-0000-0000D3050000}"/>
    <cellStyle name="40% - Accent1 2 3" xfId="1041" xr:uid="{00000000-0005-0000-0000-0000D4050000}"/>
    <cellStyle name="40% - Accent1 2 3 2" xfId="1042" xr:uid="{00000000-0005-0000-0000-0000D5050000}"/>
    <cellStyle name="40% - Accent1 2 3 2 2" xfId="1043" xr:uid="{00000000-0005-0000-0000-0000D6050000}"/>
    <cellStyle name="40% - Accent1 2 3 2 2 2" xfId="1044" xr:uid="{00000000-0005-0000-0000-0000D7050000}"/>
    <cellStyle name="40% - Accent1 2 3 2 2_Inputs" xfId="3637" xr:uid="{00000000-0005-0000-0000-0000D8050000}"/>
    <cellStyle name="40% - Accent1 2 3 2 3" xfId="1045" xr:uid="{00000000-0005-0000-0000-0000D9050000}"/>
    <cellStyle name="40% - Accent1 2 3 2 3 2" xfId="1046" xr:uid="{00000000-0005-0000-0000-0000DA050000}"/>
    <cellStyle name="40% - Accent1 2 3 2 3_Inputs" xfId="3638" xr:uid="{00000000-0005-0000-0000-0000DB050000}"/>
    <cellStyle name="40% - Accent1 2 3 2 4" xfId="1047" xr:uid="{00000000-0005-0000-0000-0000DC050000}"/>
    <cellStyle name="40% - Accent1 2 3 2_Inputs" xfId="3636" xr:uid="{00000000-0005-0000-0000-0000DD050000}"/>
    <cellStyle name="40% - Accent1 2 3 3" xfId="1048" xr:uid="{00000000-0005-0000-0000-0000DE050000}"/>
    <cellStyle name="40% - Accent1 2 3 3 2" xfId="1049" xr:uid="{00000000-0005-0000-0000-0000DF050000}"/>
    <cellStyle name="40% - Accent1 2 3 3 2 2" xfId="1050" xr:uid="{00000000-0005-0000-0000-0000E0050000}"/>
    <cellStyle name="40% - Accent1 2 3 3 2_Inputs" xfId="3640" xr:uid="{00000000-0005-0000-0000-0000E1050000}"/>
    <cellStyle name="40% - Accent1 2 3 3 3" xfId="1051" xr:uid="{00000000-0005-0000-0000-0000E2050000}"/>
    <cellStyle name="40% - Accent1 2 3 3 3 2" xfId="1052" xr:uid="{00000000-0005-0000-0000-0000E3050000}"/>
    <cellStyle name="40% - Accent1 2 3 3 3_Inputs" xfId="3641" xr:uid="{00000000-0005-0000-0000-0000E4050000}"/>
    <cellStyle name="40% - Accent1 2 3 3 4" xfId="1053" xr:uid="{00000000-0005-0000-0000-0000E5050000}"/>
    <cellStyle name="40% - Accent1 2 3 3_Inputs" xfId="3639" xr:uid="{00000000-0005-0000-0000-0000E6050000}"/>
    <cellStyle name="40% - Accent1 2 3 4" xfId="1054" xr:uid="{00000000-0005-0000-0000-0000E7050000}"/>
    <cellStyle name="40% - Accent1 2 3 4 2" xfId="1055" xr:uid="{00000000-0005-0000-0000-0000E8050000}"/>
    <cellStyle name="40% - Accent1 2 3 4_Inputs" xfId="3642" xr:uid="{00000000-0005-0000-0000-0000E9050000}"/>
    <cellStyle name="40% - Accent1 2 3 5" xfId="1056" xr:uid="{00000000-0005-0000-0000-0000EA050000}"/>
    <cellStyle name="40% - Accent1 2 3 5 2" xfId="1057" xr:uid="{00000000-0005-0000-0000-0000EB050000}"/>
    <cellStyle name="40% - Accent1 2 3 5_Inputs" xfId="3643" xr:uid="{00000000-0005-0000-0000-0000EC050000}"/>
    <cellStyle name="40% - Accent1 2 3 6" xfId="1058" xr:uid="{00000000-0005-0000-0000-0000ED050000}"/>
    <cellStyle name="40% - Accent1 2 3_Bdx 1517" xfId="1059" xr:uid="{00000000-0005-0000-0000-0000EE050000}"/>
    <cellStyle name="40% - Accent1 2 4" xfId="1060" xr:uid="{00000000-0005-0000-0000-0000EF050000}"/>
    <cellStyle name="40% - Accent1 2 4 2" xfId="1061" xr:uid="{00000000-0005-0000-0000-0000F0050000}"/>
    <cellStyle name="40% - Accent1 2 4 2 2" xfId="1062" xr:uid="{00000000-0005-0000-0000-0000F1050000}"/>
    <cellStyle name="40% - Accent1 2 4 2_Inputs" xfId="3645" xr:uid="{00000000-0005-0000-0000-0000F2050000}"/>
    <cellStyle name="40% - Accent1 2 4 3" xfId="1063" xr:uid="{00000000-0005-0000-0000-0000F3050000}"/>
    <cellStyle name="40% - Accent1 2 4 3 2" xfId="1064" xr:uid="{00000000-0005-0000-0000-0000F4050000}"/>
    <cellStyle name="40% - Accent1 2 4 3_Inputs" xfId="3646" xr:uid="{00000000-0005-0000-0000-0000F5050000}"/>
    <cellStyle name="40% - Accent1 2 4 4" xfId="1065" xr:uid="{00000000-0005-0000-0000-0000F6050000}"/>
    <cellStyle name="40% - Accent1 2 4_Inputs" xfId="3644" xr:uid="{00000000-0005-0000-0000-0000F7050000}"/>
    <cellStyle name="40% - Accent1 2 5" xfId="1066" xr:uid="{00000000-0005-0000-0000-0000F8050000}"/>
    <cellStyle name="40% - Accent1 2 5 2" xfId="1067" xr:uid="{00000000-0005-0000-0000-0000F9050000}"/>
    <cellStyle name="40% - Accent1 2 5 2 2" xfId="1068" xr:uid="{00000000-0005-0000-0000-0000FA050000}"/>
    <cellStyle name="40% - Accent1 2 5 2_Inputs" xfId="3648" xr:uid="{00000000-0005-0000-0000-0000FB050000}"/>
    <cellStyle name="40% - Accent1 2 5 3" xfId="1069" xr:uid="{00000000-0005-0000-0000-0000FC050000}"/>
    <cellStyle name="40% - Accent1 2 5 3 2" xfId="1070" xr:uid="{00000000-0005-0000-0000-0000FD050000}"/>
    <cellStyle name="40% - Accent1 2 5 3_Inputs" xfId="3649" xr:uid="{00000000-0005-0000-0000-0000FE050000}"/>
    <cellStyle name="40% - Accent1 2 5 4" xfId="1071" xr:uid="{00000000-0005-0000-0000-0000FF050000}"/>
    <cellStyle name="40% - Accent1 2 5_Inputs" xfId="3647" xr:uid="{00000000-0005-0000-0000-000000060000}"/>
    <cellStyle name="40% - Accent1 2 6" xfId="1072" xr:uid="{00000000-0005-0000-0000-000001060000}"/>
    <cellStyle name="40% - Accent1 2 6 2" xfId="1073" xr:uid="{00000000-0005-0000-0000-000002060000}"/>
    <cellStyle name="40% - Accent1 2 6_Inputs" xfId="3650" xr:uid="{00000000-0005-0000-0000-000003060000}"/>
    <cellStyle name="40% - Accent1 2 7" xfId="1074" xr:uid="{00000000-0005-0000-0000-000004060000}"/>
    <cellStyle name="40% - Accent1 2 7 2" xfId="1075" xr:uid="{00000000-0005-0000-0000-000005060000}"/>
    <cellStyle name="40% - Accent1 2 7_Inputs" xfId="3651" xr:uid="{00000000-0005-0000-0000-000006060000}"/>
    <cellStyle name="40% - Accent1 2 8" xfId="1076" xr:uid="{00000000-0005-0000-0000-000007060000}"/>
    <cellStyle name="40% - Accent1 2_Bdx 1517" xfId="1077" xr:uid="{00000000-0005-0000-0000-000008060000}"/>
    <cellStyle name="40% - Accent1 3" xfId="1078" xr:uid="{00000000-0005-0000-0000-000009060000}"/>
    <cellStyle name="40% - Accent1 3 2" xfId="1079" xr:uid="{00000000-0005-0000-0000-00000A060000}"/>
    <cellStyle name="40% - Accent1 3 2 2" xfId="1080" xr:uid="{00000000-0005-0000-0000-00000B060000}"/>
    <cellStyle name="40% - Accent1 3 2 2 2" xfId="1081" xr:uid="{00000000-0005-0000-0000-00000C060000}"/>
    <cellStyle name="40% - Accent1 3 2 2 2 2" xfId="1082" xr:uid="{00000000-0005-0000-0000-00000D060000}"/>
    <cellStyle name="40% - Accent1 3 2 2 2_Inputs" xfId="3653" xr:uid="{00000000-0005-0000-0000-00000E060000}"/>
    <cellStyle name="40% - Accent1 3 2 2 3" xfId="1083" xr:uid="{00000000-0005-0000-0000-00000F060000}"/>
    <cellStyle name="40% - Accent1 3 2 2 3 2" xfId="1084" xr:uid="{00000000-0005-0000-0000-000010060000}"/>
    <cellStyle name="40% - Accent1 3 2 2 3_Inputs" xfId="3654" xr:uid="{00000000-0005-0000-0000-000011060000}"/>
    <cellStyle name="40% - Accent1 3 2 2 4" xfId="1085" xr:uid="{00000000-0005-0000-0000-000012060000}"/>
    <cellStyle name="40% - Accent1 3 2 2_Inputs" xfId="3652" xr:uid="{00000000-0005-0000-0000-000013060000}"/>
    <cellStyle name="40% - Accent1 3 2 3" xfId="1086" xr:uid="{00000000-0005-0000-0000-000014060000}"/>
    <cellStyle name="40% - Accent1 3 2 3 2" xfId="1087" xr:uid="{00000000-0005-0000-0000-000015060000}"/>
    <cellStyle name="40% - Accent1 3 2 3 2 2" xfId="1088" xr:uid="{00000000-0005-0000-0000-000016060000}"/>
    <cellStyle name="40% - Accent1 3 2 3 2_Inputs" xfId="3656" xr:uid="{00000000-0005-0000-0000-000017060000}"/>
    <cellStyle name="40% - Accent1 3 2 3 3" xfId="1089" xr:uid="{00000000-0005-0000-0000-000018060000}"/>
    <cellStyle name="40% - Accent1 3 2 3 3 2" xfId="1090" xr:uid="{00000000-0005-0000-0000-000019060000}"/>
    <cellStyle name="40% - Accent1 3 2 3 3_Inputs" xfId="3657" xr:uid="{00000000-0005-0000-0000-00001A060000}"/>
    <cellStyle name="40% - Accent1 3 2 3 4" xfId="1091" xr:uid="{00000000-0005-0000-0000-00001B060000}"/>
    <cellStyle name="40% - Accent1 3 2 3_Inputs" xfId="3655" xr:uid="{00000000-0005-0000-0000-00001C060000}"/>
    <cellStyle name="40% - Accent1 3 2 4" xfId="1092" xr:uid="{00000000-0005-0000-0000-00001D060000}"/>
    <cellStyle name="40% - Accent1 3 2 4 2" xfId="1093" xr:uid="{00000000-0005-0000-0000-00001E060000}"/>
    <cellStyle name="40% - Accent1 3 2 4_Inputs" xfId="3658" xr:uid="{00000000-0005-0000-0000-00001F060000}"/>
    <cellStyle name="40% - Accent1 3 2 5" xfId="1094" xr:uid="{00000000-0005-0000-0000-000020060000}"/>
    <cellStyle name="40% - Accent1 3 2 5 2" xfId="1095" xr:uid="{00000000-0005-0000-0000-000021060000}"/>
    <cellStyle name="40% - Accent1 3 2 5_Inputs" xfId="3659" xr:uid="{00000000-0005-0000-0000-000022060000}"/>
    <cellStyle name="40% - Accent1 3 2 6" xfId="1096" xr:uid="{00000000-0005-0000-0000-000023060000}"/>
    <cellStyle name="40% - Accent1 3 2_Bdx 1517" xfId="1097" xr:uid="{00000000-0005-0000-0000-000024060000}"/>
    <cellStyle name="40% - Accent1 3 3" xfId="1098" xr:uid="{00000000-0005-0000-0000-000025060000}"/>
    <cellStyle name="40% - Accent1 3 3 2" xfId="1099" xr:uid="{00000000-0005-0000-0000-000026060000}"/>
    <cellStyle name="40% - Accent1 3 3 2 2" xfId="1100" xr:uid="{00000000-0005-0000-0000-000027060000}"/>
    <cellStyle name="40% - Accent1 3 3 2_Inputs" xfId="3661" xr:uid="{00000000-0005-0000-0000-000028060000}"/>
    <cellStyle name="40% - Accent1 3 3 3" xfId="1101" xr:uid="{00000000-0005-0000-0000-000029060000}"/>
    <cellStyle name="40% - Accent1 3 3 3 2" xfId="1102" xr:uid="{00000000-0005-0000-0000-00002A060000}"/>
    <cellStyle name="40% - Accent1 3 3 3_Inputs" xfId="3662" xr:uid="{00000000-0005-0000-0000-00002B060000}"/>
    <cellStyle name="40% - Accent1 3 3 4" xfId="1103" xr:uid="{00000000-0005-0000-0000-00002C060000}"/>
    <cellStyle name="40% - Accent1 3 3_Inputs" xfId="3660" xr:uid="{00000000-0005-0000-0000-00002D060000}"/>
    <cellStyle name="40% - Accent1 3 4" xfId="1104" xr:uid="{00000000-0005-0000-0000-00002E060000}"/>
    <cellStyle name="40% - Accent1 3 4 2" xfId="1105" xr:uid="{00000000-0005-0000-0000-00002F060000}"/>
    <cellStyle name="40% - Accent1 3 4 2 2" xfId="1106" xr:uid="{00000000-0005-0000-0000-000030060000}"/>
    <cellStyle name="40% - Accent1 3 4 2_Inputs" xfId="3664" xr:uid="{00000000-0005-0000-0000-000031060000}"/>
    <cellStyle name="40% - Accent1 3 4 3" xfId="1107" xr:uid="{00000000-0005-0000-0000-000032060000}"/>
    <cellStyle name="40% - Accent1 3 4 3 2" xfId="1108" xr:uid="{00000000-0005-0000-0000-000033060000}"/>
    <cellStyle name="40% - Accent1 3 4 3_Inputs" xfId="3665" xr:uid="{00000000-0005-0000-0000-000034060000}"/>
    <cellStyle name="40% - Accent1 3 4 4" xfId="1109" xr:uid="{00000000-0005-0000-0000-000035060000}"/>
    <cellStyle name="40% - Accent1 3 4_Inputs" xfId="3663" xr:uid="{00000000-0005-0000-0000-000036060000}"/>
    <cellStyle name="40% - Accent1 3 5" xfId="1110" xr:uid="{00000000-0005-0000-0000-000037060000}"/>
    <cellStyle name="40% - Accent1 3 5 2" xfId="1111" xr:uid="{00000000-0005-0000-0000-000038060000}"/>
    <cellStyle name="40% - Accent1 3 5_Inputs" xfId="3666" xr:uid="{00000000-0005-0000-0000-000039060000}"/>
    <cellStyle name="40% - Accent1 3 6" xfId="1112" xr:uid="{00000000-0005-0000-0000-00003A060000}"/>
    <cellStyle name="40% - Accent1 3 6 2" xfId="1113" xr:uid="{00000000-0005-0000-0000-00003B060000}"/>
    <cellStyle name="40% - Accent1 3 6_Inputs" xfId="3667" xr:uid="{00000000-0005-0000-0000-00003C060000}"/>
    <cellStyle name="40% - Accent1 3 7" xfId="1114" xr:uid="{00000000-0005-0000-0000-00003D060000}"/>
    <cellStyle name="40% - Accent1 3_Bdx 1517" xfId="1115" xr:uid="{00000000-0005-0000-0000-00003E060000}"/>
    <cellStyle name="40% - Accent1 4" xfId="1116" xr:uid="{00000000-0005-0000-0000-00003F060000}"/>
    <cellStyle name="40% - Accent1 4 2" xfId="1117" xr:uid="{00000000-0005-0000-0000-000040060000}"/>
    <cellStyle name="40% - Accent1 4 2 2" xfId="1118" xr:uid="{00000000-0005-0000-0000-000041060000}"/>
    <cellStyle name="40% - Accent1 4 2 2 2" xfId="1119" xr:uid="{00000000-0005-0000-0000-000042060000}"/>
    <cellStyle name="40% - Accent1 4 2 2_Inputs" xfId="3669" xr:uid="{00000000-0005-0000-0000-000043060000}"/>
    <cellStyle name="40% - Accent1 4 2 3" xfId="1120" xr:uid="{00000000-0005-0000-0000-000044060000}"/>
    <cellStyle name="40% - Accent1 4 2 3 2" xfId="1121" xr:uid="{00000000-0005-0000-0000-000045060000}"/>
    <cellStyle name="40% - Accent1 4 2 3_Inputs" xfId="3670" xr:uid="{00000000-0005-0000-0000-000046060000}"/>
    <cellStyle name="40% - Accent1 4 2 4" xfId="1122" xr:uid="{00000000-0005-0000-0000-000047060000}"/>
    <cellStyle name="40% - Accent1 4 2_Inputs" xfId="3668" xr:uid="{00000000-0005-0000-0000-000048060000}"/>
    <cellStyle name="40% - Accent1 4 3" xfId="1123" xr:uid="{00000000-0005-0000-0000-000049060000}"/>
    <cellStyle name="40% - Accent1 4 3 2" xfId="1124" xr:uid="{00000000-0005-0000-0000-00004A060000}"/>
    <cellStyle name="40% - Accent1 4 3 2 2" xfId="1125" xr:uid="{00000000-0005-0000-0000-00004B060000}"/>
    <cellStyle name="40% - Accent1 4 3 2_Inputs" xfId="3672" xr:uid="{00000000-0005-0000-0000-00004C060000}"/>
    <cellStyle name="40% - Accent1 4 3 3" xfId="1126" xr:uid="{00000000-0005-0000-0000-00004D060000}"/>
    <cellStyle name="40% - Accent1 4 3 3 2" xfId="1127" xr:uid="{00000000-0005-0000-0000-00004E060000}"/>
    <cellStyle name="40% - Accent1 4 3 3_Inputs" xfId="3673" xr:uid="{00000000-0005-0000-0000-00004F060000}"/>
    <cellStyle name="40% - Accent1 4 3 4" xfId="1128" xr:uid="{00000000-0005-0000-0000-000050060000}"/>
    <cellStyle name="40% - Accent1 4 3_Inputs" xfId="3671" xr:uid="{00000000-0005-0000-0000-000051060000}"/>
    <cellStyle name="40% - Accent1 4 4" xfId="1129" xr:uid="{00000000-0005-0000-0000-000052060000}"/>
    <cellStyle name="40% - Accent1 4 4 2" xfId="1130" xr:uid="{00000000-0005-0000-0000-000053060000}"/>
    <cellStyle name="40% - Accent1 4 4_Inputs" xfId="3674" xr:uid="{00000000-0005-0000-0000-000054060000}"/>
    <cellStyle name="40% - Accent1 4 5" xfId="1131" xr:uid="{00000000-0005-0000-0000-000055060000}"/>
    <cellStyle name="40% - Accent1 4 5 2" xfId="1132" xr:uid="{00000000-0005-0000-0000-000056060000}"/>
    <cellStyle name="40% - Accent1 4 5_Inputs" xfId="3675" xr:uid="{00000000-0005-0000-0000-000057060000}"/>
    <cellStyle name="40% - Accent1 4 6" xfId="1133" xr:uid="{00000000-0005-0000-0000-000058060000}"/>
    <cellStyle name="40% - Accent1 4_Bdx 1517" xfId="1134" xr:uid="{00000000-0005-0000-0000-000059060000}"/>
    <cellStyle name="40% - Accent1 5" xfId="1135" xr:uid="{00000000-0005-0000-0000-00005A060000}"/>
    <cellStyle name="40% - Accent1 5 2" xfId="1136" xr:uid="{00000000-0005-0000-0000-00005B060000}"/>
    <cellStyle name="40% - Accent1 5 2 2" xfId="1137" xr:uid="{00000000-0005-0000-0000-00005C060000}"/>
    <cellStyle name="40% - Accent1 5 2_Inputs" xfId="3677" xr:uid="{00000000-0005-0000-0000-00005D060000}"/>
    <cellStyle name="40% - Accent1 5 3" xfId="1138" xr:uid="{00000000-0005-0000-0000-00005E060000}"/>
    <cellStyle name="40% - Accent1 5 3 2" xfId="1139" xr:uid="{00000000-0005-0000-0000-00005F060000}"/>
    <cellStyle name="40% - Accent1 5 3_Inputs" xfId="3678" xr:uid="{00000000-0005-0000-0000-000060060000}"/>
    <cellStyle name="40% - Accent1 5 4" xfId="1140" xr:uid="{00000000-0005-0000-0000-000061060000}"/>
    <cellStyle name="40% - Accent1 5_Inputs" xfId="3676" xr:uid="{00000000-0005-0000-0000-000062060000}"/>
    <cellStyle name="40% - Accent1 6" xfId="1141" xr:uid="{00000000-0005-0000-0000-000063060000}"/>
    <cellStyle name="40% - Accent1 6 2" xfId="1142" xr:uid="{00000000-0005-0000-0000-000064060000}"/>
    <cellStyle name="40% - Accent1 6_Inputs" xfId="3679" xr:uid="{00000000-0005-0000-0000-000065060000}"/>
    <cellStyle name="40% - Accent1 7" xfId="1143" xr:uid="{00000000-0005-0000-0000-000066060000}"/>
    <cellStyle name="40% - Accent1 7 2" xfId="1144" xr:uid="{00000000-0005-0000-0000-000067060000}"/>
    <cellStyle name="40% - Accent1 7_Inputs" xfId="3680" xr:uid="{00000000-0005-0000-0000-000068060000}"/>
    <cellStyle name="40% - Accent1 8" xfId="1145" xr:uid="{00000000-0005-0000-0000-000069060000}"/>
    <cellStyle name="40% - Accent2 2" xfId="1146" xr:uid="{00000000-0005-0000-0000-00006A060000}"/>
    <cellStyle name="40% - Accent2 2 2" xfId="1147" xr:uid="{00000000-0005-0000-0000-00006B060000}"/>
    <cellStyle name="40% - Accent2 2 2 2" xfId="1148" xr:uid="{00000000-0005-0000-0000-00006C060000}"/>
    <cellStyle name="40% - Accent2 2 2 2 2" xfId="1149" xr:uid="{00000000-0005-0000-0000-00006D060000}"/>
    <cellStyle name="40% - Accent2 2 2 2 2 2" xfId="1150" xr:uid="{00000000-0005-0000-0000-00006E060000}"/>
    <cellStyle name="40% - Accent2 2 2 2 2_Inputs" xfId="3682" xr:uid="{00000000-0005-0000-0000-00006F060000}"/>
    <cellStyle name="40% - Accent2 2 2 2 3" xfId="1151" xr:uid="{00000000-0005-0000-0000-000070060000}"/>
    <cellStyle name="40% - Accent2 2 2 2 3 2" xfId="1152" xr:uid="{00000000-0005-0000-0000-000071060000}"/>
    <cellStyle name="40% - Accent2 2 2 2 3_Inputs" xfId="3683" xr:uid="{00000000-0005-0000-0000-000072060000}"/>
    <cellStyle name="40% - Accent2 2 2 2 4" xfId="1153" xr:uid="{00000000-0005-0000-0000-000073060000}"/>
    <cellStyle name="40% - Accent2 2 2 2_Inputs" xfId="3681" xr:uid="{00000000-0005-0000-0000-000074060000}"/>
    <cellStyle name="40% - Accent2 2 2 3" xfId="1154" xr:uid="{00000000-0005-0000-0000-000075060000}"/>
    <cellStyle name="40% - Accent2 2 2 3 2" xfId="1155" xr:uid="{00000000-0005-0000-0000-000076060000}"/>
    <cellStyle name="40% - Accent2 2 2 3 2 2" xfId="1156" xr:uid="{00000000-0005-0000-0000-000077060000}"/>
    <cellStyle name="40% - Accent2 2 2 3 2_Inputs" xfId="3685" xr:uid="{00000000-0005-0000-0000-000078060000}"/>
    <cellStyle name="40% - Accent2 2 2 3 3" xfId="1157" xr:uid="{00000000-0005-0000-0000-000079060000}"/>
    <cellStyle name="40% - Accent2 2 2 3 3 2" xfId="1158" xr:uid="{00000000-0005-0000-0000-00007A060000}"/>
    <cellStyle name="40% - Accent2 2 2 3 3_Inputs" xfId="3686" xr:uid="{00000000-0005-0000-0000-00007B060000}"/>
    <cellStyle name="40% - Accent2 2 2 3 4" xfId="1159" xr:uid="{00000000-0005-0000-0000-00007C060000}"/>
    <cellStyle name="40% - Accent2 2 2 3_Inputs" xfId="3684" xr:uid="{00000000-0005-0000-0000-00007D060000}"/>
    <cellStyle name="40% - Accent2 2 2 4" xfId="1160" xr:uid="{00000000-0005-0000-0000-00007E060000}"/>
    <cellStyle name="40% - Accent2 2 2 4 2" xfId="1161" xr:uid="{00000000-0005-0000-0000-00007F060000}"/>
    <cellStyle name="40% - Accent2 2 2 4_Inputs" xfId="3687" xr:uid="{00000000-0005-0000-0000-000080060000}"/>
    <cellStyle name="40% - Accent2 2 2 5" xfId="1162" xr:uid="{00000000-0005-0000-0000-000081060000}"/>
    <cellStyle name="40% - Accent2 2 2 5 2" xfId="1163" xr:uid="{00000000-0005-0000-0000-000082060000}"/>
    <cellStyle name="40% - Accent2 2 2 5_Inputs" xfId="3688" xr:uid="{00000000-0005-0000-0000-000083060000}"/>
    <cellStyle name="40% - Accent2 2 2 6" xfId="1164" xr:uid="{00000000-0005-0000-0000-000084060000}"/>
    <cellStyle name="40% - Accent2 2 2_Bdx 1517" xfId="1165" xr:uid="{00000000-0005-0000-0000-000085060000}"/>
    <cellStyle name="40% - Accent2 2 3" xfId="1166" xr:uid="{00000000-0005-0000-0000-000086060000}"/>
    <cellStyle name="40% - Accent2 2 3 2" xfId="1167" xr:uid="{00000000-0005-0000-0000-000087060000}"/>
    <cellStyle name="40% - Accent2 2 3 2 2" xfId="1168" xr:uid="{00000000-0005-0000-0000-000088060000}"/>
    <cellStyle name="40% - Accent2 2 3 2 2 2" xfId="1169" xr:uid="{00000000-0005-0000-0000-000089060000}"/>
    <cellStyle name="40% - Accent2 2 3 2 2_Inputs" xfId="3690" xr:uid="{00000000-0005-0000-0000-00008A060000}"/>
    <cellStyle name="40% - Accent2 2 3 2 3" xfId="1170" xr:uid="{00000000-0005-0000-0000-00008B060000}"/>
    <cellStyle name="40% - Accent2 2 3 2 3 2" xfId="1171" xr:uid="{00000000-0005-0000-0000-00008C060000}"/>
    <cellStyle name="40% - Accent2 2 3 2 3_Inputs" xfId="3691" xr:uid="{00000000-0005-0000-0000-00008D060000}"/>
    <cellStyle name="40% - Accent2 2 3 2 4" xfId="1172" xr:uid="{00000000-0005-0000-0000-00008E060000}"/>
    <cellStyle name="40% - Accent2 2 3 2_Inputs" xfId="3689" xr:uid="{00000000-0005-0000-0000-00008F060000}"/>
    <cellStyle name="40% - Accent2 2 3 3" xfId="1173" xr:uid="{00000000-0005-0000-0000-000090060000}"/>
    <cellStyle name="40% - Accent2 2 3 3 2" xfId="1174" xr:uid="{00000000-0005-0000-0000-000091060000}"/>
    <cellStyle name="40% - Accent2 2 3 3 2 2" xfId="1175" xr:uid="{00000000-0005-0000-0000-000092060000}"/>
    <cellStyle name="40% - Accent2 2 3 3 2_Inputs" xfId="3693" xr:uid="{00000000-0005-0000-0000-000093060000}"/>
    <cellStyle name="40% - Accent2 2 3 3 3" xfId="1176" xr:uid="{00000000-0005-0000-0000-000094060000}"/>
    <cellStyle name="40% - Accent2 2 3 3 3 2" xfId="1177" xr:uid="{00000000-0005-0000-0000-000095060000}"/>
    <cellStyle name="40% - Accent2 2 3 3 3_Inputs" xfId="3694" xr:uid="{00000000-0005-0000-0000-000096060000}"/>
    <cellStyle name="40% - Accent2 2 3 3 4" xfId="1178" xr:uid="{00000000-0005-0000-0000-000097060000}"/>
    <cellStyle name="40% - Accent2 2 3 3_Inputs" xfId="3692" xr:uid="{00000000-0005-0000-0000-000098060000}"/>
    <cellStyle name="40% - Accent2 2 3 4" xfId="1179" xr:uid="{00000000-0005-0000-0000-000099060000}"/>
    <cellStyle name="40% - Accent2 2 3 4 2" xfId="1180" xr:uid="{00000000-0005-0000-0000-00009A060000}"/>
    <cellStyle name="40% - Accent2 2 3 4_Inputs" xfId="3695" xr:uid="{00000000-0005-0000-0000-00009B060000}"/>
    <cellStyle name="40% - Accent2 2 3 5" xfId="1181" xr:uid="{00000000-0005-0000-0000-00009C060000}"/>
    <cellStyle name="40% - Accent2 2 3 5 2" xfId="1182" xr:uid="{00000000-0005-0000-0000-00009D060000}"/>
    <cellStyle name="40% - Accent2 2 3 5_Inputs" xfId="3696" xr:uid="{00000000-0005-0000-0000-00009E060000}"/>
    <cellStyle name="40% - Accent2 2 3 6" xfId="1183" xr:uid="{00000000-0005-0000-0000-00009F060000}"/>
    <cellStyle name="40% - Accent2 2 3_Bdx 1517" xfId="1184" xr:uid="{00000000-0005-0000-0000-0000A0060000}"/>
    <cellStyle name="40% - Accent2 2 4" xfId="1185" xr:uid="{00000000-0005-0000-0000-0000A1060000}"/>
    <cellStyle name="40% - Accent2 2 4 2" xfId="1186" xr:uid="{00000000-0005-0000-0000-0000A2060000}"/>
    <cellStyle name="40% - Accent2 2 4 2 2" xfId="1187" xr:uid="{00000000-0005-0000-0000-0000A3060000}"/>
    <cellStyle name="40% - Accent2 2 4 2_Inputs" xfId="3698" xr:uid="{00000000-0005-0000-0000-0000A4060000}"/>
    <cellStyle name="40% - Accent2 2 4 3" xfId="1188" xr:uid="{00000000-0005-0000-0000-0000A5060000}"/>
    <cellStyle name="40% - Accent2 2 4 3 2" xfId="1189" xr:uid="{00000000-0005-0000-0000-0000A6060000}"/>
    <cellStyle name="40% - Accent2 2 4 3_Inputs" xfId="3699" xr:uid="{00000000-0005-0000-0000-0000A7060000}"/>
    <cellStyle name="40% - Accent2 2 4 4" xfId="1190" xr:uid="{00000000-0005-0000-0000-0000A8060000}"/>
    <cellStyle name="40% - Accent2 2 4_Inputs" xfId="3697" xr:uid="{00000000-0005-0000-0000-0000A9060000}"/>
    <cellStyle name="40% - Accent2 2 5" xfId="1191" xr:uid="{00000000-0005-0000-0000-0000AA060000}"/>
    <cellStyle name="40% - Accent2 2 5 2" xfId="1192" xr:uid="{00000000-0005-0000-0000-0000AB060000}"/>
    <cellStyle name="40% - Accent2 2 5 2 2" xfId="1193" xr:uid="{00000000-0005-0000-0000-0000AC060000}"/>
    <cellStyle name="40% - Accent2 2 5 2_Inputs" xfId="3701" xr:uid="{00000000-0005-0000-0000-0000AD060000}"/>
    <cellStyle name="40% - Accent2 2 5 3" xfId="1194" xr:uid="{00000000-0005-0000-0000-0000AE060000}"/>
    <cellStyle name="40% - Accent2 2 5 3 2" xfId="1195" xr:uid="{00000000-0005-0000-0000-0000AF060000}"/>
    <cellStyle name="40% - Accent2 2 5 3_Inputs" xfId="3702" xr:uid="{00000000-0005-0000-0000-0000B0060000}"/>
    <cellStyle name="40% - Accent2 2 5 4" xfId="1196" xr:uid="{00000000-0005-0000-0000-0000B1060000}"/>
    <cellStyle name="40% - Accent2 2 5_Inputs" xfId="3700" xr:uid="{00000000-0005-0000-0000-0000B2060000}"/>
    <cellStyle name="40% - Accent2 2 6" xfId="1197" xr:uid="{00000000-0005-0000-0000-0000B3060000}"/>
    <cellStyle name="40% - Accent2 2 6 2" xfId="1198" xr:uid="{00000000-0005-0000-0000-0000B4060000}"/>
    <cellStyle name="40% - Accent2 2 6_Inputs" xfId="3703" xr:uid="{00000000-0005-0000-0000-0000B5060000}"/>
    <cellStyle name="40% - Accent2 2 7" xfId="1199" xr:uid="{00000000-0005-0000-0000-0000B6060000}"/>
    <cellStyle name="40% - Accent2 2 7 2" xfId="1200" xr:uid="{00000000-0005-0000-0000-0000B7060000}"/>
    <cellStyle name="40% - Accent2 2 7_Inputs" xfId="3704" xr:uid="{00000000-0005-0000-0000-0000B8060000}"/>
    <cellStyle name="40% - Accent2 2 8" xfId="1201" xr:uid="{00000000-0005-0000-0000-0000B9060000}"/>
    <cellStyle name="40% - Accent2 2_Bdx 1517" xfId="1202" xr:uid="{00000000-0005-0000-0000-0000BA060000}"/>
    <cellStyle name="40% - Accent2 3" xfId="1203" xr:uid="{00000000-0005-0000-0000-0000BB060000}"/>
    <cellStyle name="40% - Accent2 3 2" xfId="1204" xr:uid="{00000000-0005-0000-0000-0000BC060000}"/>
    <cellStyle name="40% - Accent2 3 2 2" xfId="1205" xr:uid="{00000000-0005-0000-0000-0000BD060000}"/>
    <cellStyle name="40% - Accent2 3 2 2 2" xfId="1206" xr:uid="{00000000-0005-0000-0000-0000BE060000}"/>
    <cellStyle name="40% - Accent2 3 2 2 2 2" xfId="1207" xr:uid="{00000000-0005-0000-0000-0000BF060000}"/>
    <cellStyle name="40% - Accent2 3 2 2 2_Inputs" xfId="3706" xr:uid="{00000000-0005-0000-0000-0000C0060000}"/>
    <cellStyle name="40% - Accent2 3 2 2 3" xfId="1208" xr:uid="{00000000-0005-0000-0000-0000C1060000}"/>
    <cellStyle name="40% - Accent2 3 2 2 3 2" xfId="1209" xr:uid="{00000000-0005-0000-0000-0000C2060000}"/>
    <cellStyle name="40% - Accent2 3 2 2 3_Inputs" xfId="3707" xr:uid="{00000000-0005-0000-0000-0000C3060000}"/>
    <cellStyle name="40% - Accent2 3 2 2 4" xfId="1210" xr:uid="{00000000-0005-0000-0000-0000C4060000}"/>
    <cellStyle name="40% - Accent2 3 2 2_Inputs" xfId="3705" xr:uid="{00000000-0005-0000-0000-0000C5060000}"/>
    <cellStyle name="40% - Accent2 3 2 3" xfId="1211" xr:uid="{00000000-0005-0000-0000-0000C6060000}"/>
    <cellStyle name="40% - Accent2 3 2 3 2" xfId="1212" xr:uid="{00000000-0005-0000-0000-0000C7060000}"/>
    <cellStyle name="40% - Accent2 3 2 3 2 2" xfId="1213" xr:uid="{00000000-0005-0000-0000-0000C8060000}"/>
    <cellStyle name="40% - Accent2 3 2 3 2_Inputs" xfId="3709" xr:uid="{00000000-0005-0000-0000-0000C9060000}"/>
    <cellStyle name="40% - Accent2 3 2 3 3" xfId="1214" xr:uid="{00000000-0005-0000-0000-0000CA060000}"/>
    <cellStyle name="40% - Accent2 3 2 3 3 2" xfId="1215" xr:uid="{00000000-0005-0000-0000-0000CB060000}"/>
    <cellStyle name="40% - Accent2 3 2 3 3_Inputs" xfId="3710" xr:uid="{00000000-0005-0000-0000-0000CC060000}"/>
    <cellStyle name="40% - Accent2 3 2 3 4" xfId="1216" xr:uid="{00000000-0005-0000-0000-0000CD060000}"/>
    <cellStyle name="40% - Accent2 3 2 3_Inputs" xfId="3708" xr:uid="{00000000-0005-0000-0000-0000CE060000}"/>
    <cellStyle name="40% - Accent2 3 2 4" xfId="1217" xr:uid="{00000000-0005-0000-0000-0000CF060000}"/>
    <cellStyle name="40% - Accent2 3 2 4 2" xfId="1218" xr:uid="{00000000-0005-0000-0000-0000D0060000}"/>
    <cellStyle name="40% - Accent2 3 2 4_Inputs" xfId="3711" xr:uid="{00000000-0005-0000-0000-0000D1060000}"/>
    <cellStyle name="40% - Accent2 3 2 5" xfId="1219" xr:uid="{00000000-0005-0000-0000-0000D2060000}"/>
    <cellStyle name="40% - Accent2 3 2 5 2" xfId="1220" xr:uid="{00000000-0005-0000-0000-0000D3060000}"/>
    <cellStyle name="40% - Accent2 3 2 5_Inputs" xfId="3712" xr:uid="{00000000-0005-0000-0000-0000D4060000}"/>
    <cellStyle name="40% - Accent2 3 2 6" xfId="1221" xr:uid="{00000000-0005-0000-0000-0000D5060000}"/>
    <cellStyle name="40% - Accent2 3 2_Bdx 1517" xfId="1222" xr:uid="{00000000-0005-0000-0000-0000D6060000}"/>
    <cellStyle name="40% - Accent2 3 3" xfId="1223" xr:uid="{00000000-0005-0000-0000-0000D7060000}"/>
    <cellStyle name="40% - Accent2 3 3 2" xfId="1224" xr:uid="{00000000-0005-0000-0000-0000D8060000}"/>
    <cellStyle name="40% - Accent2 3 3 2 2" xfId="1225" xr:uid="{00000000-0005-0000-0000-0000D9060000}"/>
    <cellStyle name="40% - Accent2 3 3 2_Inputs" xfId="3714" xr:uid="{00000000-0005-0000-0000-0000DA060000}"/>
    <cellStyle name="40% - Accent2 3 3 3" xfId="1226" xr:uid="{00000000-0005-0000-0000-0000DB060000}"/>
    <cellStyle name="40% - Accent2 3 3 3 2" xfId="1227" xr:uid="{00000000-0005-0000-0000-0000DC060000}"/>
    <cellStyle name="40% - Accent2 3 3 3_Inputs" xfId="3715" xr:uid="{00000000-0005-0000-0000-0000DD060000}"/>
    <cellStyle name="40% - Accent2 3 3 4" xfId="1228" xr:uid="{00000000-0005-0000-0000-0000DE060000}"/>
    <cellStyle name="40% - Accent2 3 3_Inputs" xfId="3713" xr:uid="{00000000-0005-0000-0000-0000DF060000}"/>
    <cellStyle name="40% - Accent2 3 4" xfId="1229" xr:uid="{00000000-0005-0000-0000-0000E0060000}"/>
    <cellStyle name="40% - Accent2 3 4 2" xfId="1230" xr:uid="{00000000-0005-0000-0000-0000E1060000}"/>
    <cellStyle name="40% - Accent2 3 4 2 2" xfId="1231" xr:uid="{00000000-0005-0000-0000-0000E2060000}"/>
    <cellStyle name="40% - Accent2 3 4 2_Inputs" xfId="3717" xr:uid="{00000000-0005-0000-0000-0000E3060000}"/>
    <cellStyle name="40% - Accent2 3 4 3" xfId="1232" xr:uid="{00000000-0005-0000-0000-0000E4060000}"/>
    <cellStyle name="40% - Accent2 3 4 3 2" xfId="1233" xr:uid="{00000000-0005-0000-0000-0000E5060000}"/>
    <cellStyle name="40% - Accent2 3 4 3_Inputs" xfId="3718" xr:uid="{00000000-0005-0000-0000-0000E6060000}"/>
    <cellStyle name="40% - Accent2 3 4 4" xfId="1234" xr:uid="{00000000-0005-0000-0000-0000E7060000}"/>
    <cellStyle name="40% - Accent2 3 4_Inputs" xfId="3716" xr:uid="{00000000-0005-0000-0000-0000E8060000}"/>
    <cellStyle name="40% - Accent2 3 5" xfId="1235" xr:uid="{00000000-0005-0000-0000-0000E9060000}"/>
    <cellStyle name="40% - Accent2 3 5 2" xfId="1236" xr:uid="{00000000-0005-0000-0000-0000EA060000}"/>
    <cellStyle name="40% - Accent2 3 5_Inputs" xfId="3719" xr:uid="{00000000-0005-0000-0000-0000EB060000}"/>
    <cellStyle name="40% - Accent2 3 6" xfId="1237" xr:uid="{00000000-0005-0000-0000-0000EC060000}"/>
    <cellStyle name="40% - Accent2 3 6 2" xfId="1238" xr:uid="{00000000-0005-0000-0000-0000ED060000}"/>
    <cellStyle name="40% - Accent2 3 6_Inputs" xfId="3720" xr:uid="{00000000-0005-0000-0000-0000EE060000}"/>
    <cellStyle name="40% - Accent2 3 7" xfId="1239" xr:uid="{00000000-0005-0000-0000-0000EF060000}"/>
    <cellStyle name="40% - Accent2 3_Bdx 1517" xfId="1240" xr:uid="{00000000-0005-0000-0000-0000F0060000}"/>
    <cellStyle name="40% - Accent2 4" xfId="1241" xr:uid="{00000000-0005-0000-0000-0000F1060000}"/>
    <cellStyle name="40% - Accent2 4 2" xfId="1242" xr:uid="{00000000-0005-0000-0000-0000F2060000}"/>
    <cellStyle name="40% - Accent2 4 2 2" xfId="1243" xr:uid="{00000000-0005-0000-0000-0000F3060000}"/>
    <cellStyle name="40% - Accent2 4 2 2 2" xfId="1244" xr:uid="{00000000-0005-0000-0000-0000F4060000}"/>
    <cellStyle name="40% - Accent2 4 2 2_Inputs" xfId="3722" xr:uid="{00000000-0005-0000-0000-0000F5060000}"/>
    <cellStyle name="40% - Accent2 4 2 3" xfId="1245" xr:uid="{00000000-0005-0000-0000-0000F6060000}"/>
    <cellStyle name="40% - Accent2 4 2 3 2" xfId="1246" xr:uid="{00000000-0005-0000-0000-0000F7060000}"/>
    <cellStyle name="40% - Accent2 4 2 3_Inputs" xfId="3723" xr:uid="{00000000-0005-0000-0000-0000F8060000}"/>
    <cellStyle name="40% - Accent2 4 2 4" xfId="1247" xr:uid="{00000000-0005-0000-0000-0000F9060000}"/>
    <cellStyle name="40% - Accent2 4 2_Inputs" xfId="3721" xr:uid="{00000000-0005-0000-0000-0000FA060000}"/>
    <cellStyle name="40% - Accent2 4 3" xfId="1248" xr:uid="{00000000-0005-0000-0000-0000FB060000}"/>
    <cellStyle name="40% - Accent2 4 3 2" xfId="1249" xr:uid="{00000000-0005-0000-0000-0000FC060000}"/>
    <cellStyle name="40% - Accent2 4 3 2 2" xfId="1250" xr:uid="{00000000-0005-0000-0000-0000FD060000}"/>
    <cellStyle name="40% - Accent2 4 3 2_Inputs" xfId="3725" xr:uid="{00000000-0005-0000-0000-0000FE060000}"/>
    <cellStyle name="40% - Accent2 4 3 3" xfId="1251" xr:uid="{00000000-0005-0000-0000-0000FF060000}"/>
    <cellStyle name="40% - Accent2 4 3 3 2" xfId="1252" xr:uid="{00000000-0005-0000-0000-000000070000}"/>
    <cellStyle name="40% - Accent2 4 3 3_Inputs" xfId="3726" xr:uid="{00000000-0005-0000-0000-000001070000}"/>
    <cellStyle name="40% - Accent2 4 3 4" xfId="1253" xr:uid="{00000000-0005-0000-0000-000002070000}"/>
    <cellStyle name="40% - Accent2 4 3_Inputs" xfId="3724" xr:uid="{00000000-0005-0000-0000-000003070000}"/>
    <cellStyle name="40% - Accent2 4 4" xfId="1254" xr:uid="{00000000-0005-0000-0000-000004070000}"/>
    <cellStyle name="40% - Accent2 4 4 2" xfId="1255" xr:uid="{00000000-0005-0000-0000-000005070000}"/>
    <cellStyle name="40% - Accent2 4 4_Inputs" xfId="3727" xr:uid="{00000000-0005-0000-0000-000006070000}"/>
    <cellStyle name="40% - Accent2 4 5" xfId="1256" xr:uid="{00000000-0005-0000-0000-000007070000}"/>
    <cellStyle name="40% - Accent2 4 5 2" xfId="1257" xr:uid="{00000000-0005-0000-0000-000008070000}"/>
    <cellStyle name="40% - Accent2 4 5_Inputs" xfId="3728" xr:uid="{00000000-0005-0000-0000-000009070000}"/>
    <cellStyle name="40% - Accent2 4 6" xfId="1258" xr:uid="{00000000-0005-0000-0000-00000A070000}"/>
    <cellStyle name="40% - Accent2 4_Bdx 1517" xfId="1259" xr:uid="{00000000-0005-0000-0000-00000B070000}"/>
    <cellStyle name="40% - Accent2 5" xfId="1260" xr:uid="{00000000-0005-0000-0000-00000C070000}"/>
    <cellStyle name="40% - Accent2 5 2" xfId="1261" xr:uid="{00000000-0005-0000-0000-00000D070000}"/>
    <cellStyle name="40% - Accent2 5 2 2" xfId="1262" xr:uid="{00000000-0005-0000-0000-00000E070000}"/>
    <cellStyle name="40% - Accent2 5 2_Inputs" xfId="3730" xr:uid="{00000000-0005-0000-0000-00000F070000}"/>
    <cellStyle name="40% - Accent2 5 3" xfId="1263" xr:uid="{00000000-0005-0000-0000-000010070000}"/>
    <cellStyle name="40% - Accent2 5 3 2" xfId="1264" xr:uid="{00000000-0005-0000-0000-000011070000}"/>
    <cellStyle name="40% - Accent2 5 3_Inputs" xfId="3731" xr:uid="{00000000-0005-0000-0000-000012070000}"/>
    <cellStyle name="40% - Accent2 5 4" xfId="1265" xr:uid="{00000000-0005-0000-0000-000013070000}"/>
    <cellStyle name="40% - Accent2 5_Inputs" xfId="3729" xr:uid="{00000000-0005-0000-0000-000014070000}"/>
    <cellStyle name="40% - Accent2 6" xfId="1266" xr:uid="{00000000-0005-0000-0000-000015070000}"/>
    <cellStyle name="40% - Accent2 6 2" xfId="1267" xr:uid="{00000000-0005-0000-0000-000016070000}"/>
    <cellStyle name="40% - Accent2 6_Inputs" xfId="3732" xr:uid="{00000000-0005-0000-0000-000017070000}"/>
    <cellStyle name="40% - Accent2 7" xfId="1268" xr:uid="{00000000-0005-0000-0000-000018070000}"/>
    <cellStyle name="40% - Accent2 7 2" xfId="1269" xr:uid="{00000000-0005-0000-0000-000019070000}"/>
    <cellStyle name="40% - Accent2 7_Inputs" xfId="3733" xr:uid="{00000000-0005-0000-0000-00001A070000}"/>
    <cellStyle name="40% - Accent2 8" xfId="1270" xr:uid="{00000000-0005-0000-0000-00001B070000}"/>
    <cellStyle name="40% - Accent3 2" xfId="1271" xr:uid="{00000000-0005-0000-0000-00001C070000}"/>
    <cellStyle name="40% - Accent3 2 2" xfId="1272" xr:uid="{00000000-0005-0000-0000-00001D070000}"/>
    <cellStyle name="40% - Accent3 2 2 2" xfId="1273" xr:uid="{00000000-0005-0000-0000-00001E070000}"/>
    <cellStyle name="40% - Accent3 2 2 2 2" xfId="1274" xr:uid="{00000000-0005-0000-0000-00001F070000}"/>
    <cellStyle name="40% - Accent3 2 2 2 2 2" xfId="1275" xr:uid="{00000000-0005-0000-0000-000020070000}"/>
    <cellStyle name="40% - Accent3 2 2 2 2_Inputs" xfId="3735" xr:uid="{00000000-0005-0000-0000-000021070000}"/>
    <cellStyle name="40% - Accent3 2 2 2 3" xfId="1276" xr:uid="{00000000-0005-0000-0000-000022070000}"/>
    <cellStyle name="40% - Accent3 2 2 2 3 2" xfId="1277" xr:uid="{00000000-0005-0000-0000-000023070000}"/>
    <cellStyle name="40% - Accent3 2 2 2 3_Inputs" xfId="3736" xr:uid="{00000000-0005-0000-0000-000024070000}"/>
    <cellStyle name="40% - Accent3 2 2 2 4" xfId="1278" xr:uid="{00000000-0005-0000-0000-000025070000}"/>
    <cellStyle name="40% - Accent3 2 2 2_Inputs" xfId="3734" xr:uid="{00000000-0005-0000-0000-000026070000}"/>
    <cellStyle name="40% - Accent3 2 2 3" xfId="1279" xr:uid="{00000000-0005-0000-0000-000027070000}"/>
    <cellStyle name="40% - Accent3 2 2 3 2" xfId="1280" xr:uid="{00000000-0005-0000-0000-000028070000}"/>
    <cellStyle name="40% - Accent3 2 2 3 2 2" xfId="1281" xr:uid="{00000000-0005-0000-0000-000029070000}"/>
    <cellStyle name="40% - Accent3 2 2 3 2_Inputs" xfId="3738" xr:uid="{00000000-0005-0000-0000-00002A070000}"/>
    <cellStyle name="40% - Accent3 2 2 3 3" xfId="1282" xr:uid="{00000000-0005-0000-0000-00002B070000}"/>
    <cellStyle name="40% - Accent3 2 2 3 3 2" xfId="1283" xr:uid="{00000000-0005-0000-0000-00002C070000}"/>
    <cellStyle name="40% - Accent3 2 2 3 3_Inputs" xfId="3739" xr:uid="{00000000-0005-0000-0000-00002D070000}"/>
    <cellStyle name="40% - Accent3 2 2 3 4" xfId="1284" xr:uid="{00000000-0005-0000-0000-00002E070000}"/>
    <cellStyle name="40% - Accent3 2 2 3_Inputs" xfId="3737" xr:uid="{00000000-0005-0000-0000-00002F070000}"/>
    <cellStyle name="40% - Accent3 2 2 4" xfId="1285" xr:uid="{00000000-0005-0000-0000-000030070000}"/>
    <cellStyle name="40% - Accent3 2 2 4 2" xfId="1286" xr:uid="{00000000-0005-0000-0000-000031070000}"/>
    <cellStyle name="40% - Accent3 2 2 4_Inputs" xfId="3740" xr:uid="{00000000-0005-0000-0000-000032070000}"/>
    <cellStyle name="40% - Accent3 2 2 5" xfId="1287" xr:uid="{00000000-0005-0000-0000-000033070000}"/>
    <cellStyle name="40% - Accent3 2 2 5 2" xfId="1288" xr:uid="{00000000-0005-0000-0000-000034070000}"/>
    <cellStyle name="40% - Accent3 2 2 5_Inputs" xfId="3741" xr:uid="{00000000-0005-0000-0000-000035070000}"/>
    <cellStyle name="40% - Accent3 2 2 6" xfId="1289" xr:uid="{00000000-0005-0000-0000-000036070000}"/>
    <cellStyle name="40% - Accent3 2 2_Bdx 1517" xfId="1290" xr:uid="{00000000-0005-0000-0000-000037070000}"/>
    <cellStyle name="40% - Accent3 2 3" xfId="1291" xr:uid="{00000000-0005-0000-0000-000038070000}"/>
    <cellStyle name="40% - Accent3 2 3 2" xfId="1292" xr:uid="{00000000-0005-0000-0000-000039070000}"/>
    <cellStyle name="40% - Accent3 2 3 2 2" xfId="1293" xr:uid="{00000000-0005-0000-0000-00003A070000}"/>
    <cellStyle name="40% - Accent3 2 3 2 2 2" xfId="1294" xr:uid="{00000000-0005-0000-0000-00003B070000}"/>
    <cellStyle name="40% - Accent3 2 3 2 2_Inputs" xfId="3743" xr:uid="{00000000-0005-0000-0000-00003C070000}"/>
    <cellStyle name="40% - Accent3 2 3 2 3" xfId="1295" xr:uid="{00000000-0005-0000-0000-00003D070000}"/>
    <cellStyle name="40% - Accent3 2 3 2 3 2" xfId="1296" xr:uid="{00000000-0005-0000-0000-00003E070000}"/>
    <cellStyle name="40% - Accent3 2 3 2 3_Inputs" xfId="3744" xr:uid="{00000000-0005-0000-0000-00003F070000}"/>
    <cellStyle name="40% - Accent3 2 3 2 4" xfId="1297" xr:uid="{00000000-0005-0000-0000-000040070000}"/>
    <cellStyle name="40% - Accent3 2 3 2_Inputs" xfId="3742" xr:uid="{00000000-0005-0000-0000-000041070000}"/>
    <cellStyle name="40% - Accent3 2 3 3" xfId="1298" xr:uid="{00000000-0005-0000-0000-000042070000}"/>
    <cellStyle name="40% - Accent3 2 3 3 2" xfId="1299" xr:uid="{00000000-0005-0000-0000-000043070000}"/>
    <cellStyle name="40% - Accent3 2 3 3 2 2" xfId="1300" xr:uid="{00000000-0005-0000-0000-000044070000}"/>
    <cellStyle name="40% - Accent3 2 3 3 2_Inputs" xfId="3746" xr:uid="{00000000-0005-0000-0000-000045070000}"/>
    <cellStyle name="40% - Accent3 2 3 3 3" xfId="1301" xr:uid="{00000000-0005-0000-0000-000046070000}"/>
    <cellStyle name="40% - Accent3 2 3 3 3 2" xfId="1302" xr:uid="{00000000-0005-0000-0000-000047070000}"/>
    <cellStyle name="40% - Accent3 2 3 3 3_Inputs" xfId="3747" xr:uid="{00000000-0005-0000-0000-000048070000}"/>
    <cellStyle name="40% - Accent3 2 3 3 4" xfId="1303" xr:uid="{00000000-0005-0000-0000-000049070000}"/>
    <cellStyle name="40% - Accent3 2 3 3_Inputs" xfId="3745" xr:uid="{00000000-0005-0000-0000-00004A070000}"/>
    <cellStyle name="40% - Accent3 2 3 4" xfId="1304" xr:uid="{00000000-0005-0000-0000-00004B070000}"/>
    <cellStyle name="40% - Accent3 2 3 4 2" xfId="1305" xr:uid="{00000000-0005-0000-0000-00004C070000}"/>
    <cellStyle name="40% - Accent3 2 3 4_Inputs" xfId="3748" xr:uid="{00000000-0005-0000-0000-00004D070000}"/>
    <cellStyle name="40% - Accent3 2 3 5" xfId="1306" xr:uid="{00000000-0005-0000-0000-00004E070000}"/>
    <cellStyle name="40% - Accent3 2 3 5 2" xfId="1307" xr:uid="{00000000-0005-0000-0000-00004F070000}"/>
    <cellStyle name="40% - Accent3 2 3 5_Inputs" xfId="3749" xr:uid="{00000000-0005-0000-0000-000050070000}"/>
    <cellStyle name="40% - Accent3 2 3 6" xfId="1308" xr:uid="{00000000-0005-0000-0000-000051070000}"/>
    <cellStyle name="40% - Accent3 2 3_Bdx 1517" xfId="1309" xr:uid="{00000000-0005-0000-0000-000052070000}"/>
    <cellStyle name="40% - Accent3 2 4" xfId="1310" xr:uid="{00000000-0005-0000-0000-000053070000}"/>
    <cellStyle name="40% - Accent3 2 4 2" xfId="1311" xr:uid="{00000000-0005-0000-0000-000054070000}"/>
    <cellStyle name="40% - Accent3 2 4 2 2" xfId="1312" xr:uid="{00000000-0005-0000-0000-000055070000}"/>
    <cellStyle name="40% - Accent3 2 4 2_Inputs" xfId="3751" xr:uid="{00000000-0005-0000-0000-000056070000}"/>
    <cellStyle name="40% - Accent3 2 4 3" xfId="1313" xr:uid="{00000000-0005-0000-0000-000057070000}"/>
    <cellStyle name="40% - Accent3 2 4 3 2" xfId="1314" xr:uid="{00000000-0005-0000-0000-000058070000}"/>
    <cellStyle name="40% - Accent3 2 4 3_Inputs" xfId="3752" xr:uid="{00000000-0005-0000-0000-000059070000}"/>
    <cellStyle name="40% - Accent3 2 4 4" xfId="1315" xr:uid="{00000000-0005-0000-0000-00005A070000}"/>
    <cellStyle name="40% - Accent3 2 4_Inputs" xfId="3750" xr:uid="{00000000-0005-0000-0000-00005B070000}"/>
    <cellStyle name="40% - Accent3 2 5" xfId="1316" xr:uid="{00000000-0005-0000-0000-00005C070000}"/>
    <cellStyle name="40% - Accent3 2 5 2" xfId="1317" xr:uid="{00000000-0005-0000-0000-00005D070000}"/>
    <cellStyle name="40% - Accent3 2 5 2 2" xfId="1318" xr:uid="{00000000-0005-0000-0000-00005E070000}"/>
    <cellStyle name="40% - Accent3 2 5 2_Inputs" xfId="3754" xr:uid="{00000000-0005-0000-0000-00005F070000}"/>
    <cellStyle name="40% - Accent3 2 5 3" xfId="1319" xr:uid="{00000000-0005-0000-0000-000060070000}"/>
    <cellStyle name="40% - Accent3 2 5 3 2" xfId="1320" xr:uid="{00000000-0005-0000-0000-000061070000}"/>
    <cellStyle name="40% - Accent3 2 5 3_Inputs" xfId="3755" xr:uid="{00000000-0005-0000-0000-000062070000}"/>
    <cellStyle name="40% - Accent3 2 5 4" xfId="1321" xr:uid="{00000000-0005-0000-0000-000063070000}"/>
    <cellStyle name="40% - Accent3 2 5_Inputs" xfId="3753" xr:uid="{00000000-0005-0000-0000-000064070000}"/>
    <cellStyle name="40% - Accent3 2 6" xfId="1322" xr:uid="{00000000-0005-0000-0000-000065070000}"/>
    <cellStyle name="40% - Accent3 2 6 2" xfId="1323" xr:uid="{00000000-0005-0000-0000-000066070000}"/>
    <cellStyle name="40% - Accent3 2 6_Inputs" xfId="3756" xr:uid="{00000000-0005-0000-0000-000067070000}"/>
    <cellStyle name="40% - Accent3 2 7" xfId="1324" xr:uid="{00000000-0005-0000-0000-000068070000}"/>
    <cellStyle name="40% - Accent3 2 7 2" xfId="1325" xr:uid="{00000000-0005-0000-0000-000069070000}"/>
    <cellStyle name="40% - Accent3 2 7_Inputs" xfId="3757" xr:uid="{00000000-0005-0000-0000-00006A070000}"/>
    <cellStyle name="40% - Accent3 2 8" xfId="1326" xr:uid="{00000000-0005-0000-0000-00006B070000}"/>
    <cellStyle name="40% - Accent3 2_Bdx 1517" xfId="1327" xr:uid="{00000000-0005-0000-0000-00006C070000}"/>
    <cellStyle name="40% - Accent3 3" xfId="1328" xr:uid="{00000000-0005-0000-0000-00006D070000}"/>
    <cellStyle name="40% - Accent3 3 2" xfId="1329" xr:uid="{00000000-0005-0000-0000-00006E070000}"/>
    <cellStyle name="40% - Accent3 3 2 2" xfId="1330" xr:uid="{00000000-0005-0000-0000-00006F070000}"/>
    <cellStyle name="40% - Accent3 3 2 2 2" xfId="1331" xr:uid="{00000000-0005-0000-0000-000070070000}"/>
    <cellStyle name="40% - Accent3 3 2 2 2 2" xfId="1332" xr:uid="{00000000-0005-0000-0000-000071070000}"/>
    <cellStyle name="40% - Accent3 3 2 2 2_Inputs" xfId="3759" xr:uid="{00000000-0005-0000-0000-000072070000}"/>
    <cellStyle name="40% - Accent3 3 2 2 3" xfId="1333" xr:uid="{00000000-0005-0000-0000-000073070000}"/>
    <cellStyle name="40% - Accent3 3 2 2 3 2" xfId="1334" xr:uid="{00000000-0005-0000-0000-000074070000}"/>
    <cellStyle name="40% - Accent3 3 2 2 3_Inputs" xfId="3760" xr:uid="{00000000-0005-0000-0000-000075070000}"/>
    <cellStyle name="40% - Accent3 3 2 2 4" xfId="1335" xr:uid="{00000000-0005-0000-0000-000076070000}"/>
    <cellStyle name="40% - Accent3 3 2 2_Inputs" xfId="3758" xr:uid="{00000000-0005-0000-0000-000077070000}"/>
    <cellStyle name="40% - Accent3 3 2 3" xfId="1336" xr:uid="{00000000-0005-0000-0000-000078070000}"/>
    <cellStyle name="40% - Accent3 3 2 3 2" xfId="1337" xr:uid="{00000000-0005-0000-0000-000079070000}"/>
    <cellStyle name="40% - Accent3 3 2 3 2 2" xfId="1338" xr:uid="{00000000-0005-0000-0000-00007A070000}"/>
    <cellStyle name="40% - Accent3 3 2 3 2_Inputs" xfId="3762" xr:uid="{00000000-0005-0000-0000-00007B070000}"/>
    <cellStyle name="40% - Accent3 3 2 3 3" xfId="1339" xr:uid="{00000000-0005-0000-0000-00007C070000}"/>
    <cellStyle name="40% - Accent3 3 2 3 3 2" xfId="1340" xr:uid="{00000000-0005-0000-0000-00007D070000}"/>
    <cellStyle name="40% - Accent3 3 2 3 3_Inputs" xfId="3763" xr:uid="{00000000-0005-0000-0000-00007E070000}"/>
    <cellStyle name="40% - Accent3 3 2 3 4" xfId="1341" xr:uid="{00000000-0005-0000-0000-00007F070000}"/>
    <cellStyle name="40% - Accent3 3 2 3_Inputs" xfId="3761" xr:uid="{00000000-0005-0000-0000-000080070000}"/>
    <cellStyle name="40% - Accent3 3 2 4" xfId="1342" xr:uid="{00000000-0005-0000-0000-000081070000}"/>
    <cellStyle name="40% - Accent3 3 2 4 2" xfId="1343" xr:uid="{00000000-0005-0000-0000-000082070000}"/>
    <cellStyle name="40% - Accent3 3 2 4_Inputs" xfId="3764" xr:uid="{00000000-0005-0000-0000-000083070000}"/>
    <cellStyle name="40% - Accent3 3 2 5" xfId="1344" xr:uid="{00000000-0005-0000-0000-000084070000}"/>
    <cellStyle name="40% - Accent3 3 2 5 2" xfId="1345" xr:uid="{00000000-0005-0000-0000-000085070000}"/>
    <cellStyle name="40% - Accent3 3 2 5_Inputs" xfId="3765" xr:uid="{00000000-0005-0000-0000-000086070000}"/>
    <cellStyle name="40% - Accent3 3 2 6" xfId="1346" xr:uid="{00000000-0005-0000-0000-000087070000}"/>
    <cellStyle name="40% - Accent3 3 2_Bdx 1517" xfId="1347" xr:uid="{00000000-0005-0000-0000-000088070000}"/>
    <cellStyle name="40% - Accent3 3 3" xfId="1348" xr:uid="{00000000-0005-0000-0000-000089070000}"/>
    <cellStyle name="40% - Accent3 3 3 2" xfId="1349" xr:uid="{00000000-0005-0000-0000-00008A070000}"/>
    <cellStyle name="40% - Accent3 3 3 2 2" xfId="1350" xr:uid="{00000000-0005-0000-0000-00008B070000}"/>
    <cellStyle name="40% - Accent3 3 3 2_Inputs" xfId="3767" xr:uid="{00000000-0005-0000-0000-00008C070000}"/>
    <cellStyle name="40% - Accent3 3 3 3" xfId="1351" xr:uid="{00000000-0005-0000-0000-00008D070000}"/>
    <cellStyle name="40% - Accent3 3 3 3 2" xfId="1352" xr:uid="{00000000-0005-0000-0000-00008E070000}"/>
    <cellStyle name="40% - Accent3 3 3 3_Inputs" xfId="3768" xr:uid="{00000000-0005-0000-0000-00008F070000}"/>
    <cellStyle name="40% - Accent3 3 3 4" xfId="1353" xr:uid="{00000000-0005-0000-0000-000090070000}"/>
    <cellStyle name="40% - Accent3 3 3_Inputs" xfId="3766" xr:uid="{00000000-0005-0000-0000-000091070000}"/>
    <cellStyle name="40% - Accent3 3 4" xfId="1354" xr:uid="{00000000-0005-0000-0000-000092070000}"/>
    <cellStyle name="40% - Accent3 3 4 2" xfId="1355" xr:uid="{00000000-0005-0000-0000-000093070000}"/>
    <cellStyle name="40% - Accent3 3 4 2 2" xfId="1356" xr:uid="{00000000-0005-0000-0000-000094070000}"/>
    <cellStyle name="40% - Accent3 3 4 2_Inputs" xfId="3770" xr:uid="{00000000-0005-0000-0000-000095070000}"/>
    <cellStyle name="40% - Accent3 3 4 3" xfId="1357" xr:uid="{00000000-0005-0000-0000-000096070000}"/>
    <cellStyle name="40% - Accent3 3 4 3 2" xfId="1358" xr:uid="{00000000-0005-0000-0000-000097070000}"/>
    <cellStyle name="40% - Accent3 3 4 3_Inputs" xfId="3771" xr:uid="{00000000-0005-0000-0000-000098070000}"/>
    <cellStyle name="40% - Accent3 3 4 4" xfId="1359" xr:uid="{00000000-0005-0000-0000-000099070000}"/>
    <cellStyle name="40% - Accent3 3 4_Inputs" xfId="3769" xr:uid="{00000000-0005-0000-0000-00009A070000}"/>
    <cellStyle name="40% - Accent3 3 5" xfId="1360" xr:uid="{00000000-0005-0000-0000-00009B070000}"/>
    <cellStyle name="40% - Accent3 3 5 2" xfId="1361" xr:uid="{00000000-0005-0000-0000-00009C070000}"/>
    <cellStyle name="40% - Accent3 3 5_Inputs" xfId="3772" xr:uid="{00000000-0005-0000-0000-00009D070000}"/>
    <cellStyle name="40% - Accent3 3 6" xfId="1362" xr:uid="{00000000-0005-0000-0000-00009E070000}"/>
    <cellStyle name="40% - Accent3 3 6 2" xfId="1363" xr:uid="{00000000-0005-0000-0000-00009F070000}"/>
    <cellStyle name="40% - Accent3 3 6_Inputs" xfId="3773" xr:uid="{00000000-0005-0000-0000-0000A0070000}"/>
    <cellStyle name="40% - Accent3 3 7" xfId="1364" xr:uid="{00000000-0005-0000-0000-0000A1070000}"/>
    <cellStyle name="40% - Accent3 3_Bdx 1517" xfId="1365" xr:uid="{00000000-0005-0000-0000-0000A2070000}"/>
    <cellStyle name="40% - Accent3 4" xfId="1366" xr:uid="{00000000-0005-0000-0000-0000A3070000}"/>
    <cellStyle name="40% - Accent3 4 2" xfId="1367" xr:uid="{00000000-0005-0000-0000-0000A4070000}"/>
    <cellStyle name="40% - Accent3 4 2 2" xfId="1368" xr:uid="{00000000-0005-0000-0000-0000A5070000}"/>
    <cellStyle name="40% - Accent3 4 2 2 2" xfId="1369" xr:uid="{00000000-0005-0000-0000-0000A6070000}"/>
    <cellStyle name="40% - Accent3 4 2 2_Inputs" xfId="3775" xr:uid="{00000000-0005-0000-0000-0000A7070000}"/>
    <cellStyle name="40% - Accent3 4 2 3" xfId="1370" xr:uid="{00000000-0005-0000-0000-0000A8070000}"/>
    <cellStyle name="40% - Accent3 4 2 3 2" xfId="1371" xr:uid="{00000000-0005-0000-0000-0000A9070000}"/>
    <cellStyle name="40% - Accent3 4 2 3_Inputs" xfId="3776" xr:uid="{00000000-0005-0000-0000-0000AA070000}"/>
    <cellStyle name="40% - Accent3 4 2 4" xfId="1372" xr:uid="{00000000-0005-0000-0000-0000AB070000}"/>
    <cellStyle name="40% - Accent3 4 2_Inputs" xfId="3774" xr:uid="{00000000-0005-0000-0000-0000AC070000}"/>
    <cellStyle name="40% - Accent3 4 3" xfId="1373" xr:uid="{00000000-0005-0000-0000-0000AD070000}"/>
    <cellStyle name="40% - Accent3 4 3 2" xfId="1374" xr:uid="{00000000-0005-0000-0000-0000AE070000}"/>
    <cellStyle name="40% - Accent3 4 3 2 2" xfId="1375" xr:uid="{00000000-0005-0000-0000-0000AF070000}"/>
    <cellStyle name="40% - Accent3 4 3 2_Inputs" xfId="3778" xr:uid="{00000000-0005-0000-0000-0000B0070000}"/>
    <cellStyle name="40% - Accent3 4 3 3" xfId="1376" xr:uid="{00000000-0005-0000-0000-0000B1070000}"/>
    <cellStyle name="40% - Accent3 4 3 3 2" xfId="1377" xr:uid="{00000000-0005-0000-0000-0000B2070000}"/>
    <cellStyle name="40% - Accent3 4 3 3_Inputs" xfId="3779" xr:uid="{00000000-0005-0000-0000-0000B3070000}"/>
    <cellStyle name="40% - Accent3 4 3 4" xfId="1378" xr:uid="{00000000-0005-0000-0000-0000B4070000}"/>
    <cellStyle name="40% - Accent3 4 3_Inputs" xfId="3777" xr:uid="{00000000-0005-0000-0000-0000B5070000}"/>
    <cellStyle name="40% - Accent3 4 4" xfId="1379" xr:uid="{00000000-0005-0000-0000-0000B6070000}"/>
    <cellStyle name="40% - Accent3 4 4 2" xfId="1380" xr:uid="{00000000-0005-0000-0000-0000B7070000}"/>
    <cellStyle name="40% - Accent3 4 4_Inputs" xfId="3780" xr:uid="{00000000-0005-0000-0000-0000B8070000}"/>
    <cellStyle name="40% - Accent3 4 5" xfId="1381" xr:uid="{00000000-0005-0000-0000-0000B9070000}"/>
    <cellStyle name="40% - Accent3 4 5 2" xfId="1382" xr:uid="{00000000-0005-0000-0000-0000BA070000}"/>
    <cellStyle name="40% - Accent3 4 5_Inputs" xfId="3781" xr:uid="{00000000-0005-0000-0000-0000BB070000}"/>
    <cellStyle name="40% - Accent3 4 6" xfId="1383" xr:uid="{00000000-0005-0000-0000-0000BC070000}"/>
    <cellStyle name="40% - Accent3 4_Bdx 1517" xfId="1384" xr:uid="{00000000-0005-0000-0000-0000BD070000}"/>
    <cellStyle name="40% - Accent3 5" xfId="1385" xr:uid="{00000000-0005-0000-0000-0000BE070000}"/>
    <cellStyle name="40% - Accent3 5 2" xfId="1386" xr:uid="{00000000-0005-0000-0000-0000BF070000}"/>
    <cellStyle name="40% - Accent3 5 2 2" xfId="1387" xr:uid="{00000000-0005-0000-0000-0000C0070000}"/>
    <cellStyle name="40% - Accent3 5 2_Inputs" xfId="3783" xr:uid="{00000000-0005-0000-0000-0000C1070000}"/>
    <cellStyle name="40% - Accent3 5 3" xfId="1388" xr:uid="{00000000-0005-0000-0000-0000C2070000}"/>
    <cellStyle name="40% - Accent3 5 3 2" xfId="1389" xr:uid="{00000000-0005-0000-0000-0000C3070000}"/>
    <cellStyle name="40% - Accent3 5 3_Inputs" xfId="3784" xr:uid="{00000000-0005-0000-0000-0000C4070000}"/>
    <cellStyle name="40% - Accent3 5 4" xfId="1390" xr:uid="{00000000-0005-0000-0000-0000C5070000}"/>
    <cellStyle name="40% - Accent3 5_Inputs" xfId="3782" xr:uid="{00000000-0005-0000-0000-0000C6070000}"/>
    <cellStyle name="40% - Accent3 6" xfId="1391" xr:uid="{00000000-0005-0000-0000-0000C7070000}"/>
    <cellStyle name="40% - Accent3 6 2" xfId="1392" xr:uid="{00000000-0005-0000-0000-0000C8070000}"/>
    <cellStyle name="40% - Accent3 6_Inputs" xfId="3785" xr:uid="{00000000-0005-0000-0000-0000C9070000}"/>
    <cellStyle name="40% - Accent3 7" xfId="1393" xr:uid="{00000000-0005-0000-0000-0000CA070000}"/>
    <cellStyle name="40% - Accent3 7 2" xfId="1394" xr:uid="{00000000-0005-0000-0000-0000CB070000}"/>
    <cellStyle name="40% - Accent3 7_Inputs" xfId="3786" xr:uid="{00000000-0005-0000-0000-0000CC070000}"/>
    <cellStyle name="40% - Accent3 8" xfId="1395" xr:uid="{00000000-0005-0000-0000-0000CD070000}"/>
    <cellStyle name="40% - Accent4 2" xfId="1396" xr:uid="{00000000-0005-0000-0000-0000CE070000}"/>
    <cellStyle name="40% - Accent4 2 2" xfId="1397" xr:uid="{00000000-0005-0000-0000-0000CF070000}"/>
    <cellStyle name="40% - Accent4 2 2 2" xfId="1398" xr:uid="{00000000-0005-0000-0000-0000D0070000}"/>
    <cellStyle name="40% - Accent4 2 2 2 2" xfId="1399" xr:uid="{00000000-0005-0000-0000-0000D1070000}"/>
    <cellStyle name="40% - Accent4 2 2 2 2 2" xfId="1400" xr:uid="{00000000-0005-0000-0000-0000D2070000}"/>
    <cellStyle name="40% - Accent4 2 2 2 2_Inputs" xfId="3788" xr:uid="{00000000-0005-0000-0000-0000D3070000}"/>
    <cellStyle name="40% - Accent4 2 2 2 3" xfId="1401" xr:uid="{00000000-0005-0000-0000-0000D4070000}"/>
    <cellStyle name="40% - Accent4 2 2 2 3 2" xfId="1402" xr:uid="{00000000-0005-0000-0000-0000D5070000}"/>
    <cellStyle name="40% - Accent4 2 2 2 3_Inputs" xfId="3789" xr:uid="{00000000-0005-0000-0000-0000D6070000}"/>
    <cellStyle name="40% - Accent4 2 2 2 4" xfId="1403" xr:uid="{00000000-0005-0000-0000-0000D7070000}"/>
    <cellStyle name="40% - Accent4 2 2 2_Inputs" xfId="3787" xr:uid="{00000000-0005-0000-0000-0000D8070000}"/>
    <cellStyle name="40% - Accent4 2 2 3" xfId="1404" xr:uid="{00000000-0005-0000-0000-0000D9070000}"/>
    <cellStyle name="40% - Accent4 2 2 3 2" xfId="1405" xr:uid="{00000000-0005-0000-0000-0000DA070000}"/>
    <cellStyle name="40% - Accent4 2 2 3 2 2" xfId="1406" xr:uid="{00000000-0005-0000-0000-0000DB070000}"/>
    <cellStyle name="40% - Accent4 2 2 3 2_Inputs" xfId="3791" xr:uid="{00000000-0005-0000-0000-0000DC070000}"/>
    <cellStyle name="40% - Accent4 2 2 3 3" xfId="1407" xr:uid="{00000000-0005-0000-0000-0000DD070000}"/>
    <cellStyle name="40% - Accent4 2 2 3 3 2" xfId="1408" xr:uid="{00000000-0005-0000-0000-0000DE070000}"/>
    <cellStyle name="40% - Accent4 2 2 3 3_Inputs" xfId="3792" xr:uid="{00000000-0005-0000-0000-0000DF070000}"/>
    <cellStyle name="40% - Accent4 2 2 3 4" xfId="1409" xr:uid="{00000000-0005-0000-0000-0000E0070000}"/>
    <cellStyle name="40% - Accent4 2 2 3_Inputs" xfId="3790" xr:uid="{00000000-0005-0000-0000-0000E1070000}"/>
    <cellStyle name="40% - Accent4 2 2 4" xfId="1410" xr:uid="{00000000-0005-0000-0000-0000E2070000}"/>
    <cellStyle name="40% - Accent4 2 2 4 2" xfId="1411" xr:uid="{00000000-0005-0000-0000-0000E3070000}"/>
    <cellStyle name="40% - Accent4 2 2 4_Inputs" xfId="3793" xr:uid="{00000000-0005-0000-0000-0000E4070000}"/>
    <cellStyle name="40% - Accent4 2 2 5" xfId="1412" xr:uid="{00000000-0005-0000-0000-0000E5070000}"/>
    <cellStyle name="40% - Accent4 2 2 5 2" xfId="1413" xr:uid="{00000000-0005-0000-0000-0000E6070000}"/>
    <cellStyle name="40% - Accent4 2 2 5_Inputs" xfId="3794" xr:uid="{00000000-0005-0000-0000-0000E7070000}"/>
    <cellStyle name="40% - Accent4 2 2 6" xfId="1414" xr:uid="{00000000-0005-0000-0000-0000E8070000}"/>
    <cellStyle name="40% - Accent4 2 2_Bdx 1517" xfId="1415" xr:uid="{00000000-0005-0000-0000-0000E9070000}"/>
    <cellStyle name="40% - Accent4 2 3" xfId="1416" xr:uid="{00000000-0005-0000-0000-0000EA070000}"/>
    <cellStyle name="40% - Accent4 2 3 2" xfId="1417" xr:uid="{00000000-0005-0000-0000-0000EB070000}"/>
    <cellStyle name="40% - Accent4 2 3 2 2" xfId="1418" xr:uid="{00000000-0005-0000-0000-0000EC070000}"/>
    <cellStyle name="40% - Accent4 2 3 2 2 2" xfId="1419" xr:uid="{00000000-0005-0000-0000-0000ED070000}"/>
    <cellStyle name="40% - Accent4 2 3 2 2_Inputs" xfId="3796" xr:uid="{00000000-0005-0000-0000-0000EE070000}"/>
    <cellStyle name="40% - Accent4 2 3 2 3" xfId="1420" xr:uid="{00000000-0005-0000-0000-0000EF070000}"/>
    <cellStyle name="40% - Accent4 2 3 2 3 2" xfId="1421" xr:uid="{00000000-0005-0000-0000-0000F0070000}"/>
    <cellStyle name="40% - Accent4 2 3 2 3_Inputs" xfId="3797" xr:uid="{00000000-0005-0000-0000-0000F1070000}"/>
    <cellStyle name="40% - Accent4 2 3 2 4" xfId="1422" xr:uid="{00000000-0005-0000-0000-0000F2070000}"/>
    <cellStyle name="40% - Accent4 2 3 2_Inputs" xfId="3795" xr:uid="{00000000-0005-0000-0000-0000F3070000}"/>
    <cellStyle name="40% - Accent4 2 3 3" xfId="1423" xr:uid="{00000000-0005-0000-0000-0000F4070000}"/>
    <cellStyle name="40% - Accent4 2 3 3 2" xfId="1424" xr:uid="{00000000-0005-0000-0000-0000F5070000}"/>
    <cellStyle name="40% - Accent4 2 3 3 2 2" xfId="1425" xr:uid="{00000000-0005-0000-0000-0000F6070000}"/>
    <cellStyle name="40% - Accent4 2 3 3 2_Inputs" xfId="3799" xr:uid="{00000000-0005-0000-0000-0000F7070000}"/>
    <cellStyle name="40% - Accent4 2 3 3 3" xfId="1426" xr:uid="{00000000-0005-0000-0000-0000F8070000}"/>
    <cellStyle name="40% - Accent4 2 3 3 3 2" xfId="1427" xr:uid="{00000000-0005-0000-0000-0000F9070000}"/>
    <cellStyle name="40% - Accent4 2 3 3 3_Inputs" xfId="3800" xr:uid="{00000000-0005-0000-0000-0000FA070000}"/>
    <cellStyle name="40% - Accent4 2 3 3 4" xfId="1428" xr:uid="{00000000-0005-0000-0000-0000FB070000}"/>
    <cellStyle name="40% - Accent4 2 3 3_Inputs" xfId="3798" xr:uid="{00000000-0005-0000-0000-0000FC070000}"/>
    <cellStyle name="40% - Accent4 2 3 4" xfId="1429" xr:uid="{00000000-0005-0000-0000-0000FD070000}"/>
    <cellStyle name="40% - Accent4 2 3 4 2" xfId="1430" xr:uid="{00000000-0005-0000-0000-0000FE070000}"/>
    <cellStyle name="40% - Accent4 2 3 4_Inputs" xfId="3801" xr:uid="{00000000-0005-0000-0000-0000FF070000}"/>
    <cellStyle name="40% - Accent4 2 3 5" xfId="1431" xr:uid="{00000000-0005-0000-0000-000000080000}"/>
    <cellStyle name="40% - Accent4 2 3 5 2" xfId="1432" xr:uid="{00000000-0005-0000-0000-000001080000}"/>
    <cellStyle name="40% - Accent4 2 3 5_Inputs" xfId="3802" xr:uid="{00000000-0005-0000-0000-000002080000}"/>
    <cellStyle name="40% - Accent4 2 3 6" xfId="1433" xr:uid="{00000000-0005-0000-0000-000003080000}"/>
    <cellStyle name="40% - Accent4 2 3_Bdx 1517" xfId="1434" xr:uid="{00000000-0005-0000-0000-000004080000}"/>
    <cellStyle name="40% - Accent4 2 4" xfId="1435" xr:uid="{00000000-0005-0000-0000-000005080000}"/>
    <cellStyle name="40% - Accent4 2 4 2" xfId="1436" xr:uid="{00000000-0005-0000-0000-000006080000}"/>
    <cellStyle name="40% - Accent4 2 4 2 2" xfId="1437" xr:uid="{00000000-0005-0000-0000-000007080000}"/>
    <cellStyle name="40% - Accent4 2 4 2_Inputs" xfId="3804" xr:uid="{00000000-0005-0000-0000-000008080000}"/>
    <cellStyle name="40% - Accent4 2 4 3" xfId="1438" xr:uid="{00000000-0005-0000-0000-000009080000}"/>
    <cellStyle name="40% - Accent4 2 4 3 2" xfId="1439" xr:uid="{00000000-0005-0000-0000-00000A080000}"/>
    <cellStyle name="40% - Accent4 2 4 3_Inputs" xfId="3805" xr:uid="{00000000-0005-0000-0000-00000B080000}"/>
    <cellStyle name="40% - Accent4 2 4 4" xfId="1440" xr:uid="{00000000-0005-0000-0000-00000C080000}"/>
    <cellStyle name="40% - Accent4 2 4_Inputs" xfId="3803" xr:uid="{00000000-0005-0000-0000-00000D080000}"/>
    <cellStyle name="40% - Accent4 2 5" xfId="1441" xr:uid="{00000000-0005-0000-0000-00000E080000}"/>
    <cellStyle name="40% - Accent4 2 5 2" xfId="1442" xr:uid="{00000000-0005-0000-0000-00000F080000}"/>
    <cellStyle name="40% - Accent4 2 5 2 2" xfId="1443" xr:uid="{00000000-0005-0000-0000-000010080000}"/>
    <cellStyle name="40% - Accent4 2 5 2_Inputs" xfId="3807" xr:uid="{00000000-0005-0000-0000-000011080000}"/>
    <cellStyle name="40% - Accent4 2 5 3" xfId="1444" xr:uid="{00000000-0005-0000-0000-000012080000}"/>
    <cellStyle name="40% - Accent4 2 5 3 2" xfId="1445" xr:uid="{00000000-0005-0000-0000-000013080000}"/>
    <cellStyle name="40% - Accent4 2 5 3_Inputs" xfId="3808" xr:uid="{00000000-0005-0000-0000-000014080000}"/>
    <cellStyle name="40% - Accent4 2 5 4" xfId="1446" xr:uid="{00000000-0005-0000-0000-000015080000}"/>
    <cellStyle name="40% - Accent4 2 5_Inputs" xfId="3806" xr:uid="{00000000-0005-0000-0000-000016080000}"/>
    <cellStyle name="40% - Accent4 2 6" xfId="1447" xr:uid="{00000000-0005-0000-0000-000017080000}"/>
    <cellStyle name="40% - Accent4 2 6 2" xfId="1448" xr:uid="{00000000-0005-0000-0000-000018080000}"/>
    <cellStyle name="40% - Accent4 2 6_Inputs" xfId="3809" xr:uid="{00000000-0005-0000-0000-000019080000}"/>
    <cellStyle name="40% - Accent4 2 7" xfId="1449" xr:uid="{00000000-0005-0000-0000-00001A080000}"/>
    <cellStyle name="40% - Accent4 2 7 2" xfId="1450" xr:uid="{00000000-0005-0000-0000-00001B080000}"/>
    <cellStyle name="40% - Accent4 2 7_Inputs" xfId="3810" xr:uid="{00000000-0005-0000-0000-00001C080000}"/>
    <cellStyle name="40% - Accent4 2 8" xfId="1451" xr:uid="{00000000-0005-0000-0000-00001D080000}"/>
    <cellStyle name="40% - Accent4 2_Bdx 1517" xfId="1452" xr:uid="{00000000-0005-0000-0000-00001E080000}"/>
    <cellStyle name="40% - Accent4 3" xfId="1453" xr:uid="{00000000-0005-0000-0000-00001F080000}"/>
    <cellStyle name="40% - Accent4 3 2" xfId="1454" xr:uid="{00000000-0005-0000-0000-000020080000}"/>
    <cellStyle name="40% - Accent4 3 2 2" xfId="1455" xr:uid="{00000000-0005-0000-0000-000021080000}"/>
    <cellStyle name="40% - Accent4 3 2 2 2" xfId="1456" xr:uid="{00000000-0005-0000-0000-000022080000}"/>
    <cellStyle name="40% - Accent4 3 2 2 2 2" xfId="1457" xr:uid="{00000000-0005-0000-0000-000023080000}"/>
    <cellStyle name="40% - Accent4 3 2 2 2_Inputs" xfId="3812" xr:uid="{00000000-0005-0000-0000-000024080000}"/>
    <cellStyle name="40% - Accent4 3 2 2 3" xfId="1458" xr:uid="{00000000-0005-0000-0000-000025080000}"/>
    <cellStyle name="40% - Accent4 3 2 2 3 2" xfId="1459" xr:uid="{00000000-0005-0000-0000-000026080000}"/>
    <cellStyle name="40% - Accent4 3 2 2 3_Inputs" xfId="3813" xr:uid="{00000000-0005-0000-0000-000027080000}"/>
    <cellStyle name="40% - Accent4 3 2 2 4" xfId="1460" xr:uid="{00000000-0005-0000-0000-000028080000}"/>
    <cellStyle name="40% - Accent4 3 2 2_Inputs" xfId="3811" xr:uid="{00000000-0005-0000-0000-000029080000}"/>
    <cellStyle name="40% - Accent4 3 2 3" xfId="1461" xr:uid="{00000000-0005-0000-0000-00002A080000}"/>
    <cellStyle name="40% - Accent4 3 2 3 2" xfId="1462" xr:uid="{00000000-0005-0000-0000-00002B080000}"/>
    <cellStyle name="40% - Accent4 3 2 3 2 2" xfId="1463" xr:uid="{00000000-0005-0000-0000-00002C080000}"/>
    <cellStyle name="40% - Accent4 3 2 3 2_Inputs" xfId="3815" xr:uid="{00000000-0005-0000-0000-00002D080000}"/>
    <cellStyle name="40% - Accent4 3 2 3 3" xfId="1464" xr:uid="{00000000-0005-0000-0000-00002E080000}"/>
    <cellStyle name="40% - Accent4 3 2 3 3 2" xfId="1465" xr:uid="{00000000-0005-0000-0000-00002F080000}"/>
    <cellStyle name="40% - Accent4 3 2 3 3_Inputs" xfId="3816" xr:uid="{00000000-0005-0000-0000-000030080000}"/>
    <cellStyle name="40% - Accent4 3 2 3 4" xfId="1466" xr:uid="{00000000-0005-0000-0000-000031080000}"/>
    <cellStyle name="40% - Accent4 3 2 3_Inputs" xfId="3814" xr:uid="{00000000-0005-0000-0000-000032080000}"/>
    <cellStyle name="40% - Accent4 3 2 4" xfId="1467" xr:uid="{00000000-0005-0000-0000-000033080000}"/>
    <cellStyle name="40% - Accent4 3 2 4 2" xfId="1468" xr:uid="{00000000-0005-0000-0000-000034080000}"/>
    <cellStyle name="40% - Accent4 3 2 4_Inputs" xfId="3817" xr:uid="{00000000-0005-0000-0000-000035080000}"/>
    <cellStyle name="40% - Accent4 3 2 5" xfId="1469" xr:uid="{00000000-0005-0000-0000-000036080000}"/>
    <cellStyle name="40% - Accent4 3 2 5 2" xfId="1470" xr:uid="{00000000-0005-0000-0000-000037080000}"/>
    <cellStyle name="40% - Accent4 3 2 5_Inputs" xfId="3818" xr:uid="{00000000-0005-0000-0000-000038080000}"/>
    <cellStyle name="40% - Accent4 3 2 6" xfId="1471" xr:uid="{00000000-0005-0000-0000-000039080000}"/>
    <cellStyle name="40% - Accent4 3 2_Bdx 1517" xfId="1472" xr:uid="{00000000-0005-0000-0000-00003A080000}"/>
    <cellStyle name="40% - Accent4 3 3" xfId="1473" xr:uid="{00000000-0005-0000-0000-00003B080000}"/>
    <cellStyle name="40% - Accent4 3 3 2" xfId="1474" xr:uid="{00000000-0005-0000-0000-00003C080000}"/>
    <cellStyle name="40% - Accent4 3 3 2 2" xfId="1475" xr:uid="{00000000-0005-0000-0000-00003D080000}"/>
    <cellStyle name="40% - Accent4 3 3 2_Inputs" xfId="3820" xr:uid="{00000000-0005-0000-0000-00003E080000}"/>
    <cellStyle name="40% - Accent4 3 3 3" xfId="1476" xr:uid="{00000000-0005-0000-0000-00003F080000}"/>
    <cellStyle name="40% - Accent4 3 3 3 2" xfId="1477" xr:uid="{00000000-0005-0000-0000-000040080000}"/>
    <cellStyle name="40% - Accent4 3 3 3_Inputs" xfId="3821" xr:uid="{00000000-0005-0000-0000-000041080000}"/>
    <cellStyle name="40% - Accent4 3 3 4" xfId="1478" xr:uid="{00000000-0005-0000-0000-000042080000}"/>
    <cellStyle name="40% - Accent4 3 3_Inputs" xfId="3819" xr:uid="{00000000-0005-0000-0000-000043080000}"/>
    <cellStyle name="40% - Accent4 3 4" xfId="1479" xr:uid="{00000000-0005-0000-0000-000044080000}"/>
    <cellStyle name="40% - Accent4 3 4 2" xfId="1480" xr:uid="{00000000-0005-0000-0000-000045080000}"/>
    <cellStyle name="40% - Accent4 3 4 2 2" xfId="1481" xr:uid="{00000000-0005-0000-0000-000046080000}"/>
    <cellStyle name="40% - Accent4 3 4 2_Inputs" xfId="3823" xr:uid="{00000000-0005-0000-0000-000047080000}"/>
    <cellStyle name="40% - Accent4 3 4 3" xfId="1482" xr:uid="{00000000-0005-0000-0000-000048080000}"/>
    <cellStyle name="40% - Accent4 3 4 3 2" xfId="1483" xr:uid="{00000000-0005-0000-0000-000049080000}"/>
    <cellStyle name="40% - Accent4 3 4 3_Inputs" xfId="3824" xr:uid="{00000000-0005-0000-0000-00004A080000}"/>
    <cellStyle name="40% - Accent4 3 4 4" xfId="1484" xr:uid="{00000000-0005-0000-0000-00004B080000}"/>
    <cellStyle name="40% - Accent4 3 4_Inputs" xfId="3822" xr:uid="{00000000-0005-0000-0000-00004C080000}"/>
    <cellStyle name="40% - Accent4 3 5" xfId="1485" xr:uid="{00000000-0005-0000-0000-00004D080000}"/>
    <cellStyle name="40% - Accent4 3 5 2" xfId="1486" xr:uid="{00000000-0005-0000-0000-00004E080000}"/>
    <cellStyle name="40% - Accent4 3 5_Inputs" xfId="3825" xr:uid="{00000000-0005-0000-0000-00004F080000}"/>
    <cellStyle name="40% - Accent4 3 6" xfId="1487" xr:uid="{00000000-0005-0000-0000-000050080000}"/>
    <cellStyle name="40% - Accent4 3 6 2" xfId="1488" xr:uid="{00000000-0005-0000-0000-000051080000}"/>
    <cellStyle name="40% - Accent4 3 6_Inputs" xfId="3826" xr:uid="{00000000-0005-0000-0000-000052080000}"/>
    <cellStyle name="40% - Accent4 3 7" xfId="1489" xr:uid="{00000000-0005-0000-0000-000053080000}"/>
    <cellStyle name="40% - Accent4 3_Bdx 1517" xfId="1490" xr:uid="{00000000-0005-0000-0000-000054080000}"/>
    <cellStyle name="40% - Accent4 4" xfId="1491" xr:uid="{00000000-0005-0000-0000-000055080000}"/>
    <cellStyle name="40% - Accent4 4 2" xfId="1492" xr:uid="{00000000-0005-0000-0000-000056080000}"/>
    <cellStyle name="40% - Accent4 4 2 2" xfId="1493" xr:uid="{00000000-0005-0000-0000-000057080000}"/>
    <cellStyle name="40% - Accent4 4 2 2 2" xfId="1494" xr:uid="{00000000-0005-0000-0000-000058080000}"/>
    <cellStyle name="40% - Accent4 4 2 2_Inputs" xfId="3828" xr:uid="{00000000-0005-0000-0000-000059080000}"/>
    <cellStyle name="40% - Accent4 4 2 3" xfId="1495" xr:uid="{00000000-0005-0000-0000-00005A080000}"/>
    <cellStyle name="40% - Accent4 4 2 3 2" xfId="1496" xr:uid="{00000000-0005-0000-0000-00005B080000}"/>
    <cellStyle name="40% - Accent4 4 2 3_Inputs" xfId="3829" xr:uid="{00000000-0005-0000-0000-00005C080000}"/>
    <cellStyle name="40% - Accent4 4 2 4" xfId="1497" xr:uid="{00000000-0005-0000-0000-00005D080000}"/>
    <cellStyle name="40% - Accent4 4 2_Inputs" xfId="3827" xr:uid="{00000000-0005-0000-0000-00005E080000}"/>
    <cellStyle name="40% - Accent4 4 3" xfId="1498" xr:uid="{00000000-0005-0000-0000-00005F080000}"/>
    <cellStyle name="40% - Accent4 4 3 2" xfId="1499" xr:uid="{00000000-0005-0000-0000-000060080000}"/>
    <cellStyle name="40% - Accent4 4 3 2 2" xfId="1500" xr:uid="{00000000-0005-0000-0000-000061080000}"/>
    <cellStyle name="40% - Accent4 4 3 2_Inputs" xfId="3831" xr:uid="{00000000-0005-0000-0000-000062080000}"/>
    <cellStyle name="40% - Accent4 4 3 3" xfId="1501" xr:uid="{00000000-0005-0000-0000-000063080000}"/>
    <cellStyle name="40% - Accent4 4 3 3 2" xfId="1502" xr:uid="{00000000-0005-0000-0000-000064080000}"/>
    <cellStyle name="40% - Accent4 4 3 3_Inputs" xfId="3832" xr:uid="{00000000-0005-0000-0000-000065080000}"/>
    <cellStyle name="40% - Accent4 4 3 4" xfId="1503" xr:uid="{00000000-0005-0000-0000-000066080000}"/>
    <cellStyle name="40% - Accent4 4 3_Inputs" xfId="3830" xr:uid="{00000000-0005-0000-0000-000067080000}"/>
    <cellStyle name="40% - Accent4 4 4" xfId="1504" xr:uid="{00000000-0005-0000-0000-000068080000}"/>
    <cellStyle name="40% - Accent4 4 4 2" xfId="1505" xr:uid="{00000000-0005-0000-0000-000069080000}"/>
    <cellStyle name="40% - Accent4 4 4_Inputs" xfId="3833" xr:uid="{00000000-0005-0000-0000-00006A080000}"/>
    <cellStyle name="40% - Accent4 4 5" xfId="1506" xr:uid="{00000000-0005-0000-0000-00006B080000}"/>
    <cellStyle name="40% - Accent4 4 5 2" xfId="1507" xr:uid="{00000000-0005-0000-0000-00006C080000}"/>
    <cellStyle name="40% - Accent4 4 5_Inputs" xfId="3834" xr:uid="{00000000-0005-0000-0000-00006D080000}"/>
    <cellStyle name="40% - Accent4 4 6" xfId="1508" xr:uid="{00000000-0005-0000-0000-00006E080000}"/>
    <cellStyle name="40% - Accent4 4_Bdx 1517" xfId="1509" xr:uid="{00000000-0005-0000-0000-00006F080000}"/>
    <cellStyle name="40% - Accent4 5" xfId="1510" xr:uid="{00000000-0005-0000-0000-000070080000}"/>
    <cellStyle name="40% - Accent4 5 2" xfId="1511" xr:uid="{00000000-0005-0000-0000-000071080000}"/>
    <cellStyle name="40% - Accent4 5 2 2" xfId="1512" xr:uid="{00000000-0005-0000-0000-000072080000}"/>
    <cellStyle name="40% - Accent4 5 2_Inputs" xfId="3836" xr:uid="{00000000-0005-0000-0000-000073080000}"/>
    <cellStyle name="40% - Accent4 5 3" xfId="1513" xr:uid="{00000000-0005-0000-0000-000074080000}"/>
    <cellStyle name="40% - Accent4 5 3 2" xfId="1514" xr:uid="{00000000-0005-0000-0000-000075080000}"/>
    <cellStyle name="40% - Accent4 5 3_Inputs" xfId="3837" xr:uid="{00000000-0005-0000-0000-000076080000}"/>
    <cellStyle name="40% - Accent4 5 4" xfId="1515" xr:uid="{00000000-0005-0000-0000-000077080000}"/>
    <cellStyle name="40% - Accent4 5_Inputs" xfId="3835" xr:uid="{00000000-0005-0000-0000-000078080000}"/>
    <cellStyle name="40% - Accent4 6" xfId="1516" xr:uid="{00000000-0005-0000-0000-000079080000}"/>
    <cellStyle name="40% - Accent4 6 2" xfId="1517" xr:uid="{00000000-0005-0000-0000-00007A080000}"/>
    <cellStyle name="40% - Accent4 6_Inputs" xfId="3838" xr:uid="{00000000-0005-0000-0000-00007B080000}"/>
    <cellStyle name="40% - Accent4 7" xfId="1518" xr:uid="{00000000-0005-0000-0000-00007C080000}"/>
    <cellStyle name="40% - Accent4 7 2" xfId="1519" xr:uid="{00000000-0005-0000-0000-00007D080000}"/>
    <cellStyle name="40% - Accent4 7_Inputs" xfId="3839" xr:uid="{00000000-0005-0000-0000-00007E080000}"/>
    <cellStyle name="40% - Accent4 8" xfId="1520" xr:uid="{00000000-0005-0000-0000-00007F080000}"/>
    <cellStyle name="40% - Accent5 2" xfId="1521" xr:uid="{00000000-0005-0000-0000-000080080000}"/>
    <cellStyle name="40% - Accent5 2 2" xfId="1522" xr:uid="{00000000-0005-0000-0000-000081080000}"/>
    <cellStyle name="40% - Accent5 2 2 2" xfId="1523" xr:uid="{00000000-0005-0000-0000-000082080000}"/>
    <cellStyle name="40% - Accent5 2 2 2 2" xfId="1524" xr:uid="{00000000-0005-0000-0000-000083080000}"/>
    <cellStyle name="40% - Accent5 2 2 2 2 2" xfId="1525" xr:uid="{00000000-0005-0000-0000-000084080000}"/>
    <cellStyle name="40% - Accent5 2 2 2 2_Inputs" xfId="3841" xr:uid="{00000000-0005-0000-0000-000085080000}"/>
    <cellStyle name="40% - Accent5 2 2 2 3" xfId="1526" xr:uid="{00000000-0005-0000-0000-000086080000}"/>
    <cellStyle name="40% - Accent5 2 2 2 3 2" xfId="1527" xr:uid="{00000000-0005-0000-0000-000087080000}"/>
    <cellStyle name="40% - Accent5 2 2 2 3_Inputs" xfId="3842" xr:uid="{00000000-0005-0000-0000-000088080000}"/>
    <cellStyle name="40% - Accent5 2 2 2 4" xfId="1528" xr:uid="{00000000-0005-0000-0000-000089080000}"/>
    <cellStyle name="40% - Accent5 2 2 2_Inputs" xfId="3840" xr:uid="{00000000-0005-0000-0000-00008A080000}"/>
    <cellStyle name="40% - Accent5 2 2 3" xfId="1529" xr:uid="{00000000-0005-0000-0000-00008B080000}"/>
    <cellStyle name="40% - Accent5 2 2 3 2" xfId="1530" xr:uid="{00000000-0005-0000-0000-00008C080000}"/>
    <cellStyle name="40% - Accent5 2 2 3 2 2" xfId="1531" xr:uid="{00000000-0005-0000-0000-00008D080000}"/>
    <cellStyle name="40% - Accent5 2 2 3 2_Inputs" xfId="3844" xr:uid="{00000000-0005-0000-0000-00008E080000}"/>
    <cellStyle name="40% - Accent5 2 2 3 3" xfId="1532" xr:uid="{00000000-0005-0000-0000-00008F080000}"/>
    <cellStyle name="40% - Accent5 2 2 3 3 2" xfId="1533" xr:uid="{00000000-0005-0000-0000-000090080000}"/>
    <cellStyle name="40% - Accent5 2 2 3 3_Inputs" xfId="3845" xr:uid="{00000000-0005-0000-0000-000091080000}"/>
    <cellStyle name="40% - Accent5 2 2 3 4" xfId="1534" xr:uid="{00000000-0005-0000-0000-000092080000}"/>
    <cellStyle name="40% - Accent5 2 2 3_Inputs" xfId="3843" xr:uid="{00000000-0005-0000-0000-000093080000}"/>
    <cellStyle name="40% - Accent5 2 2 4" xfId="1535" xr:uid="{00000000-0005-0000-0000-000094080000}"/>
    <cellStyle name="40% - Accent5 2 2 4 2" xfId="1536" xr:uid="{00000000-0005-0000-0000-000095080000}"/>
    <cellStyle name="40% - Accent5 2 2 4_Inputs" xfId="3846" xr:uid="{00000000-0005-0000-0000-000096080000}"/>
    <cellStyle name="40% - Accent5 2 2 5" xfId="1537" xr:uid="{00000000-0005-0000-0000-000097080000}"/>
    <cellStyle name="40% - Accent5 2 2 5 2" xfId="1538" xr:uid="{00000000-0005-0000-0000-000098080000}"/>
    <cellStyle name="40% - Accent5 2 2 5_Inputs" xfId="3847" xr:uid="{00000000-0005-0000-0000-000099080000}"/>
    <cellStyle name="40% - Accent5 2 2 6" xfId="1539" xr:uid="{00000000-0005-0000-0000-00009A080000}"/>
    <cellStyle name="40% - Accent5 2 2_Bdx 1517" xfId="1540" xr:uid="{00000000-0005-0000-0000-00009B080000}"/>
    <cellStyle name="40% - Accent5 2 3" xfId="1541" xr:uid="{00000000-0005-0000-0000-00009C080000}"/>
    <cellStyle name="40% - Accent5 2 3 2" xfId="1542" xr:uid="{00000000-0005-0000-0000-00009D080000}"/>
    <cellStyle name="40% - Accent5 2 3 2 2" xfId="1543" xr:uid="{00000000-0005-0000-0000-00009E080000}"/>
    <cellStyle name="40% - Accent5 2 3 2 2 2" xfId="1544" xr:uid="{00000000-0005-0000-0000-00009F080000}"/>
    <cellStyle name="40% - Accent5 2 3 2 2_Inputs" xfId="3849" xr:uid="{00000000-0005-0000-0000-0000A0080000}"/>
    <cellStyle name="40% - Accent5 2 3 2 3" xfId="1545" xr:uid="{00000000-0005-0000-0000-0000A1080000}"/>
    <cellStyle name="40% - Accent5 2 3 2 3 2" xfId="1546" xr:uid="{00000000-0005-0000-0000-0000A2080000}"/>
    <cellStyle name="40% - Accent5 2 3 2 3_Inputs" xfId="3850" xr:uid="{00000000-0005-0000-0000-0000A3080000}"/>
    <cellStyle name="40% - Accent5 2 3 2 4" xfId="1547" xr:uid="{00000000-0005-0000-0000-0000A4080000}"/>
    <cellStyle name="40% - Accent5 2 3 2_Inputs" xfId="3848" xr:uid="{00000000-0005-0000-0000-0000A5080000}"/>
    <cellStyle name="40% - Accent5 2 3 3" xfId="1548" xr:uid="{00000000-0005-0000-0000-0000A6080000}"/>
    <cellStyle name="40% - Accent5 2 3 3 2" xfId="1549" xr:uid="{00000000-0005-0000-0000-0000A7080000}"/>
    <cellStyle name="40% - Accent5 2 3 3 2 2" xfId="1550" xr:uid="{00000000-0005-0000-0000-0000A8080000}"/>
    <cellStyle name="40% - Accent5 2 3 3 2_Inputs" xfId="3852" xr:uid="{00000000-0005-0000-0000-0000A9080000}"/>
    <cellStyle name="40% - Accent5 2 3 3 3" xfId="1551" xr:uid="{00000000-0005-0000-0000-0000AA080000}"/>
    <cellStyle name="40% - Accent5 2 3 3 3 2" xfId="1552" xr:uid="{00000000-0005-0000-0000-0000AB080000}"/>
    <cellStyle name="40% - Accent5 2 3 3 3_Inputs" xfId="3853" xr:uid="{00000000-0005-0000-0000-0000AC080000}"/>
    <cellStyle name="40% - Accent5 2 3 3 4" xfId="1553" xr:uid="{00000000-0005-0000-0000-0000AD080000}"/>
    <cellStyle name="40% - Accent5 2 3 3_Inputs" xfId="3851" xr:uid="{00000000-0005-0000-0000-0000AE080000}"/>
    <cellStyle name="40% - Accent5 2 3 4" xfId="1554" xr:uid="{00000000-0005-0000-0000-0000AF080000}"/>
    <cellStyle name="40% - Accent5 2 3 4 2" xfId="1555" xr:uid="{00000000-0005-0000-0000-0000B0080000}"/>
    <cellStyle name="40% - Accent5 2 3 4_Inputs" xfId="3854" xr:uid="{00000000-0005-0000-0000-0000B1080000}"/>
    <cellStyle name="40% - Accent5 2 3 5" xfId="1556" xr:uid="{00000000-0005-0000-0000-0000B2080000}"/>
    <cellStyle name="40% - Accent5 2 3 5 2" xfId="1557" xr:uid="{00000000-0005-0000-0000-0000B3080000}"/>
    <cellStyle name="40% - Accent5 2 3 5_Inputs" xfId="3855" xr:uid="{00000000-0005-0000-0000-0000B4080000}"/>
    <cellStyle name="40% - Accent5 2 3 6" xfId="1558" xr:uid="{00000000-0005-0000-0000-0000B5080000}"/>
    <cellStyle name="40% - Accent5 2 3_Bdx 1517" xfId="1559" xr:uid="{00000000-0005-0000-0000-0000B6080000}"/>
    <cellStyle name="40% - Accent5 2 4" xfId="1560" xr:uid="{00000000-0005-0000-0000-0000B7080000}"/>
    <cellStyle name="40% - Accent5 2 4 2" xfId="1561" xr:uid="{00000000-0005-0000-0000-0000B8080000}"/>
    <cellStyle name="40% - Accent5 2 4 2 2" xfId="1562" xr:uid="{00000000-0005-0000-0000-0000B9080000}"/>
    <cellStyle name="40% - Accent5 2 4 2_Inputs" xfId="3857" xr:uid="{00000000-0005-0000-0000-0000BA080000}"/>
    <cellStyle name="40% - Accent5 2 4 3" xfId="1563" xr:uid="{00000000-0005-0000-0000-0000BB080000}"/>
    <cellStyle name="40% - Accent5 2 4 3 2" xfId="1564" xr:uid="{00000000-0005-0000-0000-0000BC080000}"/>
    <cellStyle name="40% - Accent5 2 4 3_Inputs" xfId="3858" xr:uid="{00000000-0005-0000-0000-0000BD080000}"/>
    <cellStyle name="40% - Accent5 2 4 4" xfId="1565" xr:uid="{00000000-0005-0000-0000-0000BE080000}"/>
    <cellStyle name="40% - Accent5 2 4_Inputs" xfId="3856" xr:uid="{00000000-0005-0000-0000-0000BF080000}"/>
    <cellStyle name="40% - Accent5 2 5" xfId="1566" xr:uid="{00000000-0005-0000-0000-0000C0080000}"/>
    <cellStyle name="40% - Accent5 2 5 2" xfId="1567" xr:uid="{00000000-0005-0000-0000-0000C1080000}"/>
    <cellStyle name="40% - Accent5 2 5 2 2" xfId="1568" xr:uid="{00000000-0005-0000-0000-0000C2080000}"/>
    <cellStyle name="40% - Accent5 2 5 2_Inputs" xfId="3860" xr:uid="{00000000-0005-0000-0000-0000C3080000}"/>
    <cellStyle name="40% - Accent5 2 5 3" xfId="1569" xr:uid="{00000000-0005-0000-0000-0000C4080000}"/>
    <cellStyle name="40% - Accent5 2 5 3 2" xfId="1570" xr:uid="{00000000-0005-0000-0000-0000C5080000}"/>
    <cellStyle name="40% - Accent5 2 5 3_Inputs" xfId="3861" xr:uid="{00000000-0005-0000-0000-0000C6080000}"/>
    <cellStyle name="40% - Accent5 2 5 4" xfId="1571" xr:uid="{00000000-0005-0000-0000-0000C7080000}"/>
    <cellStyle name="40% - Accent5 2 5_Inputs" xfId="3859" xr:uid="{00000000-0005-0000-0000-0000C8080000}"/>
    <cellStyle name="40% - Accent5 2 6" xfId="1572" xr:uid="{00000000-0005-0000-0000-0000C9080000}"/>
    <cellStyle name="40% - Accent5 2 6 2" xfId="1573" xr:uid="{00000000-0005-0000-0000-0000CA080000}"/>
    <cellStyle name="40% - Accent5 2 6_Inputs" xfId="3862" xr:uid="{00000000-0005-0000-0000-0000CB080000}"/>
    <cellStyle name="40% - Accent5 2 7" xfId="1574" xr:uid="{00000000-0005-0000-0000-0000CC080000}"/>
    <cellStyle name="40% - Accent5 2 7 2" xfId="1575" xr:uid="{00000000-0005-0000-0000-0000CD080000}"/>
    <cellStyle name="40% - Accent5 2 7_Inputs" xfId="3863" xr:uid="{00000000-0005-0000-0000-0000CE080000}"/>
    <cellStyle name="40% - Accent5 2 8" xfId="1576" xr:uid="{00000000-0005-0000-0000-0000CF080000}"/>
    <cellStyle name="40% - Accent5 2_Bdx 1517" xfId="1577" xr:uid="{00000000-0005-0000-0000-0000D0080000}"/>
    <cellStyle name="40% - Accent5 3" xfId="1578" xr:uid="{00000000-0005-0000-0000-0000D1080000}"/>
    <cellStyle name="40% - Accent5 3 2" xfId="1579" xr:uid="{00000000-0005-0000-0000-0000D2080000}"/>
    <cellStyle name="40% - Accent5 3 2 2" xfId="1580" xr:uid="{00000000-0005-0000-0000-0000D3080000}"/>
    <cellStyle name="40% - Accent5 3 2 2 2" xfId="1581" xr:uid="{00000000-0005-0000-0000-0000D4080000}"/>
    <cellStyle name="40% - Accent5 3 2 2 2 2" xfId="1582" xr:uid="{00000000-0005-0000-0000-0000D5080000}"/>
    <cellStyle name="40% - Accent5 3 2 2 2_Inputs" xfId="3865" xr:uid="{00000000-0005-0000-0000-0000D6080000}"/>
    <cellStyle name="40% - Accent5 3 2 2 3" xfId="1583" xr:uid="{00000000-0005-0000-0000-0000D7080000}"/>
    <cellStyle name="40% - Accent5 3 2 2 3 2" xfId="1584" xr:uid="{00000000-0005-0000-0000-0000D8080000}"/>
    <cellStyle name="40% - Accent5 3 2 2 3_Inputs" xfId="3866" xr:uid="{00000000-0005-0000-0000-0000D9080000}"/>
    <cellStyle name="40% - Accent5 3 2 2 4" xfId="1585" xr:uid="{00000000-0005-0000-0000-0000DA080000}"/>
    <cellStyle name="40% - Accent5 3 2 2_Inputs" xfId="3864" xr:uid="{00000000-0005-0000-0000-0000DB080000}"/>
    <cellStyle name="40% - Accent5 3 2 3" xfId="1586" xr:uid="{00000000-0005-0000-0000-0000DC080000}"/>
    <cellStyle name="40% - Accent5 3 2 3 2" xfId="1587" xr:uid="{00000000-0005-0000-0000-0000DD080000}"/>
    <cellStyle name="40% - Accent5 3 2 3 2 2" xfId="1588" xr:uid="{00000000-0005-0000-0000-0000DE080000}"/>
    <cellStyle name="40% - Accent5 3 2 3 2_Inputs" xfId="3868" xr:uid="{00000000-0005-0000-0000-0000DF080000}"/>
    <cellStyle name="40% - Accent5 3 2 3 3" xfId="1589" xr:uid="{00000000-0005-0000-0000-0000E0080000}"/>
    <cellStyle name="40% - Accent5 3 2 3 3 2" xfId="1590" xr:uid="{00000000-0005-0000-0000-0000E1080000}"/>
    <cellStyle name="40% - Accent5 3 2 3 3_Inputs" xfId="3869" xr:uid="{00000000-0005-0000-0000-0000E2080000}"/>
    <cellStyle name="40% - Accent5 3 2 3 4" xfId="1591" xr:uid="{00000000-0005-0000-0000-0000E3080000}"/>
    <cellStyle name="40% - Accent5 3 2 3_Inputs" xfId="3867" xr:uid="{00000000-0005-0000-0000-0000E4080000}"/>
    <cellStyle name="40% - Accent5 3 2 4" xfId="1592" xr:uid="{00000000-0005-0000-0000-0000E5080000}"/>
    <cellStyle name="40% - Accent5 3 2 4 2" xfId="1593" xr:uid="{00000000-0005-0000-0000-0000E6080000}"/>
    <cellStyle name="40% - Accent5 3 2 4_Inputs" xfId="3870" xr:uid="{00000000-0005-0000-0000-0000E7080000}"/>
    <cellStyle name="40% - Accent5 3 2 5" xfId="1594" xr:uid="{00000000-0005-0000-0000-0000E8080000}"/>
    <cellStyle name="40% - Accent5 3 2 5 2" xfId="1595" xr:uid="{00000000-0005-0000-0000-0000E9080000}"/>
    <cellStyle name="40% - Accent5 3 2 5_Inputs" xfId="3871" xr:uid="{00000000-0005-0000-0000-0000EA080000}"/>
    <cellStyle name="40% - Accent5 3 2 6" xfId="1596" xr:uid="{00000000-0005-0000-0000-0000EB080000}"/>
    <cellStyle name="40% - Accent5 3 2_Bdx 1517" xfId="1597" xr:uid="{00000000-0005-0000-0000-0000EC080000}"/>
    <cellStyle name="40% - Accent5 3 3" xfId="1598" xr:uid="{00000000-0005-0000-0000-0000ED080000}"/>
    <cellStyle name="40% - Accent5 3 3 2" xfId="1599" xr:uid="{00000000-0005-0000-0000-0000EE080000}"/>
    <cellStyle name="40% - Accent5 3 3 2 2" xfId="1600" xr:uid="{00000000-0005-0000-0000-0000EF080000}"/>
    <cellStyle name="40% - Accent5 3 3 2_Inputs" xfId="3873" xr:uid="{00000000-0005-0000-0000-0000F0080000}"/>
    <cellStyle name="40% - Accent5 3 3 3" xfId="1601" xr:uid="{00000000-0005-0000-0000-0000F1080000}"/>
    <cellStyle name="40% - Accent5 3 3 3 2" xfId="1602" xr:uid="{00000000-0005-0000-0000-0000F2080000}"/>
    <cellStyle name="40% - Accent5 3 3 3_Inputs" xfId="3874" xr:uid="{00000000-0005-0000-0000-0000F3080000}"/>
    <cellStyle name="40% - Accent5 3 3 4" xfId="1603" xr:uid="{00000000-0005-0000-0000-0000F4080000}"/>
    <cellStyle name="40% - Accent5 3 3_Inputs" xfId="3872" xr:uid="{00000000-0005-0000-0000-0000F5080000}"/>
    <cellStyle name="40% - Accent5 3 4" xfId="1604" xr:uid="{00000000-0005-0000-0000-0000F6080000}"/>
    <cellStyle name="40% - Accent5 3 4 2" xfId="1605" xr:uid="{00000000-0005-0000-0000-0000F7080000}"/>
    <cellStyle name="40% - Accent5 3 4 2 2" xfId="1606" xr:uid="{00000000-0005-0000-0000-0000F8080000}"/>
    <cellStyle name="40% - Accent5 3 4 2_Inputs" xfId="3876" xr:uid="{00000000-0005-0000-0000-0000F9080000}"/>
    <cellStyle name="40% - Accent5 3 4 3" xfId="1607" xr:uid="{00000000-0005-0000-0000-0000FA080000}"/>
    <cellStyle name="40% - Accent5 3 4 3 2" xfId="1608" xr:uid="{00000000-0005-0000-0000-0000FB080000}"/>
    <cellStyle name="40% - Accent5 3 4 3_Inputs" xfId="3877" xr:uid="{00000000-0005-0000-0000-0000FC080000}"/>
    <cellStyle name="40% - Accent5 3 4 4" xfId="1609" xr:uid="{00000000-0005-0000-0000-0000FD080000}"/>
    <cellStyle name="40% - Accent5 3 4_Inputs" xfId="3875" xr:uid="{00000000-0005-0000-0000-0000FE080000}"/>
    <cellStyle name="40% - Accent5 3 5" xfId="1610" xr:uid="{00000000-0005-0000-0000-0000FF080000}"/>
    <cellStyle name="40% - Accent5 3 5 2" xfId="1611" xr:uid="{00000000-0005-0000-0000-000000090000}"/>
    <cellStyle name="40% - Accent5 3 5_Inputs" xfId="3878" xr:uid="{00000000-0005-0000-0000-000001090000}"/>
    <cellStyle name="40% - Accent5 3 6" xfId="1612" xr:uid="{00000000-0005-0000-0000-000002090000}"/>
    <cellStyle name="40% - Accent5 3 6 2" xfId="1613" xr:uid="{00000000-0005-0000-0000-000003090000}"/>
    <cellStyle name="40% - Accent5 3 6_Inputs" xfId="3879" xr:uid="{00000000-0005-0000-0000-000004090000}"/>
    <cellStyle name="40% - Accent5 3 7" xfId="1614" xr:uid="{00000000-0005-0000-0000-000005090000}"/>
    <cellStyle name="40% - Accent5 3_Bdx 1517" xfId="1615" xr:uid="{00000000-0005-0000-0000-000006090000}"/>
    <cellStyle name="40% - Accent5 4" xfId="1616" xr:uid="{00000000-0005-0000-0000-000007090000}"/>
    <cellStyle name="40% - Accent5 4 2" xfId="1617" xr:uid="{00000000-0005-0000-0000-000008090000}"/>
    <cellStyle name="40% - Accent5 4 2 2" xfId="1618" xr:uid="{00000000-0005-0000-0000-000009090000}"/>
    <cellStyle name="40% - Accent5 4 2 2 2" xfId="1619" xr:uid="{00000000-0005-0000-0000-00000A090000}"/>
    <cellStyle name="40% - Accent5 4 2 2_Inputs" xfId="3881" xr:uid="{00000000-0005-0000-0000-00000B090000}"/>
    <cellStyle name="40% - Accent5 4 2 3" xfId="1620" xr:uid="{00000000-0005-0000-0000-00000C090000}"/>
    <cellStyle name="40% - Accent5 4 2 3 2" xfId="1621" xr:uid="{00000000-0005-0000-0000-00000D090000}"/>
    <cellStyle name="40% - Accent5 4 2 3_Inputs" xfId="3882" xr:uid="{00000000-0005-0000-0000-00000E090000}"/>
    <cellStyle name="40% - Accent5 4 2 4" xfId="1622" xr:uid="{00000000-0005-0000-0000-00000F090000}"/>
    <cellStyle name="40% - Accent5 4 2_Inputs" xfId="3880" xr:uid="{00000000-0005-0000-0000-000010090000}"/>
    <cellStyle name="40% - Accent5 4 3" xfId="1623" xr:uid="{00000000-0005-0000-0000-000011090000}"/>
    <cellStyle name="40% - Accent5 4 3 2" xfId="1624" xr:uid="{00000000-0005-0000-0000-000012090000}"/>
    <cellStyle name="40% - Accent5 4 3 2 2" xfId="1625" xr:uid="{00000000-0005-0000-0000-000013090000}"/>
    <cellStyle name="40% - Accent5 4 3 2_Inputs" xfId="3884" xr:uid="{00000000-0005-0000-0000-000014090000}"/>
    <cellStyle name="40% - Accent5 4 3 3" xfId="1626" xr:uid="{00000000-0005-0000-0000-000015090000}"/>
    <cellStyle name="40% - Accent5 4 3 3 2" xfId="1627" xr:uid="{00000000-0005-0000-0000-000016090000}"/>
    <cellStyle name="40% - Accent5 4 3 3_Inputs" xfId="3885" xr:uid="{00000000-0005-0000-0000-000017090000}"/>
    <cellStyle name="40% - Accent5 4 3 4" xfId="1628" xr:uid="{00000000-0005-0000-0000-000018090000}"/>
    <cellStyle name="40% - Accent5 4 3_Inputs" xfId="3883" xr:uid="{00000000-0005-0000-0000-000019090000}"/>
    <cellStyle name="40% - Accent5 4 4" xfId="1629" xr:uid="{00000000-0005-0000-0000-00001A090000}"/>
    <cellStyle name="40% - Accent5 4 4 2" xfId="1630" xr:uid="{00000000-0005-0000-0000-00001B090000}"/>
    <cellStyle name="40% - Accent5 4 4_Inputs" xfId="3886" xr:uid="{00000000-0005-0000-0000-00001C090000}"/>
    <cellStyle name="40% - Accent5 4 5" xfId="1631" xr:uid="{00000000-0005-0000-0000-00001D090000}"/>
    <cellStyle name="40% - Accent5 4 5 2" xfId="1632" xr:uid="{00000000-0005-0000-0000-00001E090000}"/>
    <cellStyle name="40% - Accent5 4 5_Inputs" xfId="3887" xr:uid="{00000000-0005-0000-0000-00001F090000}"/>
    <cellStyle name="40% - Accent5 4 6" xfId="1633" xr:uid="{00000000-0005-0000-0000-000020090000}"/>
    <cellStyle name="40% - Accent5 4_Bdx 1517" xfId="1634" xr:uid="{00000000-0005-0000-0000-000021090000}"/>
    <cellStyle name="40% - Accent5 5" xfId="1635" xr:uid="{00000000-0005-0000-0000-000022090000}"/>
    <cellStyle name="40% - Accent5 5 2" xfId="1636" xr:uid="{00000000-0005-0000-0000-000023090000}"/>
    <cellStyle name="40% - Accent5 5 2 2" xfId="1637" xr:uid="{00000000-0005-0000-0000-000024090000}"/>
    <cellStyle name="40% - Accent5 5 2_Inputs" xfId="3889" xr:uid="{00000000-0005-0000-0000-000025090000}"/>
    <cellStyle name="40% - Accent5 5 3" xfId="1638" xr:uid="{00000000-0005-0000-0000-000026090000}"/>
    <cellStyle name="40% - Accent5 5 3 2" xfId="1639" xr:uid="{00000000-0005-0000-0000-000027090000}"/>
    <cellStyle name="40% - Accent5 5 3_Inputs" xfId="3890" xr:uid="{00000000-0005-0000-0000-000028090000}"/>
    <cellStyle name="40% - Accent5 5 4" xfId="1640" xr:uid="{00000000-0005-0000-0000-000029090000}"/>
    <cellStyle name="40% - Accent5 5_Inputs" xfId="3888" xr:uid="{00000000-0005-0000-0000-00002A090000}"/>
    <cellStyle name="40% - Accent5 6" xfId="1641" xr:uid="{00000000-0005-0000-0000-00002B090000}"/>
    <cellStyle name="40% - Accent5 6 2" xfId="1642" xr:uid="{00000000-0005-0000-0000-00002C090000}"/>
    <cellStyle name="40% - Accent5 6_Inputs" xfId="3891" xr:uid="{00000000-0005-0000-0000-00002D090000}"/>
    <cellStyle name="40% - Accent5 7" xfId="1643" xr:uid="{00000000-0005-0000-0000-00002E090000}"/>
    <cellStyle name="40% - Accent5 7 2" xfId="1644" xr:uid="{00000000-0005-0000-0000-00002F090000}"/>
    <cellStyle name="40% - Accent5 7_Inputs" xfId="3892" xr:uid="{00000000-0005-0000-0000-000030090000}"/>
    <cellStyle name="40% - Accent5 8" xfId="1645" xr:uid="{00000000-0005-0000-0000-000031090000}"/>
    <cellStyle name="40% - Accent6 2" xfId="1646" xr:uid="{00000000-0005-0000-0000-000032090000}"/>
    <cellStyle name="40% - Accent6 2 2" xfId="1647" xr:uid="{00000000-0005-0000-0000-000033090000}"/>
    <cellStyle name="40% - Accent6 2 2 2" xfId="1648" xr:uid="{00000000-0005-0000-0000-000034090000}"/>
    <cellStyle name="40% - Accent6 2 2 2 2" xfId="1649" xr:uid="{00000000-0005-0000-0000-000035090000}"/>
    <cellStyle name="40% - Accent6 2 2 2 2 2" xfId="1650" xr:uid="{00000000-0005-0000-0000-000036090000}"/>
    <cellStyle name="40% - Accent6 2 2 2 2_Inputs" xfId="3894" xr:uid="{00000000-0005-0000-0000-000037090000}"/>
    <cellStyle name="40% - Accent6 2 2 2 3" xfId="1651" xr:uid="{00000000-0005-0000-0000-000038090000}"/>
    <cellStyle name="40% - Accent6 2 2 2 3 2" xfId="1652" xr:uid="{00000000-0005-0000-0000-000039090000}"/>
    <cellStyle name="40% - Accent6 2 2 2 3_Inputs" xfId="3895" xr:uid="{00000000-0005-0000-0000-00003A090000}"/>
    <cellStyle name="40% - Accent6 2 2 2 4" xfId="1653" xr:uid="{00000000-0005-0000-0000-00003B090000}"/>
    <cellStyle name="40% - Accent6 2 2 2_Inputs" xfId="3893" xr:uid="{00000000-0005-0000-0000-00003C090000}"/>
    <cellStyle name="40% - Accent6 2 2 3" xfId="1654" xr:uid="{00000000-0005-0000-0000-00003D090000}"/>
    <cellStyle name="40% - Accent6 2 2 3 2" xfId="1655" xr:uid="{00000000-0005-0000-0000-00003E090000}"/>
    <cellStyle name="40% - Accent6 2 2 3 2 2" xfId="1656" xr:uid="{00000000-0005-0000-0000-00003F090000}"/>
    <cellStyle name="40% - Accent6 2 2 3 2_Inputs" xfId="3897" xr:uid="{00000000-0005-0000-0000-000040090000}"/>
    <cellStyle name="40% - Accent6 2 2 3 3" xfId="1657" xr:uid="{00000000-0005-0000-0000-000041090000}"/>
    <cellStyle name="40% - Accent6 2 2 3 3 2" xfId="1658" xr:uid="{00000000-0005-0000-0000-000042090000}"/>
    <cellStyle name="40% - Accent6 2 2 3 3_Inputs" xfId="3898" xr:uid="{00000000-0005-0000-0000-000043090000}"/>
    <cellStyle name="40% - Accent6 2 2 3 4" xfId="1659" xr:uid="{00000000-0005-0000-0000-000044090000}"/>
    <cellStyle name="40% - Accent6 2 2 3_Inputs" xfId="3896" xr:uid="{00000000-0005-0000-0000-000045090000}"/>
    <cellStyle name="40% - Accent6 2 2 4" xfId="1660" xr:uid="{00000000-0005-0000-0000-000046090000}"/>
    <cellStyle name="40% - Accent6 2 2 4 2" xfId="1661" xr:uid="{00000000-0005-0000-0000-000047090000}"/>
    <cellStyle name="40% - Accent6 2 2 4_Inputs" xfId="3899" xr:uid="{00000000-0005-0000-0000-000048090000}"/>
    <cellStyle name="40% - Accent6 2 2 5" xfId="1662" xr:uid="{00000000-0005-0000-0000-000049090000}"/>
    <cellStyle name="40% - Accent6 2 2 5 2" xfId="1663" xr:uid="{00000000-0005-0000-0000-00004A090000}"/>
    <cellStyle name="40% - Accent6 2 2 5_Inputs" xfId="3900" xr:uid="{00000000-0005-0000-0000-00004B090000}"/>
    <cellStyle name="40% - Accent6 2 2 6" xfId="1664" xr:uid="{00000000-0005-0000-0000-00004C090000}"/>
    <cellStyle name="40% - Accent6 2 2_Bdx 1517" xfId="1665" xr:uid="{00000000-0005-0000-0000-00004D090000}"/>
    <cellStyle name="40% - Accent6 2 3" xfId="1666" xr:uid="{00000000-0005-0000-0000-00004E090000}"/>
    <cellStyle name="40% - Accent6 2 3 2" xfId="1667" xr:uid="{00000000-0005-0000-0000-00004F090000}"/>
    <cellStyle name="40% - Accent6 2 3 2 2" xfId="1668" xr:uid="{00000000-0005-0000-0000-000050090000}"/>
    <cellStyle name="40% - Accent6 2 3 2 2 2" xfId="1669" xr:uid="{00000000-0005-0000-0000-000051090000}"/>
    <cellStyle name="40% - Accent6 2 3 2 2_Inputs" xfId="3902" xr:uid="{00000000-0005-0000-0000-000052090000}"/>
    <cellStyle name="40% - Accent6 2 3 2 3" xfId="1670" xr:uid="{00000000-0005-0000-0000-000053090000}"/>
    <cellStyle name="40% - Accent6 2 3 2 3 2" xfId="1671" xr:uid="{00000000-0005-0000-0000-000054090000}"/>
    <cellStyle name="40% - Accent6 2 3 2 3_Inputs" xfId="3903" xr:uid="{00000000-0005-0000-0000-000055090000}"/>
    <cellStyle name="40% - Accent6 2 3 2 4" xfId="1672" xr:uid="{00000000-0005-0000-0000-000056090000}"/>
    <cellStyle name="40% - Accent6 2 3 2_Inputs" xfId="3901" xr:uid="{00000000-0005-0000-0000-000057090000}"/>
    <cellStyle name="40% - Accent6 2 3 3" xfId="1673" xr:uid="{00000000-0005-0000-0000-000058090000}"/>
    <cellStyle name="40% - Accent6 2 3 3 2" xfId="1674" xr:uid="{00000000-0005-0000-0000-000059090000}"/>
    <cellStyle name="40% - Accent6 2 3 3 2 2" xfId="1675" xr:uid="{00000000-0005-0000-0000-00005A090000}"/>
    <cellStyle name="40% - Accent6 2 3 3 2_Inputs" xfId="3905" xr:uid="{00000000-0005-0000-0000-00005B090000}"/>
    <cellStyle name="40% - Accent6 2 3 3 3" xfId="1676" xr:uid="{00000000-0005-0000-0000-00005C090000}"/>
    <cellStyle name="40% - Accent6 2 3 3 3 2" xfId="1677" xr:uid="{00000000-0005-0000-0000-00005D090000}"/>
    <cellStyle name="40% - Accent6 2 3 3 3_Inputs" xfId="3906" xr:uid="{00000000-0005-0000-0000-00005E090000}"/>
    <cellStyle name="40% - Accent6 2 3 3 4" xfId="1678" xr:uid="{00000000-0005-0000-0000-00005F090000}"/>
    <cellStyle name="40% - Accent6 2 3 3_Inputs" xfId="3904" xr:uid="{00000000-0005-0000-0000-000060090000}"/>
    <cellStyle name="40% - Accent6 2 3 4" xfId="1679" xr:uid="{00000000-0005-0000-0000-000061090000}"/>
    <cellStyle name="40% - Accent6 2 3 4 2" xfId="1680" xr:uid="{00000000-0005-0000-0000-000062090000}"/>
    <cellStyle name="40% - Accent6 2 3 4_Inputs" xfId="3907" xr:uid="{00000000-0005-0000-0000-000063090000}"/>
    <cellStyle name="40% - Accent6 2 3 5" xfId="1681" xr:uid="{00000000-0005-0000-0000-000064090000}"/>
    <cellStyle name="40% - Accent6 2 3 5 2" xfId="1682" xr:uid="{00000000-0005-0000-0000-000065090000}"/>
    <cellStyle name="40% - Accent6 2 3 5_Inputs" xfId="3908" xr:uid="{00000000-0005-0000-0000-000066090000}"/>
    <cellStyle name="40% - Accent6 2 3 6" xfId="1683" xr:uid="{00000000-0005-0000-0000-000067090000}"/>
    <cellStyle name="40% - Accent6 2 3_Bdx 1517" xfId="1684" xr:uid="{00000000-0005-0000-0000-000068090000}"/>
    <cellStyle name="40% - Accent6 2 4" xfId="1685" xr:uid="{00000000-0005-0000-0000-000069090000}"/>
    <cellStyle name="40% - Accent6 2 4 2" xfId="1686" xr:uid="{00000000-0005-0000-0000-00006A090000}"/>
    <cellStyle name="40% - Accent6 2 4 2 2" xfId="1687" xr:uid="{00000000-0005-0000-0000-00006B090000}"/>
    <cellStyle name="40% - Accent6 2 4 2_Inputs" xfId="3910" xr:uid="{00000000-0005-0000-0000-00006C090000}"/>
    <cellStyle name="40% - Accent6 2 4 3" xfId="1688" xr:uid="{00000000-0005-0000-0000-00006D090000}"/>
    <cellStyle name="40% - Accent6 2 4 3 2" xfId="1689" xr:uid="{00000000-0005-0000-0000-00006E090000}"/>
    <cellStyle name="40% - Accent6 2 4 3_Inputs" xfId="3911" xr:uid="{00000000-0005-0000-0000-00006F090000}"/>
    <cellStyle name="40% - Accent6 2 4 4" xfId="1690" xr:uid="{00000000-0005-0000-0000-000070090000}"/>
    <cellStyle name="40% - Accent6 2 4_Inputs" xfId="3909" xr:uid="{00000000-0005-0000-0000-000071090000}"/>
    <cellStyle name="40% - Accent6 2 5" xfId="1691" xr:uid="{00000000-0005-0000-0000-000072090000}"/>
    <cellStyle name="40% - Accent6 2 5 2" xfId="1692" xr:uid="{00000000-0005-0000-0000-000073090000}"/>
    <cellStyle name="40% - Accent6 2 5 2 2" xfId="1693" xr:uid="{00000000-0005-0000-0000-000074090000}"/>
    <cellStyle name="40% - Accent6 2 5 2_Inputs" xfId="3913" xr:uid="{00000000-0005-0000-0000-000075090000}"/>
    <cellStyle name="40% - Accent6 2 5 3" xfId="1694" xr:uid="{00000000-0005-0000-0000-000076090000}"/>
    <cellStyle name="40% - Accent6 2 5 3 2" xfId="1695" xr:uid="{00000000-0005-0000-0000-000077090000}"/>
    <cellStyle name="40% - Accent6 2 5 3_Inputs" xfId="3914" xr:uid="{00000000-0005-0000-0000-000078090000}"/>
    <cellStyle name="40% - Accent6 2 5 4" xfId="1696" xr:uid="{00000000-0005-0000-0000-000079090000}"/>
    <cellStyle name="40% - Accent6 2 5_Inputs" xfId="3912" xr:uid="{00000000-0005-0000-0000-00007A090000}"/>
    <cellStyle name="40% - Accent6 2 6" xfId="1697" xr:uid="{00000000-0005-0000-0000-00007B090000}"/>
    <cellStyle name="40% - Accent6 2 6 2" xfId="1698" xr:uid="{00000000-0005-0000-0000-00007C090000}"/>
    <cellStyle name="40% - Accent6 2 6_Inputs" xfId="3915" xr:uid="{00000000-0005-0000-0000-00007D090000}"/>
    <cellStyle name="40% - Accent6 2 7" xfId="1699" xr:uid="{00000000-0005-0000-0000-00007E090000}"/>
    <cellStyle name="40% - Accent6 2 7 2" xfId="1700" xr:uid="{00000000-0005-0000-0000-00007F090000}"/>
    <cellStyle name="40% - Accent6 2 7_Inputs" xfId="3916" xr:uid="{00000000-0005-0000-0000-000080090000}"/>
    <cellStyle name="40% - Accent6 2 8" xfId="1701" xr:uid="{00000000-0005-0000-0000-000081090000}"/>
    <cellStyle name="40% - Accent6 2_Bdx 1517" xfId="1702" xr:uid="{00000000-0005-0000-0000-000082090000}"/>
    <cellStyle name="40% - Accent6 3" xfId="1703" xr:uid="{00000000-0005-0000-0000-000083090000}"/>
    <cellStyle name="40% - Accent6 3 2" xfId="1704" xr:uid="{00000000-0005-0000-0000-000084090000}"/>
    <cellStyle name="40% - Accent6 3 2 2" xfId="1705" xr:uid="{00000000-0005-0000-0000-000085090000}"/>
    <cellStyle name="40% - Accent6 3 2 2 2" xfId="1706" xr:uid="{00000000-0005-0000-0000-000086090000}"/>
    <cellStyle name="40% - Accent6 3 2 2 2 2" xfId="1707" xr:uid="{00000000-0005-0000-0000-000087090000}"/>
    <cellStyle name="40% - Accent6 3 2 2 2_Inputs" xfId="3918" xr:uid="{00000000-0005-0000-0000-000088090000}"/>
    <cellStyle name="40% - Accent6 3 2 2 3" xfId="1708" xr:uid="{00000000-0005-0000-0000-000089090000}"/>
    <cellStyle name="40% - Accent6 3 2 2 3 2" xfId="1709" xr:uid="{00000000-0005-0000-0000-00008A090000}"/>
    <cellStyle name="40% - Accent6 3 2 2 3_Inputs" xfId="3919" xr:uid="{00000000-0005-0000-0000-00008B090000}"/>
    <cellStyle name="40% - Accent6 3 2 2 4" xfId="1710" xr:uid="{00000000-0005-0000-0000-00008C090000}"/>
    <cellStyle name="40% - Accent6 3 2 2_Inputs" xfId="3917" xr:uid="{00000000-0005-0000-0000-00008D090000}"/>
    <cellStyle name="40% - Accent6 3 2 3" xfId="1711" xr:uid="{00000000-0005-0000-0000-00008E090000}"/>
    <cellStyle name="40% - Accent6 3 2 3 2" xfId="1712" xr:uid="{00000000-0005-0000-0000-00008F090000}"/>
    <cellStyle name="40% - Accent6 3 2 3 2 2" xfId="1713" xr:uid="{00000000-0005-0000-0000-000090090000}"/>
    <cellStyle name="40% - Accent6 3 2 3 2_Inputs" xfId="3921" xr:uid="{00000000-0005-0000-0000-000091090000}"/>
    <cellStyle name="40% - Accent6 3 2 3 3" xfId="1714" xr:uid="{00000000-0005-0000-0000-000092090000}"/>
    <cellStyle name="40% - Accent6 3 2 3 3 2" xfId="1715" xr:uid="{00000000-0005-0000-0000-000093090000}"/>
    <cellStyle name="40% - Accent6 3 2 3 3_Inputs" xfId="3922" xr:uid="{00000000-0005-0000-0000-000094090000}"/>
    <cellStyle name="40% - Accent6 3 2 3 4" xfId="1716" xr:uid="{00000000-0005-0000-0000-000095090000}"/>
    <cellStyle name="40% - Accent6 3 2 3_Inputs" xfId="3920" xr:uid="{00000000-0005-0000-0000-000096090000}"/>
    <cellStyle name="40% - Accent6 3 2 4" xfId="1717" xr:uid="{00000000-0005-0000-0000-000097090000}"/>
    <cellStyle name="40% - Accent6 3 2 4 2" xfId="1718" xr:uid="{00000000-0005-0000-0000-000098090000}"/>
    <cellStyle name="40% - Accent6 3 2 4_Inputs" xfId="3923" xr:uid="{00000000-0005-0000-0000-000099090000}"/>
    <cellStyle name="40% - Accent6 3 2 5" xfId="1719" xr:uid="{00000000-0005-0000-0000-00009A090000}"/>
    <cellStyle name="40% - Accent6 3 2 5 2" xfId="1720" xr:uid="{00000000-0005-0000-0000-00009B090000}"/>
    <cellStyle name="40% - Accent6 3 2 5_Inputs" xfId="3924" xr:uid="{00000000-0005-0000-0000-00009C090000}"/>
    <cellStyle name="40% - Accent6 3 2 6" xfId="1721" xr:uid="{00000000-0005-0000-0000-00009D090000}"/>
    <cellStyle name="40% - Accent6 3 2_Bdx 1517" xfId="1722" xr:uid="{00000000-0005-0000-0000-00009E090000}"/>
    <cellStyle name="40% - Accent6 3 3" xfId="1723" xr:uid="{00000000-0005-0000-0000-00009F090000}"/>
    <cellStyle name="40% - Accent6 3 3 2" xfId="1724" xr:uid="{00000000-0005-0000-0000-0000A0090000}"/>
    <cellStyle name="40% - Accent6 3 3 2 2" xfId="1725" xr:uid="{00000000-0005-0000-0000-0000A1090000}"/>
    <cellStyle name="40% - Accent6 3 3 2_Inputs" xfId="3926" xr:uid="{00000000-0005-0000-0000-0000A2090000}"/>
    <cellStyle name="40% - Accent6 3 3 3" xfId="1726" xr:uid="{00000000-0005-0000-0000-0000A3090000}"/>
    <cellStyle name="40% - Accent6 3 3 3 2" xfId="1727" xr:uid="{00000000-0005-0000-0000-0000A4090000}"/>
    <cellStyle name="40% - Accent6 3 3 3_Inputs" xfId="3927" xr:uid="{00000000-0005-0000-0000-0000A5090000}"/>
    <cellStyle name="40% - Accent6 3 3 4" xfId="1728" xr:uid="{00000000-0005-0000-0000-0000A6090000}"/>
    <cellStyle name="40% - Accent6 3 3_Inputs" xfId="3925" xr:uid="{00000000-0005-0000-0000-0000A7090000}"/>
    <cellStyle name="40% - Accent6 3 4" xfId="1729" xr:uid="{00000000-0005-0000-0000-0000A8090000}"/>
    <cellStyle name="40% - Accent6 3 4 2" xfId="1730" xr:uid="{00000000-0005-0000-0000-0000A9090000}"/>
    <cellStyle name="40% - Accent6 3 4 2 2" xfId="1731" xr:uid="{00000000-0005-0000-0000-0000AA090000}"/>
    <cellStyle name="40% - Accent6 3 4 2_Inputs" xfId="3929" xr:uid="{00000000-0005-0000-0000-0000AB090000}"/>
    <cellStyle name="40% - Accent6 3 4 3" xfId="1732" xr:uid="{00000000-0005-0000-0000-0000AC090000}"/>
    <cellStyle name="40% - Accent6 3 4 3 2" xfId="1733" xr:uid="{00000000-0005-0000-0000-0000AD090000}"/>
    <cellStyle name="40% - Accent6 3 4 3_Inputs" xfId="3930" xr:uid="{00000000-0005-0000-0000-0000AE090000}"/>
    <cellStyle name="40% - Accent6 3 4 4" xfId="1734" xr:uid="{00000000-0005-0000-0000-0000AF090000}"/>
    <cellStyle name="40% - Accent6 3 4_Inputs" xfId="3928" xr:uid="{00000000-0005-0000-0000-0000B0090000}"/>
    <cellStyle name="40% - Accent6 3 5" xfId="1735" xr:uid="{00000000-0005-0000-0000-0000B1090000}"/>
    <cellStyle name="40% - Accent6 3 5 2" xfId="1736" xr:uid="{00000000-0005-0000-0000-0000B2090000}"/>
    <cellStyle name="40% - Accent6 3 5_Inputs" xfId="3931" xr:uid="{00000000-0005-0000-0000-0000B3090000}"/>
    <cellStyle name="40% - Accent6 3 6" xfId="1737" xr:uid="{00000000-0005-0000-0000-0000B4090000}"/>
    <cellStyle name="40% - Accent6 3 6 2" xfId="1738" xr:uid="{00000000-0005-0000-0000-0000B5090000}"/>
    <cellStyle name="40% - Accent6 3 6_Inputs" xfId="3932" xr:uid="{00000000-0005-0000-0000-0000B6090000}"/>
    <cellStyle name="40% - Accent6 3 7" xfId="1739" xr:uid="{00000000-0005-0000-0000-0000B7090000}"/>
    <cellStyle name="40% - Accent6 3_Bdx 1517" xfId="1740" xr:uid="{00000000-0005-0000-0000-0000B8090000}"/>
    <cellStyle name="40% - Accent6 4" xfId="1741" xr:uid="{00000000-0005-0000-0000-0000B9090000}"/>
    <cellStyle name="40% - Accent6 4 2" xfId="1742" xr:uid="{00000000-0005-0000-0000-0000BA090000}"/>
    <cellStyle name="40% - Accent6 4 2 2" xfId="1743" xr:uid="{00000000-0005-0000-0000-0000BB090000}"/>
    <cellStyle name="40% - Accent6 4 2 2 2" xfId="1744" xr:uid="{00000000-0005-0000-0000-0000BC090000}"/>
    <cellStyle name="40% - Accent6 4 2 2_Inputs" xfId="3934" xr:uid="{00000000-0005-0000-0000-0000BD090000}"/>
    <cellStyle name="40% - Accent6 4 2 3" xfId="1745" xr:uid="{00000000-0005-0000-0000-0000BE090000}"/>
    <cellStyle name="40% - Accent6 4 2 3 2" xfId="1746" xr:uid="{00000000-0005-0000-0000-0000BF090000}"/>
    <cellStyle name="40% - Accent6 4 2 3_Inputs" xfId="3935" xr:uid="{00000000-0005-0000-0000-0000C0090000}"/>
    <cellStyle name="40% - Accent6 4 2 4" xfId="1747" xr:uid="{00000000-0005-0000-0000-0000C1090000}"/>
    <cellStyle name="40% - Accent6 4 2_Inputs" xfId="3933" xr:uid="{00000000-0005-0000-0000-0000C2090000}"/>
    <cellStyle name="40% - Accent6 4 3" xfId="1748" xr:uid="{00000000-0005-0000-0000-0000C3090000}"/>
    <cellStyle name="40% - Accent6 4 3 2" xfId="1749" xr:uid="{00000000-0005-0000-0000-0000C4090000}"/>
    <cellStyle name="40% - Accent6 4 3 2 2" xfId="1750" xr:uid="{00000000-0005-0000-0000-0000C5090000}"/>
    <cellStyle name="40% - Accent6 4 3 2_Inputs" xfId="3937" xr:uid="{00000000-0005-0000-0000-0000C6090000}"/>
    <cellStyle name="40% - Accent6 4 3 3" xfId="1751" xr:uid="{00000000-0005-0000-0000-0000C7090000}"/>
    <cellStyle name="40% - Accent6 4 3 3 2" xfId="1752" xr:uid="{00000000-0005-0000-0000-0000C8090000}"/>
    <cellStyle name="40% - Accent6 4 3 3_Inputs" xfId="3938" xr:uid="{00000000-0005-0000-0000-0000C9090000}"/>
    <cellStyle name="40% - Accent6 4 3 4" xfId="1753" xr:uid="{00000000-0005-0000-0000-0000CA090000}"/>
    <cellStyle name="40% - Accent6 4 3_Inputs" xfId="3936" xr:uid="{00000000-0005-0000-0000-0000CB090000}"/>
    <cellStyle name="40% - Accent6 4 4" xfId="1754" xr:uid="{00000000-0005-0000-0000-0000CC090000}"/>
    <cellStyle name="40% - Accent6 4 4 2" xfId="1755" xr:uid="{00000000-0005-0000-0000-0000CD090000}"/>
    <cellStyle name="40% - Accent6 4 4_Inputs" xfId="3939" xr:uid="{00000000-0005-0000-0000-0000CE090000}"/>
    <cellStyle name="40% - Accent6 4 5" xfId="1756" xr:uid="{00000000-0005-0000-0000-0000CF090000}"/>
    <cellStyle name="40% - Accent6 4 5 2" xfId="1757" xr:uid="{00000000-0005-0000-0000-0000D0090000}"/>
    <cellStyle name="40% - Accent6 4 5_Inputs" xfId="3940" xr:uid="{00000000-0005-0000-0000-0000D1090000}"/>
    <cellStyle name="40% - Accent6 4 6" xfId="1758" xr:uid="{00000000-0005-0000-0000-0000D2090000}"/>
    <cellStyle name="40% - Accent6 4_Bdx 1517" xfId="1759" xr:uid="{00000000-0005-0000-0000-0000D3090000}"/>
    <cellStyle name="40% - Accent6 5" xfId="1760" xr:uid="{00000000-0005-0000-0000-0000D4090000}"/>
    <cellStyle name="40% - Accent6 5 2" xfId="1761" xr:uid="{00000000-0005-0000-0000-0000D5090000}"/>
    <cellStyle name="40% - Accent6 5 2 2" xfId="1762" xr:uid="{00000000-0005-0000-0000-0000D6090000}"/>
    <cellStyle name="40% - Accent6 5 2_Inputs" xfId="3942" xr:uid="{00000000-0005-0000-0000-0000D7090000}"/>
    <cellStyle name="40% - Accent6 5 3" xfId="1763" xr:uid="{00000000-0005-0000-0000-0000D8090000}"/>
    <cellStyle name="40% - Accent6 5 3 2" xfId="1764" xr:uid="{00000000-0005-0000-0000-0000D9090000}"/>
    <cellStyle name="40% - Accent6 5 3_Inputs" xfId="3943" xr:uid="{00000000-0005-0000-0000-0000DA090000}"/>
    <cellStyle name="40% - Accent6 5 4" xfId="1765" xr:uid="{00000000-0005-0000-0000-0000DB090000}"/>
    <cellStyle name="40% - Accent6 5_Inputs" xfId="3941" xr:uid="{00000000-0005-0000-0000-0000DC090000}"/>
    <cellStyle name="40% - Accent6 6" xfId="1766" xr:uid="{00000000-0005-0000-0000-0000DD090000}"/>
    <cellStyle name="40% - Accent6 6 2" xfId="1767" xr:uid="{00000000-0005-0000-0000-0000DE090000}"/>
    <cellStyle name="40% - Accent6 6_Inputs" xfId="3944" xr:uid="{00000000-0005-0000-0000-0000DF090000}"/>
    <cellStyle name="40% - Accent6 7" xfId="1768" xr:uid="{00000000-0005-0000-0000-0000E0090000}"/>
    <cellStyle name="40% - Accent6 7 2" xfId="1769" xr:uid="{00000000-0005-0000-0000-0000E1090000}"/>
    <cellStyle name="40% - Accent6 7_Inputs" xfId="3945" xr:uid="{00000000-0005-0000-0000-0000E2090000}"/>
    <cellStyle name="40% - Accent6 8" xfId="1770" xr:uid="{00000000-0005-0000-0000-0000E3090000}"/>
    <cellStyle name="60 % - Accent1 2" xfId="1771" xr:uid="{00000000-0005-0000-0000-0000E4090000}"/>
    <cellStyle name="60 % - Accent2 2" xfId="1772" xr:uid="{00000000-0005-0000-0000-0000E5090000}"/>
    <cellStyle name="60 % - Accent3 2" xfId="1773" xr:uid="{00000000-0005-0000-0000-0000E6090000}"/>
    <cellStyle name="60 % - Accent4 2" xfId="1774" xr:uid="{00000000-0005-0000-0000-0000E7090000}"/>
    <cellStyle name="60 % - Accent5 2" xfId="1775" xr:uid="{00000000-0005-0000-0000-0000E8090000}"/>
    <cellStyle name="60 % - Accent6 2" xfId="1776" xr:uid="{00000000-0005-0000-0000-0000E9090000}"/>
    <cellStyle name="Avertissement 2" xfId="1777" xr:uid="{00000000-0005-0000-0000-0000EA090000}"/>
    <cellStyle name="Calcul 2" xfId="1778" xr:uid="{00000000-0005-0000-0000-0000EB090000}"/>
    <cellStyle name="Cellule liée 2" xfId="1779" xr:uid="{00000000-0005-0000-0000-0000EC090000}"/>
    <cellStyle name="Comma 10" xfId="1780" xr:uid="{00000000-0005-0000-0000-0000ED090000}"/>
    <cellStyle name="Comma 11" xfId="1781" xr:uid="{00000000-0005-0000-0000-0000EE090000}"/>
    <cellStyle name="Comma 2" xfId="1782" xr:uid="{00000000-0005-0000-0000-0000EF090000}"/>
    <cellStyle name="Comma 2 2" xfId="1783" xr:uid="{00000000-0005-0000-0000-0000F0090000}"/>
    <cellStyle name="Comma 2 2 2" xfId="1784" xr:uid="{00000000-0005-0000-0000-0000F1090000}"/>
    <cellStyle name="Comma 2 2 2 2" xfId="1785" xr:uid="{00000000-0005-0000-0000-0000F2090000}"/>
    <cellStyle name="Comma 2 2 3" xfId="1786" xr:uid="{00000000-0005-0000-0000-0000F3090000}"/>
    <cellStyle name="Comma 2 2 3 2" xfId="1787" xr:uid="{00000000-0005-0000-0000-0000F4090000}"/>
    <cellStyle name="Comma 2 2 4" xfId="1788" xr:uid="{00000000-0005-0000-0000-0000F5090000}"/>
    <cellStyle name="Comma 2 3" xfId="1789" xr:uid="{00000000-0005-0000-0000-0000F6090000}"/>
    <cellStyle name="Comma 2 3 2" xfId="1790" xr:uid="{00000000-0005-0000-0000-0000F7090000}"/>
    <cellStyle name="Comma 2 3 2 2" xfId="1791" xr:uid="{00000000-0005-0000-0000-0000F8090000}"/>
    <cellStyle name="Comma 2 3 3" xfId="1792" xr:uid="{00000000-0005-0000-0000-0000F9090000}"/>
    <cellStyle name="Comma 2 3 3 2" xfId="1793" xr:uid="{00000000-0005-0000-0000-0000FA090000}"/>
    <cellStyle name="Comma 2 3 4" xfId="1794" xr:uid="{00000000-0005-0000-0000-0000FB090000}"/>
    <cellStyle name="Comma 2 4" xfId="1795" xr:uid="{00000000-0005-0000-0000-0000FC090000}"/>
    <cellStyle name="Comma 2 4 2" xfId="1796" xr:uid="{00000000-0005-0000-0000-0000FD090000}"/>
    <cellStyle name="Comma 2 4 2 2" xfId="1797" xr:uid="{00000000-0005-0000-0000-0000FE090000}"/>
    <cellStyle name="Comma 2 4 3" xfId="1798" xr:uid="{00000000-0005-0000-0000-0000FF090000}"/>
    <cellStyle name="Comma 2 4 3 2" xfId="1799" xr:uid="{00000000-0005-0000-0000-0000000A0000}"/>
    <cellStyle name="Comma 2 4 4" xfId="1800" xr:uid="{00000000-0005-0000-0000-0000010A0000}"/>
    <cellStyle name="Comma 2 5" xfId="1801" xr:uid="{00000000-0005-0000-0000-0000020A0000}"/>
    <cellStyle name="Comma 2 5 2" xfId="1802" xr:uid="{00000000-0005-0000-0000-0000030A0000}"/>
    <cellStyle name="Comma 2 6" xfId="1803" xr:uid="{00000000-0005-0000-0000-0000040A0000}"/>
    <cellStyle name="Comma 2 6 2" xfId="1804" xr:uid="{00000000-0005-0000-0000-0000050A0000}"/>
    <cellStyle name="Comma 2 7" xfId="1805" xr:uid="{00000000-0005-0000-0000-0000060A0000}"/>
    <cellStyle name="Comma 2_Sheet4" xfId="1806" xr:uid="{00000000-0005-0000-0000-0000070A0000}"/>
    <cellStyle name="Comma 3" xfId="1807" xr:uid="{00000000-0005-0000-0000-0000080A0000}"/>
    <cellStyle name="Comma 3 2" xfId="1808" xr:uid="{00000000-0005-0000-0000-0000090A0000}"/>
    <cellStyle name="Comma 3 2 2" xfId="1809" xr:uid="{00000000-0005-0000-0000-00000A0A0000}"/>
    <cellStyle name="Comma 3 2 2 2" xfId="1810" xr:uid="{00000000-0005-0000-0000-00000B0A0000}"/>
    <cellStyle name="Comma 3 2 3" xfId="1811" xr:uid="{00000000-0005-0000-0000-00000C0A0000}"/>
    <cellStyle name="Comma 3 2 3 2" xfId="1812" xr:uid="{00000000-0005-0000-0000-00000D0A0000}"/>
    <cellStyle name="Comma 3 2 4" xfId="1813" xr:uid="{00000000-0005-0000-0000-00000E0A0000}"/>
    <cellStyle name="Comma 3 3" xfId="1814" xr:uid="{00000000-0005-0000-0000-00000F0A0000}"/>
    <cellStyle name="Comma 3 3 2" xfId="1815" xr:uid="{00000000-0005-0000-0000-0000100A0000}"/>
    <cellStyle name="Comma 3 3 2 2" xfId="1816" xr:uid="{00000000-0005-0000-0000-0000110A0000}"/>
    <cellStyle name="Comma 3 3 3" xfId="1817" xr:uid="{00000000-0005-0000-0000-0000120A0000}"/>
    <cellStyle name="Comma 3 3 3 2" xfId="1818" xr:uid="{00000000-0005-0000-0000-0000130A0000}"/>
    <cellStyle name="Comma 3 3 4" xfId="1819" xr:uid="{00000000-0005-0000-0000-0000140A0000}"/>
    <cellStyle name="Comma 3 4" xfId="1820" xr:uid="{00000000-0005-0000-0000-0000150A0000}"/>
    <cellStyle name="Comma 3 4 2" xfId="1821" xr:uid="{00000000-0005-0000-0000-0000160A0000}"/>
    <cellStyle name="Comma 3 4 2 2" xfId="1822" xr:uid="{00000000-0005-0000-0000-0000170A0000}"/>
    <cellStyle name="Comma 3 4 3" xfId="1823" xr:uid="{00000000-0005-0000-0000-0000180A0000}"/>
    <cellStyle name="Comma 3 4 3 2" xfId="1824" xr:uid="{00000000-0005-0000-0000-0000190A0000}"/>
    <cellStyle name="Comma 3 4 4" xfId="1825" xr:uid="{00000000-0005-0000-0000-00001A0A0000}"/>
    <cellStyle name="Comma 3 5" xfId="1826" xr:uid="{00000000-0005-0000-0000-00001B0A0000}"/>
    <cellStyle name="Comma 3 5 2" xfId="1827" xr:uid="{00000000-0005-0000-0000-00001C0A0000}"/>
    <cellStyle name="Comma 3 6" xfId="1828" xr:uid="{00000000-0005-0000-0000-00001D0A0000}"/>
    <cellStyle name="Comma 3 6 2" xfId="1829" xr:uid="{00000000-0005-0000-0000-00001E0A0000}"/>
    <cellStyle name="Comma 3 7" xfId="1830" xr:uid="{00000000-0005-0000-0000-00001F0A0000}"/>
    <cellStyle name="Comma 3 8" xfId="1831" xr:uid="{00000000-0005-0000-0000-0000200A0000}"/>
    <cellStyle name="Comma 4" xfId="1832" xr:uid="{00000000-0005-0000-0000-0000210A0000}"/>
    <cellStyle name="Comma 4 2" xfId="1833" xr:uid="{00000000-0005-0000-0000-0000220A0000}"/>
    <cellStyle name="Comma 4 3" xfId="1834" xr:uid="{00000000-0005-0000-0000-0000230A0000}"/>
    <cellStyle name="Comma 4 4" xfId="1835" xr:uid="{00000000-0005-0000-0000-0000240A0000}"/>
    <cellStyle name="Comma 4 5" xfId="1836" xr:uid="{00000000-0005-0000-0000-0000250A0000}"/>
    <cellStyle name="Comma 5" xfId="1837" xr:uid="{00000000-0005-0000-0000-0000260A0000}"/>
    <cellStyle name="Comma 6" xfId="1838" xr:uid="{00000000-0005-0000-0000-0000270A0000}"/>
    <cellStyle name="Comma 7" xfId="1839" xr:uid="{00000000-0005-0000-0000-0000280A0000}"/>
    <cellStyle name="Comma 7 2" xfId="1840" xr:uid="{00000000-0005-0000-0000-0000290A0000}"/>
    <cellStyle name="Comma 7 2 2" xfId="1841" xr:uid="{00000000-0005-0000-0000-00002A0A0000}"/>
    <cellStyle name="Comma 7 3" xfId="1842" xr:uid="{00000000-0005-0000-0000-00002B0A0000}"/>
    <cellStyle name="Comma 8" xfId="1843" xr:uid="{00000000-0005-0000-0000-00002C0A0000}"/>
    <cellStyle name="Comma 8 2" xfId="1844" xr:uid="{00000000-0005-0000-0000-00002D0A0000}"/>
    <cellStyle name="Comma 8 2 2" xfId="1845" xr:uid="{00000000-0005-0000-0000-00002E0A0000}"/>
    <cellStyle name="Comma 8 3" xfId="1846" xr:uid="{00000000-0005-0000-0000-00002F0A0000}"/>
    <cellStyle name="Comma 8 3 2" xfId="1847" xr:uid="{00000000-0005-0000-0000-0000300A0000}"/>
    <cellStyle name="Comma 9" xfId="1848" xr:uid="{00000000-0005-0000-0000-0000310A0000}"/>
    <cellStyle name="Comma 9 2" xfId="1849" xr:uid="{00000000-0005-0000-0000-0000320A0000}"/>
    <cellStyle name="Commentaire 2" xfId="1850" xr:uid="{00000000-0005-0000-0000-0000330A0000}"/>
    <cellStyle name="Commentaire 2 2" xfId="1851" xr:uid="{00000000-0005-0000-0000-0000340A0000}"/>
    <cellStyle name="Commentaire 2 2 2" xfId="1852" xr:uid="{00000000-0005-0000-0000-0000350A0000}"/>
    <cellStyle name="Commentaire 2 2 2 2" xfId="1853" xr:uid="{00000000-0005-0000-0000-0000360A0000}"/>
    <cellStyle name="Commentaire 2 2 2_Inputs" xfId="3948" xr:uid="{00000000-0005-0000-0000-0000370A0000}"/>
    <cellStyle name="Commentaire 2 2 3" xfId="1854" xr:uid="{00000000-0005-0000-0000-0000380A0000}"/>
    <cellStyle name="Commentaire 2 2 3 2" xfId="1855" xr:uid="{00000000-0005-0000-0000-0000390A0000}"/>
    <cellStyle name="Commentaire 2 2 3_Inputs" xfId="3949" xr:uid="{00000000-0005-0000-0000-00003A0A0000}"/>
    <cellStyle name="Commentaire 2 2 4" xfId="1856" xr:uid="{00000000-0005-0000-0000-00003B0A0000}"/>
    <cellStyle name="Commentaire 2 2_Inputs" xfId="3947" xr:uid="{00000000-0005-0000-0000-00003C0A0000}"/>
    <cellStyle name="Commentaire 2 3" xfId="1857" xr:uid="{00000000-0005-0000-0000-00003D0A0000}"/>
    <cellStyle name="Commentaire 2 3 2" xfId="1858" xr:uid="{00000000-0005-0000-0000-00003E0A0000}"/>
    <cellStyle name="Commentaire 2 3_Inputs" xfId="3950" xr:uid="{00000000-0005-0000-0000-00003F0A0000}"/>
    <cellStyle name="Commentaire 2 4" xfId="1859" xr:uid="{00000000-0005-0000-0000-0000400A0000}"/>
    <cellStyle name="Commentaire 2 4 2" xfId="1860" xr:uid="{00000000-0005-0000-0000-0000410A0000}"/>
    <cellStyle name="Commentaire 2 4_Inputs" xfId="3951" xr:uid="{00000000-0005-0000-0000-0000420A0000}"/>
    <cellStyle name="Commentaire 2 5" xfId="1861" xr:uid="{00000000-0005-0000-0000-0000430A0000}"/>
    <cellStyle name="Commentaire 2 6" xfId="1862" xr:uid="{00000000-0005-0000-0000-0000440A0000}"/>
    <cellStyle name="Commentaire 2_Inputs" xfId="3946" xr:uid="{00000000-0005-0000-0000-0000450A0000}"/>
    <cellStyle name="Commentaire 3" xfId="1863" xr:uid="{00000000-0005-0000-0000-0000460A0000}"/>
    <cellStyle name="Commentaire 3 2" xfId="1864" xr:uid="{00000000-0005-0000-0000-0000470A0000}"/>
    <cellStyle name="Commentaire 3 2 2" xfId="1865" xr:uid="{00000000-0005-0000-0000-0000480A0000}"/>
    <cellStyle name="Commentaire 3 2 2 2" xfId="1866" xr:uid="{00000000-0005-0000-0000-0000490A0000}"/>
    <cellStyle name="Commentaire 3 2 2_Inputs" xfId="3954" xr:uid="{00000000-0005-0000-0000-00004A0A0000}"/>
    <cellStyle name="Commentaire 3 2 3" xfId="1867" xr:uid="{00000000-0005-0000-0000-00004B0A0000}"/>
    <cellStyle name="Commentaire 3 2 3 2" xfId="1868" xr:uid="{00000000-0005-0000-0000-00004C0A0000}"/>
    <cellStyle name="Commentaire 3 2 3_Inputs" xfId="3955" xr:uid="{00000000-0005-0000-0000-00004D0A0000}"/>
    <cellStyle name="Commentaire 3 2 4" xfId="1869" xr:uid="{00000000-0005-0000-0000-00004E0A0000}"/>
    <cellStyle name="Commentaire 3 2_Inputs" xfId="3953" xr:uid="{00000000-0005-0000-0000-00004F0A0000}"/>
    <cellStyle name="Commentaire 3 3" xfId="1870" xr:uid="{00000000-0005-0000-0000-0000500A0000}"/>
    <cellStyle name="Commentaire 3 3 2" xfId="1871" xr:uid="{00000000-0005-0000-0000-0000510A0000}"/>
    <cellStyle name="Commentaire 3 3_Inputs" xfId="3956" xr:uid="{00000000-0005-0000-0000-0000520A0000}"/>
    <cellStyle name="Commentaire 3 4" xfId="1872" xr:uid="{00000000-0005-0000-0000-0000530A0000}"/>
    <cellStyle name="Commentaire 3 4 2" xfId="1873" xr:uid="{00000000-0005-0000-0000-0000540A0000}"/>
    <cellStyle name="Commentaire 3 4_Inputs" xfId="3957" xr:uid="{00000000-0005-0000-0000-0000550A0000}"/>
    <cellStyle name="Commentaire 3 5" xfId="1874" xr:uid="{00000000-0005-0000-0000-0000560A0000}"/>
    <cellStyle name="Commentaire 3_Inputs" xfId="3952" xr:uid="{00000000-0005-0000-0000-0000570A0000}"/>
    <cellStyle name="Currency" xfId="1" builtinId="4"/>
    <cellStyle name="Currency 10" xfId="1875" xr:uid="{00000000-0005-0000-0000-0000590A0000}"/>
    <cellStyle name="Currency 10 2" xfId="1876" xr:uid="{00000000-0005-0000-0000-00005A0A0000}"/>
    <cellStyle name="Currency 10 2 2" xfId="1877" xr:uid="{00000000-0005-0000-0000-00005B0A0000}"/>
    <cellStyle name="Currency 10 3" xfId="1878" xr:uid="{00000000-0005-0000-0000-00005C0A0000}"/>
    <cellStyle name="Currency 10 3 2" xfId="1879" xr:uid="{00000000-0005-0000-0000-00005D0A0000}"/>
    <cellStyle name="Currency 10 4" xfId="1880" xr:uid="{00000000-0005-0000-0000-00005E0A0000}"/>
    <cellStyle name="Currency 11" xfId="1881" xr:uid="{00000000-0005-0000-0000-00005F0A0000}"/>
    <cellStyle name="Currency 11 2" xfId="1882" xr:uid="{00000000-0005-0000-0000-0000600A0000}"/>
    <cellStyle name="Currency 11 2 2" xfId="1883" xr:uid="{00000000-0005-0000-0000-0000610A0000}"/>
    <cellStyle name="Currency 11 3" xfId="1884" xr:uid="{00000000-0005-0000-0000-0000620A0000}"/>
    <cellStyle name="Currency 11 3 2" xfId="1885" xr:uid="{00000000-0005-0000-0000-0000630A0000}"/>
    <cellStyle name="Currency 11 4" xfId="1886" xr:uid="{00000000-0005-0000-0000-0000640A0000}"/>
    <cellStyle name="Currency 12" xfId="1887" xr:uid="{00000000-0005-0000-0000-0000650A0000}"/>
    <cellStyle name="Currency 13" xfId="1888" xr:uid="{00000000-0005-0000-0000-0000660A0000}"/>
    <cellStyle name="Currency 13 2" xfId="1889" xr:uid="{00000000-0005-0000-0000-0000670A0000}"/>
    <cellStyle name="Currency 13 2 2" xfId="1890" xr:uid="{00000000-0005-0000-0000-0000680A0000}"/>
    <cellStyle name="Currency 13 3" xfId="1891" xr:uid="{00000000-0005-0000-0000-0000690A0000}"/>
    <cellStyle name="Currency 13 3 2" xfId="1892" xr:uid="{00000000-0005-0000-0000-00006A0A0000}"/>
    <cellStyle name="Currency 13 4" xfId="1893" xr:uid="{00000000-0005-0000-0000-00006B0A0000}"/>
    <cellStyle name="Currency 14" xfId="6" xr:uid="{00000000-0005-0000-0000-00006C0A0000}"/>
    <cellStyle name="Currency 15" xfId="1894" xr:uid="{00000000-0005-0000-0000-00006D0A0000}"/>
    <cellStyle name="Currency 15 2" xfId="1895" xr:uid="{00000000-0005-0000-0000-00006E0A0000}"/>
    <cellStyle name="Currency 15 2 2" xfId="1896" xr:uid="{00000000-0005-0000-0000-00006F0A0000}"/>
    <cellStyle name="Currency 15 2 3" xfId="1897" xr:uid="{00000000-0005-0000-0000-0000700A0000}"/>
    <cellStyle name="Currency 15 3" xfId="1898" xr:uid="{00000000-0005-0000-0000-0000710A0000}"/>
    <cellStyle name="Currency 15 4" xfId="1899" xr:uid="{00000000-0005-0000-0000-0000720A0000}"/>
    <cellStyle name="Currency 16" xfId="1900" xr:uid="{00000000-0005-0000-0000-0000730A0000}"/>
    <cellStyle name="Currency 16 2" xfId="1901" xr:uid="{00000000-0005-0000-0000-0000740A0000}"/>
    <cellStyle name="Currency 16 2 2" xfId="1902" xr:uid="{00000000-0005-0000-0000-0000750A0000}"/>
    <cellStyle name="Currency 16 3" xfId="1903" xr:uid="{00000000-0005-0000-0000-0000760A0000}"/>
    <cellStyle name="Currency 16 4" xfId="1904" xr:uid="{00000000-0005-0000-0000-0000770A0000}"/>
    <cellStyle name="Currency 17" xfId="1905" xr:uid="{00000000-0005-0000-0000-0000780A0000}"/>
    <cellStyle name="Currency 17 2" xfId="1906" xr:uid="{00000000-0005-0000-0000-0000790A0000}"/>
    <cellStyle name="Currency 18" xfId="1907" xr:uid="{00000000-0005-0000-0000-00007A0A0000}"/>
    <cellStyle name="Currency 2" xfId="1908" xr:uid="{00000000-0005-0000-0000-00007B0A0000}"/>
    <cellStyle name="Currency 2 2" xfId="1909" xr:uid="{00000000-0005-0000-0000-00007C0A0000}"/>
    <cellStyle name="Currency 2 2 2" xfId="1910" xr:uid="{00000000-0005-0000-0000-00007D0A0000}"/>
    <cellStyle name="Currency 2 2 2 2" xfId="1911" xr:uid="{00000000-0005-0000-0000-00007E0A0000}"/>
    <cellStyle name="Currency 2 2 2 2 2" xfId="1912" xr:uid="{00000000-0005-0000-0000-00007F0A0000}"/>
    <cellStyle name="Currency 2 2 2 3" xfId="1913" xr:uid="{00000000-0005-0000-0000-0000800A0000}"/>
    <cellStyle name="Currency 2 2 2 3 2" xfId="1914" xr:uid="{00000000-0005-0000-0000-0000810A0000}"/>
    <cellStyle name="Currency 2 2 2 4" xfId="1915" xr:uid="{00000000-0005-0000-0000-0000820A0000}"/>
    <cellStyle name="Currency 2 2 3" xfId="1916" xr:uid="{00000000-0005-0000-0000-0000830A0000}"/>
    <cellStyle name="Currency 2 2 3 2" xfId="1917" xr:uid="{00000000-0005-0000-0000-0000840A0000}"/>
    <cellStyle name="Currency 2 2 3 2 2" xfId="1918" xr:uid="{00000000-0005-0000-0000-0000850A0000}"/>
    <cellStyle name="Currency 2 2 3 3" xfId="1919" xr:uid="{00000000-0005-0000-0000-0000860A0000}"/>
    <cellStyle name="Currency 2 2 3 3 2" xfId="1920" xr:uid="{00000000-0005-0000-0000-0000870A0000}"/>
    <cellStyle name="Currency 2 2 3 4" xfId="1921" xr:uid="{00000000-0005-0000-0000-0000880A0000}"/>
    <cellStyle name="Currency 2 2 4" xfId="1922" xr:uid="{00000000-0005-0000-0000-0000890A0000}"/>
    <cellStyle name="Currency 2 2 4 2" xfId="1923" xr:uid="{00000000-0005-0000-0000-00008A0A0000}"/>
    <cellStyle name="Currency 2 2 5" xfId="1924" xr:uid="{00000000-0005-0000-0000-00008B0A0000}"/>
    <cellStyle name="Currency 2 2 5 2" xfId="1925" xr:uid="{00000000-0005-0000-0000-00008C0A0000}"/>
    <cellStyle name="Currency 2 2 6" xfId="1926" xr:uid="{00000000-0005-0000-0000-00008D0A0000}"/>
    <cellStyle name="Currency 2 2 7" xfId="1927" xr:uid="{00000000-0005-0000-0000-00008E0A0000}"/>
    <cellStyle name="Currency 2 3" xfId="1928" xr:uid="{00000000-0005-0000-0000-00008F0A0000}"/>
    <cellStyle name="Currency 2 3 2" xfId="1929" xr:uid="{00000000-0005-0000-0000-0000900A0000}"/>
    <cellStyle name="Currency 2 3 3" xfId="1930" xr:uid="{00000000-0005-0000-0000-0000910A0000}"/>
    <cellStyle name="Currency 2 3 4" xfId="1931" xr:uid="{00000000-0005-0000-0000-0000920A0000}"/>
    <cellStyle name="Currency 2 3 5" xfId="1932" xr:uid="{00000000-0005-0000-0000-0000930A0000}"/>
    <cellStyle name="Currency 2 4" xfId="1933" xr:uid="{00000000-0005-0000-0000-0000940A0000}"/>
    <cellStyle name="Currency 2 4 2" xfId="1934" xr:uid="{00000000-0005-0000-0000-0000950A0000}"/>
    <cellStyle name="Currency 2 5" xfId="1935" xr:uid="{00000000-0005-0000-0000-0000960A0000}"/>
    <cellStyle name="Currency 2 6" xfId="1936" xr:uid="{00000000-0005-0000-0000-0000970A0000}"/>
    <cellStyle name="Currency 2 7" xfId="1937" xr:uid="{00000000-0005-0000-0000-0000980A0000}"/>
    <cellStyle name="Currency 2_Premium Estimator" xfId="1938" xr:uid="{00000000-0005-0000-0000-0000990A0000}"/>
    <cellStyle name="Currency 3" xfId="1939" xr:uid="{00000000-0005-0000-0000-00009A0A0000}"/>
    <cellStyle name="Currency 3 2" xfId="1940" xr:uid="{00000000-0005-0000-0000-00009B0A0000}"/>
    <cellStyle name="Currency 4" xfId="1941" xr:uid="{00000000-0005-0000-0000-00009C0A0000}"/>
    <cellStyle name="Currency 4 2" xfId="1942" xr:uid="{00000000-0005-0000-0000-00009D0A0000}"/>
    <cellStyle name="Currency 4 2 2" xfId="1943" xr:uid="{00000000-0005-0000-0000-00009E0A0000}"/>
    <cellStyle name="Currency 4 2 2 2" xfId="1944" xr:uid="{00000000-0005-0000-0000-00009F0A0000}"/>
    <cellStyle name="Currency 4 2 3" xfId="1945" xr:uid="{00000000-0005-0000-0000-0000A00A0000}"/>
    <cellStyle name="Currency 4 2 3 2" xfId="1946" xr:uid="{00000000-0005-0000-0000-0000A10A0000}"/>
    <cellStyle name="Currency 4 2 4" xfId="1947" xr:uid="{00000000-0005-0000-0000-0000A20A0000}"/>
    <cellStyle name="Currency 4 3" xfId="1948" xr:uid="{00000000-0005-0000-0000-0000A30A0000}"/>
    <cellStyle name="Currency 4 3 2" xfId="1949" xr:uid="{00000000-0005-0000-0000-0000A40A0000}"/>
    <cellStyle name="Currency 4 3 2 2" xfId="1950" xr:uid="{00000000-0005-0000-0000-0000A50A0000}"/>
    <cellStyle name="Currency 4 3 3" xfId="1951" xr:uid="{00000000-0005-0000-0000-0000A60A0000}"/>
    <cellStyle name="Currency 4 3 3 2" xfId="1952" xr:uid="{00000000-0005-0000-0000-0000A70A0000}"/>
    <cellStyle name="Currency 4 3 4" xfId="1953" xr:uid="{00000000-0005-0000-0000-0000A80A0000}"/>
    <cellStyle name="Currency 4 4" xfId="1954" xr:uid="{00000000-0005-0000-0000-0000A90A0000}"/>
    <cellStyle name="Currency 4 4 2" xfId="1955" xr:uid="{00000000-0005-0000-0000-0000AA0A0000}"/>
    <cellStyle name="Currency 4 4 2 2" xfId="1956" xr:uid="{00000000-0005-0000-0000-0000AB0A0000}"/>
    <cellStyle name="Currency 4 4 3" xfId="1957" xr:uid="{00000000-0005-0000-0000-0000AC0A0000}"/>
    <cellStyle name="Currency 4 4 3 2" xfId="1958" xr:uid="{00000000-0005-0000-0000-0000AD0A0000}"/>
    <cellStyle name="Currency 4 4 4" xfId="1959" xr:uid="{00000000-0005-0000-0000-0000AE0A0000}"/>
    <cellStyle name="Currency 4 5" xfId="1960" xr:uid="{00000000-0005-0000-0000-0000AF0A0000}"/>
    <cellStyle name="Currency 4 6" xfId="1961" xr:uid="{00000000-0005-0000-0000-0000B00A0000}"/>
    <cellStyle name="Currency 4 6 2" xfId="1962" xr:uid="{00000000-0005-0000-0000-0000B10A0000}"/>
    <cellStyle name="Currency 4 7" xfId="1963" xr:uid="{00000000-0005-0000-0000-0000B20A0000}"/>
    <cellStyle name="Currency 4 8" xfId="1964" xr:uid="{00000000-0005-0000-0000-0000B30A0000}"/>
    <cellStyle name="Currency 4_Sheet4" xfId="1965" xr:uid="{00000000-0005-0000-0000-0000B40A0000}"/>
    <cellStyle name="Currency 5" xfId="1966" xr:uid="{00000000-0005-0000-0000-0000B50A0000}"/>
    <cellStyle name="Currency 5 2" xfId="1967" xr:uid="{00000000-0005-0000-0000-0000B60A0000}"/>
    <cellStyle name="Currency 5 2 2" xfId="1968" xr:uid="{00000000-0005-0000-0000-0000B70A0000}"/>
    <cellStyle name="Currency 5 2 2 2" xfId="1969" xr:uid="{00000000-0005-0000-0000-0000B80A0000}"/>
    <cellStyle name="Currency 5 2 2 3" xfId="1970" xr:uid="{00000000-0005-0000-0000-0000B90A0000}"/>
    <cellStyle name="Currency 5 2 3" xfId="1971" xr:uid="{00000000-0005-0000-0000-0000BA0A0000}"/>
    <cellStyle name="Currency 5 2 3 2" xfId="1972" xr:uid="{00000000-0005-0000-0000-0000BB0A0000}"/>
    <cellStyle name="Currency 5 2 4" xfId="1973" xr:uid="{00000000-0005-0000-0000-0000BC0A0000}"/>
    <cellStyle name="Currency 5 2 5" xfId="1974" xr:uid="{00000000-0005-0000-0000-0000BD0A0000}"/>
    <cellStyle name="Currency 5 3" xfId="1975" xr:uid="{00000000-0005-0000-0000-0000BE0A0000}"/>
    <cellStyle name="Currency 5 3 2" xfId="1976" xr:uid="{00000000-0005-0000-0000-0000BF0A0000}"/>
    <cellStyle name="Currency 5 3 2 2" xfId="1977" xr:uid="{00000000-0005-0000-0000-0000C00A0000}"/>
    <cellStyle name="Currency 5 3 3" xfId="1978" xr:uid="{00000000-0005-0000-0000-0000C10A0000}"/>
    <cellStyle name="Currency 5 3 3 2" xfId="1979" xr:uid="{00000000-0005-0000-0000-0000C20A0000}"/>
    <cellStyle name="Currency 5 3 4" xfId="1980" xr:uid="{00000000-0005-0000-0000-0000C30A0000}"/>
    <cellStyle name="Currency 5 3 5" xfId="1981" xr:uid="{00000000-0005-0000-0000-0000C40A0000}"/>
    <cellStyle name="Currency 5 4" xfId="1982" xr:uid="{00000000-0005-0000-0000-0000C50A0000}"/>
    <cellStyle name="Currency 5 4 2" xfId="1983" xr:uid="{00000000-0005-0000-0000-0000C60A0000}"/>
    <cellStyle name="Currency 5 4 2 2" xfId="1984" xr:uid="{00000000-0005-0000-0000-0000C70A0000}"/>
    <cellStyle name="Currency 5 4 3" xfId="1985" xr:uid="{00000000-0005-0000-0000-0000C80A0000}"/>
    <cellStyle name="Currency 5 4 3 2" xfId="1986" xr:uid="{00000000-0005-0000-0000-0000C90A0000}"/>
    <cellStyle name="Currency 5 4 4" xfId="1987" xr:uid="{00000000-0005-0000-0000-0000CA0A0000}"/>
    <cellStyle name="Currency 5 5" xfId="1988" xr:uid="{00000000-0005-0000-0000-0000CB0A0000}"/>
    <cellStyle name="Currency 5 5 2" xfId="1989" xr:uid="{00000000-0005-0000-0000-0000CC0A0000}"/>
    <cellStyle name="Currency 5 6" xfId="1990" xr:uid="{00000000-0005-0000-0000-0000CD0A0000}"/>
    <cellStyle name="Currency 5 6 2" xfId="1991" xr:uid="{00000000-0005-0000-0000-0000CE0A0000}"/>
    <cellStyle name="Currency 5 7" xfId="1992" xr:uid="{00000000-0005-0000-0000-0000CF0A0000}"/>
    <cellStyle name="Currency 5 8" xfId="1993" xr:uid="{00000000-0005-0000-0000-0000D00A0000}"/>
    <cellStyle name="Currency 6" xfId="1994" xr:uid="{00000000-0005-0000-0000-0000D10A0000}"/>
    <cellStyle name="Currency 6 2" xfId="1995" xr:uid="{00000000-0005-0000-0000-0000D20A0000}"/>
    <cellStyle name="Currency 6 2 2" xfId="1996" xr:uid="{00000000-0005-0000-0000-0000D30A0000}"/>
    <cellStyle name="Currency 6 2 3" xfId="1997" xr:uid="{00000000-0005-0000-0000-0000D40A0000}"/>
    <cellStyle name="Currency 6 3" xfId="1998" xr:uid="{00000000-0005-0000-0000-0000D50A0000}"/>
    <cellStyle name="Currency 6 3 2" xfId="1999" xr:uid="{00000000-0005-0000-0000-0000D60A0000}"/>
    <cellStyle name="Currency 6 4" xfId="2000" xr:uid="{00000000-0005-0000-0000-0000D70A0000}"/>
    <cellStyle name="Currency 6 5" xfId="2001" xr:uid="{00000000-0005-0000-0000-0000D80A0000}"/>
    <cellStyle name="Currency 7" xfId="2002" xr:uid="{00000000-0005-0000-0000-0000D90A0000}"/>
    <cellStyle name="Currency 8" xfId="2003" xr:uid="{00000000-0005-0000-0000-0000DA0A0000}"/>
    <cellStyle name="Currency 8 2" xfId="2004" xr:uid="{00000000-0005-0000-0000-0000DB0A0000}"/>
    <cellStyle name="Currency 8 2 2" xfId="2005" xr:uid="{00000000-0005-0000-0000-0000DC0A0000}"/>
    <cellStyle name="Currency 8 3" xfId="2006" xr:uid="{00000000-0005-0000-0000-0000DD0A0000}"/>
    <cellStyle name="Currency 8 3 2" xfId="2007" xr:uid="{00000000-0005-0000-0000-0000DE0A0000}"/>
    <cellStyle name="Currency 8 4" xfId="2008" xr:uid="{00000000-0005-0000-0000-0000DF0A0000}"/>
    <cellStyle name="Currency 9" xfId="2009" xr:uid="{00000000-0005-0000-0000-0000E00A0000}"/>
    <cellStyle name="Currency 9 2" xfId="2010" xr:uid="{00000000-0005-0000-0000-0000E10A0000}"/>
    <cellStyle name="Currency 9 2 2" xfId="2011" xr:uid="{00000000-0005-0000-0000-0000E20A0000}"/>
    <cellStyle name="Currency 9 3" xfId="2012" xr:uid="{00000000-0005-0000-0000-0000E30A0000}"/>
    <cellStyle name="Currency 9 3 2" xfId="2013" xr:uid="{00000000-0005-0000-0000-0000E40A0000}"/>
    <cellStyle name="Currency 9 4" xfId="2014" xr:uid="{00000000-0005-0000-0000-0000E50A0000}"/>
    <cellStyle name="Entrée 2" xfId="2015" xr:uid="{00000000-0005-0000-0000-0000E60A0000}"/>
    <cellStyle name="Euro" xfId="2016" xr:uid="{00000000-0005-0000-0000-0000E70A0000}"/>
    <cellStyle name="Euro 2" xfId="2017" xr:uid="{00000000-0005-0000-0000-0000E80A0000}"/>
    <cellStyle name="Euro 2 2" xfId="2018" xr:uid="{00000000-0005-0000-0000-0000E90A0000}"/>
    <cellStyle name="Euro 2 2 2" xfId="2019" xr:uid="{00000000-0005-0000-0000-0000EA0A0000}"/>
    <cellStyle name="Euro 2 3" xfId="2020" xr:uid="{00000000-0005-0000-0000-0000EB0A0000}"/>
    <cellStyle name="Euro 2 3 2" xfId="2021" xr:uid="{00000000-0005-0000-0000-0000EC0A0000}"/>
    <cellStyle name="Euro 2 4" xfId="2022" xr:uid="{00000000-0005-0000-0000-0000ED0A0000}"/>
    <cellStyle name="Euro 3" xfId="2023" xr:uid="{00000000-0005-0000-0000-0000EE0A0000}"/>
    <cellStyle name="Euro 3 2" xfId="2024" xr:uid="{00000000-0005-0000-0000-0000EF0A0000}"/>
    <cellStyle name="Euro 4" xfId="2025" xr:uid="{00000000-0005-0000-0000-0000F00A0000}"/>
    <cellStyle name="Euro 4 2" xfId="2026" xr:uid="{00000000-0005-0000-0000-0000F10A0000}"/>
    <cellStyle name="Euro 5" xfId="2027" xr:uid="{00000000-0005-0000-0000-0000F20A0000}"/>
    <cellStyle name="Hyperlink 2" xfId="2028" xr:uid="{00000000-0005-0000-0000-0000F30A0000}"/>
    <cellStyle name="Hyperlink 2 2" xfId="2029" xr:uid="{00000000-0005-0000-0000-0000F40A0000}"/>
    <cellStyle name="Hyperlink 2 3" xfId="2030" xr:uid="{00000000-0005-0000-0000-0000F50A0000}"/>
    <cellStyle name="Hyperlink 2 4" xfId="2031" xr:uid="{00000000-0005-0000-0000-0000F60A0000}"/>
    <cellStyle name="Hyperlink 2_Inputs" xfId="3958" xr:uid="{00000000-0005-0000-0000-0000F70A0000}"/>
    <cellStyle name="Insatisfaisant 2" xfId="2032" xr:uid="{00000000-0005-0000-0000-0000F80A0000}"/>
    <cellStyle name="Lien hypertexte 2" xfId="2033" xr:uid="{00000000-0005-0000-0000-0000F90A0000}"/>
    <cellStyle name="Milliers [0] 2" xfId="2034" xr:uid="{00000000-0005-0000-0000-0000FA0A0000}"/>
    <cellStyle name="Milliers [0] 2 2" xfId="2035" xr:uid="{00000000-0005-0000-0000-0000FB0A0000}"/>
    <cellStyle name="Milliers [0] 2 2 2" xfId="2036" xr:uid="{00000000-0005-0000-0000-0000FC0A0000}"/>
    <cellStyle name="Milliers [0] 2 3" xfId="2037" xr:uid="{00000000-0005-0000-0000-0000FD0A0000}"/>
    <cellStyle name="Milliers [0] 2 3 2" xfId="2038" xr:uid="{00000000-0005-0000-0000-0000FE0A0000}"/>
    <cellStyle name="Milliers [0] 2 4" xfId="2039" xr:uid="{00000000-0005-0000-0000-0000FF0A0000}"/>
    <cellStyle name="Milliers [0] 3" xfId="2040" xr:uid="{00000000-0005-0000-0000-0000000B0000}"/>
    <cellStyle name="Milliers [0] 3 2" xfId="2041" xr:uid="{00000000-0005-0000-0000-0000010B0000}"/>
    <cellStyle name="Milliers [0] 3 2 2" xfId="2042" xr:uid="{00000000-0005-0000-0000-0000020B0000}"/>
    <cellStyle name="Milliers [0] 3 3" xfId="2043" xr:uid="{00000000-0005-0000-0000-0000030B0000}"/>
    <cellStyle name="Milliers [0] 3 3 2" xfId="2044" xr:uid="{00000000-0005-0000-0000-0000040B0000}"/>
    <cellStyle name="Milliers [0] 3 4" xfId="2045" xr:uid="{00000000-0005-0000-0000-0000050B0000}"/>
    <cellStyle name="Milliers 10" xfId="2046" xr:uid="{00000000-0005-0000-0000-0000060B0000}"/>
    <cellStyle name="Milliers 11" xfId="2047" xr:uid="{00000000-0005-0000-0000-0000070B0000}"/>
    <cellStyle name="Milliers 2" xfId="2048" xr:uid="{00000000-0005-0000-0000-0000080B0000}"/>
    <cellStyle name="Milliers 3" xfId="2049" xr:uid="{00000000-0005-0000-0000-0000090B0000}"/>
    <cellStyle name="Milliers 4" xfId="2050" xr:uid="{00000000-0005-0000-0000-00000A0B0000}"/>
    <cellStyle name="Milliers 4 2" xfId="2051" xr:uid="{00000000-0005-0000-0000-00000B0B0000}"/>
    <cellStyle name="Milliers 4 2 2" xfId="2052" xr:uid="{00000000-0005-0000-0000-00000C0B0000}"/>
    <cellStyle name="Milliers 4 3" xfId="2053" xr:uid="{00000000-0005-0000-0000-00000D0B0000}"/>
    <cellStyle name="Milliers 4 3 2" xfId="2054" xr:uid="{00000000-0005-0000-0000-00000E0B0000}"/>
    <cellStyle name="Milliers 4 4" xfId="2055" xr:uid="{00000000-0005-0000-0000-00000F0B0000}"/>
    <cellStyle name="Milliers 4 5" xfId="2056" xr:uid="{00000000-0005-0000-0000-0000100B0000}"/>
    <cellStyle name="Milliers 5" xfId="2057" xr:uid="{00000000-0005-0000-0000-0000110B0000}"/>
    <cellStyle name="Milliers 5 2" xfId="2058" xr:uid="{00000000-0005-0000-0000-0000120B0000}"/>
    <cellStyle name="Milliers 5 2 2" xfId="2059" xr:uid="{00000000-0005-0000-0000-0000130B0000}"/>
    <cellStyle name="Milliers 5 3" xfId="2060" xr:uid="{00000000-0005-0000-0000-0000140B0000}"/>
    <cellStyle name="Milliers 6" xfId="2061" xr:uid="{00000000-0005-0000-0000-0000150B0000}"/>
    <cellStyle name="Milliers 6 2" xfId="2062" xr:uid="{00000000-0005-0000-0000-0000160B0000}"/>
    <cellStyle name="Milliers 6 2 2" xfId="2063" xr:uid="{00000000-0005-0000-0000-0000170B0000}"/>
    <cellStyle name="Milliers 6 3" xfId="2064" xr:uid="{00000000-0005-0000-0000-0000180B0000}"/>
    <cellStyle name="Milliers 6 3 2" xfId="2065" xr:uid="{00000000-0005-0000-0000-0000190B0000}"/>
    <cellStyle name="Milliers 6 4" xfId="2066" xr:uid="{00000000-0005-0000-0000-00001A0B0000}"/>
    <cellStyle name="Milliers 7" xfId="2067" xr:uid="{00000000-0005-0000-0000-00001B0B0000}"/>
    <cellStyle name="Milliers 7 2" xfId="2068" xr:uid="{00000000-0005-0000-0000-00001C0B0000}"/>
    <cellStyle name="Milliers 8" xfId="2069" xr:uid="{00000000-0005-0000-0000-00001D0B0000}"/>
    <cellStyle name="Milliers 9" xfId="2070" xr:uid="{00000000-0005-0000-0000-00001E0B0000}"/>
    <cellStyle name="Monétaire 2" xfId="2071" xr:uid="{00000000-0005-0000-0000-00001F0B0000}"/>
    <cellStyle name="Monétaire 2 2" xfId="2072" xr:uid="{00000000-0005-0000-0000-0000200B0000}"/>
    <cellStyle name="Monétaire 2 3" xfId="2073" xr:uid="{00000000-0005-0000-0000-0000210B0000}"/>
    <cellStyle name="Monétaire 2 3 2" xfId="2074" xr:uid="{00000000-0005-0000-0000-0000220B0000}"/>
    <cellStyle name="Monétaire 2 3 2 2" xfId="2075" xr:uid="{00000000-0005-0000-0000-0000230B0000}"/>
    <cellStyle name="Monétaire 2 3 3" xfId="2076" xr:uid="{00000000-0005-0000-0000-0000240B0000}"/>
    <cellStyle name="Monétaire 2 3 3 2" xfId="2077" xr:uid="{00000000-0005-0000-0000-0000250B0000}"/>
    <cellStyle name="Monétaire 2 3 4" xfId="2078" xr:uid="{00000000-0005-0000-0000-0000260B0000}"/>
    <cellStyle name="Monétaire 2 4" xfId="2079" xr:uid="{00000000-0005-0000-0000-0000270B0000}"/>
    <cellStyle name="Monétaire 2 5" xfId="2080" xr:uid="{00000000-0005-0000-0000-0000280B0000}"/>
    <cellStyle name="Monétaire 2 6" xfId="2081" xr:uid="{00000000-0005-0000-0000-0000290B0000}"/>
    <cellStyle name="Monétaire 2_UWData" xfId="2082" xr:uid="{00000000-0005-0000-0000-00002A0B0000}"/>
    <cellStyle name="Monétaire 3" xfId="2083" xr:uid="{00000000-0005-0000-0000-00002B0B0000}"/>
    <cellStyle name="Monétaire 3 2" xfId="2084" xr:uid="{00000000-0005-0000-0000-00002C0B0000}"/>
    <cellStyle name="Monétaire 3 2 2" xfId="2085" xr:uid="{00000000-0005-0000-0000-00002D0B0000}"/>
    <cellStyle name="Monétaire 3 2 2 2" xfId="2086" xr:uid="{00000000-0005-0000-0000-00002E0B0000}"/>
    <cellStyle name="Monétaire 3 2 3" xfId="2087" xr:uid="{00000000-0005-0000-0000-00002F0B0000}"/>
    <cellStyle name="Monétaire 3 2 3 2" xfId="2088" xr:uid="{00000000-0005-0000-0000-0000300B0000}"/>
    <cellStyle name="Monétaire 3 2 4" xfId="2089" xr:uid="{00000000-0005-0000-0000-0000310B0000}"/>
    <cellStyle name="Monétaire 3 3" xfId="2090" xr:uid="{00000000-0005-0000-0000-0000320B0000}"/>
    <cellStyle name="Monétaire 3 4" xfId="2091" xr:uid="{00000000-0005-0000-0000-0000330B0000}"/>
    <cellStyle name="Monétaire 3 5" xfId="2092" xr:uid="{00000000-0005-0000-0000-0000340B0000}"/>
    <cellStyle name="Monétaire 4" xfId="2093" xr:uid="{00000000-0005-0000-0000-0000350B0000}"/>
    <cellStyle name="Monétaire 4 2" xfId="2094" xr:uid="{00000000-0005-0000-0000-0000360B0000}"/>
    <cellStyle name="Monétaire 4 3" xfId="2095" xr:uid="{00000000-0005-0000-0000-0000370B0000}"/>
    <cellStyle name="Monétaire 5" xfId="2096" xr:uid="{00000000-0005-0000-0000-0000380B0000}"/>
    <cellStyle name="Monétaire 5 2" xfId="2097" xr:uid="{00000000-0005-0000-0000-0000390B0000}"/>
    <cellStyle name="Monétaire 5 2 2" xfId="2098" xr:uid="{00000000-0005-0000-0000-00003A0B0000}"/>
    <cellStyle name="Monétaire 5 3" xfId="2099" xr:uid="{00000000-0005-0000-0000-00003B0B0000}"/>
    <cellStyle name="Monétaire 5 3 2" xfId="2100" xr:uid="{00000000-0005-0000-0000-00003C0B0000}"/>
    <cellStyle name="Monétaire 5 4" xfId="2101" xr:uid="{00000000-0005-0000-0000-00003D0B0000}"/>
    <cellStyle name="Monétaire 5 5" xfId="2102" xr:uid="{00000000-0005-0000-0000-00003E0B0000}"/>
    <cellStyle name="Monétaire 6" xfId="2103" xr:uid="{00000000-0005-0000-0000-00003F0B0000}"/>
    <cellStyle name="Monétaire 6 2" xfId="2104" xr:uid="{00000000-0005-0000-0000-0000400B0000}"/>
    <cellStyle name="Monétaire 6 2 2" xfId="2105" xr:uid="{00000000-0005-0000-0000-0000410B0000}"/>
    <cellStyle name="Monétaire 6 2 2 2" xfId="2106" xr:uid="{00000000-0005-0000-0000-0000420B0000}"/>
    <cellStyle name="Monétaire 6 2 3" xfId="2107" xr:uid="{00000000-0005-0000-0000-0000430B0000}"/>
    <cellStyle name="Monétaire 6 3" xfId="2108" xr:uid="{00000000-0005-0000-0000-0000440B0000}"/>
    <cellStyle name="Monétaire 6 3 2" xfId="2109" xr:uid="{00000000-0005-0000-0000-0000450B0000}"/>
    <cellStyle name="Monétaire 6 3 2 2" xfId="2110" xr:uid="{00000000-0005-0000-0000-0000460B0000}"/>
    <cellStyle name="Monétaire 6 3 3" xfId="2111" xr:uid="{00000000-0005-0000-0000-0000470B0000}"/>
    <cellStyle name="Monétaire 6 4" xfId="2112" xr:uid="{00000000-0005-0000-0000-0000480B0000}"/>
    <cellStyle name="Monétaire 6 4 2" xfId="2113" xr:uid="{00000000-0005-0000-0000-0000490B0000}"/>
    <cellStyle name="Monétaire 6 5" xfId="2114" xr:uid="{00000000-0005-0000-0000-00004A0B0000}"/>
    <cellStyle name="Monétaire 7" xfId="2115" xr:uid="{00000000-0005-0000-0000-00004B0B0000}"/>
    <cellStyle name="Monétaire 7 2" xfId="2116" xr:uid="{00000000-0005-0000-0000-00004C0B0000}"/>
    <cellStyle name="Monétaire 7 2 2" xfId="2117" xr:uid="{00000000-0005-0000-0000-00004D0B0000}"/>
    <cellStyle name="Monétaire 7 2 3" xfId="2118" xr:uid="{00000000-0005-0000-0000-00004E0B0000}"/>
    <cellStyle name="Monétaire 7 3" xfId="2119" xr:uid="{00000000-0005-0000-0000-00004F0B0000}"/>
    <cellStyle name="Monétaire 7 3 2" xfId="2120" xr:uid="{00000000-0005-0000-0000-0000500B0000}"/>
    <cellStyle name="Monétaire 7 4" xfId="2121" xr:uid="{00000000-0005-0000-0000-0000510B0000}"/>
    <cellStyle name="Monétaire 7 5" xfId="2122" xr:uid="{00000000-0005-0000-0000-0000520B0000}"/>
    <cellStyle name="Monétaire 8" xfId="2123" xr:uid="{00000000-0005-0000-0000-0000530B0000}"/>
    <cellStyle name="Monétaire 8 2" xfId="2124" xr:uid="{00000000-0005-0000-0000-0000540B0000}"/>
    <cellStyle name="Monétaire 8 2 2" xfId="2125" xr:uid="{00000000-0005-0000-0000-0000550B0000}"/>
    <cellStyle name="Monétaire 8 3" xfId="2126" xr:uid="{00000000-0005-0000-0000-0000560B0000}"/>
    <cellStyle name="Monétaire 8 3 2" xfId="2127" xr:uid="{00000000-0005-0000-0000-0000570B0000}"/>
    <cellStyle name="Monétaire 8 4" xfId="2128" xr:uid="{00000000-0005-0000-0000-0000580B0000}"/>
    <cellStyle name="Monétaire 9" xfId="2129" xr:uid="{00000000-0005-0000-0000-0000590B0000}"/>
    <cellStyle name="Monétaire 9 2" xfId="2130" xr:uid="{00000000-0005-0000-0000-00005A0B0000}"/>
    <cellStyle name="Neutre 2" xfId="2131" xr:uid="{00000000-0005-0000-0000-00005B0B0000}"/>
    <cellStyle name="Normal" xfId="0" builtinId="0"/>
    <cellStyle name="Normal 10" xfId="5" xr:uid="{00000000-0005-0000-0000-00005D0B0000}"/>
    <cellStyle name="Normal 11" xfId="2132" xr:uid="{00000000-0005-0000-0000-00005E0B0000}"/>
    <cellStyle name="Normal 11 2" xfId="2133" xr:uid="{00000000-0005-0000-0000-00005F0B0000}"/>
    <cellStyle name="Normal 12" xfId="2134" xr:uid="{00000000-0005-0000-0000-0000600B0000}"/>
    <cellStyle name="Normal 13" xfId="2135" xr:uid="{00000000-0005-0000-0000-0000610B0000}"/>
    <cellStyle name="Normal 14" xfId="2136" xr:uid="{00000000-0005-0000-0000-0000620B0000}"/>
    <cellStyle name="Normal 15" xfId="2137" xr:uid="{00000000-0005-0000-0000-0000630B0000}"/>
    <cellStyle name="Normal 15 2" xfId="2138" xr:uid="{00000000-0005-0000-0000-0000640B0000}"/>
    <cellStyle name="Normal 15 2 2" xfId="2139" xr:uid="{00000000-0005-0000-0000-0000650B0000}"/>
    <cellStyle name="Normal 15 3" xfId="2140" xr:uid="{00000000-0005-0000-0000-0000660B0000}"/>
    <cellStyle name="Normal 16" xfId="2141" xr:uid="{00000000-0005-0000-0000-0000670B0000}"/>
    <cellStyle name="Normal 16 10" xfId="2142" xr:uid="{00000000-0005-0000-0000-0000680B0000}"/>
    <cellStyle name="Normal 16 10 2" xfId="2143" xr:uid="{00000000-0005-0000-0000-0000690B0000}"/>
    <cellStyle name="Normal 16 10 2 2" xfId="2144" xr:uid="{00000000-0005-0000-0000-00006A0B0000}"/>
    <cellStyle name="Normal 16 10 2_Inputs" xfId="3960" xr:uid="{00000000-0005-0000-0000-00006B0B0000}"/>
    <cellStyle name="Normal 16 10 3" xfId="2145" xr:uid="{00000000-0005-0000-0000-00006C0B0000}"/>
    <cellStyle name="Normal 16 10 3 2" xfId="2146" xr:uid="{00000000-0005-0000-0000-00006D0B0000}"/>
    <cellStyle name="Normal 16 10 3_Inputs" xfId="3961" xr:uid="{00000000-0005-0000-0000-00006E0B0000}"/>
    <cellStyle name="Normal 16 10 4" xfId="2147" xr:uid="{00000000-0005-0000-0000-00006F0B0000}"/>
    <cellStyle name="Normal 16 10_Inputs" xfId="3959" xr:uid="{00000000-0005-0000-0000-0000700B0000}"/>
    <cellStyle name="Normal 16 11" xfId="2148" xr:uid="{00000000-0005-0000-0000-0000710B0000}"/>
    <cellStyle name="Normal 16 11 2" xfId="2149" xr:uid="{00000000-0005-0000-0000-0000720B0000}"/>
    <cellStyle name="Normal 16 11 2 2" xfId="2150" xr:uid="{00000000-0005-0000-0000-0000730B0000}"/>
    <cellStyle name="Normal 16 11 2_Inputs" xfId="3963" xr:uid="{00000000-0005-0000-0000-0000740B0000}"/>
    <cellStyle name="Normal 16 11 3" xfId="2151" xr:uid="{00000000-0005-0000-0000-0000750B0000}"/>
    <cellStyle name="Normal 16 11 3 2" xfId="2152" xr:uid="{00000000-0005-0000-0000-0000760B0000}"/>
    <cellStyle name="Normal 16 11 3_Inputs" xfId="3964" xr:uid="{00000000-0005-0000-0000-0000770B0000}"/>
    <cellStyle name="Normal 16 11 4" xfId="2153" xr:uid="{00000000-0005-0000-0000-0000780B0000}"/>
    <cellStyle name="Normal 16 11_Inputs" xfId="3962" xr:uid="{00000000-0005-0000-0000-0000790B0000}"/>
    <cellStyle name="Normal 16 12" xfId="2154" xr:uid="{00000000-0005-0000-0000-00007A0B0000}"/>
    <cellStyle name="Normal 16 12 2" xfId="2155" xr:uid="{00000000-0005-0000-0000-00007B0B0000}"/>
    <cellStyle name="Normal 16 12 2 2" xfId="2156" xr:uid="{00000000-0005-0000-0000-00007C0B0000}"/>
    <cellStyle name="Normal 16 12 2_Inputs" xfId="3966" xr:uid="{00000000-0005-0000-0000-00007D0B0000}"/>
    <cellStyle name="Normal 16 12 3" xfId="2157" xr:uid="{00000000-0005-0000-0000-00007E0B0000}"/>
    <cellStyle name="Normal 16 12 3 2" xfId="2158" xr:uid="{00000000-0005-0000-0000-00007F0B0000}"/>
    <cellStyle name="Normal 16 12 3_Inputs" xfId="3967" xr:uid="{00000000-0005-0000-0000-0000800B0000}"/>
    <cellStyle name="Normal 16 12 4" xfId="2159" xr:uid="{00000000-0005-0000-0000-0000810B0000}"/>
    <cellStyle name="Normal 16 12_Inputs" xfId="3965" xr:uid="{00000000-0005-0000-0000-0000820B0000}"/>
    <cellStyle name="Normal 16 13" xfId="2160" xr:uid="{00000000-0005-0000-0000-0000830B0000}"/>
    <cellStyle name="Normal 16 13 2" xfId="2161" xr:uid="{00000000-0005-0000-0000-0000840B0000}"/>
    <cellStyle name="Normal 16 13 2 2" xfId="2162" xr:uid="{00000000-0005-0000-0000-0000850B0000}"/>
    <cellStyle name="Normal 16 13 2_Inputs" xfId="3969" xr:uid="{00000000-0005-0000-0000-0000860B0000}"/>
    <cellStyle name="Normal 16 13 3" xfId="2163" xr:uid="{00000000-0005-0000-0000-0000870B0000}"/>
    <cellStyle name="Normal 16 13 3 2" xfId="2164" xr:uid="{00000000-0005-0000-0000-0000880B0000}"/>
    <cellStyle name="Normal 16 13 3_Inputs" xfId="3970" xr:uid="{00000000-0005-0000-0000-0000890B0000}"/>
    <cellStyle name="Normal 16 13 4" xfId="2165" xr:uid="{00000000-0005-0000-0000-00008A0B0000}"/>
    <cellStyle name="Normal 16 13_Inputs" xfId="3968" xr:uid="{00000000-0005-0000-0000-00008B0B0000}"/>
    <cellStyle name="Normal 16 14" xfId="2166" xr:uid="{00000000-0005-0000-0000-00008C0B0000}"/>
    <cellStyle name="Normal 16 14 2" xfId="2167" xr:uid="{00000000-0005-0000-0000-00008D0B0000}"/>
    <cellStyle name="Normal 16 14 2 2" xfId="2168" xr:uid="{00000000-0005-0000-0000-00008E0B0000}"/>
    <cellStyle name="Normal 16 14 2_Inputs" xfId="3972" xr:uid="{00000000-0005-0000-0000-00008F0B0000}"/>
    <cellStyle name="Normal 16 14 3" xfId="2169" xr:uid="{00000000-0005-0000-0000-0000900B0000}"/>
    <cellStyle name="Normal 16 14 3 2" xfId="2170" xr:uid="{00000000-0005-0000-0000-0000910B0000}"/>
    <cellStyle name="Normal 16 14 3_Inputs" xfId="3973" xr:uid="{00000000-0005-0000-0000-0000920B0000}"/>
    <cellStyle name="Normal 16 14 4" xfId="2171" xr:uid="{00000000-0005-0000-0000-0000930B0000}"/>
    <cellStyle name="Normal 16 14_Inputs" xfId="3971" xr:uid="{00000000-0005-0000-0000-0000940B0000}"/>
    <cellStyle name="Normal 16 15" xfId="2172" xr:uid="{00000000-0005-0000-0000-0000950B0000}"/>
    <cellStyle name="Normal 16 15 2" xfId="2173" xr:uid="{00000000-0005-0000-0000-0000960B0000}"/>
    <cellStyle name="Normal 16 15 2 2" xfId="2174" xr:uid="{00000000-0005-0000-0000-0000970B0000}"/>
    <cellStyle name="Normal 16 15 2_Inputs" xfId="3975" xr:uid="{00000000-0005-0000-0000-0000980B0000}"/>
    <cellStyle name="Normal 16 15 3" xfId="2175" xr:uid="{00000000-0005-0000-0000-0000990B0000}"/>
    <cellStyle name="Normal 16 15 3 2" xfId="2176" xr:uid="{00000000-0005-0000-0000-00009A0B0000}"/>
    <cellStyle name="Normal 16 15 3_Inputs" xfId="3976" xr:uid="{00000000-0005-0000-0000-00009B0B0000}"/>
    <cellStyle name="Normal 16 15 4" xfId="2177" xr:uid="{00000000-0005-0000-0000-00009C0B0000}"/>
    <cellStyle name="Normal 16 15_Inputs" xfId="3974" xr:uid="{00000000-0005-0000-0000-00009D0B0000}"/>
    <cellStyle name="Normal 16 16" xfId="2178" xr:uid="{00000000-0005-0000-0000-00009E0B0000}"/>
    <cellStyle name="Normal 16 17" xfId="2179" xr:uid="{00000000-0005-0000-0000-00009F0B0000}"/>
    <cellStyle name="Normal 16 2" xfId="2180" xr:uid="{00000000-0005-0000-0000-0000A00B0000}"/>
    <cellStyle name="Normal 16 2 2" xfId="2181" xr:uid="{00000000-0005-0000-0000-0000A10B0000}"/>
    <cellStyle name="Normal 16 2 2 2" xfId="2182" xr:uid="{00000000-0005-0000-0000-0000A20B0000}"/>
    <cellStyle name="Normal 16 2 2 2 2" xfId="2183" xr:uid="{00000000-0005-0000-0000-0000A30B0000}"/>
    <cellStyle name="Normal 16 2 2 2_Inputs" xfId="3979" xr:uid="{00000000-0005-0000-0000-0000A40B0000}"/>
    <cellStyle name="Normal 16 2 2 3" xfId="2184" xr:uid="{00000000-0005-0000-0000-0000A50B0000}"/>
    <cellStyle name="Normal 16 2 2 3 2" xfId="2185" xr:uid="{00000000-0005-0000-0000-0000A60B0000}"/>
    <cellStyle name="Normal 16 2 2 3_Inputs" xfId="3980" xr:uid="{00000000-0005-0000-0000-0000A70B0000}"/>
    <cellStyle name="Normal 16 2 2 4" xfId="2186" xr:uid="{00000000-0005-0000-0000-0000A80B0000}"/>
    <cellStyle name="Normal 16 2 2_Inputs" xfId="3978" xr:uid="{00000000-0005-0000-0000-0000A90B0000}"/>
    <cellStyle name="Normal 16 2 3" xfId="2187" xr:uid="{00000000-0005-0000-0000-0000AA0B0000}"/>
    <cellStyle name="Normal 16 2 3 2" xfId="2188" xr:uid="{00000000-0005-0000-0000-0000AB0B0000}"/>
    <cellStyle name="Normal 16 2 3_Inputs" xfId="3981" xr:uid="{00000000-0005-0000-0000-0000AC0B0000}"/>
    <cellStyle name="Normal 16 2 4" xfId="2189" xr:uid="{00000000-0005-0000-0000-0000AD0B0000}"/>
    <cellStyle name="Normal 16 2 4 2" xfId="2190" xr:uid="{00000000-0005-0000-0000-0000AE0B0000}"/>
    <cellStyle name="Normal 16 2 4_Inputs" xfId="3982" xr:uid="{00000000-0005-0000-0000-0000AF0B0000}"/>
    <cellStyle name="Normal 16 2 5" xfId="2191" xr:uid="{00000000-0005-0000-0000-0000B00B0000}"/>
    <cellStyle name="Normal 16 2 5 2" xfId="2192" xr:uid="{00000000-0005-0000-0000-0000B10B0000}"/>
    <cellStyle name="Normal 16 2 5 3" xfId="2193" xr:uid="{00000000-0005-0000-0000-0000B20B0000}"/>
    <cellStyle name="Normal 16 2 5_Inputs" xfId="3983" xr:uid="{00000000-0005-0000-0000-0000B30B0000}"/>
    <cellStyle name="Normal 16 2_Inputs" xfId="3977" xr:uid="{00000000-0005-0000-0000-0000B40B0000}"/>
    <cellStyle name="Normal 16 3" xfId="2194" xr:uid="{00000000-0005-0000-0000-0000B50B0000}"/>
    <cellStyle name="Normal 16 3 2" xfId="2195" xr:uid="{00000000-0005-0000-0000-0000B60B0000}"/>
    <cellStyle name="Normal 16 3 2 2" xfId="2196" xr:uid="{00000000-0005-0000-0000-0000B70B0000}"/>
    <cellStyle name="Normal 16 3 2_Inputs" xfId="3985" xr:uid="{00000000-0005-0000-0000-0000B80B0000}"/>
    <cellStyle name="Normal 16 3 3" xfId="2197" xr:uid="{00000000-0005-0000-0000-0000B90B0000}"/>
    <cellStyle name="Normal 16 3 3 2" xfId="2198" xr:uid="{00000000-0005-0000-0000-0000BA0B0000}"/>
    <cellStyle name="Normal 16 3 3_Inputs" xfId="3986" xr:uid="{00000000-0005-0000-0000-0000BB0B0000}"/>
    <cellStyle name="Normal 16 3 4" xfId="2199" xr:uid="{00000000-0005-0000-0000-0000BC0B0000}"/>
    <cellStyle name="Normal 16 3_Inputs" xfId="3984" xr:uid="{00000000-0005-0000-0000-0000BD0B0000}"/>
    <cellStyle name="Normal 16 4" xfId="2200" xr:uid="{00000000-0005-0000-0000-0000BE0B0000}"/>
    <cellStyle name="Normal 16 4 2" xfId="2201" xr:uid="{00000000-0005-0000-0000-0000BF0B0000}"/>
    <cellStyle name="Normal 16 4 2 2" xfId="2202" xr:uid="{00000000-0005-0000-0000-0000C00B0000}"/>
    <cellStyle name="Normal 16 4 2_Inputs" xfId="3988" xr:uid="{00000000-0005-0000-0000-0000C10B0000}"/>
    <cellStyle name="Normal 16 4 3" xfId="2203" xr:uid="{00000000-0005-0000-0000-0000C20B0000}"/>
    <cellStyle name="Normal 16 4 3 2" xfId="2204" xr:uid="{00000000-0005-0000-0000-0000C30B0000}"/>
    <cellStyle name="Normal 16 4 3_Inputs" xfId="3989" xr:uid="{00000000-0005-0000-0000-0000C40B0000}"/>
    <cellStyle name="Normal 16 4 4" xfId="2205" xr:uid="{00000000-0005-0000-0000-0000C50B0000}"/>
    <cellStyle name="Normal 16 4_Inputs" xfId="3987" xr:uid="{00000000-0005-0000-0000-0000C60B0000}"/>
    <cellStyle name="Normal 16 5" xfId="2206" xr:uid="{00000000-0005-0000-0000-0000C70B0000}"/>
    <cellStyle name="Normal 16 6" xfId="2207" xr:uid="{00000000-0005-0000-0000-0000C80B0000}"/>
    <cellStyle name="Normal 16 6 2" xfId="2208" xr:uid="{00000000-0005-0000-0000-0000C90B0000}"/>
    <cellStyle name="Normal 16 6 2 2" xfId="2209" xr:uid="{00000000-0005-0000-0000-0000CA0B0000}"/>
    <cellStyle name="Normal 16 6 2_Inputs" xfId="3991" xr:uid="{00000000-0005-0000-0000-0000CB0B0000}"/>
    <cellStyle name="Normal 16 6 3" xfId="2210" xr:uid="{00000000-0005-0000-0000-0000CC0B0000}"/>
    <cellStyle name="Normal 16 6 3 2" xfId="2211" xr:uid="{00000000-0005-0000-0000-0000CD0B0000}"/>
    <cellStyle name="Normal 16 6 3_Inputs" xfId="3992" xr:uid="{00000000-0005-0000-0000-0000CE0B0000}"/>
    <cellStyle name="Normal 16 6 4" xfId="2212" xr:uid="{00000000-0005-0000-0000-0000CF0B0000}"/>
    <cellStyle name="Normal 16 6_Inputs" xfId="3990" xr:uid="{00000000-0005-0000-0000-0000D00B0000}"/>
    <cellStyle name="Normal 16 7" xfId="2213" xr:uid="{00000000-0005-0000-0000-0000D10B0000}"/>
    <cellStyle name="Normal 16 7 2" xfId="2214" xr:uid="{00000000-0005-0000-0000-0000D20B0000}"/>
    <cellStyle name="Normal 16 7 2 2" xfId="2215" xr:uid="{00000000-0005-0000-0000-0000D30B0000}"/>
    <cellStyle name="Normal 16 7 2_Inputs" xfId="3994" xr:uid="{00000000-0005-0000-0000-0000D40B0000}"/>
    <cellStyle name="Normal 16 7 3" xfId="2216" xr:uid="{00000000-0005-0000-0000-0000D50B0000}"/>
    <cellStyle name="Normal 16 7 3 2" xfId="2217" xr:uid="{00000000-0005-0000-0000-0000D60B0000}"/>
    <cellStyle name="Normal 16 7 3_Inputs" xfId="3995" xr:uid="{00000000-0005-0000-0000-0000D70B0000}"/>
    <cellStyle name="Normal 16 7 4" xfId="2218" xr:uid="{00000000-0005-0000-0000-0000D80B0000}"/>
    <cellStyle name="Normal 16 7_Inputs" xfId="3993" xr:uid="{00000000-0005-0000-0000-0000D90B0000}"/>
    <cellStyle name="Normal 16 8" xfId="2219" xr:uid="{00000000-0005-0000-0000-0000DA0B0000}"/>
    <cellStyle name="Normal 16 8 2" xfId="2220" xr:uid="{00000000-0005-0000-0000-0000DB0B0000}"/>
    <cellStyle name="Normal 16 8 2 2" xfId="2221" xr:uid="{00000000-0005-0000-0000-0000DC0B0000}"/>
    <cellStyle name="Normal 16 8 2_Inputs" xfId="3997" xr:uid="{00000000-0005-0000-0000-0000DD0B0000}"/>
    <cellStyle name="Normal 16 8 3" xfId="2222" xr:uid="{00000000-0005-0000-0000-0000DE0B0000}"/>
    <cellStyle name="Normal 16 8 3 2" xfId="2223" xr:uid="{00000000-0005-0000-0000-0000DF0B0000}"/>
    <cellStyle name="Normal 16 8 3_Inputs" xfId="3998" xr:uid="{00000000-0005-0000-0000-0000E00B0000}"/>
    <cellStyle name="Normal 16 8 4" xfId="2224" xr:uid="{00000000-0005-0000-0000-0000E10B0000}"/>
    <cellStyle name="Normal 16 8_Inputs" xfId="3996" xr:uid="{00000000-0005-0000-0000-0000E20B0000}"/>
    <cellStyle name="Normal 16 9" xfId="2225" xr:uid="{00000000-0005-0000-0000-0000E30B0000}"/>
    <cellStyle name="Normal 16 9 2" xfId="2226" xr:uid="{00000000-0005-0000-0000-0000E40B0000}"/>
    <cellStyle name="Normal 16 9 2 2" xfId="2227" xr:uid="{00000000-0005-0000-0000-0000E50B0000}"/>
    <cellStyle name="Normal 16 9 2_Inputs" xfId="4000" xr:uid="{00000000-0005-0000-0000-0000E60B0000}"/>
    <cellStyle name="Normal 16 9 3" xfId="2228" xr:uid="{00000000-0005-0000-0000-0000E70B0000}"/>
    <cellStyle name="Normal 16 9 3 2" xfId="2229" xr:uid="{00000000-0005-0000-0000-0000E80B0000}"/>
    <cellStyle name="Normal 16 9 3_Inputs" xfId="4001" xr:uid="{00000000-0005-0000-0000-0000E90B0000}"/>
    <cellStyle name="Normal 16 9 4" xfId="2230" xr:uid="{00000000-0005-0000-0000-0000EA0B0000}"/>
    <cellStyle name="Normal 16 9_Inputs" xfId="3999" xr:uid="{00000000-0005-0000-0000-0000EB0B0000}"/>
    <cellStyle name="Normal 17" xfId="2231" xr:uid="{00000000-0005-0000-0000-0000EC0B0000}"/>
    <cellStyle name="Normal 17 2" xfId="2232" xr:uid="{00000000-0005-0000-0000-0000ED0B0000}"/>
    <cellStyle name="Normal 17 2 2" xfId="2233" xr:uid="{00000000-0005-0000-0000-0000EE0B0000}"/>
    <cellStyle name="Normal 17 2 2 2" xfId="2234" xr:uid="{00000000-0005-0000-0000-0000EF0B0000}"/>
    <cellStyle name="Normal 17 2 2 2 2" xfId="2235" xr:uid="{00000000-0005-0000-0000-0000F00B0000}"/>
    <cellStyle name="Normal 17 2 2 2_Inputs" xfId="4004" xr:uid="{00000000-0005-0000-0000-0000F10B0000}"/>
    <cellStyle name="Normal 17 2 2 3" xfId="2236" xr:uid="{00000000-0005-0000-0000-0000F20B0000}"/>
    <cellStyle name="Normal 17 2 2 3 2" xfId="2237" xr:uid="{00000000-0005-0000-0000-0000F30B0000}"/>
    <cellStyle name="Normal 17 2 2 3_Inputs" xfId="4005" xr:uid="{00000000-0005-0000-0000-0000F40B0000}"/>
    <cellStyle name="Normal 17 2 2 4" xfId="2238" xr:uid="{00000000-0005-0000-0000-0000F50B0000}"/>
    <cellStyle name="Normal 17 2 2_Inputs" xfId="4003" xr:uid="{00000000-0005-0000-0000-0000F60B0000}"/>
    <cellStyle name="Normal 17 2 3" xfId="2239" xr:uid="{00000000-0005-0000-0000-0000F70B0000}"/>
    <cellStyle name="Normal 17 2 3 2" xfId="2240" xr:uid="{00000000-0005-0000-0000-0000F80B0000}"/>
    <cellStyle name="Normal 17 2 3_Inputs" xfId="4006" xr:uid="{00000000-0005-0000-0000-0000F90B0000}"/>
    <cellStyle name="Normal 17 2 4" xfId="2241" xr:uid="{00000000-0005-0000-0000-0000FA0B0000}"/>
    <cellStyle name="Normal 17 2 4 2" xfId="2242" xr:uid="{00000000-0005-0000-0000-0000FB0B0000}"/>
    <cellStyle name="Normal 17 2 4_Inputs" xfId="4007" xr:uid="{00000000-0005-0000-0000-0000FC0B0000}"/>
    <cellStyle name="Normal 17 2 5" xfId="2243" xr:uid="{00000000-0005-0000-0000-0000FD0B0000}"/>
    <cellStyle name="Normal 17 2_Inputs" xfId="4002" xr:uid="{00000000-0005-0000-0000-0000FE0B0000}"/>
    <cellStyle name="Normal 17 3" xfId="2244" xr:uid="{00000000-0005-0000-0000-0000FF0B0000}"/>
    <cellStyle name="Normal 17 3 2" xfId="2245" xr:uid="{00000000-0005-0000-0000-0000000C0000}"/>
    <cellStyle name="Normal 17 3 3" xfId="2246" xr:uid="{00000000-0005-0000-0000-0000010C0000}"/>
    <cellStyle name="Normal 17 3 4" xfId="2247" xr:uid="{00000000-0005-0000-0000-0000020C0000}"/>
    <cellStyle name="Normal 17 4" xfId="2248" xr:uid="{00000000-0005-0000-0000-0000030C0000}"/>
    <cellStyle name="Normal 17 4 2" xfId="2249" xr:uid="{00000000-0005-0000-0000-0000040C0000}"/>
    <cellStyle name="Normal 17 5" xfId="2250" xr:uid="{00000000-0005-0000-0000-0000050C0000}"/>
    <cellStyle name="Normal 17 6" xfId="2251" xr:uid="{00000000-0005-0000-0000-0000060C0000}"/>
    <cellStyle name="Normal 17 7" xfId="2252" xr:uid="{00000000-0005-0000-0000-0000070C0000}"/>
    <cellStyle name="Normal 18" xfId="2253" xr:uid="{00000000-0005-0000-0000-0000080C0000}"/>
    <cellStyle name="Normal 18 10" xfId="2254" xr:uid="{00000000-0005-0000-0000-0000090C0000}"/>
    <cellStyle name="Normal 18 11" xfId="2255" xr:uid="{00000000-0005-0000-0000-00000A0C0000}"/>
    <cellStyle name="Normal 18 2" xfId="2256" xr:uid="{00000000-0005-0000-0000-00000B0C0000}"/>
    <cellStyle name="Normal 18 2 10" xfId="2257" xr:uid="{00000000-0005-0000-0000-00000C0C0000}"/>
    <cellStyle name="Normal 18 2 2" xfId="2258" xr:uid="{00000000-0005-0000-0000-00000D0C0000}"/>
    <cellStyle name="Normal 18 2 2 2" xfId="2259" xr:uid="{00000000-0005-0000-0000-00000E0C0000}"/>
    <cellStyle name="Normal 18 2 2 2 2" xfId="2260" xr:uid="{00000000-0005-0000-0000-00000F0C0000}"/>
    <cellStyle name="Normal 18 2 2 2_Inputs" xfId="4010" xr:uid="{00000000-0005-0000-0000-0000100C0000}"/>
    <cellStyle name="Normal 18 2 2 3" xfId="2261" xr:uid="{00000000-0005-0000-0000-0000110C0000}"/>
    <cellStyle name="Normal 18 2 2 3 2" xfId="2262" xr:uid="{00000000-0005-0000-0000-0000120C0000}"/>
    <cellStyle name="Normal 18 2 2 3_Inputs" xfId="4011" xr:uid="{00000000-0005-0000-0000-0000130C0000}"/>
    <cellStyle name="Normal 18 2 2 4" xfId="2263" xr:uid="{00000000-0005-0000-0000-0000140C0000}"/>
    <cellStyle name="Normal 18 2 2_Inputs" xfId="4009" xr:uid="{00000000-0005-0000-0000-0000150C0000}"/>
    <cellStyle name="Normal 18 2 3" xfId="2264" xr:uid="{00000000-0005-0000-0000-0000160C0000}"/>
    <cellStyle name="Normal 18 2 3 2" xfId="2265" xr:uid="{00000000-0005-0000-0000-0000170C0000}"/>
    <cellStyle name="Normal 18 2 3 2 2" xfId="2266" xr:uid="{00000000-0005-0000-0000-0000180C0000}"/>
    <cellStyle name="Normal 18 2 3 2_Inputs" xfId="4013" xr:uid="{00000000-0005-0000-0000-0000190C0000}"/>
    <cellStyle name="Normal 18 2 3 3" xfId="2267" xr:uid="{00000000-0005-0000-0000-00001A0C0000}"/>
    <cellStyle name="Normal 18 2 3 3 2" xfId="2268" xr:uid="{00000000-0005-0000-0000-00001B0C0000}"/>
    <cellStyle name="Normal 18 2 3 3_Inputs" xfId="4014" xr:uid="{00000000-0005-0000-0000-00001C0C0000}"/>
    <cellStyle name="Normal 18 2 3 4" xfId="2269" xr:uid="{00000000-0005-0000-0000-00001D0C0000}"/>
    <cellStyle name="Normal 18 2 3_Inputs" xfId="4012" xr:uid="{00000000-0005-0000-0000-00001E0C0000}"/>
    <cellStyle name="Normal 18 2 4" xfId="2270" xr:uid="{00000000-0005-0000-0000-00001F0C0000}"/>
    <cellStyle name="Normal 18 2 4 2" xfId="2271" xr:uid="{00000000-0005-0000-0000-0000200C0000}"/>
    <cellStyle name="Normal 18 2 4 2 2" xfId="2272" xr:uid="{00000000-0005-0000-0000-0000210C0000}"/>
    <cellStyle name="Normal 18 2 4 2_Inputs" xfId="4016" xr:uid="{00000000-0005-0000-0000-0000220C0000}"/>
    <cellStyle name="Normal 18 2 4 3" xfId="2273" xr:uid="{00000000-0005-0000-0000-0000230C0000}"/>
    <cellStyle name="Normal 18 2 4 3 2" xfId="2274" xr:uid="{00000000-0005-0000-0000-0000240C0000}"/>
    <cellStyle name="Normal 18 2 4 3_Inputs" xfId="4017" xr:uid="{00000000-0005-0000-0000-0000250C0000}"/>
    <cellStyle name="Normal 18 2 4 4" xfId="2275" xr:uid="{00000000-0005-0000-0000-0000260C0000}"/>
    <cellStyle name="Normal 18 2 4_Inputs" xfId="4015" xr:uid="{00000000-0005-0000-0000-0000270C0000}"/>
    <cellStyle name="Normal 18 2 5" xfId="2276" xr:uid="{00000000-0005-0000-0000-0000280C0000}"/>
    <cellStyle name="Normal 18 2 5 2" xfId="2277" xr:uid="{00000000-0005-0000-0000-0000290C0000}"/>
    <cellStyle name="Normal 18 2 5 2 2" xfId="2278" xr:uid="{00000000-0005-0000-0000-00002A0C0000}"/>
    <cellStyle name="Normal 18 2 5 2_Inputs" xfId="4019" xr:uid="{00000000-0005-0000-0000-00002B0C0000}"/>
    <cellStyle name="Normal 18 2 5 3" xfId="2279" xr:uid="{00000000-0005-0000-0000-00002C0C0000}"/>
    <cellStyle name="Normal 18 2 5 3 2" xfId="2280" xr:uid="{00000000-0005-0000-0000-00002D0C0000}"/>
    <cellStyle name="Normal 18 2 5 3_Inputs" xfId="4020" xr:uid="{00000000-0005-0000-0000-00002E0C0000}"/>
    <cellStyle name="Normal 18 2 5 4" xfId="2281" xr:uid="{00000000-0005-0000-0000-00002F0C0000}"/>
    <cellStyle name="Normal 18 2 5_Inputs" xfId="4018" xr:uid="{00000000-0005-0000-0000-0000300C0000}"/>
    <cellStyle name="Normal 18 2 6" xfId="2282" xr:uid="{00000000-0005-0000-0000-0000310C0000}"/>
    <cellStyle name="Normal 18 2 6 2" xfId="2283" xr:uid="{00000000-0005-0000-0000-0000320C0000}"/>
    <cellStyle name="Normal 18 2 6 2 2" xfId="2284" xr:uid="{00000000-0005-0000-0000-0000330C0000}"/>
    <cellStyle name="Normal 18 2 6 2_Inputs" xfId="4022" xr:uid="{00000000-0005-0000-0000-0000340C0000}"/>
    <cellStyle name="Normal 18 2 6 3" xfId="2285" xr:uid="{00000000-0005-0000-0000-0000350C0000}"/>
    <cellStyle name="Normal 18 2 6 3 2" xfId="2286" xr:uid="{00000000-0005-0000-0000-0000360C0000}"/>
    <cellStyle name="Normal 18 2 6 3_Inputs" xfId="4023" xr:uid="{00000000-0005-0000-0000-0000370C0000}"/>
    <cellStyle name="Normal 18 2 6 4" xfId="2287" xr:uid="{00000000-0005-0000-0000-0000380C0000}"/>
    <cellStyle name="Normal 18 2 6_Inputs" xfId="4021" xr:uid="{00000000-0005-0000-0000-0000390C0000}"/>
    <cellStyle name="Normal 18 2 7" xfId="2288" xr:uid="{00000000-0005-0000-0000-00003A0C0000}"/>
    <cellStyle name="Normal 18 2 7 2" xfId="2289" xr:uid="{00000000-0005-0000-0000-00003B0C0000}"/>
    <cellStyle name="Normal 18 2 7 2 2" xfId="2290" xr:uid="{00000000-0005-0000-0000-00003C0C0000}"/>
    <cellStyle name="Normal 18 2 7 2_Inputs" xfId="4025" xr:uid="{00000000-0005-0000-0000-00003D0C0000}"/>
    <cellStyle name="Normal 18 2 7 3" xfId="2291" xr:uid="{00000000-0005-0000-0000-00003E0C0000}"/>
    <cellStyle name="Normal 18 2 7 3 2" xfId="2292" xr:uid="{00000000-0005-0000-0000-00003F0C0000}"/>
    <cellStyle name="Normal 18 2 7 3_Inputs" xfId="4026" xr:uid="{00000000-0005-0000-0000-0000400C0000}"/>
    <cellStyle name="Normal 18 2 7 4" xfId="2293" xr:uid="{00000000-0005-0000-0000-0000410C0000}"/>
    <cellStyle name="Normal 18 2 7_Inputs" xfId="4024" xr:uid="{00000000-0005-0000-0000-0000420C0000}"/>
    <cellStyle name="Normal 18 2 8" xfId="2294" xr:uid="{00000000-0005-0000-0000-0000430C0000}"/>
    <cellStyle name="Normal 18 2 8 2" xfId="2295" xr:uid="{00000000-0005-0000-0000-0000440C0000}"/>
    <cellStyle name="Normal 18 2 8_Inputs" xfId="4027" xr:uid="{00000000-0005-0000-0000-0000450C0000}"/>
    <cellStyle name="Normal 18 2 9" xfId="2296" xr:uid="{00000000-0005-0000-0000-0000460C0000}"/>
    <cellStyle name="Normal 18 2 9 2" xfId="2297" xr:uid="{00000000-0005-0000-0000-0000470C0000}"/>
    <cellStyle name="Normal 18 2 9_Inputs" xfId="4028" xr:uid="{00000000-0005-0000-0000-0000480C0000}"/>
    <cellStyle name="Normal 18 2_Inputs" xfId="4008" xr:uid="{00000000-0005-0000-0000-0000490C0000}"/>
    <cellStyle name="Normal 18 3" xfId="2298" xr:uid="{00000000-0005-0000-0000-00004A0C0000}"/>
    <cellStyle name="Normal 18 3 2" xfId="2299" xr:uid="{00000000-0005-0000-0000-00004B0C0000}"/>
    <cellStyle name="Normal 18 3 2 2" xfId="2300" xr:uid="{00000000-0005-0000-0000-00004C0C0000}"/>
    <cellStyle name="Normal 18 3 2 2 2" xfId="2301" xr:uid="{00000000-0005-0000-0000-00004D0C0000}"/>
    <cellStyle name="Normal 18 3 2 2_Inputs" xfId="4030" xr:uid="{00000000-0005-0000-0000-00004E0C0000}"/>
    <cellStyle name="Normal 18 3 2 3" xfId="2302" xr:uid="{00000000-0005-0000-0000-00004F0C0000}"/>
    <cellStyle name="Normal 18 3 2 3 2" xfId="2303" xr:uid="{00000000-0005-0000-0000-0000500C0000}"/>
    <cellStyle name="Normal 18 3 2 3_Inputs" xfId="4031" xr:uid="{00000000-0005-0000-0000-0000510C0000}"/>
    <cellStyle name="Normal 18 3 2 4" xfId="2304" xr:uid="{00000000-0005-0000-0000-0000520C0000}"/>
    <cellStyle name="Normal 18 3 2_Inputs" xfId="4029" xr:uid="{00000000-0005-0000-0000-0000530C0000}"/>
    <cellStyle name="Normal 18 3 3" xfId="2305" xr:uid="{00000000-0005-0000-0000-0000540C0000}"/>
    <cellStyle name="Normal 18 3 3 2" xfId="2306" xr:uid="{00000000-0005-0000-0000-0000550C0000}"/>
    <cellStyle name="Normal 18 3 3 2 2" xfId="2307" xr:uid="{00000000-0005-0000-0000-0000560C0000}"/>
    <cellStyle name="Normal 18 3 3 2_Inputs" xfId="4033" xr:uid="{00000000-0005-0000-0000-0000570C0000}"/>
    <cellStyle name="Normal 18 3 3 3" xfId="2308" xr:uid="{00000000-0005-0000-0000-0000580C0000}"/>
    <cellStyle name="Normal 18 3 3 3 2" xfId="2309" xr:uid="{00000000-0005-0000-0000-0000590C0000}"/>
    <cellStyle name="Normal 18 3 3 3_Inputs" xfId="4034" xr:uid="{00000000-0005-0000-0000-00005A0C0000}"/>
    <cellStyle name="Normal 18 3 3 4" xfId="2310" xr:uid="{00000000-0005-0000-0000-00005B0C0000}"/>
    <cellStyle name="Normal 18 3 3_Inputs" xfId="4032" xr:uid="{00000000-0005-0000-0000-00005C0C0000}"/>
    <cellStyle name="Normal 18 3 4" xfId="2311" xr:uid="{00000000-0005-0000-0000-00005D0C0000}"/>
    <cellStyle name="Normal 18 3 4 2" xfId="2312" xr:uid="{00000000-0005-0000-0000-00005E0C0000}"/>
    <cellStyle name="Normal 18 3 4 2 2" xfId="2313" xr:uid="{00000000-0005-0000-0000-00005F0C0000}"/>
    <cellStyle name="Normal 18 3 4 2_Inputs" xfId="4036" xr:uid="{00000000-0005-0000-0000-0000600C0000}"/>
    <cellStyle name="Normal 18 3 4 3" xfId="2314" xr:uid="{00000000-0005-0000-0000-0000610C0000}"/>
    <cellStyle name="Normal 18 3 4 3 2" xfId="2315" xr:uid="{00000000-0005-0000-0000-0000620C0000}"/>
    <cellStyle name="Normal 18 3 4 3_Inputs" xfId="4037" xr:uid="{00000000-0005-0000-0000-0000630C0000}"/>
    <cellStyle name="Normal 18 3 4 4" xfId="2316" xr:uid="{00000000-0005-0000-0000-0000640C0000}"/>
    <cellStyle name="Normal 18 3 4_Inputs" xfId="4035" xr:uid="{00000000-0005-0000-0000-0000650C0000}"/>
    <cellStyle name="Normal 18 3 5" xfId="2317" xr:uid="{00000000-0005-0000-0000-0000660C0000}"/>
    <cellStyle name="Normal 18 3 5 2" xfId="2318" xr:uid="{00000000-0005-0000-0000-0000670C0000}"/>
    <cellStyle name="Normal 18 3 5 2 2" xfId="2319" xr:uid="{00000000-0005-0000-0000-0000680C0000}"/>
    <cellStyle name="Normal 18 3 5 2_Inputs" xfId="4039" xr:uid="{00000000-0005-0000-0000-0000690C0000}"/>
    <cellStyle name="Normal 18 3 5 3" xfId="2320" xr:uid="{00000000-0005-0000-0000-00006A0C0000}"/>
    <cellStyle name="Normal 18 3 5 3 2" xfId="2321" xr:uid="{00000000-0005-0000-0000-00006B0C0000}"/>
    <cellStyle name="Normal 18 3 5 3_Inputs" xfId="4040" xr:uid="{00000000-0005-0000-0000-00006C0C0000}"/>
    <cellStyle name="Normal 18 3 5 4" xfId="2322" xr:uid="{00000000-0005-0000-0000-00006D0C0000}"/>
    <cellStyle name="Normal 18 3 5_Inputs" xfId="4038" xr:uid="{00000000-0005-0000-0000-00006E0C0000}"/>
    <cellStyle name="Normal 18 3 6" xfId="2323" xr:uid="{00000000-0005-0000-0000-00006F0C0000}"/>
    <cellStyle name="Normal 18 3 6 2" xfId="2324" xr:uid="{00000000-0005-0000-0000-0000700C0000}"/>
    <cellStyle name="Normal 18 3 6 2 2" xfId="2325" xr:uid="{00000000-0005-0000-0000-0000710C0000}"/>
    <cellStyle name="Normal 18 3 6 2_Inputs" xfId="4042" xr:uid="{00000000-0005-0000-0000-0000720C0000}"/>
    <cellStyle name="Normal 18 3 6 3" xfId="2326" xr:uid="{00000000-0005-0000-0000-0000730C0000}"/>
    <cellStyle name="Normal 18 3 6 3 2" xfId="2327" xr:uid="{00000000-0005-0000-0000-0000740C0000}"/>
    <cellStyle name="Normal 18 3 6 3_Inputs" xfId="4043" xr:uid="{00000000-0005-0000-0000-0000750C0000}"/>
    <cellStyle name="Normal 18 3 6 4" xfId="2328" xr:uid="{00000000-0005-0000-0000-0000760C0000}"/>
    <cellStyle name="Normal 18 3 6_Inputs" xfId="4041" xr:uid="{00000000-0005-0000-0000-0000770C0000}"/>
    <cellStyle name="Normal 18 3 7" xfId="2329" xr:uid="{00000000-0005-0000-0000-0000780C0000}"/>
    <cellStyle name="Normal 18 3 7 2" xfId="2330" xr:uid="{00000000-0005-0000-0000-0000790C0000}"/>
    <cellStyle name="Normal 18 3 7 2 2" xfId="2331" xr:uid="{00000000-0005-0000-0000-00007A0C0000}"/>
    <cellStyle name="Normal 18 3 7 2_Inputs" xfId="4045" xr:uid="{00000000-0005-0000-0000-00007B0C0000}"/>
    <cellStyle name="Normal 18 3 7 3" xfId="2332" xr:uid="{00000000-0005-0000-0000-00007C0C0000}"/>
    <cellStyle name="Normal 18 3 7 3 2" xfId="2333" xr:uid="{00000000-0005-0000-0000-00007D0C0000}"/>
    <cellStyle name="Normal 18 3 7 3_Inputs" xfId="4046" xr:uid="{00000000-0005-0000-0000-00007E0C0000}"/>
    <cellStyle name="Normal 18 3 7 4" xfId="2334" xr:uid="{00000000-0005-0000-0000-00007F0C0000}"/>
    <cellStyle name="Normal 18 3 7_Inputs" xfId="4044" xr:uid="{00000000-0005-0000-0000-0000800C0000}"/>
    <cellStyle name="Normal 18 3 8" xfId="2335" xr:uid="{00000000-0005-0000-0000-0000810C0000}"/>
    <cellStyle name="Normal 18 3 8 2" xfId="2336" xr:uid="{00000000-0005-0000-0000-0000820C0000}"/>
    <cellStyle name="Normal 18 3 8 2 2" xfId="2337" xr:uid="{00000000-0005-0000-0000-0000830C0000}"/>
    <cellStyle name="Normal 18 3 8 2_Inputs" xfId="4048" xr:uid="{00000000-0005-0000-0000-0000840C0000}"/>
    <cellStyle name="Normal 18 3 8 3" xfId="2338" xr:uid="{00000000-0005-0000-0000-0000850C0000}"/>
    <cellStyle name="Normal 18 3 8 3 2" xfId="2339" xr:uid="{00000000-0005-0000-0000-0000860C0000}"/>
    <cellStyle name="Normal 18 3 8 3_Inputs" xfId="4049" xr:uid="{00000000-0005-0000-0000-0000870C0000}"/>
    <cellStyle name="Normal 18 3 8 4" xfId="2340" xr:uid="{00000000-0005-0000-0000-0000880C0000}"/>
    <cellStyle name="Normal 18 3 8_Inputs" xfId="4047" xr:uid="{00000000-0005-0000-0000-0000890C0000}"/>
    <cellStyle name="Normal 18 3 9" xfId="2341" xr:uid="{00000000-0005-0000-0000-00008A0C0000}"/>
    <cellStyle name="Normal 18 4" xfId="2342" xr:uid="{00000000-0005-0000-0000-00008B0C0000}"/>
    <cellStyle name="Normal 18 5" xfId="2343" xr:uid="{00000000-0005-0000-0000-00008C0C0000}"/>
    <cellStyle name="Normal 18 5 2" xfId="2344" xr:uid="{00000000-0005-0000-0000-00008D0C0000}"/>
    <cellStyle name="Normal 18 5 2 2" xfId="2345" xr:uid="{00000000-0005-0000-0000-00008E0C0000}"/>
    <cellStyle name="Normal 18 5 2_Inputs" xfId="4051" xr:uid="{00000000-0005-0000-0000-00008F0C0000}"/>
    <cellStyle name="Normal 18 5 3" xfId="2346" xr:uid="{00000000-0005-0000-0000-0000900C0000}"/>
    <cellStyle name="Normal 18 5 3 2" xfId="2347" xr:uid="{00000000-0005-0000-0000-0000910C0000}"/>
    <cellStyle name="Normal 18 5 3_Inputs" xfId="4052" xr:uid="{00000000-0005-0000-0000-0000920C0000}"/>
    <cellStyle name="Normal 18 5 4" xfId="2348" xr:uid="{00000000-0005-0000-0000-0000930C0000}"/>
    <cellStyle name="Normal 18 5_Inputs" xfId="4050" xr:uid="{00000000-0005-0000-0000-0000940C0000}"/>
    <cellStyle name="Normal 18 6" xfId="2349" xr:uid="{00000000-0005-0000-0000-0000950C0000}"/>
    <cellStyle name="Normal 18 6 2" xfId="2350" xr:uid="{00000000-0005-0000-0000-0000960C0000}"/>
    <cellStyle name="Normal 18 6 2 2" xfId="2351" xr:uid="{00000000-0005-0000-0000-0000970C0000}"/>
    <cellStyle name="Normal 18 6 2_Inputs" xfId="4054" xr:uid="{00000000-0005-0000-0000-0000980C0000}"/>
    <cellStyle name="Normal 18 6 3" xfId="2352" xr:uid="{00000000-0005-0000-0000-0000990C0000}"/>
    <cellStyle name="Normal 18 6 3 2" xfId="2353" xr:uid="{00000000-0005-0000-0000-00009A0C0000}"/>
    <cellStyle name="Normal 18 6 3_Inputs" xfId="4055" xr:uid="{00000000-0005-0000-0000-00009B0C0000}"/>
    <cellStyle name="Normal 18 6 4" xfId="2354" xr:uid="{00000000-0005-0000-0000-00009C0C0000}"/>
    <cellStyle name="Normal 18 6_Inputs" xfId="4053" xr:uid="{00000000-0005-0000-0000-00009D0C0000}"/>
    <cellStyle name="Normal 18 7" xfId="2355" xr:uid="{00000000-0005-0000-0000-00009E0C0000}"/>
    <cellStyle name="Normal 18 7 2" xfId="2356" xr:uid="{00000000-0005-0000-0000-00009F0C0000}"/>
    <cellStyle name="Normal 18 7 2 2" xfId="2357" xr:uid="{00000000-0005-0000-0000-0000A00C0000}"/>
    <cellStyle name="Normal 18 7 2_Inputs" xfId="4057" xr:uid="{00000000-0005-0000-0000-0000A10C0000}"/>
    <cellStyle name="Normal 18 7 3" xfId="2358" xr:uid="{00000000-0005-0000-0000-0000A20C0000}"/>
    <cellStyle name="Normal 18 7 3 2" xfId="2359" xr:uid="{00000000-0005-0000-0000-0000A30C0000}"/>
    <cellStyle name="Normal 18 7 3_Inputs" xfId="4058" xr:uid="{00000000-0005-0000-0000-0000A40C0000}"/>
    <cellStyle name="Normal 18 7 4" xfId="2360" xr:uid="{00000000-0005-0000-0000-0000A50C0000}"/>
    <cellStyle name="Normal 18 7_Inputs" xfId="4056" xr:uid="{00000000-0005-0000-0000-0000A60C0000}"/>
    <cellStyle name="Normal 18 8" xfId="2361" xr:uid="{00000000-0005-0000-0000-0000A70C0000}"/>
    <cellStyle name="Normal 18 8 2" xfId="2362" xr:uid="{00000000-0005-0000-0000-0000A80C0000}"/>
    <cellStyle name="Normal 18 8 2 2" xfId="2363" xr:uid="{00000000-0005-0000-0000-0000A90C0000}"/>
    <cellStyle name="Normal 18 8 2_Inputs" xfId="4060" xr:uid="{00000000-0005-0000-0000-0000AA0C0000}"/>
    <cellStyle name="Normal 18 8 3" xfId="2364" xr:uid="{00000000-0005-0000-0000-0000AB0C0000}"/>
    <cellStyle name="Normal 18 8 3 2" xfId="2365" xr:uid="{00000000-0005-0000-0000-0000AC0C0000}"/>
    <cellStyle name="Normal 18 8 3_Inputs" xfId="4061" xr:uid="{00000000-0005-0000-0000-0000AD0C0000}"/>
    <cellStyle name="Normal 18 8 4" xfId="2366" xr:uid="{00000000-0005-0000-0000-0000AE0C0000}"/>
    <cellStyle name="Normal 18 8_Inputs" xfId="4059" xr:uid="{00000000-0005-0000-0000-0000AF0C0000}"/>
    <cellStyle name="Normal 18 9" xfId="2367" xr:uid="{00000000-0005-0000-0000-0000B00C0000}"/>
    <cellStyle name="Normal 18 9 2" xfId="2368" xr:uid="{00000000-0005-0000-0000-0000B10C0000}"/>
    <cellStyle name="Normal 18 9 2 2" xfId="2369" xr:uid="{00000000-0005-0000-0000-0000B20C0000}"/>
    <cellStyle name="Normal 18 9 2_Inputs" xfId="4063" xr:uid="{00000000-0005-0000-0000-0000B30C0000}"/>
    <cellStyle name="Normal 18 9 3" xfId="2370" xr:uid="{00000000-0005-0000-0000-0000B40C0000}"/>
    <cellStyle name="Normal 18 9 3 2" xfId="2371" xr:uid="{00000000-0005-0000-0000-0000B50C0000}"/>
    <cellStyle name="Normal 18 9 3_Inputs" xfId="4064" xr:uid="{00000000-0005-0000-0000-0000B60C0000}"/>
    <cellStyle name="Normal 18 9 4" xfId="2372" xr:uid="{00000000-0005-0000-0000-0000B70C0000}"/>
    <cellStyle name="Normal 18 9_Inputs" xfId="4062" xr:uid="{00000000-0005-0000-0000-0000B80C0000}"/>
    <cellStyle name="Normal 19" xfId="2373" xr:uid="{00000000-0005-0000-0000-0000B90C0000}"/>
    <cellStyle name="Normal 19 10" xfId="2374" xr:uid="{00000000-0005-0000-0000-0000BA0C0000}"/>
    <cellStyle name="Normal 19 10 2" xfId="2375" xr:uid="{00000000-0005-0000-0000-0000BB0C0000}"/>
    <cellStyle name="Normal 19 10 2 2" xfId="2376" xr:uid="{00000000-0005-0000-0000-0000BC0C0000}"/>
    <cellStyle name="Normal 19 10 2_Inputs" xfId="4066" xr:uid="{00000000-0005-0000-0000-0000BD0C0000}"/>
    <cellStyle name="Normal 19 10 3" xfId="2377" xr:uid="{00000000-0005-0000-0000-0000BE0C0000}"/>
    <cellStyle name="Normal 19 10 3 2" xfId="2378" xr:uid="{00000000-0005-0000-0000-0000BF0C0000}"/>
    <cellStyle name="Normal 19 10 3_Inputs" xfId="4067" xr:uid="{00000000-0005-0000-0000-0000C00C0000}"/>
    <cellStyle name="Normal 19 10 4" xfId="2379" xr:uid="{00000000-0005-0000-0000-0000C10C0000}"/>
    <cellStyle name="Normal 19 10_Inputs" xfId="4065" xr:uid="{00000000-0005-0000-0000-0000C20C0000}"/>
    <cellStyle name="Normal 19 11" xfId="2380" xr:uid="{00000000-0005-0000-0000-0000C30C0000}"/>
    <cellStyle name="Normal 19 12" xfId="2381" xr:uid="{00000000-0005-0000-0000-0000C40C0000}"/>
    <cellStyle name="Normal 19 2" xfId="2382" xr:uid="{00000000-0005-0000-0000-0000C50C0000}"/>
    <cellStyle name="Normal 19 2 2" xfId="2383" xr:uid="{00000000-0005-0000-0000-0000C60C0000}"/>
    <cellStyle name="Normal 19 2 2 2" xfId="2384" xr:uid="{00000000-0005-0000-0000-0000C70C0000}"/>
    <cellStyle name="Normal 19 2 2_Inputs" xfId="4069" xr:uid="{00000000-0005-0000-0000-0000C80C0000}"/>
    <cellStyle name="Normal 19 2 3" xfId="2385" xr:uid="{00000000-0005-0000-0000-0000C90C0000}"/>
    <cellStyle name="Normal 19 2 3 2" xfId="2386" xr:uid="{00000000-0005-0000-0000-0000CA0C0000}"/>
    <cellStyle name="Normal 19 2 3_Inputs" xfId="4070" xr:uid="{00000000-0005-0000-0000-0000CB0C0000}"/>
    <cellStyle name="Normal 19 2 4" xfId="2387" xr:uid="{00000000-0005-0000-0000-0000CC0C0000}"/>
    <cellStyle name="Normal 19 2_Inputs" xfId="4068" xr:uid="{00000000-0005-0000-0000-0000CD0C0000}"/>
    <cellStyle name="Normal 19 3" xfId="2388" xr:uid="{00000000-0005-0000-0000-0000CE0C0000}"/>
    <cellStyle name="Normal 19 3 2" xfId="2389" xr:uid="{00000000-0005-0000-0000-0000CF0C0000}"/>
    <cellStyle name="Normal 19 3 2 2" xfId="2390" xr:uid="{00000000-0005-0000-0000-0000D00C0000}"/>
    <cellStyle name="Normal 19 3 2 2 2" xfId="2391" xr:uid="{00000000-0005-0000-0000-0000D10C0000}"/>
    <cellStyle name="Normal 19 3 2 2_Inputs" xfId="4072" xr:uid="{00000000-0005-0000-0000-0000D20C0000}"/>
    <cellStyle name="Normal 19 3 2 3" xfId="2392" xr:uid="{00000000-0005-0000-0000-0000D30C0000}"/>
    <cellStyle name="Normal 19 3 2 3 2" xfId="2393" xr:uid="{00000000-0005-0000-0000-0000D40C0000}"/>
    <cellStyle name="Normal 19 3 2 3_Inputs" xfId="4073" xr:uid="{00000000-0005-0000-0000-0000D50C0000}"/>
    <cellStyle name="Normal 19 3 2 4" xfId="2394" xr:uid="{00000000-0005-0000-0000-0000D60C0000}"/>
    <cellStyle name="Normal 19 3 2_Inputs" xfId="4071" xr:uid="{00000000-0005-0000-0000-0000D70C0000}"/>
    <cellStyle name="Normal 19 3 3" xfId="2395" xr:uid="{00000000-0005-0000-0000-0000D80C0000}"/>
    <cellStyle name="Normal 19 3 3 2" xfId="2396" xr:uid="{00000000-0005-0000-0000-0000D90C0000}"/>
    <cellStyle name="Normal 19 3 3 2 2" xfId="2397" xr:uid="{00000000-0005-0000-0000-0000DA0C0000}"/>
    <cellStyle name="Normal 19 3 3 2_Inputs" xfId="4075" xr:uid="{00000000-0005-0000-0000-0000DB0C0000}"/>
    <cellStyle name="Normal 19 3 3 3" xfId="2398" xr:uid="{00000000-0005-0000-0000-0000DC0C0000}"/>
    <cellStyle name="Normal 19 3 3 3 2" xfId="2399" xr:uid="{00000000-0005-0000-0000-0000DD0C0000}"/>
    <cellStyle name="Normal 19 3 3 3_Inputs" xfId="4076" xr:uid="{00000000-0005-0000-0000-0000DE0C0000}"/>
    <cellStyle name="Normal 19 3 3 4" xfId="2400" xr:uid="{00000000-0005-0000-0000-0000DF0C0000}"/>
    <cellStyle name="Normal 19 3 3_Inputs" xfId="4074" xr:uid="{00000000-0005-0000-0000-0000E00C0000}"/>
    <cellStyle name="Normal 19 3 4" xfId="2401" xr:uid="{00000000-0005-0000-0000-0000E10C0000}"/>
    <cellStyle name="Normal 19 3 4 2" xfId="2402" xr:uid="{00000000-0005-0000-0000-0000E20C0000}"/>
    <cellStyle name="Normal 19 3 4 2 2" xfId="2403" xr:uid="{00000000-0005-0000-0000-0000E30C0000}"/>
    <cellStyle name="Normal 19 3 4 2_Inputs" xfId="4078" xr:uid="{00000000-0005-0000-0000-0000E40C0000}"/>
    <cellStyle name="Normal 19 3 4 3" xfId="2404" xr:uid="{00000000-0005-0000-0000-0000E50C0000}"/>
    <cellStyle name="Normal 19 3 4 3 2" xfId="2405" xr:uid="{00000000-0005-0000-0000-0000E60C0000}"/>
    <cellStyle name="Normal 19 3 4 3_Inputs" xfId="4079" xr:uid="{00000000-0005-0000-0000-0000E70C0000}"/>
    <cellStyle name="Normal 19 3 4 4" xfId="2406" xr:uid="{00000000-0005-0000-0000-0000E80C0000}"/>
    <cellStyle name="Normal 19 3 4_Inputs" xfId="4077" xr:uid="{00000000-0005-0000-0000-0000E90C0000}"/>
    <cellStyle name="Normal 19 3 5" xfId="2407" xr:uid="{00000000-0005-0000-0000-0000EA0C0000}"/>
    <cellStyle name="Normal 19 3 5 2" xfId="2408" xr:uid="{00000000-0005-0000-0000-0000EB0C0000}"/>
    <cellStyle name="Normal 19 3 5 2 2" xfId="2409" xr:uid="{00000000-0005-0000-0000-0000EC0C0000}"/>
    <cellStyle name="Normal 19 3 5 2_Inputs" xfId="4081" xr:uid="{00000000-0005-0000-0000-0000ED0C0000}"/>
    <cellStyle name="Normal 19 3 5 3" xfId="2410" xr:uid="{00000000-0005-0000-0000-0000EE0C0000}"/>
    <cellStyle name="Normal 19 3 5 3 2" xfId="2411" xr:uid="{00000000-0005-0000-0000-0000EF0C0000}"/>
    <cellStyle name="Normal 19 3 5 3_Inputs" xfId="4082" xr:uid="{00000000-0005-0000-0000-0000F00C0000}"/>
    <cellStyle name="Normal 19 3 5 4" xfId="2412" xr:uid="{00000000-0005-0000-0000-0000F10C0000}"/>
    <cellStyle name="Normal 19 3 5_Inputs" xfId="4080" xr:uid="{00000000-0005-0000-0000-0000F20C0000}"/>
    <cellStyle name="Normal 19 3 6" xfId="2413" xr:uid="{00000000-0005-0000-0000-0000F30C0000}"/>
    <cellStyle name="Normal 19 3 6 2" xfId="2414" xr:uid="{00000000-0005-0000-0000-0000F40C0000}"/>
    <cellStyle name="Normal 19 3 6 2 2" xfId="2415" xr:uid="{00000000-0005-0000-0000-0000F50C0000}"/>
    <cellStyle name="Normal 19 3 6 2_Inputs" xfId="4084" xr:uid="{00000000-0005-0000-0000-0000F60C0000}"/>
    <cellStyle name="Normal 19 3 6 3" xfId="2416" xr:uid="{00000000-0005-0000-0000-0000F70C0000}"/>
    <cellStyle name="Normal 19 3 6 3 2" xfId="2417" xr:uid="{00000000-0005-0000-0000-0000F80C0000}"/>
    <cellStyle name="Normal 19 3 6 3_Inputs" xfId="4085" xr:uid="{00000000-0005-0000-0000-0000F90C0000}"/>
    <cellStyle name="Normal 19 3 6 4" xfId="2418" xr:uid="{00000000-0005-0000-0000-0000FA0C0000}"/>
    <cellStyle name="Normal 19 3 6_Inputs" xfId="4083" xr:uid="{00000000-0005-0000-0000-0000FB0C0000}"/>
    <cellStyle name="Normal 19 3 7" xfId="2419" xr:uid="{00000000-0005-0000-0000-0000FC0C0000}"/>
    <cellStyle name="Normal 19 3 7 2" xfId="2420" xr:uid="{00000000-0005-0000-0000-0000FD0C0000}"/>
    <cellStyle name="Normal 19 3 7 2 2" xfId="2421" xr:uid="{00000000-0005-0000-0000-0000FE0C0000}"/>
    <cellStyle name="Normal 19 3 7 2_Inputs" xfId="4087" xr:uid="{00000000-0005-0000-0000-0000FF0C0000}"/>
    <cellStyle name="Normal 19 3 7 3" xfId="2422" xr:uid="{00000000-0005-0000-0000-0000000D0000}"/>
    <cellStyle name="Normal 19 3 7 3 2" xfId="2423" xr:uid="{00000000-0005-0000-0000-0000010D0000}"/>
    <cellStyle name="Normal 19 3 7 3_Inputs" xfId="4088" xr:uid="{00000000-0005-0000-0000-0000020D0000}"/>
    <cellStyle name="Normal 19 3 7 4" xfId="2424" xr:uid="{00000000-0005-0000-0000-0000030D0000}"/>
    <cellStyle name="Normal 19 3 7_Inputs" xfId="4086" xr:uid="{00000000-0005-0000-0000-0000040D0000}"/>
    <cellStyle name="Normal 19 3 8" xfId="2425" xr:uid="{00000000-0005-0000-0000-0000050D0000}"/>
    <cellStyle name="Normal 19 4" xfId="2426" xr:uid="{00000000-0005-0000-0000-0000060D0000}"/>
    <cellStyle name="Normal 19 4 2" xfId="2427" xr:uid="{00000000-0005-0000-0000-0000070D0000}"/>
    <cellStyle name="Normal 19 4 2 2" xfId="2428" xr:uid="{00000000-0005-0000-0000-0000080D0000}"/>
    <cellStyle name="Normal 19 4 2_Inputs" xfId="4090" xr:uid="{00000000-0005-0000-0000-0000090D0000}"/>
    <cellStyle name="Normal 19 4 3" xfId="2429" xr:uid="{00000000-0005-0000-0000-00000A0D0000}"/>
    <cellStyle name="Normal 19 4 3 2" xfId="2430" xr:uid="{00000000-0005-0000-0000-00000B0D0000}"/>
    <cellStyle name="Normal 19 4 3_Inputs" xfId="4091" xr:uid="{00000000-0005-0000-0000-00000C0D0000}"/>
    <cellStyle name="Normal 19 4 4" xfId="2431" xr:uid="{00000000-0005-0000-0000-00000D0D0000}"/>
    <cellStyle name="Normal 19 4 5" xfId="2432" xr:uid="{00000000-0005-0000-0000-00000E0D0000}"/>
    <cellStyle name="Normal 19 4_Inputs" xfId="4089" xr:uid="{00000000-0005-0000-0000-00000F0D0000}"/>
    <cellStyle name="Normal 19 5" xfId="2433" xr:uid="{00000000-0005-0000-0000-0000100D0000}"/>
    <cellStyle name="Normal 19 5 2" xfId="2434" xr:uid="{00000000-0005-0000-0000-0000110D0000}"/>
    <cellStyle name="Normal 19 5 2 2" xfId="2435" xr:uid="{00000000-0005-0000-0000-0000120D0000}"/>
    <cellStyle name="Normal 19 5 2_Inputs" xfId="4093" xr:uid="{00000000-0005-0000-0000-0000130D0000}"/>
    <cellStyle name="Normal 19 5 3" xfId="2436" xr:uid="{00000000-0005-0000-0000-0000140D0000}"/>
    <cellStyle name="Normal 19 5 3 2" xfId="2437" xr:uid="{00000000-0005-0000-0000-0000150D0000}"/>
    <cellStyle name="Normal 19 5 3_Inputs" xfId="4094" xr:uid="{00000000-0005-0000-0000-0000160D0000}"/>
    <cellStyle name="Normal 19 5 4" xfId="2438" xr:uid="{00000000-0005-0000-0000-0000170D0000}"/>
    <cellStyle name="Normal 19 5_Inputs" xfId="4092" xr:uid="{00000000-0005-0000-0000-0000180D0000}"/>
    <cellStyle name="Normal 19 6" xfId="2439" xr:uid="{00000000-0005-0000-0000-0000190D0000}"/>
    <cellStyle name="Normal 19 6 2" xfId="2440" xr:uid="{00000000-0005-0000-0000-00001A0D0000}"/>
    <cellStyle name="Normal 19 6 2 2" xfId="2441" xr:uid="{00000000-0005-0000-0000-00001B0D0000}"/>
    <cellStyle name="Normal 19 6 2_Inputs" xfId="4096" xr:uid="{00000000-0005-0000-0000-00001C0D0000}"/>
    <cellStyle name="Normal 19 6 3" xfId="2442" xr:uid="{00000000-0005-0000-0000-00001D0D0000}"/>
    <cellStyle name="Normal 19 6 3 2" xfId="2443" xr:uid="{00000000-0005-0000-0000-00001E0D0000}"/>
    <cellStyle name="Normal 19 6 3_Inputs" xfId="4097" xr:uid="{00000000-0005-0000-0000-00001F0D0000}"/>
    <cellStyle name="Normal 19 6 4" xfId="2444" xr:uid="{00000000-0005-0000-0000-0000200D0000}"/>
    <cellStyle name="Normal 19 6_Inputs" xfId="4095" xr:uid="{00000000-0005-0000-0000-0000210D0000}"/>
    <cellStyle name="Normal 19 7" xfId="2445" xr:uid="{00000000-0005-0000-0000-0000220D0000}"/>
    <cellStyle name="Normal 19 7 2" xfId="2446" xr:uid="{00000000-0005-0000-0000-0000230D0000}"/>
    <cellStyle name="Normal 19 7 2 2" xfId="2447" xr:uid="{00000000-0005-0000-0000-0000240D0000}"/>
    <cellStyle name="Normal 19 7 2_Inputs" xfId="4099" xr:uid="{00000000-0005-0000-0000-0000250D0000}"/>
    <cellStyle name="Normal 19 7 3" xfId="2448" xr:uid="{00000000-0005-0000-0000-0000260D0000}"/>
    <cellStyle name="Normal 19 7 3 2" xfId="2449" xr:uid="{00000000-0005-0000-0000-0000270D0000}"/>
    <cellStyle name="Normal 19 7 3_Inputs" xfId="4100" xr:uid="{00000000-0005-0000-0000-0000280D0000}"/>
    <cellStyle name="Normal 19 7 4" xfId="2450" xr:uid="{00000000-0005-0000-0000-0000290D0000}"/>
    <cellStyle name="Normal 19 7_Inputs" xfId="4098" xr:uid="{00000000-0005-0000-0000-00002A0D0000}"/>
    <cellStyle name="Normal 19 8" xfId="2451" xr:uid="{00000000-0005-0000-0000-00002B0D0000}"/>
    <cellStyle name="Normal 19 8 2" xfId="2452" xr:uid="{00000000-0005-0000-0000-00002C0D0000}"/>
    <cellStyle name="Normal 19 8 2 2" xfId="2453" xr:uid="{00000000-0005-0000-0000-00002D0D0000}"/>
    <cellStyle name="Normal 19 8 2_Inputs" xfId="4102" xr:uid="{00000000-0005-0000-0000-00002E0D0000}"/>
    <cellStyle name="Normal 19 8 3" xfId="2454" xr:uid="{00000000-0005-0000-0000-00002F0D0000}"/>
    <cellStyle name="Normal 19 8 3 2" xfId="2455" xr:uid="{00000000-0005-0000-0000-0000300D0000}"/>
    <cellStyle name="Normal 19 8 3_Inputs" xfId="4103" xr:uid="{00000000-0005-0000-0000-0000310D0000}"/>
    <cellStyle name="Normal 19 8 4" xfId="2456" xr:uid="{00000000-0005-0000-0000-0000320D0000}"/>
    <cellStyle name="Normal 19 8_Inputs" xfId="4101" xr:uid="{00000000-0005-0000-0000-0000330D0000}"/>
    <cellStyle name="Normal 19 9" xfId="2457" xr:uid="{00000000-0005-0000-0000-0000340D0000}"/>
    <cellStyle name="Normal 19 9 2" xfId="2458" xr:uid="{00000000-0005-0000-0000-0000350D0000}"/>
    <cellStyle name="Normal 19 9 2 2" xfId="2459" xr:uid="{00000000-0005-0000-0000-0000360D0000}"/>
    <cellStyle name="Normal 19 9 2_Inputs" xfId="4105" xr:uid="{00000000-0005-0000-0000-0000370D0000}"/>
    <cellStyle name="Normal 19 9 3" xfId="2460" xr:uid="{00000000-0005-0000-0000-0000380D0000}"/>
    <cellStyle name="Normal 19 9 3 2" xfId="2461" xr:uid="{00000000-0005-0000-0000-0000390D0000}"/>
    <cellStyle name="Normal 19 9 3_Inputs" xfId="4106" xr:uid="{00000000-0005-0000-0000-00003A0D0000}"/>
    <cellStyle name="Normal 19 9 4" xfId="2462" xr:uid="{00000000-0005-0000-0000-00003B0D0000}"/>
    <cellStyle name="Normal 19 9_Inputs" xfId="4104" xr:uid="{00000000-0005-0000-0000-00003C0D0000}"/>
    <cellStyle name="Normal 2" xfId="4" xr:uid="{00000000-0005-0000-0000-00003D0D0000}"/>
    <cellStyle name="Normal 2 2" xfId="2463" xr:uid="{00000000-0005-0000-0000-00003E0D0000}"/>
    <cellStyle name="Normal 2 2 10" xfId="2464" xr:uid="{00000000-0005-0000-0000-00003F0D0000}"/>
    <cellStyle name="Normal 2 2 2" xfId="2465" xr:uid="{00000000-0005-0000-0000-0000400D0000}"/>
    <cellStyle name="Normal 2 2 2 10" xfId="2466" xr:uid="{00000000-0005-0000-0000-0000410D0000}"/>
    <cellStyle name="Normal 2 2 2 10 2" xfId="2467" xr:uid="{00000000-0005-0000-0000-0000420D0000}"/>
    <cellStyle name="Normal 2 2 2 10 2 2" xfId="2468" xr:uid="{00000000-0005-0000-0000-0000430D0000}"/>
    <cellStyle name="Normal 2 2 2 10 2_Inputs" xfId="4108" xr:uid="{00000000-0005-0000-0000-0000440D0000}"/>
    <cellStyle name="Normal 2 2 2 10 3" xfId="2469" xr:uid="{00000000-0005-0000-0000-0000450D0000}"/>
    <cellStyle name="Normal 2 2 2 10 3 2" xfId="2470" xr:uid="{00000000-0005-0000-0000-0000460D0000}"/>
    <cellStyle name="Normal 2 2 2 10 3_Inputs" xfId="4109" xr:uid="{00000000-0005-0000-0000-0000470D0000}"/>
    <cellStyle name="Normal 2 2 2 10 4" xfId="2471" xr:uid="{00000000-0005-0000-0000-0000480D0000}"/>
    <cellStyle name="Normal 2 2 2 10_Inputs" xfId="4107" xr:uid="{00000000-0005-0000-0000-0000490D0000}"/>
    <cellStyle name="Normal 2 2 2 11" xfId="2472" xr:uid="{00000000-0005-0000-0000-00004A0D0000}"/>
    <cellStyle name="Normal 2 2 2 11 2" xfId="2473" xr:uid="{00000000-0005-0000-0000-00004B0D0000}"/>
    <cellStyle name="Normal 2 2 2 11 2 2" xfId="2474" xr:uid="{00000000-0005-0000-0000-00004C0D0000}"/>
    <cellStyle name="Normal 2 2 2 11 2_Inputs" xfId="4111" xr:uid="{00000000-0005-0000-0000-00004D0D0000}"/>
    <cellStyle name="Normal 2 2 2 11 3" xfId="2475" xr:uid="{00000000-0005-0000-0000-00004E0D0000}"/>
    <cellStyle name="Normal 2 2 2 11 3 2" xfId="2476" xr:uid="{00000000-0005-0000-0000-00004F0D0000}"/>
    <cellStyle name="Normal 2 2 2 11 3_Inputs" xfId="4112" xr:uid="{00000000-0005-0000-0000-0000500D0000}"/>
    <cellStyle name="Normal 2 2 2 11 4" xfId="2477" xr:uid="{00000000-0005-0000-0000-0000510D0000}"/>
    <cellStyle name="Normal 2 2 2 11_Inputs" xfId="4110" xr:uid="{00000000-0005-0000-0000-0000520D0000}"/>
    <cellStyle name="Normal 2 2 2 12" xfId="2478" xr:uid="{00000000-0005-0000-0000-0000530D0000}"/>
    <cellStyle name="Normal 2 2 2 12 2" xfId="2479" xr:uid="{00000000-0005-0000-0000-0000540D0000}"/>
    <cellStyle name="Normal 2 2 2 12 2 2" xfId="2480" xr:uid="{00000000-0005-0000-0000-0000550D0000}"/>
    <cellStyle name="Normal 2 2 2 12 2_Inputs" xfId="4114" xr:uid="{00000000-0005-0000-0000-0000560D0000}"/>
    <cellStyle name="Normal 2 2 2 12 3" xfId="2481" xr:uid="{00000000-0005-0000-0000-0000570D0000}"/>
    <cellStyle name="Normal 2 2 2 12 3 2" xfId="2482" xr:uid="{00000000-0005-0000-0000-0000580D0000}"/>
    <cellStyle name="Normal 2 2 2 12 3_Inputs" xfId="4115" xr:uid="{00000000-0005-0000-0000-0000590D0000}"/>
    <cellStyle name="Normal 2 2 2 12 4" xfId="2483" xr:uid="{00000000-0005-0000-0000-00005A0D0000}"/>
    <cellStyle name="Normal 2 2 2 12_Inputs" xfId="4113" xr:uid="{00000000-0005-0000-0000-00005B0D0000}"/>
    <cellStyle name="Normal 2 2 2 13" xfId="2484" xr:uid="{00000000-0005-0000-0000-00005C0D0000}"/>
    <cellStyle name="Normal 2 2 2 13 2" xfId="2485" xr:uid="{00000000-0005-0000-0000-00005D0D0000}"/>
    <cellStyle name="Normal 2 2 2 13 2 2" xfId="2486" xr:uid="{00000000-0005-0000-0000-00005E0D0000}"/>
    <cellStyle name="Normal 2 2 2 13 2_Inputs" xfId="4117" xr:uid="{00000000-0005-0000-0000-00005F0D0000}"/>
    <cellStyle name="Normal 2 2 2 13 3" xfId="2487" xr:uid="{00000000-0005-0000-0000-0000600D0000}"/>
    <cellStyle name="Normal 2 2 2 13 3 2" xfId="2488" xr:uid="{00000000-0005-0000-0000-0000610D0000}"/>
    <cellStyle name="Normal 2 2 2 13 3_Inputs" xfId="4118" xr:uid="{00000000-0005-0000-0000-0000620D0000}"/>
    <cellStyle name="Normal 2 2 2 13 4" xfId="2489" xr:uid="{00000000-0005-0000-0000-0000630D0000}"/>
    <cellStyle name="Normal 2 2 2 13_Inputs" xfId="4116" xr:uid="{00000000-0005-0000-0000-0000640D0000}"/>
    <cellStyle name="Normal 2 2 2 14" xfId="2490" xr:uid="{00000000-0005-0000-0000-0000650D0000}"/>
    <cellStyle name="Normal 2 2 2 14 2" xfId="2491" xr:uid="{00000000-0005-0000-0000-0000660D0000}"/>
    <cellStyle name="Normal 2 2 2 14 2 2" xfId="2492" xr:uid="{00000000-0005-0000-0000-0000670D0000}"/>
    <cellStyle name="Normal 2 2 2 14 2_Inputs" xfId="4120" xr:uid="{00000000-0005-0000-0000-0000680D0000}"/>
    <cellStyle name="Normal 2 2 2 14 3" xfId="2493" xr:uid="{00000000-0005-0000-0000-0000690D0000}"/>
    <cellStyle name="Normal 2 2 2 14 3 2" xfId="2494" xr:uid="{00000000-0005-0000-0000-00006A0D0000}"/>
    <cellStyle name="Normal 2 2 2 14 3_Inputs" xfId="4121" xr:uid="{00000000-0005-0000-0000-00006B0D0000}"/>
    <cellStyle name="Normal 2 2 2 14 4" xfId="2495" xr:uid="{00000000-0005-0000-0000-00006C0D0000}"/>
    <cellStyle name="Normal 2 2 2 14_Inputs" xfId="4119" xr:uid="{00000000-0005-0000-0000-00006D0D0000}"/>
    <cellStyle name="Normal 2 2 2 15" xfId="2496" xr:uid="{00000000-0005-0000-0000-00006E0D0000}"/>
    <cellStyle name="Normal 2 2 2 15 2" xfId="2497" xr:uid="{00000000-0005-0000-0000-00006F0D0000}"/>
    <cellStyle name="Normal 2 2 2 15 2 2" xfId="2498" xr:uid="{00000000-0005-0000-0000-0000700D0000}"/>
    <cellStyle name="Normal 2 2 2 15 2_Inputs" xfId="4123" xr:uid="{00000000-0005-0000-0000-0000710D0000}"/>
    <cellStyle name="Normal 2 2 2 15 3" xfId="2499" xr:uid="{00000000-0005-0000-0000-0000720D0000}"/>
    <cellStyle name="Normal 2 2 2 15 3 2" xfId="2500" xr:uid="{00000000-0005-0000-0000-0000730D0000}"/>
    <cellStyle name="Normal 2 2 2 15 3_Inputs" xfId="4124" xr:uid="{00000000-0005-0000-0000-0000740D0000}"/>
    <cellStyle name="Normal 2 2 2 15 4" xfId="2501" xr:uid="{00000000-0005-0000-0000-0000750D0000}"/>
    <cellStyle name="Normal 2 2 2 15_Inputs" xfId="4122" xr:uid="{00000000-0005-0000-0000-0000760D0000}"/>
    <cellStyle name="Normal 2 2 2 16" xfId="2502" xr:uid="{00000000-0005-0000-0000-0000770D0000}"/>
    <cellStyle name="Normal 2 2 2 17" xfId="2503" xr:uid="{00000000-0005-0000-0000-0000780D0000}"/>
    <cellStyle name="Normal 2 2 2 18" xfId="2504" xr:uid="{00000000-0005-0000-0000-0000790D0000}"/>
    <cellStyle name="Normal 2 2 2 2" xfId="2505" xr:uid="{00000000-0005-0000-0000-00007A0D0000}"/>
    <cellStyle name="Normal 2 2 2 2 2" xfId="2506" xr:uid="{00000000-0005-0000-0000-00007B0D0000}"/>
    <cellStyle name="Normal 2 2 2 2 2 2" xfId="2507" xr:uid="{00000000-0005-0000-0000-00007C0D0000}"/>
    <cellStyle name="Normal 2 2 2 2 2 2 2" xfId="2508" xr:uid="{00000000-0005-0000-0000-00007D0D0000}"/>
    <cellStyle name="Normal 2 2 2 2 2 2_Inputs" xfId="4127" xr:uid="{00000000-0005-0000-0000-00007E0D0000}"/>
    <cellStyle name="Normal 2 2 2 2 2 3" xfId="2509" xr:uid="{00000000-0005-0000-0000-00007F0D0000}"/>
    <cellStyle name="Normal 2 2 2 2 2 3 2" xfId="2510" xr:uid="{00000000-0005-0000-0000-0000800D0000}"/>
    <cellStyle name="Normal 2 2 2 2 2 3_Inputs" xfId="4128" xr:uid="{00000000-0005-0000-0000-0000810D0000}"/>
    <cellStyle name="Normal 2 2 2 2 2 4" xfId="2511" xr:uid="{00000000-0005-0000-0000-0000820D0000}"/>
    <cellStyle name="Normal 2 2 2 2 2_Inputs" xfId="4126" xr:uid="{00000000-0005-0000-0000-0000830D0000}"/>
    <cellStyle name="Normal 2 2 2 2 3" xfId="2512" xr:uid="{00000000-0005-0000-0000-0000840D0000}"/>
    <cellStyle name="Normal 2 2 2 2 3 2" xfId="2513" xr:uid="{00000000-0005-0000-0000-0000850D0000}"/>
    <cellStyle name="Normal 2 2 2 2 3_Inputs" xfId="4129" xr:uid="{00000000-0005-0000-0000-0000860D0000}"/>
    <cellStyle name="Normal 2 2 2 2 4" xfId="2514" xr:uid="{00000000-0005-0000-0000-0000870D0000}"/>
    <cellStyle name="Normal 2 2 2 2 4 2" xfId="2515" xr:uid="{00000000-0005-0000-0000-0000880D0000}"/>
    <cellStyle name="Normal 2 2 2 2 4_Inputs" xfId="4130" xr:uid="{00000000-0005-0000-0000-0000890D0000}"/>
    <cellStyle name="Normal 2 2 2 2 5" xfId="2516" xr:uid="{00000000-0005-0000-0000-00008A0D0000}"/>
    <cellStyle name="Normal 2 2 2 2_Inputs" xfId="4125" xr:uid="{00000000-0005-0000-0000-00008B0D0000}"/>
    <cellStyle name="Normal 2 2 2 3" xfId="2517" xr:uid="{00000000-0005-0000-0000-00008C0D0000}"/>
    <cellStyle name="Normal 2 2 2 3 2" xfId="2518" xr:uid="{00000000-0005-0000-0000-00008D0D0000}"/>
    <cellStyle name="Normal 2 2 2 3 2 2" xfId="2519" xr:uid="{00000000-0005-0000-0000-00008E0D0000}"/>
    <cellStyle name="Normal 2 2 2 3 2 2 2" xfId="2520" xr:uid="{00000000-0005-0000-0000-00008F0D0000}"/>
    <cellStyle name="Normal 2 2 2 3 2 2_Inputs" xfId="4133" xr:uid="{00000000-0005-0000-0000-0000900D0000}"/>
    <cellStyle name="Normal 2 2 2 3 2 3" xfId="2521" xr:uid="{00000000-0005-0000-0000-0000910D0000}"/>
    <cellStyle name="Normal 2 2 2 3 2 3 2" xfId="2522" xr:uid="{00000000-0005-0000-0000-0000920D0000}"/>
    <cellStyle name="Normal 2 2 2 3 2 3_Inputs" xfId="4134" xr:uid="{00000000-0005-0000-0000-0000930D0000}"/>
    <cellStyle name="Normal 2 2 2 3 2 4" xfId="2523" xr:uid="{00000000-0005-0000-0000-0000940D0000}"/>
    <cellStyle name="Normal 2 2 2 3 2_Inputs" xfId="4132" xr:uid="{00000000-0005-0000-0000-0000950D0000}"/>
    <cellStyle name="Normal 2 2 2 3 3" xfId="2524" xr:uid="{00000000-0005-0000-0000-0000960D0000}"/>
    <cellStyle name="Normal 2 2 2 3 3 2" xfId="2525" xr:uid="{00000000-0005-0000-0000-0000970D0000}"/>
    <cellStyle name="Normal 2 2 2 3 3_Inputs" xfId="4135" xr:uid="{00000000-0005-0000-0000-0000980D0000}"/>
    <cellStyle name="Normal 2 2 2 3 4" xfId="2526" xr:uid="{00000000-0005-0000-0000-0000990D0000}"/>
    <cellStyle name="Normal 2 2 2 3 4 2" xfId="2527" xr:uid="{00000000-0005-0000-0000-00009A0D0000}"/>
    <cellStyle name="Normal 2 2 2 3 4_Inputs" xfId="4136" xr:uid="{00000000-0005-0000-0000-00009B0D0000}"/>
    <cellStyle name="Normal 2 2 2 3 5" xfId="2528" xr:uid="{00000000-0005-0000-0000-00009C0D0000}"/>
    <cellStyle name="Normal 2 2 2 3_Inputs" xfId="4131" xr:uid="{00000000-0005-0000-0000-00009D0D0000}"/>
    <cellStyle name="Normal 2 2 2 4" xfId="2529" xr:uid="{00000000-0005-0000-0000-00009E0D0000}"/>
    <cellStyle name="Normal 2 2 2 4 10" xfId="2530" xr:uid="{00000000-0005-0000-0000-00009F0D0000}"/>
    <cellStyle name="Normal 2 2 2 4 2" xfId="2531" xr:uid="{00000000-0005-0000-0000-0000A00D0000}"/>
    <cellStyle name="Normal 2 2 2 4 2 2" xfId="2532" xr:uid="{00000000-0005-0000-0000-0000A10D0000}"/>
    <cellStyle name="Normal 2 2 2 4 2 2 2" xfId="2533" xr:uid="{00000000-0005-0000-0000-0000A20D0000}"/>
    <cellStyle name="Normal 2 2 2 4 2 2_Inputs" xfId="4139" xr:uid="{00000000-0005-0000-0000-0000A30D0000}"/>
    <cellStyle name="Normal 2 2 2 4 2 3" xfId="2534" xr:uid="{00000000-0005-0000-0000-0000A40D0000}"/>
    <cellStyle name="Normal 2 2 2 4 2 3 2" xfId="2535" xr:uid="{00000000-0005-0000-0000-0000A50D0000}"/>
    <cellStyle name="Normal 2 2 2 4 2 3_Inputs" xfId="4140" xr:uid="{00000000-0005-0000-0000-0000A60D0000}"/>
    <cellStyle name="Normal 2 2 2 4 2 4" xfId="2536" xr:uid="{00000000-0005-0000-0000-0000A70D0000}"/>
    <cellStyle name="Normal 2 2 2 4 2_Inputs" xfId="4138" xr:uid="{00000000-0005-0000-0000-0000A80D0000}"/>
    <cellStyle name="Normal 2 2 2 4 3" xfId="2537" xr:uid="{00000000-0005-0000-0000-0000A90D0000}"/>
    <cellStyle name="Normal 2 2 2 4 3 2" xfId="2538" xr:uid="{00000000-0005-0000-0000-0000AA0D0000}"/>
    <cellStyle name="Normal 2 2 2 4 3 2 2" xfId="2539" xr:uid="{00000000-0005-0000-0000-0000AB0D0000}"/>
    <cellStyle name="Normal 2 2 2 4 3 2_Inputs" xfId="4142" xr:uid="{00000000-0005-0000-0000-0000AC0D0000}"/>
    <cellStyle name="Normal 2 2 2 4 3 3" xfId="2540" xr:uid="{00000000-0005-0000-0000-0000AD0D0000}"/>
    <cellStyle name="Normal 2 2 2 4 3 3 2" xfId="2541" xr:uid="{00000000-0005-0000-0000-0000AE0D0000}"/>
    <cellStyle name="Normal 2 2 2 4 3 3_Inputs" xfId="4143" xr:uid="{00000000-0005-0000-0000-0000AF0D0000}"/>
    <cellStyle name="Normal 2 2 2 4 3 4" xfId="2542" xr:uid="{00000000-0005-0000-0000-0000B00D0000}"/>
    <cellStyle name="Normal 2 2 2 4 3_Inputs" xfId="4141" xr:uid="{00000000-0005-0000-0000-0000B10D0000}"/>
    <cellStyle name="Normal 2 2 2 4 4" xfId="2543" xr:uid="{00000000-0005-0000-0000-0000B20D0000}"/>
    <cellStyle name="Normal 2 2 2 4 4 2" xfId="2544" xr:uid="{00000000-0005-0000-0000-0000B30D0000}"/>
    <cellStyle name="Normal 2 2 2 4 4 2 2" xfId="2545" xr:uid="{00000000-0005-0000-0000-0000B40D0000}"/>
    <cellStyle name="Normal 2 2 2 4 4 2_Inputs" xfId="4145" xr:uid="{00000000-0005-0000-0000-0000B50D0000}"/>
    <cellStyle name="Normal 2 2 2 4 4 3" xfId="2546" xr:uid="{00000000-0005-0000-0000-0000B60D0000}"/>
    <cellStyle name="Normal 2 2 2 4 4 3 2" xfId="2547" xr:uid="{00000000-0005-0000-0000-0000B70D0000}"/>
    <cellStyle name="Normal 2 2 2 4 4 3_Inputs" xfId="4146" xr:uid="{00000000-0005-0000-0000-0000B80D0000}"/>
    <cellStyle name="Normal 2 2 2 4 4 4" xfId="2548" xr:uid="{00000000-0005-0000-0000-0000B90D0000}"/>
    <cellStyle name="Normal 2 2 2 4 4_Inputs" xfId="4144" xr:uid="{00000000-0005-0000-0000-0000BA0D0000}"/>
    <cellStyle name="Normal 2 2 2 4 5" xfId="2549" xr:uid="{00000000-0005-0000-0000-0000BB0D0000}"/>
    <cellStyle name="Normal 2 2 2 4 5 2" xfId="2550" xr:uid="{00000000-0005-0000-0000-0000BC0D0000}"/>
    <cellStyle name="Normal 2 2 2 4 5 2 2" xfId="2551" xr:uid="{00000000-0005-0000-0000-0000BD0D0000}"/>
    <cellStyle name="Normal 2 2 2 4 5 2_Inputs" xfId="4148" xr:uid="{00000000-0005-0000-0000-0000BE0D0000}"/>
    <cellStyle name="Normal 2 2 2 4 5 3" xfId="2552" xr:uid="{00000000-0005-0000-0000-0000BF0D0000}"/>
    <cellStyle name="Normal 2 2 2 4 5 3 2" xfId="2553" xr:uid="{00000000-0005-0000-0000-0000C00D0000}"/>
    <cellStyle name="Normal 2 2 2 4 5 3_Inputs" xfId="4149" xr:uid="{00000000-0005-0000-0000-0000C10D0000}"/>
    <cellStyle name="Normal 2 2 2 4 5 4" xfId="2554" xr:uid="{00000000-0005-0000-0000-0000C20D0000}"/>
    <cellStyle name="Normal 2 2 2 4 5_Inputs" xfId="4147" xr:uid="{00000000-0005-0000-0000-0000C30D0000}"/>
    <cellStyle name="Normal 2 2 2 4 6" xfId="2555" xr:uid="{00000000-0005-0000-0000-0000C40D0000}"/>
    <cellStyle name="Normal 2 2 2 4 6 2" xfId="2556" xr:uid="{00000000-0005-0000-0000-0000C50D0000}"/>
    <cellStyle name="Normal 2 2 2 4 6 2 2" xfId="2557" xr:uid="{00000000-0005-0000-0000-0000C60D0000}"/>
    <cellStyle name="Normal 2 2 2 4 6 2_Inputs" xfId="4151" xr:uid="{00000000-0005-0000-0000-0000C70D0000}"/>
    <cellStyle name="Normal 2 2 2 4 6 3" xfId="2558" xr:uid="{00000000-0005-0000-0000-0000C80D0000}"/>
    <cellStyle name="Normal 2 2 2 4 6 3 2" xfId="2559" xr:uid="{00000000-0005-0000-0000-0000C90D0000}"/>
    <cellStyle name="Normal 2 2 2 4 6 3_Inputs" xfId="4152" xr:uid="{00000000-0005-0000-0000-0000CA0D0000}"/>
    <cellStyle name="Normal 2 2 2 4 6 4" xfId="2560" xr:uid="{00000000-0005-0000-0000-0000CB0D0000}"/>
    <cellStyle name="Normal 2 2 2 4 6_Inputs" xfId="4150" xr:uid="{00000000-0005-0000-0000-0000CC0D0000}"/>
    <cellStyle name="Normal 2 2 2 4 7" xfId="2561" xr:uid="{00000000-0005-0000-0000-0000CD0D0000}"/>
    <cellStyle name="Normal 2 2 2 4 7 2" xfId="2562" xr:uid="{00000000-0005-0000-0000-0000CE0D0000}"/>
    <cellStyle name="Normal 2 2 2 4 7 2 2" xfId="2563" xr:uid="{00000000-0005-0000-0000-0000CF0D0000}"/>
    <cellStyle name="Normal 2 2 2 4 7 2_Inputs" xfId="4154" xr:uid="{00000000-0005-0000-0000-0000D00D0000}"/>
    <cellStyle name="Normal 2 2 2 4 7 3" xfId="2564" xr:uid="{00000000-0005-0000-0000-0000D10D0000}"/>
    <cellStyle name="Normal 2 2 2 4 7 3 2" xfId="2565" xr:uid="{00000000-0005-0000-0000-0000D20D0000}"/>
    <cellStyle name="Normal 2 2 2 4 7 3_Inputs" xfId="4155" xr:uid="{00000000-0005-0000-0000-0000D30D0000}"/>
    <cellStyle name="Normal 2 2 2 4 7 4" xfId="2566" xr:uid="{00000000-0005-0000-0000-0000D40D0000}"/>
    <cellStyle name="Normal 2 2 2 4 7_Inputs" xfId="4153" xr:uid="{00000000-0005-0000-0000-0000D50D0000}"/>
    <cellStyle name="Normal 2 2 2 4 8" xfId="2567" xr:uid="{00000000-0005-0000-0000-0000D60D0000}"/>
    <cellStyle name="Normal 2 2 2 4 8 2" xfId="2568" xr:uid="{00000000-0005-0000-0000-0000D70D0000}"/>
    <cellStyle name="Normal 2 2 2 4 8_Inputs" xfId="4156" xr:uid="{00000000-0005-0000-0000-0000D80D0000}"/>
    <cellStyle name="Normal 2 2 2 4 9" xfId="2569" xr:uid="{00000000-0005-0000-0000-0000D90D0000}"/>
    <cellStyle name="Normal 2 2 2 4 9 2" xfId="2570" xr:uid="{00000000-0005-0000-0000-0000DA0D0000}"/>
    <cellStyle name="Normal 2 2 2 4 9_Inputs" xfId="4157" xr:uid="{00000000-0005-0000-0000-0000DB0D0000}"/>
    <cellStyle name="Normal 2 2 2 4_Inputs" xfId="4137" xr:uid="{00000000-0005-0000-0000-0000DC0D0000}"/>
    <cellStyle name="Normal 2 2 2 5" xfId="2571" xr:uid="{00000000-0005-0000-0000-0000DD0D0000}"/>
    <cellStyle name="Normal 2 2 2 5 10" xfId="2572" xr:uid="{00000000-0005-0000-0000-0000DE0D0000}"/>
    <cellStyle name="Normal 2 2 2 5 10 2" xfId="2573" xr:uid="{00000000-0005-0000-0000-0000DF0D0000}"/>
    <cellStyle name="Normal 2 2 2 5 10_Inputs" xfId="4159" xr:uid="{00000000-0005-0000-0000-0000E00D0000}"/>
    <cellStyle name="Normal 2 2 2 5 11" xfId="2574" xr:uid="{00000000-0005-0000-0000-0000E10D0000}"/>
    <cellStyle name="Normal 2 2 2 5 2" xfId="2575" xr:uid="{00000000-0005-0000-0000-0000E20D0000}"/>
    <cellStyle name="Normal 2 2 2 5 2 2" xfId="2576" xr:uid="{00000000-0005-0000-0000-0000E30D0000}"/>
    <cellStyle name="Normal 2 2 2 5 2 2 2" xfId="2577" xr:uid="{00000000-0005-0000-0000-0000E40D0000}"/>
    <cellStyle name="Normal 2 2 2 5 2 2_Inputs" xfId="4161" xr:uid="{00000000-0005-0000-0000-0000E50D0000}"/>
    <cellStyle name="Normal 2 2 2 5 2 3" xfId="2578" xr:uid="{00000000-0005-0000-0000-0000E60D0000}"/>
    <cellStyle name="Normal 2 2 2 5 2 3 2" xfId="2579" xr:uid="{00000000-0005-0000-0000-0000E70D0000}"/>
    <cellStyle name="Normal 2 2 2 5 2 3_Inputs" xfId="4162" xr:uid="{00000000-0005-0000-0000-0000E80D0000}"/>
    <cellStyle name="Normal 2 2 2 5 2 4" xfId="2580" xr:uid="{00000000-0005-0000-0000-0000E90D0000}"/>
    <cellStyle name="Normal 2 2 2 5 2_Inputs" xfId="4160" xr:uid="{00000000-0005-0000-0000-0000EA0D0000}"/>
    <cellStyle name="Normal 2 2 2 5 3" xfId="2581" xr:uid="{00000000-0005-0000-0000-0000EB0D0000}"/>
    <cellStyle name="Normal 2 2 2 5 3 2" xfId="2582" xr:uid="{00000000-0005-0000-0000-0000EC0D0000}"/>
    <cellStyle name="Normal 2 2 2 5 3 2 2" xfId="2583" xr:uid="{00000000-0005-0000-0000-0000ED0D0000}"/>
    <cellStyle name="Normal 2 2 2 5 3 2_Inputs" xfId="4164" xr:uid="{00000000-0005-0000-0000-0000EE0D0000}"/>
    <cellStyle name="Normal 2 2 2 5 3 3" xfId="2584" xr:uid="{00000000-0005-0000-0000-0000EF0D0000}"/>
    <cellStyle name="Normal 2 2 2 5 3 3 2" xfId="2585" xr:uid="{00000000-0005-0000-0000-0000F00D0000}"/>
    <cellStyle name="Normal 2 2 2 5 3 3_Inputs" xfId="4165" xr:uid="{00000000-0005-0000-0000-0000F10D0000}"/>
    <cellStyle name="Normal 2 2 2 5 3 4" xfId="2586" xr:uid="{00000000-0005-0000-0000-0000F20D0000}"/>
    <cellStyle name="Normal 2 2 2 5 3_Inputs" xfId="4163" xr:uid="{00000000-0005-0000-0000-0000F30D0000}"/>
    <cellStyle name="Normal 2 2 2 5 4" xfId="2587" xr:uid="{00000000-0005-0000-0000-0000F40D0000}"/>
    <cellStyle name="Normal 2 2 2 5 4 2" xfId="2588" xr:uid="{00000000-0005-0000-0000-0000F50D0000}"/>
    <cellStyle name="Normal 2 2 2 5 4 2 2" xfId="2589" xr:uid="{00000000-0005-0000-0000-0000F60D0000}"/>
    <cellStyle name="Normal 2 2 2 5 4 2_Inputs" xfId="4167" xr:uid="{00000000-0005-0000-0000-0000F70D0000}"/>
    <cellStyle name="Normal 2 2 2 5 4 3" xfId="2590" xr:uid="{00000000-0005-0000-0000-0000F80D0000}"/>
    <cellStyle name="Normal 2 2 2 5 4 3 2" xfId="2591" xr:uid="{00000000-0005-0000-0000-0000F90D0000}"/>
    <cellStyle name="Normal 2 2 2 5 4 3_Inputs" xfId="4168" xr:uid="{00000000-0005-0000-0000-0000FA0D0000}"/>
    <cellStyle name="Normal 2 2 2 5 4 4" xfId="2592" xr:uid="{00000000-0005-0000-0000-0000FB0D0000}"/>
    <cellStyle name="Normal 2 2 2 5 4_Inputs" xfId="4166" xr:uid="{00000000-0005-0000-0000-0000FC0D0000}"/>
    <cellStyle name="Normal 2 2 2 5 5" xfId="2593" xr:uid="{00000000-0005-0000-0000-0000FD0D0000}"/>
    <cellStyle name="Normal 2 2 2 5 5 2" xfId="2594" xr:uid="{00000000-0005-0000-0000-0000FE0D0000}"/>
    <cellStyle name="Normal 2 2 2 5 5 2 2" xfId="2595" xr:uid="{00000000-0005-0000-0000-0000FF0D0000}"/>
    <cellStyle name="Normal 2 2 2 5 5 2_Inputs" xfId="4170" xr:uid="{00000000-0005-0000-0000-0000000E0000}"/>
    <cellStyle name="Normal 2 2 2 5 5 3" xfId="2596" xr:uid="{00000000-0005-0000-0000-0000010E0000}"/>
    <cellStyle name="Normal 2 2 2 5 5 3 2" xfId="2597" xr:uid="{00000000-0005-0000-0000-0000020E0000}"/>
    <cellStyle name="Normal 2 2 2 5 5 3_Inputs" xfId="4171" xr:uid="{00000000-0005-0000-0000-0000030E0000}"/>
    <cellStyle name="Normal 2 2 2 5 5 4" xfId="2598" xr:uid="{00000000-0005-0000-0000-0000040E0000}"/>
    <cellStyle name="Normal 2 2 2 5 5_Inputs" xfId="4169" xr:uid="{00000000-0005-0000-0000-0000050E0000}"/>
    <cellStyle name="Normal 2 2 2 5 6" xfId="2599" xr:uid="{00000000-0005-0000-0000-0000060E0000}"/>
    <cellStyle name="Normal 2 2 2 5 6 2" xfId="2600" xr:uid="{00000000-0005-0000-0000-0000070E0000}"/>
    <cellStyle name="Normal 2 2 2 5 6 2 2" xfId="2601" xr:uid="{00000000-0005-0000-0000-0000080E0000}"/>
    <cellStyle name="Normal 2 2 2 5 6 2_Inputs" xfId="4173" xr:uid="{00000000-0005-0000-0000-0000090E0000}"/>
    <cellStyle name="Normal 2 2 2 5 6 3" xfId="2602" xr:uid="{00000000-0005-0000-0000-00000A0E0000}"/>
    <cellStyle name="Normal 2 2 2 5 6 3 2" xfId="2603" xr:uid="{00000000-0005-0000-0000-00000B0E0000}"/>
    <cellStyle name="Normal 2 2 2 5 6 3_Inputs" xfId="4174" xr:uid="{00000000-0005-0000-0000-00000C0E0000}"/>
    <cellStyle name="Normal 2 2 2 5 6 4" xfId="2604" xr:uid="{00000000-0005-0000-0000-00000D0E0000}"/>
    <cellStyle name="Normal 2 2 2 5 6_Inputs" xfId="4172" xr:uid="{00000000-0005-0000-0000-00000E0E0000}"/>
    <cellStyle name="Normal 2 2 2 5 7" xfId="2605" xr:uid="{00000000-0005-0000-0000-00000F0E0000}"/>
    <cellStyle name="Normal 2 2 2 5 7 2" xfId="2606" xr:uid="{00000000-0005-0000-0000-0000100E0000}"/>
    <cellStyle name="Normal 2 2 2 5 7 2 2" xfId="2607" xr:uid="{00000000-0005-0000-0000-0000110E0000}"/>
    <cellStyle name="Normal 2 2 2 5 7 2_Inputs" xfId="4176" xr:uid="{00000000-0005-0000-0000-0000120E0000}"/>
    <cellStyle name="Normal 2 2 2 5 7 3" xfId="2608" xr:uid="{00000000-0005-0000-0000-0000130E0000}"/>
    <cellStyle name="Normal 2 2 2 5 7 3 2" xfId="2609" xr:uid="{00000000-0005-0000-0000-0000140E0000}"/>
    <cellStyle name="Normal 2 2 2 5 7 3_Inputs" xfId="4177" xr:uid="{00000000-0005-0000-0000-0000150E0000}"/>
    <cellStyle name="Normal 2 2 2 5 7 4" xfId="2610" xr:uid="{00000000-0005-0000-0000-0000160E0000}"/>
    <cellStyle name="Normal 2 2 2 5 7_Inputs" xfId="4175" xr:uid="{00000000-0005-0000-0000-0000170E0000}"/>
    <cellStyle name="Normal 2 2 2 5 8" xfId="2611" xr:uid="{00000000-0005-0000-0000-0000180E0000}"/>
    <cellStyle name="Normal 2 2 2 5 8 2" xfId="2612" xr:uid="{00000000-0005-0000-0000-0000190E0000}"/>
    <cellStyle name="Normal 2 2 2 5 8 2 2" xfId="2613" xr:uid="{00000000-0005-0000-0000-00001A0E0000}"/>
    <cellStyle name="Normal 2 2 2 5 8 2_Inputs" xfId="4179" xr:uid="{00000000-0005-0000-0000-00001B0E0000}"/>
    <cellStyle name="Normal 2 2 2 5 8 3" xfId="2614" xr:uid="{00000000-0005-0000-0000-00001C0E0000}"/>
    <cellStyle name="Normal 2 2 2 5 8 3 2" xfId="2615" xr:uid="{00000000-0005-0000-0000-00001D0E0000}"/>
    <cellStyle name="Normal 2 2 2 5 8 3_Inputs" xfId="4180" xr:uid="{00000000-0005-0000-0000-00001E0E0000}"/>
    <cellStyle name="Normal 2 2 2 5 8 4" xfId="2616" xr:uid="{00000000-0005-0000-0000-00001F0E0000}"/>
    <cellStyle name="Normal 2 2 2 5 8_Inputs" xfId="4178" xr:uid="{00000000-0005-0000-0000-0000200E0000}"/>
    <cellStyle name="Normal 2 2 2 5 9" xfId="2617" xr:uid="{00000000-0005-0000-0000-0000210E0000}"/>
    <cellStyle name="Normal 2 2 2 5 9 2" xfId="2618" xr:uid="{00000000-0005-0000-0000-0000220E0000}"/>
    <cellStyle name="Normal 2 2 2 5 9_Inputs" xfId="4181" xr:uid="{00000000-0005-0000-0000-0000230E0000}"/>
    <cellStyle name="Normal 2 2 2 5_Inputs" xfId="4158" xr:uid="{00000000-0005-0000-0000-0000240E0000}"/>
    <cellStyle name="Normal 2 2 2 6" xfId="2619" xr:uid="{00000000-0005-0000-0000-0000250E0000}"/>
    <cellStyle name="Normal 2 2 2 6 2" xfId="2620" xr:uid="{00000000-0005-0000-0000-0000260E0000}"/>
    <cellStyle name="Normal 2 2 2 6 2 2" xfId="2621" xr:uid="{00000000-0005-0000-0000-0000270E0000}"/>
    <cellStyle name="Normal 2 2 2 6 2_Inputs" xfId="4183" xr:uid="{00000000-0005-0000-0000-0000280E0000}"/>
    <cellStyle name="Normal 2 2 2 6 3" xfId="2622" xr:uid="{00000000-0005-0000-0000-0000290E0000}"/>
    <cellStyle name="Normal 2 2 2 6 3 2" xfId="2623" xr:uid="{00000000-0005-0000-0000-00002A0E0000}"/>
    <cellStyle name="Normal 2 2 2 6 3_Inputs" xfId="4184" xr:uid="{00000000-0005-0000-0000-00002B0E0000}"/>
    <cellStyle name="Normal 2 2 2 6 4" xfId="2624" xr:uid="{00000000-0005-0000-0000-00002C0E0000}"/>
    <cellStyle name="Normal 2 2 2 6_Inputs" xfId="4182" xr:uid="{00000000-0005-0000-0000-00002D0E0000}"/>
    <cellStyle name="Normal 2 2 2 7" xfId="2625" xr:uid="{00000000-0005-0000-0000-00002E0E0000}"/>
    <cellStyle name="Normal 2 2 2 7 2" xfId="2626" xr:uid="{00000000-0005-0000-0000-00002F0E0000}"/>
    <cellStyle name="Normal 2 2 2 7 2 2" xfId="2627" xr:uid="{00000000-0005-0000-0000-0000300E0000}"/>
    <cellStyle name="Normal 2 2 2 7 2_Inputs" xfId="4186" xr:uid="{00000000-0005-0000-0000-0000310E0000}"/>
    <cellStyle name="Normal 2 2 2 7 3" xfId="2628" xr:uid="{00000000-0005-0000-0000-0000320E0000}"/>
    <cellStyle name="Normal 2 2 2 7 3 2" xfId="2629" xr:uid="{00000000-0005-0000-0000-0000330E0000}"/>
    <cellStyle name="Normal 2 2 2 7 3_Inputs" xfId="4187" xr:uid="{00000000-0005-0000-0000-0000340E0000}"/>
    <cellStyle name="Normal 2 2 2 7 4" xfId="2630" xr:uid="{00000000-0005-0000-0000-0000350E0000}"/>
    <cellStyle name="Normal 2 2 2 7_Inputs" xfId="4185" xr:uid="{00000000-0005-0000-0000-0000360E0000}"/>
    <cellStyle name="Normal 2 2 2 8" xfId="2631" xr:uid="{00000000-0005-0000-0000-0000370E0000}"/>
    <cellStyle name="Normal 2 2 2 8 2" xfId="2632" xr:uid="{00000000-0005-0000-0000-0000380E0000}"/>
    <cellStyle name="Normal 2 2 2 8 2 2" xfId="2633" xr:uid="{00000000-0005-0000-0000-0000390E0000}"/>
    <cellStyle name="Normal 2 2 2 8 2_Inputs" xfId="4189" xr:uid="{00000000-0005-0000-0000-00003A0E0000}"/>
    <cellStyle name="Normal 2 2 2 8 3" xfId="2634" xr:uid="{00000000-0005-0000-0000-00003B0E0000}"/>
    <cellStyle name="Normal 2 2 2 8 3 2" xfId="2635" xr:uid="{00000000-0005-0000-0000-00003C0E0000}"/>
    <cellStyle name="Normal 2 2 2 8 3_Inputs" xfId="4190" xr:uid="{00000000-0005-0000-0000-00003D0E0000}"/>
    <cellStyle name="Normal 2 2 2 8 4" xfId="2636" xr:uid="{00000000-0005-0000-0000-00003E0E0000}"/>
    <cellStyle name="Normal 2 2 2 8_Inputs" xfId="4188" xr:uid="{00000000-0005-0000-0000-00003F0E0000}"/>
    <cellStyle name="Normal 2 2 2 9" xfId="2637" xr:uid="{00000000-0005-0000-0000-0000400E0000}"/>
    <cellStyle name="Normal 2 2 2 9 2" xfId="2638" xr:uid="{00000000-0005-0000-0000-0000410E0000}"/>
    <cellStyle name="Normal 2 2 2 9 2 2" xfId="2639" xr:uid="{00000000-0005-0000-0000-0000420E0000}"/>
    <cellStyle name="Normal 2 2 2 9 2_Inputs" xfId="4192" xr:uid="{00000000-0005-0000-0000-0000430E0000}"/>
    <cellStyle name="Normal 2 2 2 9 3" xfId="2640" xr:uid="{00000000-0005-0000-0000-0000440E0000}"/>
    <cellStyle name="Normal 2 2 2 9 3 2" xfId="2641" xr:uid="{00000000-0005-0000-0000-0000450E0000}"/>
    <cellStyle name="Normal 2 2 2 9 3_Inputs" xfId="4193" xr:uid="{00000000-0005-0000-0000-0000460E0000}"/>
    <cellStyle name="Normal 2 2 2 9 4" xfId="2642" xr:uid="{00000000-0005-0000-0000-0000470E0000}"/>
    <cellStyle name="Normal 2 2 2 9_Inputs" xfId="4191" xr:uid="{00000000-0005-0000-0000-0000480E0000}"/>
    <cellStyle name="Normal 2 2 2_CLAIMEndJuly16" xfId="2643" xr:uid="{00000000-0005-0000-0000-0000490E0000}"/>
    <cellStyle name="Normal 2 2 3" xfId="2644" xr:uid="{00000000-0005-0000-0000-00004A0E0000}"/>
    <cellStyle name="Normal 2 2 3 2" xfId="2645" xr:uid="{00000000-0005-0000-0000-00004B0E0000}"/>
    <cellStyle name="Normal 2 2 3 2 2" xfId="2646" xr:uid="{00000000-0005-0000-0000-00004C0E0000}"/>
    <cellStyle name="Normal 2 2 3 2_Inputs" xfId="4195" xr:uid="{00000000-0005-0000-0000-00004D0E0000}"/>
    <cellStyle name="Normal 2 2 3 3" xfId="2647" xr:uid="{00000000-0005-0000-0000-00004E0E0000}"/>
    <cellStyle name="Normal 2 2 3 3 2" xfId="2648" xr:uid="{00000000-0005-0000-0000-00004F0E0000}"/>
    <cellStyle name="Normal 2 2 3 3_Inputs" xfId="4196" xr:uid="{00000000-0005-0000-0000-0000500E0000}"/>
    <cellStyle name="Normal 2 2 3 4" xfId="2649" xr:uid="{00000000-0005-0000-0000-0000510E0000}"/>
    <cellStyle name="Normal 2 2 3 5" xfId="2650" xr:uid="{00000000-0005-0000-0000-0000520E0000}"/>
    <cellStyle name="Normal 2 2 3_Inputs" xfId="4194" xr:uid="{00000000-0005-0000-0000-0000530E0000}"/>
    <cellStyle name="Normal 2 2 4" xfId="2651" xr:uid="{00000000-0005-0000-0000-0000540E0000}"/>
    <cellStyle name="Normal 2 2 4 2" xfId="2652" xr:uid="{00000000-0005-0000-0000-0000550E0000}"/>
    <cellStyle name="Normal 2 2 4 2 2" xfId="2653" xr:uid="{00000000-0005-0000-0000-0000560E0000}"/>
    <cellStyle name="Normal 2 2 4 2_Inputs" xfId="4198" xr:uid="{00000000-0005-0000-0000-0000570E0000}"/>
    <cellStyle name="Normal 2 2 4 3" xfId="2654" xr:uid="{00000000-0005-0000-0000-0000580E0000}"/>
    <cellStyle name="Normal 2 2 4 3 2" xfId="2655" xr:uid="{00000000-0005-0000-0000-0000590E0000}"/>
    <cellStyle name="Normal 2 2 4 3_Inputs" xfId="4199" xr:uid="{00000000-0005-0000-0000-00005A0E0000}"/>
    <cellStyle name="Normal 2 2 4 4" xfId="2656" xr:uid="{00000000-0005-0000-0000-00005B0E0000}"/>
    <cellStyle name="Normal 2 2 4_Inputs" xfId="4197" xr:uid="{00000000-0005-0000-0000-00005C0E0000}"/>
    <cellStyle name="Normal 2 2 5" xfId="2657" xr:uid="{00000000-0005-0000-0000-00005D0E0000}"/>
    <cellStyle name="Normal 2 2 5 2" xfId="2658" xr:uid="{00000000-0005-0000-0000-00005E0E0000}"/>
    <cellStyle name="Normal 2 2 5 2 2" xfId="2659" xr:uid="{00000000-0005-0000-0000-00005F0E0000}"/>
    <cellStyle name="Normal 2 2 5 2_Inputs" xfId="4201" xr:uid="{00000000-0005-0000-0000-0000600E0000}"/>
    <cellStyle name="Normal 2 2 5 3" xfId="2660" xr:uid="{00000000-0005-0000-0000-0000610E0000}"/>
    <cellStyle name="Normal 2 2 5 3 2" xfId="2661" xr:uid="{00000000-0005-0000-0000-0000620E0000}"/>
    <cellStyle name="Normal 2 2 5 3_Inputs" xfId="4202" xr:uid="{00000000-0005-0000-0000-0000630E0000}"/>
    <cellStyle name="Normal 2 2 5 4" xfId="2662" xr:uid="{00000000-0005-0000-0000-0000640E0000}"/>
    <cellStyle name="Normal 2 2 5_Inputs" xfId="4200" xr:uid="{00000000-0005-0000-0000-0000650E0000}"/>
    <cellStyle name="Normal 2 2 6" xfId="2663" xr:uid="{00000000-0005-0000-0000-0000660E0000}"/>
    <cellStyle name="Normal 2 2 6 2" xfId="2664" xr:uid="{00000000-0005-0000-0000-0000670E0000}"/>
    <cellStyle name="Normal 2 2 6 2 2" xfId="2665" xr:uid="{00000000-0005-0000-0000-0000680E0000}"/>
    <cellStyle name="Normal 2 2 6 2_Inputs" xfId="4204" xr:uid="{00000000-0005-0000-0000-0000690E0000}"/>
    <cellStyle name="Normal 2 2 6 3" xfId="2666" xr:uid="{00000000-0005-0000-0000-00006A0E0000}"/>
    <cellStyle name="Normal 2 2 6 3 2" xfId="2667" xr:uid="{00000000-0005-0000-0000-00006B0E0000}"/>
    <cellStyle name="Normal 2 2 6 3_Inputs" xfId="4205" xr:uid="{00000000-0005-0000-0000-00006C0E0000}"/>
    <cellStyle name="Normal 2 2 6 4" xfId="2668" xr:uid="{00000000-0005-0000-0000-00006D0E0000}"/>
    <cellStyle name="Normal 2 2 6_Inputs" xfId="4203" xr:uid="{00000000-0005-0000-0000-00006E0E0000}"/>
    <cellStyle name="Normal 2 2 7" xfId="2669" xr:uid="{00000000-0005-0000-0000-00006F0E0000}"/>
    <cellStyle name="Normal 2 2 7 2" xfId="2670" xr:uid="{00000000-0005-0000-0000-0000700E0000}"/>
    <cellStyle name="Normal 2 2 7_Inputs" xfId="4206" xr:uid="{00000000-0005-0000-0000-0000710E0000}"/>
    <cellStyle name="Normal 2 2 8" xfId="2671" xr:uid="{00000000-0005-0000-0000-0000720E0000}"/>
    <cellStyle name="Normal 2 2 8 2" xfId="2672" xr:uid="{00000000-0005-0000-0000-0000730E0000}"/>
    <cellStyle name="Normal 2 2 8_Inputs" xfId="4207" xr:uid="{00000000-0005-0000-0000-0000740E0000}"/>
    <cellStyle name="Normal 2 2 9" xfId="2673" xr:uid="{00000000-0005-0000-0000-0000750E0000}"/>
    <cellStyle name="Normal 2 2_CLAIMEndJuly16" xfId="2674" xr:uid="{00000000-0005-0000-0000-0000760E0000}"/>
    <cellStyle name="Normal 2 3" xfId="2675" xr:uid="{00000000-0005-0000-0000-0000770E0000}"/>
    <cellStyle name="Normal 2 3 2" xfId="2676" xr:uid="{00000000-0005-0000-0000-0000780E0000}"/>
    <cellStyle name="Normal 2 3 3" xfId="2677" xr:uid="{00000000-0005-0000-0000-0000790E0000}"/>
    <cellStyle name="Normal 2 4" xfId="2678" xr:uid="{00000000-0005-0000-0000-00007A0E0000}"/>
    <cellStyle name="Normal 2 4 2" xfId="2679" xr:uid="{00000000-0005-0000-0000-00007B0E0000}"/>
    <cellStyle name="Normal 2 4 2 2" xfId="2680" xr:uid="{00000000-0005-0000-0000-00007C0E0000}"/>
    <cellStyle name="Normal 2 4 2_Inputs" xfId="4209" xr:uid="{00000000-0005-0000-0000-00007D0E0000}"/>
    <cellStyle name="Normal 2 4 3" xfId="2681" xr:uid="{00000000-0005-0000-0000-00007E0E0000}"/>
    <cellStyle name="Normal 2 4 3 2" xfId="2682" xr:uid="{00000000-0005-0000-0000-00007F0E0000}"/>
    <cellStyle name="Normal 2 4 3_Inputs" xfId="4210" xr:uid="{00000000-0005-0000-0000-0000800E0000}"/>
    <cellStyle name="Normal 2 4 4" xfId="2683" xr:uid="{00000000-0005-0000-0000-0000810E0000}"/>
    <cellStyle name="Normal 2 4_Inputs" xfId="4208" xr:uid="{00000000-0005-0000-0000-0000820E0000}"/>
    <cellStyle name="Normal 2 5" xfId="2684" xr:uid="{00000000-0005-0000-0000-0000830E0000}"/>
    <cellStyle name="Normal 2 6" xfId="2685" xr:uid="{00000000-0005-0000-0000-0000840E0000}"/>
    <cellStyle name="Normal 2 7" xfId="2686" xr:uid="{00000000-0005-0000-0000-0000850E0000}"/>
    <cellStyle name="Normal 2_Sheet2" xfId="2687" xr:uid="{00000000-0005-0000-0000-0000860E0000}"/>
    <cellStyle name="Normal 20" xfId="2688" xr:uid="{00000000-0005-0000-0000-0000870E0000}"/>
    <cellStyle name="Normal 20 2" xfId="2689" xr:uid="{00000000-0005-0000-0000-0000880E0000}"/>
    <cellStyle name="Normal 20 2 10" xfId="2690" xr:uid="{00000000-0005-0000-0000-0000890E0000}"/>
    <cellStyle name="Normal 20 2 2" xfId="2691" xr:uid="{00000000-0005-0000-0000-00008A0E0000}"/>
    <cellStyle name="Normal 20 2 2 2" xfId="2692" xr:uid="{00000000-0005-0000-0000-00008B0E0000}"/>
    <cellStyle name="Normal 20 2 2 2 2" xfId="2693" xr:uid="{00000000-0005-0000-0000-00008C0E0000}"/>
    <cellStyle name="Normal 20 2 2 2_Inputs" xfId="4213" xr:uid="{00000000-0005-0000-0000-00008D0E0000}"/>
    <cellStyle name="Normal 20 2 2 3" xfId="2694" xr:uid="{00000000-0005-0000-0000-00008E0E0000}"/>
    <cellStyle name="Normal 20 2 2 3 2" xfId="2695" xr:uid="{00000000-0005-0000-0000-00008F0E0000}"/>
    <cellStyle name="Normal 20 2 2 3_Inputs" xfId="4214" xr:uid="{00000000-0005-0000-0000-0000900E0000}"/>
    <cellStyle name="Normal 20 2 2 4" xfId="2696" xr:uid="{00000000-0005-0000-0000-0000910E0000}"/>
    <cellStyle name="Normal 20 2 2_Inputs" xfId="4212" xr:uid="{00000000-0005-0000-0000-0000920E0000}"/>
    <cellStyle name="Normal 20 2 3" xfId="2697" xr:uid="{00000000-0005-0000-0000-0000930E0000}"/>
    <cellStyle name="Normal 20 2 3 2" xfId="2698" xr:uid="{00000000-0005-0000-0000-0000940E0000}"/>
    <cellStyle name="Normal 20 2 3 2 2" xfId="2699" xr:uid="{00000000-0005-0000-0000-0000950E0000}"/>
    <cellStyle name="Normal 20 2 3 2_Inputs" xfId="4216" xr:uid="{00000000-0005-0000-0000-0000960E0000}"/>
    <cellStyle name="Normal 20 2 3 3" xfId="2700" xr:uid="{00000000-0005-0000-0000-0000970E0000}"/>
    <cellStyle name="Normal 20 2 3 3 2" xfId="2701" xr:uid="{00000000-0005-0000-0000-0000980E0000}"/>
    <cellStyle name="Normal 20 2 3 3_Inputs" xfId="4217" xr:uid="{00000000-0005-0000-0000-0000990E0000}"/>
    <cellStyle name="Normal 20 2 3 4" xfId="2702" xr:uid="{00000000-0005-0000-0000-00009A0E0000}"/>
    <cellStyle name="Normal 20 2 3_Inputs" xfId="4215" xr:uid="{00000000-0005-0000-0000-00009B0E0000}"/>
    <cellStyle name="Normal 20 2 4" xfId="2703" xr:uid="{00000000-0005-0000-0000-00009C0E0000}"/>
    <cellStyle name="Normal 20 2 4 2" xfId="2704" xr:uid="{00000000-0005-0000-0000-00009D0E0000}"/>
    <cellStyle name="Normal 20 2 4 2 2" xfId="2705" xr:uid="{00000000-0005-0000-0000-00009E0E0000}"/>
    <cellStyle name="Normal 20 2 4 2_Inputs" xfId="4219" xr:uid="{00000000-0005-0000-0000-00009F0E0000}"/>
    <cellStyle name="Normal 20 2 4 3" xfId="2706" xr:uid="{00000000-0005-0000-0000-0000A00E0000}"/>
    <cellStyle name="Normal 20 2 4 3 2" xfId="2707" xr:uid="{00000000-0005-0000-0000-0000A10E0000}"/>
    <cellStyle name="Normal 20 2 4 3_Inputs" xfId="4220" xr:uid="{00000000-0005-0000-0000-0000A20E0000}"/>
    <cellStyle name="Normal 20 2 4 4" xfId="2708" xr:uid="{00000000-0005-0000-0000-0000A30E0000}"/>
    <cellStyle name="Normal 20 2 4_Inputs" xfId="4218" xr:uid="{00000000-0005-0000-0000-0000A40E0000}"/>
    <cellStyle name="Normal 20 2 5" xfId="2709" xr:uid="{00000000-0005-0000-0000-0000A50E0000}"/>
    <cellStyle name="Normal 20 2 5 2" xfId="2710" xr:uid="{00000000-0005-0000-0000-0000A60E0000}"/>
    <cellStyle name="Normal 20 2 5 2 2" xfId="2711" xr:uid="{00000000-0005-0000-0000-0000A70E0000}"/>
    <cellStyle name="Normal 20 2 5 2_Inputs" xfId="4222" xr:uid="{00000000-0005-0000-0000-0000A80E0000}"/>
    <cellStyle name="Normal 20 2 5 3" xfId="2712" xr:uid="{00000000-0005-0000-0000-0000A90E0000}"/>
    <cellStyle name="Normal 20 2 5 3 2" xfId="2713" xr:uid="{00000000-0005-0000-0000-0000AA0E0000}"/>
    <cellStyle name="Normal 20 2 5 3_Inputs" xfId="4223" xr:uid="{00000000-0005-0000-0000-0000AB0E0000}"/>
    <cellStyle name="Normal 20 2 5 4" xfId="2714" xr:uid="{00000000-0005-0000-0000-0000AC0E0000}"/>
    <cellStyle name="Normal 20 2 5_Inputs" xfId="4221" xr:uid="{00000000-0005-0000-0000-0000AD0E0000}"/>
    <cellStyle name="Normal 20 2 6" xfId="2715" xr:uid="{00000000-0005-0000-0000-0000AE0E0000}"/>
    <cellStyle name="Normal 20 2 6 2" xfId="2716" xr:uid="{00000000-0005-0000-0000-0000AF0E0000}"/>
    <cellStyle name="Normal 20 2 6 2 2" xfId="2717" xr:uid="{00000000-0005-0000-0000-0000B00E0000}"/>
    <cellStyle name="Normal 20 2 6 2_Inputs" xfId="4225" xr:uid="{00000000-0005-0000-0000-0000B10E0000}"/>
    <cellStyle name="Normal 20 2 6 3" xfId="2718" xr:uid="{00000000-0005-0000-0000-0000B20E0000}"/>
    <cellStyle name="Normal 20 2 6 3 2" xfId="2719" xr:uid="{00000000-0005-0000-0000-0000B30E0000}"/>
    <cellStyle name="Normal 20 2 6 3_Inputs" xfId="4226" xr:uid="{00000000-0005-0000-0000-0000B40E0000}"/>
    <cellStyle name="Normal 20 2 6 4" xfId="2720" xr:uid="{00000000-0005-0000-0000-0000B50E0000}"/>
    <cellStyle name="Normal 20 2 6_Inputs" xfId="4224" xr:uid="{00000000-0005-0000-0000-0000B60E0000}"/>
    <cellStyle name="Normal 20 2 7" xfId="2721" xr:uid="{00000000-0005-0000-0000-0000B70E0000}"/>
    <cellStyle name="Normal 20 2 7 2" xfId="2722" xr:uid="{00000000-0005-0000-0000-0000B80E0000}"/>
    <cellStyle name="Normal 20 2 7 2 2" xfId="2723" xr:uid="{00000000-0005-0000-0000-0000B90E0000}"/>
    <cellStyle name="Normal 20 2 7 2_Inputs" xfId="4228" xr:uid="{00000000-0005-0000-0000-0000BA0E0000}"/>
    <cellStyle name="Normal 20 2 7 3" xfId="2724" xr:uid="{00000000-0005-0000-0000-0000BB0E0000}"/>
    <cellStyle name="Normal 20 2 7 3 2" xfId="2725" xr:uid="{00000000-0005-0000-0000-0000BC0E0000}"/>
    <cellStyle name="Normal 20 2 7 3_Inputs" xfId="4229" xr:uid="{00000000-0005-0000-0000-0000BD0E0000}"/>
    <cellStyle name="Normal 20 2 7 4" xfId="2726" xr:uid="{00000000-0005-0000-0000-0000BE0E0000}"/>
    <cellStyle name="Normal 20 2 7_Inputs" xfId="4227" xr:uid="{00000000-0005-0000-0000-0000BF0E0000}"/>
    <cellStyle name="Normal 20 2 8" xfId="2727" xr:uid="{00000000-0005-0000-0000-0000C00E0000}"/>
    <cellStyle name="Normal 20 2 8 2" xfId="2728" xr:uid="{00000000-0005-0000-0000-0000C10E0000}"/>
    <cellStyle name="Normal 20 2 8_Inputs" xfId="4230" xr:uid="{00000000-0005-0000-0000-0000C20E0000}"/>
    <cellStyle name="Normal 20 2 9" xfId="2729" xr:uid="{00000000-0005-0000-0000-0000C30E0000}"/>
    <cellStyle name="Normal 20 2 9 2" xfId="2730" xr:uid="{00000000-0005-0000-0000-0000C40E0000}"/>
    <cellStyle name="Normal 20 2 9_Inputs" xfId="4231" xr:uid="{00000000-0005-0000-0000-0000C50E0000}"/>
    <cellStyle name="Normal 20 2_Inputs" xfId="4211" xr:uid="{00000000-0005-0000-0000-0000C60E0000}"/>
    <cellStyle name="Normal 20 3" xfId="2731" xr:uid="{00000000-0005-0000-0000-0000C70E0000}"/>
    <cellStyle name="Normal 20 3 2" xfId="2732" xr:uid="{00000000-0005-0000-0000-0000C80E0000}"/>
    <cellStyle name="Normal 20 4" xfId="2733" xr:uid="{00000000-0005-0000-0000-0000C90E0000}"/>
    <cellStyle name="Normal 20 5" xfId="2734" xr:uid="{00000000-0005-0000-0000-0000CA0E0000}"/>
    <cellStyle name="Normal 20 6" xfId="2735" xr:uid="{00000000-0005-0000-0000-0000CB0E0000}"/>
    <cellStyle name="Normal 21" xfId="2736" xr:uid="{00000000-0005-0000-0000-0000CC0E0000}"/>
    <cellStyle name="Normal 21 2" xfId="2737" xr:uid="{00000000-0005-0000-0000-0000CD0E0000}"/>
    <cellStyle name="Normal 21 2 2" xfId="2738" xr:uid="{00000000-0005-0000-0000-0000CE0E0000}"/>
    <cellStyle name="Normal 21 2 2 2" xfId="2739" xr:uid="{00000000-0005-0000-0000-0000CF0E0000}"/>
    <cellStyle name="Normal 21 2 2_Inputs" xfId="4234" xr:uid="{00000000-0005-0000-0000-0000D00E0000}"/>
    <cellStyle name="Normal 21 2 3" xfId="2740" xr:uid="{00000000-0005-0000-0000-0000D10E0000}"/>
    <cellStyle name="Normal 21 2 3 2" xfId="2741" xr:uid="{00000000-0005-0000-0000-0000D20E0000}"/>
    <cellStyle name="Normal 21 2 3_Inputs" xfId="4235" xr:uid="{00000000-0005-0000-0000-0000D30E0000}"/>
    <cellStyle name="Normal 21 2 4" xfId="2742" xr:uid="{00000000-0005-0000-0000-0000D40E0000}"/>
    <cellStyle name="Normal 21 2_Inputs" xfId="4233" xr:uid="{00000000-0005-0000-0000-0000D50E0000}"/>
    <cellStyle name="Normal 21 3" xfId="2743" xr:uid="{00000000-0005-0000-0000-0000D60E0000}"/>
    <cellStyle name="Normal 21 3 2" xfId="2744" xr:uid="{00000000-0005-0000-0000-0000D70E0000}"/>
    <cellStyle name="Normal 21 3 2 2" xfId="2745" xr:uid="{00000000-0005-0000-0000-0000D80E0000}"/>
    <cellStyle name="Normal 21 3 2_Inputs" xfId="4237" xr:uid="{00000000-0005-0000-0000-0000D90E0000}"/>
    <cellStyle name="Normal 21 3 3" xfId="2746" xr:uid="{00000000-0005-0000-0000-0000DA0E0000}"/>
    <cellStyle name="Normal 21 3 3 2" xfId="2747" xr:uid="{00000000-0005-0000-0000-0000DB0E0000}"/>
    <cellStyle name="Normal 21 3 3_Inputs" xfId="4238" xr:uid="{00000000-0005-0000-0000-0000DC0E0000}"/>
    <cellStyle name="Normal 21 3 4" xfId="2748" xr:uid="{00000000-0005-0000-0000-0000DD0E0000}"/>
    <cellStyle name="Normal 21 3_Inputs" xfId="4236" xr:uid="{00000000-0005-0000-0000-0000DE0E0000}"/>
    <cellStyle name="Normal 21 4" xfId="2749" xr:uid="{00000000-0005-0000-0000-0000DF0E0000}"/>
    <cellStyle name="Normal 21 4 2" xfId="2750" xr:uid="{00000000-0005-0000-0000-0000E00E0000}"/>
    <cellStyle name="Normal 21 4 2 2" xfId="2751" xr:uid="{00000000-0005-0000-0000-0000E10E0000}"/>
    <cellStyle name="Normal 21 4 2_Inputs" xfId="4240" xr:uid="{00000000-0005-0000-0000-0000E20E0000}"/>
    <cellStyle name="Normal 21 4 3" xfId="2752" xr:uid="{00000000-0005-0000-0000-0000E30E0000}"/>
    <cellStyle name="Normal 21 4 3 2" xfId="2753" xr:uid="{00000000-0005-0000-0000-0000E40E0000}"/>
    <cellStyle name="Normal 21 4 3_Inputs" xfId="4241" xr:uid="{00000000-0005-0000-0000-0000E50E0000}"/>
    <cellStyle name="Normal 21 4 4" xfId="2754" xr:uid="{00000000-0005-0000-0000-0000E60E0000}"/>
    <cellStyle name="Normal 21 4_Inputs" xfId="4239" xr:uid="{00000000-0005-0000-0000-0000E70E0000}"/>
    <cellStyle name="Normal 21 5" xfId="2755" xr:uid="{00000000-0005-0000-0000-0000E80E0000}"/>
    <cellStyle name="Normal 21 5 2" xfId="2756" xr:uid="{00000000-0005-0000-0000-0000E90E0000}"/>
    <cellStyle name="Normal 21 5 2 2" xfId="2757" xr:uid="{00000000-0005-0000-0000-0000EA0E0000}"/>
    <cellStyle name="Normal 21 5 2_Inputs" xfId="4243" xr:uid="{00000000-0005-0000-0000-0000EB0E0000}"/>
    <cellStyle name="Normal 21 5 3" xfId="2758" xr:uid="{00000000-0005-0000-0000-0000EC0E0000}"/>
    <cellStyle name="Normal 21 5 3 2" xfId="2759" xr:uid="{00000000-0005-0000-0000-0000ED0E0000}"/>
    <cellStyle name="Normal 21 5 3_Inputs" xfId="4244" xr:uid="{00000000-0005-0000-0000-0000EE0E0000}"/>
    <cellStyle name="Normal 21 5 4" xfId="2760" xr:uid="{00000000-0005-0000-0000-0000EF0E0000}"/>
    <cellStyle name="Normal 21 5_Inputs" xfId="4242" xr:uid="{00000000-0005-0000-0000-0000F00E0000}"/>
    <cellStyle name="Normal 21 6" xfId="2761" xr:uid="{00000000-0005-0000-0000-0000F10E0000}"/>
    <cellStyle name="Normal 21 6 2" xfId="2762" xr:uid="{00000000-0005-0000-0000-0000F20E0000}"/>
    <cellStyle name="Normal 21 6_Inputs" xfId="4245" xr:uid="{00000000-0005-0000-0000-0000F30E0000}"/>
    <cellStyle name="Normal 21 7" xfId="2763" xr:uid="{00000000-0005-0000-0000-0000F40E0000}"/>
    <cellStyle name="Normal 21 7 2" xfId="2764" xr:uid="{00000000-0005-0000-0000-0000F50E0000}"/>
    <cellStyle name="Normal 21 7_Inputs" xfId="4246" xr:uid="{00000000-0005-0000-0000-0000F60E0000}"/>
    <cellStyle name="Normal 21 8" xfId="2765" xr:uid="{00000000-0005-0000-0000-0000F70E0000}"/>
    <cellStyle name="Normal 21 8 2" xfId="2766" xr:uid="{00000000-0005-0000-0000-0000F80E0000}"/>
    <cellStyle name="Normal 21 8_Inputs" xfId="4247" xr:uid="{00000000-0005-0000-0000-0000F90E0000}"/>
    <cellStyle name="Normal 21 9" xfId="2767" xr:uid="{00000000-0005-0000-0000-0000FA0E0000}"/>
    <cellStyle name="Normal 21_Inputs" xfId="4232" xr:uid="{00000000-0005-0000-0000-0000FB0E0000}"/>
    <cellStyle name="Normal 22" xfId="2768" xr:uid="{00000000-0005-0000-0000-0000FC0E0000}"/>
    <cellStyle name="Normal 22 2" xfId="2769" xr:uid="{00000000-0005-0000-0000-0000FD0E0000}"/>
    <cellStyle name="Normal 22 2 2" xfId="2770" xr:uid="{00000000-0005-0000-0000-0000FE0E0000}"/>
    <cellStyle name="Normal 22 2 2 2" xfId="2771" xr:uid="{00000000-0005-0000-0000-0000FF0E0000}"/>
    <cellStyle name="Normal 22 2 2_Inputs" xfId="4250" xr:uid="{00000000-0005-0000-0000-0000000F0000}"/>
    <cellStyle name="Normal 22 2 3" xfId="2772" xr:uid="{00000000-0005-0000-0000-0000010F0000}"/>
    <cellStyle name="Normal 22 2 3 2" xfId="2773" xr:uid="{00000000-0005-0000-0000-0000020F0000}"/>
    <cellStyle name="Normal 22 2 3_Inputs" xfId="4251" xr:uid="{00000000-0005-0000-0000-0000030F0000}"/>
    <cellStyle name="Normal 22 2 4" xfId="2774" xr:uid="{00000000-0005-0000-0000-0000040F0000}"/>
    <cellStyle name="Normal 22 2_Inputs" xfId="4249" xr:uid="{00000000-0005-0000-0000-0000050F0000}"/>
    <cellStyle name="Normal 22 3" xfId="2775" xr:uid="{00000000-0005-0000-0000-0000060F0000}"/>
    <cellStyle name="Normal 22 3 2" xfId="2776" xr:uid="{00000000-0005-0000-0000-0000070F0000}"/>
    <cellStyle name="Normal 22 3 2 2" xfId="2777" xr:uid="{00000000-0005-0000-0000-0000080F0000}"/>
    <cellStyle name="Normal 22 3 2_Inputs" xfId="4253" xr:uid="{00000000-0005-0000-0000-0000090F0000}"/>
    <cellStyle name="Normal 22 3 3" xfId="2778" xr:uid="{00000000-0005-0000-0000-00000A0F0000}"/>
    <cellStyle name="Normal 22 3 3 2" xfId="2779" xr:uid="{00000000-0005-0000-0000-00000B0F0000}"/>
    <cellStyle name="Normal 22 3 3_Inputs" xfId="4254" xr:uid="{00000000-0005-0000-0000-00000C0F0000}"/>
    <cellStyle name="Normal 22 3 4" xfId="2780" xr:uid="{00000000-0005-0000-0000-00000D0F0000}"/>
    <cellStyle name="Normal 22 3_Inputs" xfId="4252" xr:uid="{00000000-0005-0000-0000-00000E0F0000}"/>
    <cellStyle name="Normal 22 4" xfId="2781" xr:uid="{00000000-0005-0000-0000-00000F0F0000}"/>
    <cellStyle name="Normal 22 4 2" xfId="2782" xr:uid="{00000000-0005-0000-0000-0000100F0000}"/>
    <cellStyle name="Normal 22 4 2 2" xfId="2783" xr:uid="{00000000-0005-0000-0000-0000110F0000}"/>
    <cellStyle name="Normal 22 4 2_Inputs" xfId="4256" xr:uid="{00000000-0005-0000-0000-0000120F0000}"/>
    <cellStyle name="Normal 22 4 3" xfId="2784" xr:uid="{00000000-0005-0000-0000-0000130F0000}"/>
    <cellStyle name="Normal 22 4 3 2" xfId="2785" xr:uid="{00000000-0005-0000-0000-0000140F0000}"/>
    <cellStyle name="Normal 22 4 3_Inputs" xfId="4257" xr:uid="{00000000-0005-0000-0000-0000150F0000}"/>
    <cellStyle name="Normal 22 4 4" xfId="2786" xr:uid="{00000000-0005-0000-0000-0000160F0000}"/>
    <cellStyle name="Normal 22 4_Inputs" xfId="4255" xr:uid="{00000000-0005-0000-0000-0000170F0000}"/>
    <cellStyle name="Normal 22 5" xfId="2787" xr:uid="{00000000-0005-0000-0000-0000180F0000}"/>
    <cellStyle name="Normal 22 5 2" xfId="2788" xr:uid="{00000000-0005-0000-0000-0000190F0000}"/>
    <cellStyle name="Normal 22 5_Inputs" xfId="4258" xr:uid="{00000000-0005-0000-0000-00001A0F0000}"/>
    <cellStyle name="Normal 22 6" xfId="2789" xr:uid="{00000000-0005-0000-0000-00001B0F0000}"/>
    <cellStyle name="Normal 22 6 2" xfId="2790" xr:uid="{00000000-0005-0000-0000-00001C0F0000}"/>
    <cellStyle name="Normal 22 6_Inputs" xfId="4259" xr:uid="{00000000-0005-0000-0000-00001D0F0000}"/>
    <cellStyle name="Normal 22 7" xfId="2791" xr:uid="{00000000-0005-0000-0000-00001E0F0000}"/>
    <cellStyle name="Normal 22_Inputs" xfId="4248" xr:uid="{00000000-0005-0000-0000-00001F0F0000}"/>
    <cellStyle name="Normal 23" xfId="2792" xr:uid="{00000000-0005-0000-0000-0000200F0000}"/>
    <cellStyle name="Normal 23 2" xfId="2793" xr:uid="{00000000-0005-0000-0000-0000210F0000}"/>
    <cellStyle name="Normal 23 2 2" xfId="2794" xr:uid="{00000000-0005-0000-0000-0000220F0000}"/>
    <cellStyle name="Normal 23 2 2 2" xfId="2795" xr:uid="{00000000-0005-0000-0000-0000230F0000}"/>
    <cellStyle name="Normal 23 2 2 2 2" xfId="2796" xr:uid="{00000000-0005-0000-0000-0000240F0000}"/>
    <cellStyle name="Normal 23 2 2 2_Inputs" xfId="4263" xr:uid="{00000000-0005-0000-0000-0000250F0000}"/>
    <cellStyle name="Normal 23 2 2 3" xfId="2797" xr:uid="{00000000-0005-0000-0000-0000260F0000}"/>
    <cellStyle name="Normal 23 2 2 3 2" xfId="2798" xr:uid="{00000000-0005-0000-0000-0000270F0000}"/>
    <cellStyle name="Normal 23 2 2 3_Inputs" xfId="4264" xr:uid="{00000000-0005-0000-0000-0000280F0000}"/>
    <cellStyle name="Normal 23 2 2 4" xfId="2799" xr:uid="{00000000-0005-0000-0000-0000290F0000}"/>
    <cellStyle name="Normal 23 2 2_Inputs" xfId="4262" xr:uid="{00000000-0005-0000-0000-00002A0F0000}"/>
    <cellStyle name="Normal 23 2 3" xfId="2800" xr:uid="{00000000-0005-0000-0000-00002B0F0000}"/>
    <cellStyle name="Normal 23 2 3 2" xfId="2801" xr:uid="{00000000-0005-0000-0000-00002C0F0000}"/>
    <cellStyle name="Normal 23 2 3_Inputs" xfId="4265" xr:uid="{00000000-0005-0000-0000-00002D0F0000}"/>
    <cellStyle name="Normal 23 2 4" xfId="2802" xr:uid="{00000000-0005-0000-0000-00002E0F0000}"/>
    <cellStyle name="Normal 23 2 4 2" xfId="2803" xr:uid="{00000000-0005-0000-0000-00002F0F0000}"/>
    <cellStyle name="Normal 23 2 4_Inputs" xfId="4266" xr:uid="{00000000-0005-0000-0000-0000300F0000}"/>
    <cellStyle name="Normal 23 2 5" xfId="2804" xr:uid="{00000000-0005-0000-0000-0000310F0000}"/>
    <cellStyle name="Normal 23 2_Inputs" xfId="4261" xr:uid="{00000000-0005-0000-0000-0000320F0000}"/>
    <cellStyle name="Normal 23 3" xfId="2805" xr:uid="{00000000-0005-0000-0000-0000330F0000}"/>
    <cellStyle name="Normal 23 3 2" xfId="2806" xr:uid="{00000000-0005-0000-0000-0000340F0000}"/>
    <cellStyle name="Normal 23 3 2 2" xfId="2807" xr:uid="{00000000-0005-0000-0000-0000350F0000}"/>
    <cellStyle name="Normal 23 3 2_Inputs" xfId="4268" xr:uid="{00000000-0005-0000-0000-0000360F0000}"/>
    <cellStyle name="Normal 23 3 3" xfId="2808" xr:uid="{00000000-0005-0000-0000-0000370F0000}"/>
    <cellStyle name="Normal 23 3 3 2" xfId="2809" xr:uid="{00000000-0005-0000-0000-0000380F0000}"/>
    <cellStyle name="Normal 23 3 3_Inputs" xfId="4269" xr:uid="{00000000-0005-0000-0000-0000390F0000}"/>
    <cellStyle name="Normal 23 3 4" xfId="2810" xr:uid="{00000000-0005-0000-0000-00003A0F0000}"/>
    <cellStyle name="Normal 23 3_Inputs" xfId="4267" xr:uid="{00000000-0005-0000-0000-00003B0F0000}"/>
    <cellStyle name="Normal 23 4" xfId="2811" xr:uid="{00000000-0005-0000-0000-00003C0F0000}"/>
    <cellStyle name="Normal 23 4 2" xfId="2812" xr:uid="{00000000-0005-0000-0000-00003D0F0000}"/>
    <cellStyle name="Normal 23 4_Inputs" xfId="4270" xr:uid="{00000000-0005-0000-0000-00003E0F0000}"/>
    <cellStyle name="Normal 23 5" xfId="2813" xr:uid="{00000000-0005-0000-0000-00003F0F0000}"/>
    <cellStyle name="Normal 23 5 2" xfId="2814" xr:uid="{00000000-0005-0000-0000-0000400F0000}"/>
    <cellStyle name="Normal 23 5_Inputs" xfId="4271" xr:uid="{00000000-0005-0000-0000-0000410F0000}"/>
    <cellStyle name="Normal 23 6" xfId="2815" xr:uid="{00000000-0005-0000-0000-0000420F0000}"/>
    <cellStyle name="Normal 23_Inputs" xfId="4260" xr:uid="{00000000-0005-0000-0000-0000430F0000}"/>
    <cellStyle name="Normal 24" xfId="2816" xr:uid="{00000000-0005-0000-0000-0000440F0000}"/>
    <cellStyle name="Normal 24 2" xfId="2817" xr:uid="{00000000-0005-0000-0000-0000450F0000}"/>
    <cellStyle name="Normal 24 2 2" xfId="2818" xr:uid="{00000000-0005-0000-0000-0000460F0000}"/>
    <cellStyle name="Normal 24 2 2 2" xfId="2819" xr:uid="{00000000-0005-0000-0000-0000470F0000}"/>
    <cellStyle name="Normal 24 2 2_Inputs" xfId="4273" xr:uid="{00000000-0005-0000-0000-0000480F0000}"/>
    <cellStyle name="Normal 24 2 3" xfId="2820" xr:uid="{00000000-0005-0000-0000-0000490F0000}"/>
    <cellStyle name="Normal 24 2 3 2" xfId="2821" xr:uid="{00000000-0005-0000-0000-00004A0F0000}"/>
    <cellStyle name="Normal 24 2 3_Inputs" xfId="4274" xr:uid="{00000000-0005-0000-0000-00004B0F0000}"/>
    <cellStyle name="Normal 24 2 4" xfId="2822" xr:uid="{00000000-0005-0000-0000-00004C0F0000}"/>
    <cellStyle name="Normal 24 2_Inputs" xfId="4272" xr:uid="{00000000-0005-0000-0000-00004D0F0000}"/>
    <cellStyle name="Normal 24 3" xfId="2823" xr:uid="{00000000-0005-0000-0000-00004E0F0000}"/>
    <cellStyle name="Normal 24 4" xfId="2824" xr:uid="{00000000-0005-0000-0000-00004F0F0000}"/>
    <cellStyle name="Normal 24 5" xfId="2825" xr:uid="{00000000-0005-0000-0000-0000500F0000}"/>
    <cellStyle name="Normal 25" xfId="2826" xr:uid="{00000000-0005-0000-0000-0000510F0000}"/>
    <cellStyle name="Normal 25 2" xfId="2827" xr:uid="{00000000-0005-0000-0000-0000520F0000}"/>
    <cellStyle name="Normal 25 2 2" xfId="2828" xr:uid="{00000000-0005-0000-0000-0000530F0000}"/>
    <cellStyle name="Normal 25 2 3" xfId="2829" xr:uid="{00000000-0005-0000-0000-0000540F0000}"/>
    <cellStyle name="Normal 25 2_Inputs" xfId="4275" xr:uid="{00000000-0005-0000-0000-0000550F0000}"/>
    <cellStyle name="Normal 25 3" xfId="2830" xr:uid="{00000000-0005-0000-0000-0000560F0000}"/>
    <cellStyle name="Normal 25 4" xfId="2831" xr:uid="{00000000-0005-0000-0000-0000570F0000}"/>
    <cellStyle name="Normal 26" xfId="2832" xr:uid="{00000000-0005-0000-0000-0000580F0000}"/>
    <cellStyle name="Normal 26 2" xfId="2833" xr:uid="{00000000-0005-0000-0000-0000590F0000}"/>
    <cellStyle name="Normal 26 2 2" xfId="2834" xr:uid="{00000000-0005-0000-0000-00005A0F0000}"/>
    <cellStyle name="Normal 26 2 3" xfId="2835" xr:uid="{00000000-0005-0000-0000-00005B0F0000}"/>
    <cellStyle name="Normal 26 2 4" xfId="2836" xr:uid="{00000000-0005-0000-0000-00005C0F0000}"/>
    <cellStyle name="Normal 26 2_Inputs" xfId="4276" xr:uid="{00000000-0005-0000-0000-00005D0F0000}"/>
    <cellStyle name="Normal 26 3" xfId="2837" xr:uid="{00000000-0005-0000-0000-00005E0F0000}"/>
    <cellStyle name="Normal 26 4" xfId="2838" xr:uid="{00000000-0005-0000-0000-00005F0F0000}"/>
    <cellStyle name="Normal 26 5" xfId="2839" xr:uid="{00000000-0005-0000-0000-0000600F0000}"/>
    <cellStyle name="Normal 27" xfId="2840" xr:uid="{00000000-0005-0000-0000-0000610F0000}"/>
    <cellStyle name="Normal 27 2" xfId="2841" xr:uid="{00000000-0005-0000-0000-0000620F0000}"/>
    <cellStyle name="Normal 27 2 2" xfId="2842" xr:uid="{00000000-0005-0000-0000-0000630F0000}"/>
    <cellStyle name="Normal 27 2 2 2" xfId="2843" xr:uid="{00000000-0005-0000-0000-0000640F0000}"/>
    <cellStyle name="Normal 27 2 2 3" xfId="2844" xr:uid="{00000000-0005-0000-0000-0000650F0000}"/>
    <cellStyle name="Normal 27 2 2_Inputs" xfId="4278" xr:uid="{00000000-0005-0000-0000-0000660F0000}"/>
    <cellStyle name="Normal 27 2 3" xfId="2845" xr:uid="{00000000-0005-0000-0000-0000670F0000}"/>
    <cellStyle name="Normal 27 2 3 2" xfId="2846" xr:uid="{00000000-0005-0000-0000-0000680F0000}"/>
    <cellStyle name="Normal 27 2 3_Inputs" xfId="4279" xr:uid="{00000000-0005-0000-0000-0000690F0000}"/>
    <cellStyle name="Normal 27 2 4" xfId="2847" xr:uid="{00000000-0005-0000-0000-00006A0F0000}"/>
    <cellStyle name="Normal 27 2 5" xfId="2848" xr:uid="{00000000-0005-0000-0000-00006B0F0000}"/>
    <cellStyle name="Normal 27 2_Inputs" xfId="4277" xr:uid="{00000000-0005-0000-0000-00006C0F0000}"/>
    <cellStyle name="Normal 27 3" xfId="2849" xr:uid="{00000000-0005-0000-0000-00006D0F0000}"/>
    <cellStyle name="Normal 27 4" xfId="2850" xr:uid="{00000000-0005-0000-0000-00006E0F0000}"/>
    <cellStyle name="Normal 27 5" xfId="2851" xr:uid="{00000000-0005-0000-0000-00006F0F0000}"/>
    <cellStyle name="Normal 28" xfId="2852" xr:uid="{00000000-0005-0000-0000-0000700F0000}"/>
    <cellStyle name="Normal 28 2" xfId="2853" xr:uid="{00000000-0005-0000-0000-0000710F0000}"/>
    <cellStyle name="Normal 28 3" xfId="2854" xr:uid="{00000000-0005-0000-0000-0000720F0000}"/>
    <cellStyle name="Normal 28 4" xfId="2855" xr:uid="{00000000-0005-0000-0000-0000730F0000}"/>
    <cellStyle name="Normal 28 5" xfId="2856" xr:uid="{00000000-0005-0000-0000-0000740F0000}"/>
    <cellStyle name="Normal 29" xfId="2857" xr:uid="{00000000-0005-0000-0000-0000750F0000}"/>
    <cellStyle name="Normal 29 2" xfId="2858" xr:uid="{00000000-0005-0000-0000-0000760F0000}"/>
    <cellStyle name="Normal 29 3" xfId="2859" xr:uid="{00000000-0005-0000-0000-0000770F0000}"/>
    <cellStyle name="Normal 29 4" xfId="2860" xr:uid="{00000000-0005-0000-0000-0000780F0000}"/>
    <cellStyle name="Normal 3" xfId="3" xr:uid="{00000000-0005-0000-0000-0000790F0000}"/>
    <cellStyle name="Normal 3 2" xfId="2861" xr:uid="{00000000-0005-0000-0000-00007A0F0000}"/>
    <cellStyle name="Normal 3 2 2" xfId="2862" xr:uid="{00000000-0005-0000-0000-00007B0F0000}"/>
    <cellStyle name="Normal 3 2 2 2" xfId="2863" xr:uid="{00000000-0005-0000-0000-00007C0F0000}"/>
    <cellStyle name="Normal 3 2 2 2 2" xfId="2864" xr:uid="{00000000-0005-0000-0000-00007D0F0000}"/>
    <cellStyle name="Normal 3 2 2 2_Inputs" xfId="4281" xr:uid="{00000000-0005-0000-0000-00007E0F0000}"/>
    <cellStyle name="Normal 3 2 2 3" xfId="2865" xr:uid="{00000000-0005-0000-0000-00007F0F0000}"/>
    <cellStyle name="Normal 3 2 2 3 2" xfId="2866" xr:uid="{00000000-0005-0000-0000-0000800F0000}"/>
    <cellStyle name="Normal 3 2 2 3_Inputs" xfId="4282" xr:uid="{00000000-0005-0000-0000-0000810F0000}"/>
    <cellStyle name="Normal 3 2 2 4" xfId="2867" xr:uid="{00000000-0005-0000-0000-0000820F0000}"/>
    <cellStyle name="Normal 3 2 2 5" xfId="2868" xr:uid="{00000000-0005-0000-0000-0000830F0000}"/>
    <cellStyle name="Normal 3 2 2_Inputs" xfId="4280" xr:uid="{00000000-0005-0000-0000-0000840F0000}"/>
    <cellStyle name="Normal 3 2 3" xfId="2869" xr:uid="{00000000-0005-0000-0000-0000850F0000}"/>
    <cellStyle name="Normal 3 2 3 2" xfId="2870" xr:uid="{00000000-0005-0000-0000-0000860F0000}"/>
    <cellStyle name="Normal 3 2 3 3" xfId="2871" xr:uid="{00000000-0005-0000-0000-0000870F0000}"/>
    <cellStyle name="Normal 3 2 3 4" xfId="2872" xr:uid="{00000000-0005-0000-0000-0000880F0000}"/>
    <cellStyle name="Normal 3 2 4" xfId="2873" xr:uid="{00000000-0005-0000-0000-0000890F0000}"/>
    <cellStyle name="Normal 3 2 4 2" xfId="2874" xr:uid="{00000000-0005-0000-0000-00008A0F0000}"/>
    <cellStyle name="Normal 3 2 4 2 2" xfId="2875" xr:uid="{00000000-0005-0000-0000-00008B0F0000}"/>
    <cellStyle name="Normal 3 2 4 2_Inputs" xfId="4284" xr:uid="{00000000-0005-0000-0000-00008C0F0000}"/>
    <cellStyle name="Normal 3 2 4 3" xfId="2876" xr:uid="{00000000-0005-0000-0000-00008D0F0000}"/>
    <cellStyle name="Normal 3 2 4 3 2" xfId="2877" xr:uid="{00000000-0005-0000-0000-00008E0F0000}"/>
    <cellStyle name="Normal 3 2 4 3_Inputs" xfId="4285" xr:uid="{00000000-0005-0000-0000-00008F0F0000}"/>
    <cellStyle name="Normal 3 2 4 4" xfId="2878" xr:uid="{00000000-0005-0000-0000-0000900F0000}"/>
    <cellStyle name="Normal 3 2 4_Inputs" xfId="4283" xr:uid="{00000000-0005-0000-0000-0000910F0000}"/>
    <cellStyle name="Normal 3 2 5" xfId="2879" xr:uid="{00000000-0005-0000-0000-0000920F0000}"/>
    <cellStyle name="Normal 3 2 5 2" xfId="2880" xr:uid="{00000000-0005-0000-0000-0000930F0000}"/>
    <cellStyle name="Normal 3 2 5_Inputs" xfId="4286" xr:uid="{00000000-0005-0000-0000-0000940F0000}"/>
    <cellStyle name="Normal 3 2 6" xfId="2881" xr:uid="{00000000-0005-0000-0000-0000950F0000}"/>
    <cellStyle name="Normal 3 2 6 2" xfId="2882" xr:uid="{00000000-0005-0000-0000-0000960F0000}"/>
    <cellStyle name="Normal 3 2 6_Inputs" xfId="4287" xr:uid="{00000000-0005-0000-0000-0000970F0000}"/>
    <cellStyle name="Normal 3 2_CLAIMEndJuly16" xfId="2883" xr:uid="{00000000-0005-0000-0000-0000980F0000}"/>
    <cellStyle name="Normal 3 3" xfId="2884" xr:uid="{00000000-0005-0000-0000-0000990F0000}"/>
    <cellStyle name="Normal 3 3 2" xfId="2885" xr:uid="{00000000-0005-0000-0000-00009A0F0000}"/>
    <cellStyle name="Normal 3 3 2 2" xfId="2886" xr:uid="{00000000-0005-0000-0000-00009B0F0000}"/>
    <cellStyle name="Normal 3 3 2_Inputs" xfId="4289" xr:uid="{00000000-0005-0000-0000-00009C0F0000}"/>
    <cellStyle name="Normal 3 3 3" xfId="2887" xr:uid="{00000000-0005-0000-0000-00009D0F0000}"/>
    <cellStyle name="Normal 3 3 3 2" xfId="2888" xr:uid="{00000000-0005-0000-0000-00009E0F0000}"/>
    <cellStyle name="Normal 3 3 3_Inputs" xfId="4290" xr:uid="{00000000-0005-0000-0000-00009F0F0000}"/>
    <cellStyle name="Normal 3 3 4" xfId="2889" xr:uid="{00000000-0005-0000-0000-0000A00F0000}"/>
    <cellStyle name="Normal 3 3_Inputs" xfId="4288" xr:uid="{00000000-0005-0000-0000-0000A10F0000}"/>
    <cellStyle name="Normal 3 4" xfId="2890" xr:uid="{00000000-0005-0000-0000-0000A20F0000}"/>
    <cellStyle name="Normal 3 4 2" xfId="2891" xr:uid="{00000000-0005-0000-0000-0000A30F0000}"/>
    <cellStyle name="Normal 3 4 2 2" xfId="2892" xr:uid="{00000000-0005-0000-0000-0000A40F0000}"/>
    <cellStyle name="Normal 3 4 2_Inputs" xfId="4292" xr:uid="{00000000-0005-0000-0000-0000A50F0000}"/>
    <cellStyle name="Normal 3 4 3" xfId="2893" xr:uid="{00000000-0005-0000-0000-0000A60F0000}"/>
    <cellStyle name="Normal 3 4 3 2" xfId="2894" xr:uid="{00000000-0005-0000-0000-0000A70F0000}"/>
    <cellStyle name="Normal 3 4 3_Inputs" xfId="4293" xr:uid="{00000000-0005-0000-0000-0000A80F0000}"/>
    <cellStyle name="Normal 3 4 4" xfId="2895" xr:uid="{00000000-0005-0000-0000-0000A90F0000}"/>
    <cellStyle name="Normal 3 4_Inputs" xfId="4291" xr:uid="{00000000-0005-0000-0000-0000AA0F0000}"/>
    <cellStyle name="Normal 3 5" xfId="2896" xr:uid="{00000000-0005-0000-0000-0000AB0F0000}"/>
    <cellStyle name="Normal 3 5 2" xfId="2897" xr:uid="{00000000-0005-0000-0000-0000AC0F0000}"/>
    <cellStyle name="Normal 3 5_Inputs" xfId="4294" xr:uid="{00000000-0005-0000-0000-0000AD0F0000}"/>
    <cellStyle name="Normal 3 6" xfId="2898" xr:uid="{00000000-0005-0000-0000-0000AE0F0000}"/>
    <cellStyle name="Normal 3_CLAIMEndJuly16" xfId="2899" xr:uid="{00000000-0005-0000-0000-0000AF0F0000}"/>
    <cellStyle name="Normal 30" xfId="2900" xr:uid="{00000000-0005-0000-0000-0000B00F0000}"/>
    <cellStyle name="Normal 30 2" xfId="2901" xr:uid="{00000000-0005-0000-0000-0000B10F0000}"/>
    <cellStyle name="Normal 30 3" xfId="2902" xr:uid="{00000000-0005-0000-0000-0000B20F0000}"/>
    <cellStyle name="Normal 30 4" xfId="2903" xr:uid="{00000000-0005-0000-0000-0000B30F0000}"/>
    <cellStyle name="Normal 30_Inputs" xfId="4295" xr:uid="{00000000-0005-0000-0000-0000B40F0000}"/>
    <cellStyle name="Normal 31" xfId="2904" xr:uid="{00000000-0005-0000-0000-0000B50F0000}"/>
    <cellStyle name="Normal 31 2" xfId="2905" xr:uid="{00000000-0005-0000-0000-0000B60F0000}"/>
    <cellStyle name="Normal 31 2 2" xfId="2906" xr:uid="{00000000-0005-0000-0000-0000B70F0000}"/>
    <cellStyle name="Normal 31 2 2 2" xfId="2907" xr:uid="{00000000-0005-0000-0000-0000B80F0000}"/>
    <cellStyle name="Normal 31 2 2_Inputs" xfId="4298" xr:uid="{00000000-0005-0000-0000-0000B90F0000}"/>
    <cellStyle name="Normal 31 2 3" xfId="2908" xr:uid="{00000000-0005-0000-0000-0000BA0F0000}"/>
    <cellStyle name="Normal 31 2 3 2" xfId="2909" xr:uid="{00000000-0005-0000-0000-0000BB0F0000}"/>
    <cellStyle name="Normal 31 2 3_Inputs" xfId="4299" xr:uid="{00000000-0005-0000-0000-0000BC0F0000}"/>
    <cellStyle name="Normal 31 2 4" xfId="2910" xr:uid="{00000000-0005-0000-0000-0000BD0F0000}"/>
    <cellStyle name="Normal 31 2_Inputs" xfId="4297" xr:uid="{00000000-0005-0000-0000-0000BE0F0000}"/>
    <cellStyle name="Normal 31 3" xfId="2911" xr:uid="{00000000-0005-0000-0000-0000BF0F0000}"/>
    <cellStyle name="Normal 31 4" xfId="2912" xr:uid="{00000000-0005-0000-0000-0000C00F0000}"/>
    <cellStyle name="Normal 31 5" xfId="2913" xr:uid="{00000000-0005-0000-0000-0000C10F0000}"/>
    <cellStyle name="Normal 31_Inputs" xfId="4296" xr:uid="{00000000-0005-0000-0000-0000C20F0000}"/>
    <cellStyle name="Normal 32" xfId="2914" xr:uid="{00000000-0005-0000-0000-0000C30F0000}"/>
    <cellStyle name="Normal 32 2" xfId="2915" xr:uid="{00000000-0005-0000-0000-0000C40F0000}"/>
    <cellStyle name="Normal 32 3" xfId="2916" xr:uid="{00000000-0005-0000-0000-0000C50F0000}"/>
    <cellStyle name="Normal 32 4" xfId="2917" xr:uid="{00000000-0005-0000-0000-0000C60F0000}"/>
    <cellStyle name="Normal 32_Inputs" xfId="4300" xr:uid="{00000000-0005-0000-0000-0000C70F0000}"/>
    <cellStyle name="Normal 33" xfId="2918" xr:uid="{00000000-0005-0000-0000-0000C80F0000}"/>
    <cellStyle name="Normal 33 2" xfId="2919" xr:uid="{00000000-0005-0000-0000-0000C90F0000}"/>
    <cellStyle name="Normal 33 2 2" xfId="2920" xr:uid="{00000000-0005-0000-0000-0000CA0F0000}"/>
    <cellStyle name="Normal 33 2_Inputs" xfId="4302" xr:uid="{00000000-0005-0000-0000-0000CB0F0000}"/>
    <cellStyle name="Normal 33 3" xfId="2921" xr:uid="{00000000-0005-0000-0000-0000CC0F0000}"/>
    <cellStyle name="Normal 33 3 2" xfId="2922" xr:uid="{00000000-0005-0000-0000-0000CD0F0000}"/>
    <cellStyle name="Normal 33 3_Inputs" xfId="4303" xr:uid="{00000000-0005-0000-0000-0000CE0F0000}"/>
    <cellStyle name="Normal 33 4" xfId="2923" xr:uid="{00000000-0005-0000-0000-0000CF0F0000}"/>
    <cellStyle name="Normal 33_Inputs" xfId="4301" xr:uid="{00000000-0005-0000-0000-0000D00F0000}"/>
    <cellStyle name="Normal 34" xfId="2924" xr:uid="{00000000-0005-0000-0000-0000D10F0000}"/>
    <cellStyle name="Normal 34 2" xfId="2925" xr:uid="{00000000-0005-0000-0000-0000D20F0000}"/>
    <cellStyle name="Normal 34 2 2" xfId="2926" xr:uid="{00000000-0005-0000-0000-0000D30F0000}"/>
    <cellStyle name="Normal 34 2_Inputs" xfId="4305" xr:uid="{00000000-0005-0000-0000-0000D40F0000}"/>
    <cellStyle name="Normal 34 3" xfId="2927" xr:uid="{00000000-0005-0000-0000-0000D50F0000}"/>
    <cellStyle name="Normal 34 3 2" xfId="2928" xr:uid="{00000000-0005-0000-0000-0000D60F0000}"/>
    <cellStyle name="Normal 34 3_Inputs" xfId="4306" xr:uid="{00000000-0005-0000-0000-0000D70F0000}"/>
    <cellStyle name="Normal 34 4" xfId="2929" xr:uid="{00000000-0005-0000-0000-0000D80F0000}"/>
    <cellStyle name="Normal 34_Inputs" xfId="4304" xr:uid="{00000000-0005-0000-0000-0000D90F0000}"/>
    <cellStyle name="Normal 35" xfId="2930" xr:uid="{00000000-0005-0000-0000-0000DA0F0000}"/>
    <cellStyle name="Normal 35 2" xfId="2931" xr:uid="{00000000-0005-0000-0000-0000DB0F0000}"/>
    <cellStyle name="Normal 35 3" xfId="2932" xr:uid="{00000000-0005-0000-0000-0000DC0F0000}"/>
    <cellStyle name="Normal 35 4" xfId="2933" xr:uid="{00000000-0005-0000-0000-0000DD0F0000}"/>
    <cellStyle name="Normal 35_Inputs" xfId="4307" xr:uid="{00000000-0005-0000-0000-0000DE0F0000}"/>
    <cellStyle name="Normal 36" xfId="2934" xr:uid="{00000000-0005-0000-0000-0000DF0F0000}"/>
    <cellStyle name="Normal 37" xfId="2935" xr:uid="{00000000-0005-0000-0000-0000E00F0000}"/>
    <cellStyle name="Normal 38" xfId="2936" xr:uid="{00000000-0005-0000-0000-0000E10F0000}"/>
    <cellStyle name="Normal 38 2" xfId="2937" xr:uid="{00000000-0005-0000-0000-0000E20F0000}"/>
    <cellStyle name="Normal 38 2 2" xfId="2938" xr:uid="{00000000-0005-0000-0000-0000E30F0000}"/>
    <cellStyle name="Normal 38 2_Inputs" xfId="4309" xr:uid="{00000000-0005-0000-0000-0000E40F0000}"/>
    <cellStyle name="Normal 38 3" xfId="2939" xr:uid="{00000000-0005-0000-0000-0000E50F0000}"/>
    <cellStyle name="Normal 38_Inputs" xfId="4308" xr:uid="{00000000-0005-0000-0000-0000E60F0000}"/>
    <cellStyle name="Normal 39" xfId="2940" xr:uid="{00000000-0005-0000-0000-0000E70F0000}"/>
    <cellStyle name="Normal 39 2" xfId="2941" xr:uid="{00000000-0005-0000-0000-0000E80F0000}"/>
    <cellStyle name="Normal 39 2 2" xfId="2942" xr:uid="{00000000-0005-0000-0000-0000E90F0000}"/>
    <cellStyle name="Normal 39 2_Inputs" xfId="4311" xr:uid="{00000000-0005-0000-0000-0000EA0F0000}"/>
    <cellStyle name="Normal 39 3" xfId="2943" xr:uid="{00000000-0005-0000-0000-0000EB0F0000}"/>
    <cellStyle name="Normal 39_Inputs" xfId="4310" xr:uid="{00000000-0005-0000-0000-0000EC0F0000}"/>
    <cellStyle name="Normal 4" xfId="2944" xr:uid="{00000000-0005-0000-0000-0000ED0F0000}"/>
    <cellStyle name="Normal 4 2" xfId="2945" xr:uid="{00000000-0005-0000-0000-0000EE0F0000}"/>
    <cellStyle name="Normal 4 2 2" xfId="2946" xr:uid="{00000000-0005-0000-0000-0000EF0F0000}"/>
    <cellStyle name="Normal 4 2_Inputs" xfId="4313" xr:uid="{00000000-0005-0000-0000-0000F00F0000}"/>
    <cellStyle name="Normal 4 3" xfId="2947" xr:uid="{00000000-0005-0000-0000-0000F10F0000}"/>
    <cellStyle name="Normal 4 3 2" xfId="2948" xr:uid="{00000000-0005-0000-0000-0000F20F0000}"/>
    <cellStyle name="Normal 4 3 3" xfId="2949" xr:uid="{00000000-0005-0000-0000-0000F30F0000}"/>
    <cellStyle name="Normal 4 3 4" xfId="2950" xr:uid="{00000000-0005-0000-0000-0000F40F0000}"/>
    <cellStyle name="Normal 4 3_Inputs" xfId="4314" xr:uid="{00000000-0005-0000-0000-0000F50F0000}"/>
    <cellStyle name="Normal 4 4" xfId="2951" xr:uid="{00000000-0005-0000-0000-0000F60F0000}"/>
    <cellStyle name="Normal 4 5" xfId="2952" xr:uid="{00000000-0005-0000-0000-0000F70F0000}"/>
    <cellStyle name="Normal 4 6" xfId="2953" xr:uid="{00000000-0005-0000-0000-0000F80F0000}"/>
    <cellStyle name="Normal 4_Inputs" xfId="4312" xr:uid="{00000000-0005-0000-0000-0000F90F0000}"/>
    <cellStyle name="Normal 40" xfId="2954" xr:uid="{00000000-0005-0000-0000-0000FA0F0000}"/>
    <cellStyle name="Normal 40 2" xfId="2955" xr:uid="{00000000-0005-0000-0000-0000FB0F0000}"/>
    <cellStyle name="Normal 40_Inputs" xfId="4315" xr:uid="{00000000-0005-0000-0000-0000FC0F0000}"/>
    <cellStyle name="Normal 41" xfId="2956" xr:uid="{00000000-0005-0000-0000-0000FD0F0000}"/>
    <cellStyle name="Normal 42" xfId="2957" xr:uid="{00000000-0005-0000-0000-0000FE0F0000}"/>
    <cellStyle name="Normal 43" xfId="2958" xr:uid="{00000000-0005-0000-0000-0000FF0F0000}"/>
    <cellStyle name="Normal 44" xfId="2959" xr:uid="{00000000-0005-0000-0000-000000100000}"/>
    <cellStyle name="Normal 45" xfId="2960" xr:uid="{00000000-0005-0000-0000-000001100000}"/>
    <cellStyle name="Normal 46" xfId="2961" xr:uid="{00000000-0005-0000-0000-000002100000}"/>
    <cellStyle name="Normal 46 2" xfId="2962" xr:uid="{00000000-0005-0000-0000-000003100000}"/>
    <cellStyle name="Normal 46_Inputs" xfId="4316" xr:uid="{00000000-0005-0000-0000-000004100000}"/>
    <cellStyle name="Normal 47" xfId="2963" xr:uid="{00000000-0005-0000-0000-000005100000}"/>
    <cellStyle name="Normal 47 2" xfId="2964" xr:uid="{00000000-0005-0000-0000-000006100000}"/>
    <cellStyle name="Normal 47_Inputs" xfId="4317" xr:uid="{00000000-0005-0000-0000-000007100000}"/>
    <cellStyle name="Normal 5" xfId="2965" xr:uid="{00000000-0005-0000-0000-000008100000}"/>
    <cellStyle name="Normal 5 2" xfId="2966" xr:uid="{00000000-0005-0000-0000-000009100000}"/>
    <cellStyle name="Normal 5 2 2" xfId="2967" xr:uid="{00000000-0005-0000-0000-00000A100000}"/>
    <cellStyle name="Normal 5 2_Inputs" xfId="4318" xr:uid="{00000000-0005-0000-0000-00000B100000}"/>
    <cellStyle name="Normal 5 3" xfId="2968" xr:uid="{00000000-0005-0000-0000-00000C100000}"/>
    <cellStyle name="Normal 5 3 2" xfId="2969" xr:uid="{00000000-0005-0000-0000-00000D100000}"/>
    <cellStyle name="Normal 5 3_Inputs" xfId="4319" xr:uid="{00000000-0005-0000-0000-00000E100000}"/>
    <cellStyle name="Normal 5 4" xfId="2970" xr:uid="{00000000-0005-0000-0000-00000F100000}"/>
    <cellStyle name="Normal 5 5" xfId="2971" xr:uid="{00000000-0005-0000-0000-000010100000}"/>
    <cellStyle name="Normal 5_CLAIMEndJuly16" xfId="2972" xr:uid="{00000000-0005-0000-0000-000011100000}"/>
    <cellStyle name="Normal 6" xfId="2973" xr:uid="{00000000-0005-0000-0000-000012100000}"/>
    <cellStyle name="Normal 6 2" xfId="2974" xr:uid="{00000000-0005-0000-0000-000013100000}"/>
    <cellStyle name="Normal 6 2 2" xfId="2975" xr:uid="{00000000-0005-0000-0000-000014100000}"/>
    <cellStyle name="Normal 6 2_Inputs" xfId="4320" xr:uid="{00000000-0005-0000-0000-000015100000}"/>
    <cellStyle name="Normal 6 3" xfId="2976" xr:uid="{00000000-0005-0000-0000-000016100000}"/>
    <cellStyle name="Normal 6 3 2" xfId="2977" xr:uid="{00000000-0005-0000-0000-000017100000}"/>
    <cellStyle name="Normal 6 3 2 2" xfId="2978" xr:uid="{00000000-0005-0000-0000-000018100000}"/>
    <cellStyle name="Normal 6 3 2_Inputs" xfId="4322" xr:uid="{00000000-0005-0000-0000-000019100000}"/>
    <cellStyle name="Normal 6 3 3" xfId="2979" xr:uid="{00000000-0005-0000-0000-00001A100000}"/>
    <cellStyle name="Normal 6 3 3 2" xfId="2980" xr:uid="{00000000-0005-0000-0000-00001B100000}"/>
    <cellStyle name="Normal 6 3 3_Inputs" xfId="4323" xr:uid="{00000000-0005-0000-0000-00001C100000}"/>
    <cellStyle name="Normal 6 3 4" xfId="2981" xr:uid="{00000000-0005-0000-0000-00001D100000}"/>
    <cellStyle name="Normal 6 3 5" xfId="2982" xr:uid="{00000000-0005-0000-0000-00001E100000}"/>
    <cellStyle name="Normal 6 3_Inputs" xfId="4321" xr:uid="{00000000-0005-0000-0000-00001F100000}"/>
    <cellStyle name="Normal 6 4" xfId="2983" xr:uid="{00000000-0005-0000-0000-000020100000}"/>
    <cellStyle name="Normal 6 4 2" xfId="2984" xr:uid="{00000000-0005-0000-0000-000021100000}"/>
    <cellStyle name="Normal 6 4 2 2" xfId="2985" xr:uid="{00000000-0005-0000-0000-000022100000}"/>
    <cellStyle name="Normal 6 4 2_Inputs" xfId="4325" xr:uid="{00000000-0005-0000-0000-000023100000}"/>
    <cellStyle name="Normal 6 4 3" xfId="2986" xr:uid="{00000000-0005-0000-0000-000024100000}"/>
    <cellStyle name="Normal 6 4 3 2" xfId="2987" xr:uid="{00000000-0005-0000-0000-000025100000}"/>
    <cellStyle name="Normal 6 4 3_Inputs" xfId="4326" xr:uid="{00000000-0005-0000-0000-000026100000}"/>
    <cellStyle name="Normal 6 4 4" xfId="2988" xr:uid="{00000000-0005-0000-0000-000027100000}"/>
    <cellStyle name="Normal 6 4_Inputs" xfId="4324" xr:uid="{00000000-0005-0000-0000-000028100000}"/>
    <cellStyle name="Normal 6 5" xfId="2989" xr:uid="{00000000-0005-0000-0000-000029100000}"/>
    <cellStyle name="Normal 6 5 2" xfId="2990" xr:uid="{00000000-0005-0000-0000-00002A100000}"/>
    <cellStyle name="Normal 6 5 2 2" xfId="2991" xr:uid="{00000000-0005-0000-0000-00002B100000}"/>
    <cellStyle name="Normal 6 5 2_Inputs" xfId="4328" xr:uid="{00000000-0005-0000-0000-00002C100000}"/>
    <cellStyle name="Normal 6 5 3" xfId="2992" xr:uid="{00000000-0005-0000-0000-00002D100000}"/>
    <cellStyle name="Normal 6 5 3 2" xfId="2993" xr:uid="{00000000-0005-0000-0000-00002E100000}"/>
    <cellStyle name="Normal 6 5 3_Inputs" xfId="4329" xr:uid="{00000000-0005-0000-0000-00002F100000}"/>
    <cellStyle name="Normal 6 5 4" xfId="2994" xr:uid="{00000000-0005-0000-0000-000030100000}"/>
    <cellStyle name="Normal 6 5_Inputs" xfId="4327" xr:uid="{00000000-0005-0000-0000-000031100000}"/>
    <cellStyle name="Normal 6 6" xfId="2995" xr:uid="{00000000-0005-0000-0000-000032100000}"/>
    <cellStyle name="Normal 6 6 2" xfId="2996" xr:uid="{00000000-0005-0000-0000-000033100000}"/>
    <cellStyle name="Normal 6 6 2 2" xfId="2997" xr:uid="{00000000-0005-0000-0000-000034100000}"/>
    <cellStyle name="Normal 6 6 2_Inputs" xfId="4331" xr:uid="{00000000-0005-0000-0000-000035100000}"/>
    <cellStyle name="Normal 6 6 3" xfId="2998" xr:uid="{00000000-0005-0000-0000-000036100000}"/>
    <cellStyle name="Normal 6 6 3 2" xfId="2999" xr:uid="{00000000-0005-0000-0000-000037100000}"/>
    <cellStyle name="Normal 6 6 3_Inputs" xfId="4332" xr:uid="{00000000-0005-0000-0000-000038100000}"/>
    <cellStyle name="Normal 6 6 4" xfId="3000" xr:uid="{00000000-0005-0000-0000-000039100000}"/>
    <cellStyle name="Normal 6 6_Inputs" xfId="4330" xr:uid="{00000000-0005-0000-0000-00003A100000}"/>
    <cellStyle name="Normal 6 7" xfId="3001" xr:uid="{00000000-0005-0000-0000-00003B100000}"/>
    <cellStyle name="Normal 6 7 2" xfId="3002" xr:uid="{00000000-0005-0000-0000-00003C100000}"/>
    <cellStyle name="Normal 6 7_Inputs" xfId="4333" xr:uid="{00000000-0005-0000-0000-00003D100000}"/>
    <cellStyle name="Normal 6 8" xfId="3003" xr:uid="{00000000-0005-0000-0000-00003E100000}"/>
    <cellStyle name="Normal 6 8 2" xfId="3004" xr:uid="{00000000-0005-0000-0000-00003F100000}"/>
    <cellStyle name="Normal 6 8_Inputs" xfId="4334" xr:uid="{00000000-0005-0000-0000-000040100000}"/>
    <cellStyle name="Normal 6 9" xfId="3005" xr:uid="{00000000-0005-0000-0000-000041100000}"/>
    <cellStyle name="Normal 6_CLAIMEndJuly16" xfId="3006" xr:uid="{00000000-0005-0000-0000-000042100000}"/>
    <cellStyle name="Normal 7" xfId="3007" xr:uid="{00000000-0005-0000-0000-000043100000}"/>
    <cellStyle name="Normal 7 2" xfId="3008" xr:uid="{00000000-0005-0000-0000-000044100000}"/>
    <cellStyle name="Normal 7 3" xfId="3009" xr:uid="{00000000-0005-0000-0000-000045100000}"/>
    <cellStyle name="Normal 7_CLAIMEndJuly16" xfId="3010" xr:uid="{00000000-0005-0000-0000-000046100000}"/>
    <cellStyle name="Normal 8" xfId="3011" xr:uid="{00000000-0005-0000-0000-000047100000}"/>
    <cellStyle name="Normal 9" xfId="3012" xr:uid="{00000000-0005-0000-0000-000048100000}"/>
    <cellStyle name="Normal_Sheet1" xfId="3177" xr:uid="{00000000-0005-0000-0000-000049100000}"/>
    <cellStyle name="Note 2" xfId="3013" xr:uid="{00000000-0005-0000-0000-00004A100000}"/>
    <cellStyle name="Note 2 2" xfId="3014" xr:uid="{00000000-0005-0000-0000-00004B100000}"/>
    <cellStyle name="Note 2 2 2" xfId="3015" xr:uid="{00000000-0005-0000-0000-00004C100000}"/>
    <cellStyle name="Note 2 2 2 2" xfId="3016" xr:uid="{00000000-0005-0000-0000-00004D100000}"/>
    <cellStyle name="Note 2 2 2_Inputs" xfId="4337" xr:uid="{00000000-0005-0000-0000-00004E100000}"/>
    <cellStyle name="Note 2 2 3" xfId="3017" xr:uid="{00000000-0005-0000-0000-00004F100000}"/>
    <cellStyle name="Note 2 2 3 2" xfId="3018" xr:uid="{00000000-0005-0000-0000-000050100000}"/>
    <cellStyle name="Note 2 2 3_Inputs" xfId="4338" xr:uid="{00000000-0005-0000-0000-000051100000}"/>
    <cellStyle name="Note 2 2 4" xfId="3019" xr:uid="{00000000-0005-0000-0000-000052100000}"/>
    <cellStyle name="Note 2 2_Inputs" xfId="4336" xr:uid="{00000000-0005-0000-0000-000053100000}"/>
    <cellStyle name="Note 2 3" xfId="3020" xr:uid="{00000000-0005-0000-0000-000054100000}"/>
    <cellStyle name="Note 2 3 2" xfId="3021" xr:uid="{00000000-0005-0000-0000-000055100000}"/>
    <cellStyle name="Note 2 3_Inputs" xfId="4339" xr:uid="{00000000-0005-0000-0000-000056100000}"/>
    <cellStyle name="Note 2 4" xfId="3022" xr:uid="{00000000-0005-0000-0000-000057100000}"/>
    <cellStyle name="Note 2 4 2" xfId="3023" xr:uid="{00000000-0005-0000-0000-000058100000}"/>
    <cellStyle name="Note 2 4_Inputs" xfId="4340" xr:uid="{00000000-0005-0000-0000-000059100000}"/>
    <cellStyle name="Note 2 5" xfId="3024" xr:uid="{00000000-0005-0000-0000-00005A100000}"/>
    <cellStyle name="Note 2_Inputs" xfId="4335" xr:uid="{00000000-0005-0000-0000-00005B100000}"/>
    <cellStyle name="Note 3" xfId="3025" xr:uid="{00000000-0005-0000-0000-00005C100000}"/>
    <cellStyle name="Note 3 2" xfId="3026" xr:uid="{00000000-0005-0000-0000-00005D100000}"/>
    <cellStyle name="Note 3 2 2" xfId="3027" xr:uid="{00000000-0005-0000-0000-00005E100000}"/>
    <cellStyle name="Note 3 2 2 2" xfId="3028" xr:uid="{00000000-0005-0000-0000-00005F100000}"/>
    <cellStyle name="Note 3 2 2_Inputs" xfId="4343" xr:uid="{00000000-0005-0000-0000-000060100000}"/>
    <cellStyle name="Note 3 2 3" xfId="3029" xr:uid="{00000000-0005-0000-0000-000061100000}"/>
    <cellStyle name="Note 3 2 3 2" xfId="3030" xr:uid="{00000000-0005-0000-0000-000062100000}"/>
    <cellStyle name="Note 3 2 3_Inputs" xfId="4344" xr:uid="{00000000-0005-0000-0000-000063100000}"/>
    <cellStyle name="Note 3 2 4" xfId="3031" xr:uid="{00000000-0005-0000-0000-000064100000}"/>
    <cellStyle name="Note 3 2_Inputs" xfId="4342" xr:uid="{00000000-0005-0000-0000-000065100000}"/>
    <cellStyle name="Note 3 3" xfId="3032" xr:uid="{00000000-0005-0000-0000-000066100000}"/>
    <cellStyle name="Note 3 3 2" xfId="3033" xr:uid="{00000000-0005-0000-0000-000067100000}"/>
    <cellStyle name="Note 3 3_Inputs" xfId="4345" xr:uid="{00000000-0005-0000-0000-000068100000}"/>
    <cellStyle name="Note 3 4" xfId="3034" xr:uid="{00000000-0005-0000-0000-000069100000}"/>
    <cellStyle name="Note 3 4 2" xfId="3035" xr:uid="{00000000-0005-0000-0000-00006A100000}"/>
    <cellStyle name="Note 3 4_Inputs" xfId="4346" xr:uid="{00000000-0005-0000-0000-00006B100000}"/>
    <cellStyle name="Note 3 5" xfId="3036" xr:uid="{00000000-0005-0000-0000-00006C100000}"/>
    <cellStyle name="Note 3_Inputs" xfId="4341" xr:uid="{00000000-0005-0000-0000-00006D100000}"/>
    <cellStyle name="Note 4" xfId="3037" xr:uid="{00000000-0005-0000-0000-00006E100000}"/>
    <cellStyle name="Note 4 2" xfId="3038" xr:uid="{00000000-0005-0000-0000-00006F100000}"/>
    <cellStyle name="Note 4 2 2" xfId="3039" xr:uid="{00000000-0005-0000-0000-000070100000}"/>
    <cellStyle name="Note 4 2 2 2" xfId="3040" xr:uid="{00000000-0005-0000-0000-000071100000}"/>
    <cellStyle name="Note 4 2 2_Inputs" xfId="4349" xr:uid="{00000000-0005-0000-0000-000072100000}"/>
    <cellStyle name="Note 4 2 3" xfId="3041" xr:uid="{00000000-0005-0000-0000-000073100000}"/>
    <cellStyle name="Note 4 2 3 2" xfId="3042" xr:uid="{00000000-0005-0000-0000-000074100000}"/>
    <cellStyle name="Note 4 2 3_Inputs" xfId="4350" xr:uid="{00000000-0005-0000-0000-000075100000}"/>
    <cellStyle name="Note 4 2 4" xfId="3043" xr:uid="{00000000-0005-0000-0000-000076100000}"/>
    <cellStyle name="Note 4 2_Inputs" xfId="4348" xr:uid="{00000000-0005-0000-0000-000077100000}"/>
    <cellStyle name="Note 4 3" xfId="3044" xr:uid="{00000000-0005-0000-0000-000078100000}"/>
    <cellStyle name="Note 4 3 2" xfId="3045" xr:uid="{00000000-0005-0000-0000-000079100000}"/>
    <cellStyle name="Note 4 3_Inputs" xfId="4351" xr:uid="{00000000-0005-0000-0000-00007A100000}"/>
    <cellStyle name="Note 4 4" xfId="3046" xr:uid="{00000000-0005-0000-0000-00007B100000}"/>
    <cellStyle name="Note 4 4 2" xfId="3047" xr:uid="{00000000-0005-0000-0000-00007C100000}"/>
    <cellStyle name="Note 4 4_Inputs" xfId="4352" xr:uid="{00000000-0005-0000-0000-00007D100000}"/>
    <cellStyle name="Note 4 5" xfId="3048" xr:uid="{00000000-0005-0000-0000-00007E100000}"/>
    <cellStyle name="Note 4_Inputs" xfId="4347" xr:uid="{00000000-0005-0000-0000-00007F100000}"/>
    <cellStyle name="Percent" xfId="2" builtinId="5"/>
    <cellStyle name="Percent 10" xfId="3049" xr:uid="{00000000-0005-0000-0000-000081100000}"/>
    <cellStyle name="Percent 10 2" xfId="3050" xr:uid="{00000000-0005-0000-0000-000082100000}"/>
    <cellStyle name="Percent 10_Inputs" xfId="4353" xr:uid="{00000000-0005-0000-0000-000083100000}"/>
    <cellStyle name="Percent 11" xfId="3051" xr:uid="{00000000-0005-0000-0000-000084100000}"/>
    <cellStyle name="Percent 11 2" xfId="3052" xr:uid="{00000000-0005-0000-0000-000085100000}"/>
    <cellStyle name="Percent 11_Inputs" xfId="4354" xr:uid="{00000000-0005-0000-0000-000086100000}"/>
    <cellStyle name="Percent 12" xfId="3053" xr:uid="{00000000-0005-0000-0000-000087100000}"/>
    <cellStyle name="Percent 2" xfId="3054" xr:uid="{00000000-0005-0000-0000-000088100000}"/>
    <cellStyle name="Percent 2 2" xfId="3055" xr:uid="{00000000-0005-0000-0000-000089100000}"/>
    <cellStyle name="Percent 2 2 2" xfId="3056" xr:uid="{00000000-0005-0000-0000-00008A100000}"/>
    <cellStyle name="Percent 2 2 3" xfId="3057" xr:uid="{00000000-0005-0000-0000-00008B100000}"/>
    <cellStyle name="Percent 2 2 4" xfId="3058" xr:uid="{00000000-0005-0000-0000-00008C100000}"/>
    <cellStyle name="Percent 2 2_Inputs" xfId="4356" xr:uid="{00000000-0005-0000-0000-00008D100000}"/>
    <cellStyle name="Percent 2 3" xfId="3059" xr:uid="{00000000-0005-0000-0000-00008E100000}"/>
    <cellStyle name="Percent 2 3 2" xfId="3060" xr:uid="{00000000-0005-0000-0000-00008F100000}"/>
    <cellStyle name="Percent 2 3 2 2" xfId="3061" xr:uid="{00000000-0005-0000-0000-000090100000}"/>
    <cellStyle name="Percent 2 3 2_Inputs" xfId="4358" xr:uid="{00000000-0005-0000-0000-000091100000}"/>
    <cellStyle name="Percent 2 3 3" xfId="3062" xr:uid="{00000000-0005-0000-0000-000092100000}"/>
    <cellStyle name="Percent 2 3 3 2" xfId="3063" xr:uid="{00000000-0005-0000-0000-000093100000}"/>
    <cellStyle name="Percent 2 3 3_Inputs" xfId="4359" xr:uid="{00000000-0005-0000-0000-000094100000}"/>
    <cellStyle name="Percent 2 3 4" xfId="3064" xr:uid="{00000000-0005-0000-0000-000095100000}"/>
    <cellStyle name="Percent 2 3 5" xfId="3065" xr:uid="{00000000-0005-0000-0000-000096100000}"/>
    <cellStyle name="Percent 2 3_Inputs" xfId="4357" xr:uid="{00000000-0005-0000-0000-000097100000}"/>
    <cellStyle name="Percent 2 4" xfId="3066" xr:uid="{00000000-0005-0000-0000-000098100000}"/>
    <cellStyle name="Percent 2 4 2" xfId="3067" xr:uid="{00000000-0005-0000-0000-000099100000}"/>
    <cellStyle name="Percent 2 4 2 2" xfId="3068" xr:uid="{00000000-0005-0000-0000-00009A100000}"/>
    <cellStyle name="Percent 2 4 2_Inputs" xfId="4361" xr:uid="{00000000-0005-0000-0000-00009B100000}"/>
    <cellStyle name="Percent 2 4 3" xfId="3069" xr:uid="{00000000-0005-0000-0000-00009C100000}"/>
    <cellStyle name="Percent 2 4 3 2" xfId="3070" xr:uid="{00000000-0005-0000-0000-00009D100000}"/>
    <cellStyle name="Percent 2 4 3_Inputs" xfId="4362" xr:uid="{00000000-0005-0000-0000-00009E100000}"/>
    <cellStyle name="Percent 2 4 4" xfId="3071" xr:uid="{00000000-0005-0000-0000-00009F100000}"/>
    <cellStyle name="Percent 2 4_Inputs" xfId="4360" xr:uid="{00000000-0005-0000-0000-0000A0100000}"/>
    <cellStyle name="Percent 2 5" xfId="3072" xr:uid="{00000000-0005-0000-0000-0000A1100000}"/>
    <cellStyle name="Percent 2 5 2" xfId="3073" xr:uid="{00000000-0005-0000-0000-0000A2100000}"/>
    <cellStyle name="Percent 2 5 2 2" xfId="3074" xr:uid="{00000000-0005-0000-0000-0000A3100000}"/>
    <cellStyle name="Percent 2 5 2_Inputs" xfId="4364" xr:uid="{00000000-0005-0000-0000-0000A4100000}"/>
    <cellStyle name="Percent 2 5 3" xfId="3075" xr:uid="{00000000-0005-0000-0000-0000A5100000}"/>
    <cellStyle name="Percent 2 5 3 2" xfId="3076" xr:uid="{00000000-0005-0000-0000-0000A6100000}"/>
    <cellStyle name="Percent 2 5 3_Inputs" xfId="4365" xr:uid="{00000000-0005-0000-0000-0000A7100000}"/>
    <cellStyle name="Percent 2 5 4" xfId="3077" xr:uid="{00000000-0005-0000-0000-0000A8100000}"/>
    <cellStyle name="Percent 2 5_Inputs" xfId="4363" xr:uid="{00000000-0005-0000-0000-0000A9100000}"/>
    <cellStyle name="Percent 2 6" xfId="3078" xr:uid="{00000000-0005-0000-0000-0000AA100000}"/>
    <cellStyle name="Percent 2 6 2" xfId="3079" xr:uid="{00000000-0005-0000-0000-0000AB100000}"/>
    <cellStyle name="Percent 2 6_Inputs" xfId="4366" xr:uid="{00000000-0005-0000-0000-0000AC100000}"/>
    <cellStyle name="Percent 2 7" xfId="3080" xr:uid="{00000000-0005-0000-0000-0000AD100000}"/>
    <cellStyle name="Percent 2 7 2" xfId="3081" xr:uid="{00000000-0005-0000-0000-0000AE100000}"/>
    <cellStyle name="Percent 2 7_Inputs" xfId="4367" xr:uid="{00000000-0005-0000-0000-0000AF100000}"/>
    <cellStyle name="Percent 2 8" xfId="3082" xr:uid="{00000000-0005-0000-0000-0000B0100000}"/>
    <cellStyle name="Percent 2_Inputs" xfId="4355" xr:uid="{00000000-0005-0000-0000-0000B1100000}"/>
    <cellStyle name="Percent 3" xfId="3083" xr:uid="{00000000-0005-0000-0000-0000B2100000}"/>
    <cellStyle name="Percent 3 2" xfId="3084" xr:uid="{00000000-0005-0000-0000-0000B3100000}"/>
    <cellStyle name="Percent 3 2 2" xfId="3085" xr:uid="{00000000-0005-0000-0000-0000B4100000}"/>
    <cellStyle name="Percent 3 2 2 2" xfId="3086" xr:uid="{00000000-0005-0000-0000-0000B5100000}"/>
    <cellStyle name="Percent 3 2 2_Inputs" xfId="4370" xr:uid="{00000000-0005-0000-0000-0000B6100000}"/>
    <cellStyle name="Percent 3 2 3" xfId="3087" xr:uid="{00000000-0005-0000-0000-0000B7100000}"/>
    <cellStyle name="Percent 3 2 3 2" xfId="3088" xr:uid="{00000000-0005-0000-0000-0000B8100000}"/>
    <cellStyle name="Percent 3 2 3_Inputs" xfId="4371" xr:uid="{00000000-0005-0000-0000-0000B9100000}"/>
    <cellStyle name="Percent 3 2 4" xfId="3089" xr:uid="{00000000-0005-0000-0000-0000BA100000}"/>
    <cellStyle name="Percent 3 2_Inputs" xfId="4369" xr:uid="{00000000-0005-0000-0000-0000BB100000}"/>
    <cellStyle name="Percent 3 3" xfId="3090" xr:uid="{00000000-0005-0000-0000-0000BC100000}"/>
    <cellStyle name="Percent 3 3 2" xfId="3091" xr:uid="{00000000-0005-0000-0000-0000BD100000}"/>
    <cellStyle name="Percent 3 3 2 2" xfId="3092" xr:uid="{00000000-0005-0000-0000-0000BE100000}"/>
    <cellStyle name="Percent 3 3 2_Inputs" xfId="4373" xr:uid="{00000000-0005-0000-0000-0000BF100000}"/>
    <cellStyle name="Percent 3 3 3" xfId="3093" xr:uid="{00000000-0005-0000-0000-0000C0100000}"/>
    <cellStyle name="Percent 3 3 3 2" xfId="3094" xr:uid="{00000000-0005-0000-0000-0000C1100000}"/>
    <cellStyle name="Percent 3 3 3_Inputs" xfId="4374" xr:uid="{00000000-0005-0000-0000-0000C2100000}"/>
    <cellStyle name="Percent 3 3 4" xfId="3095" xr:uid="{00000000-0005-0000-0000-0000C3100000}"/>
    <cellStyle name="Percent 3 3_Inputs" xfId="4372" xr:uid="{00000000-0005-0000-0000-0000C4100000}"/>
    <cellStyle name="Percent 3 4" xfId="3096" xr:uid="{00000000-0005-0000-0000-0000C5100000}"/>
    <cellStyle name="Percent 3 4 2" xfId="3097" xr:uid="{00000000-0005-0000-0000-0000C6100000}"/>
    <cellStyle name="Percent 3 4 2 2" xfId="3098" xr:uid="{00000000-0005-0000-0000-0000C7100000}"/>
    <cellStyle name="Percent 3 4 2_Inputs" xfId="4376" xr:uid="{00000000-0005-0000-0000-0000C8100000}"/>
    <cellStyle name="Percent 3 4 3" xfId="3099" xr:uid="{00000000-0005-0000-0000-0000C9100000}"/>
    <cellStyle name="Percent 3 4 3 2" xfId="3100" xr:uid="{00000000-0005-0000-0000-0000CA100000}"/>
    <cellStyle name="Percent 3 4 3_Inputs" xfId="4377" xr:uid="{00000000-0005-0000-0000-0000CB100000}"/>
    <cellStyle name="Percent 3 4 4" xfId="3101" xr:uid="{00000000-0005-0000-0000-0000CC100000}"/>
    <cellStyle name="Percent 3 4_Inputs" xfId="4375" xr:uid="{00000000-0005-0000-0000-0000CD100000}"/>
    <cellStyle name="Percent 3 5" xfId="3102" xr:uid="{00000000-0005-0000-0000-0000CE100000}"/>
    <cellStyle name="Percent 3 5 2" xfId="3103" xr:uid="{00000000-0005-0000-0000-0000CF100000}"/>
    <cellStyle name="Percent 3 5_Inputs" xfId="4378" xr:uid="{00000000-0005-0000-0000-0000D0100000}"/>
    <cellStyle name="Percent 3 6" xfId="3104" xr:uid="{00000000-0005-0000-0000-0000D1100000}"/>
    <cellStyle name="Percent 3 6 2" xfId="3105" xr:uid="{00000000-0005-0000-0000-0000D2100000}"/>
    <cellStyle name="Percent 3 6_Inputs" xfId="4379" xr:uid="{00000000-0005-0000-0000-0000D3100000}"/>
    <cellStyle name="Percent 3 7" xfId="3106" xr:uid="{00000000-0005-0000-0000-0000D4100000}"/>
    <cellStyle name="Percent 3 8" xfId="3107" xr:uid="{00000000-0005-0000-0000-0000D5100000}"/>
    <cellStyle name="Percent 3_Inputs" xfId="4368" xr:uid="{00000000-0005-0000-0000-0000D6100000}"/>
    <cellStyle name="Percent 4" xfId="3108" xr:uid="{00000000-0005-0000-0000-0000D7100000}"/>
    <cellStyle name="Percent 4 2" xfId="3109" xr:uid="{00000000-0005-0000-0000-0000D8100000}"/>
    <cellStyle name="Percent 4 2 2" xfId="3110" xr:uid="{00000000-0005-0000-0000-0000D9100000}"/>
    <cellStyle name="Percent 4 2 2 2" xfId="3111" xr:uid="{00000000-0005-0000-0000-0000DA100000}"/>
    <cellStyle name="Percent 4 2 2_Inputs" xfId="4382" xr:uid="{00000000-0005-0000-0000-0000DB100000}"/>
    <cellStyle name="Percent 4 2 3" xfId="3112" xr:uid="{00000000-0005-0000-0000-0000DC100000}"/>
    <cellStyle name="Percent 4 2 3 2" xfId="3113" xr:uid="{00000000-0005-0000-0000-0000DD100000}"/>
    <cellStyle name="Percent 4 2 3_Inputs" xfId="4383" xr:uid="{00000000-0005-0000-0000-0000DE100000}"/>
    <cellStyle name="Percent 4 2 4" xfId="3114" xr:uid="{00000000-0005-0000-0000-0000DF100000}"/>
    <cellStyle name="Percent 4 2_Inputs" xfId="4381" xr:uid="{00000000-0005-0000-0000-0000E0100000}"/>
    <cellStyle name="Percent 4 3" xfId="3115" xr:uid="{00000000-0005-0000-0000-0000E1100000}"/>
    <cellStyle name="Percent 4 3 2" xfId="3116" xr:uid="{00000000-0005-0000-0000-0000E2100000}"/>
    <cellStyle name="Percent 4 3_Inputs" xfId="4384" xr:uid="{00000000-0005-0000-0000-0000E3100000}"/>
    <cellStyle name="Percent 4 4" xfId="3117" xr:uid="{00000000-0005-0000-0000-0000E4100000}"/>
    <cellStyle name="Percent 4 4 2" xfId="3118" xr:uid="{00000000-0005-0000-0000-0000E5100000}"/>
    <cellStyle name="Percent 4 4_Inputs" xfId="4385" xr:uid="{00000000-0005-0000-0000-0000E6100000}"/>
    <cellStyle name="Percent 4 5" xfId="3119" xr:uid="{00000000-0005-0000-0000-0000E7100000}"/>
    <cellStyle name="Percent 4_Inputs" xfId="4380" xr:uid="{00000000-0005-0000-0000-0000E8100000}"/>
    <cellStyle name="Percent 5" xfId="3120" xr:uid="{00000000-0005-0000-0000-0000E9100000}"/>
    <cellStyle name="Percent 5 2" xfId="3121" xr:uid="{00000000-0005-0000-0000-0000EA100000}"/>
    <cellStyle name="Percent 5 3" xfId="3122" xr:uid="{00000000-0005-0000-0000-0000EB100000}"/>
    <cellStyle name="Percent 5 4" xfId="3123" xr:uid="{00000000-0005-0000-0000-0000EC100000}"/>
    <cellStyle name="Percent 5_Inputs" xfId="4386" xr:uid="{00000000-0005-0000-0000-0000ED100000}"/>
    <cellStyle name="Percent 6" xfId="3124" xr:uid="{00000000-0005-0000-0000-0000EE100000}"/>
    <cellStyle name="Percent 7" xfId="3125" xr:uid="{00000000-0005-0000-0000-0000EF100000}"/>
    <cellStyle name="Percent 8" xfId="3126" xr:uid="{00000000-0005-0000-0000-0000F0100000}"/>
    <cellStyle name="Percent 8 2" xfId="3127" xr:uid="{00000000-0005-0000-0000-0000F1100000}"/>
    <cellStyle name="Percent 8 2 2" xfId="3128" xr:uid="{00000000-0005-0000-0000-0000F2100000}"/>
    <cellStyle name="Percent 8 2_Inputs" xfId="4388" xr:uid="{00000000-0005-0000-0000-0000F3100000}"/>
    <cellStyle name="Percent 8 3" xfId="3129" xr:uid="{00000000-0005-0000-0000-0000F4100000}"/>
    <cellStyle name="Percent 8_Inputs" xfId="4387" xr:uid="{00000000-0005-0000-0000-0000F5100000}"/>
    <cellStyle name="Percent 9" xfId="3130" xr:uid="{00000000-0005-0000-0000-0000F6100000}"/>
    <cellStyle name="Percent 9 2" xfId="3131" xr:uid="{00000000-0005-0000-0000-0000F7100000}"/>
    <cellStyle name="Percent 9 3" xfId="3132" xr:uid="{00000000-0005-0000-0000-0000F8100000}"/>
    <cellStyle name="Percent 9 3 2" xfId="3133" xr:uid="{00000000-0005-0000-0000-0000F9100000}"/>
    <cellStyle name="Percent 9 3_Inputs" xfId="4390" xr:uid="{00000000-0005-0000-0000-0000FA100000}"/>
    <cellStyle name="Percent 9 4" xfId="3134" xr:uid="{00000000-0005-0000-0000-0000FB100000}"/>
    <cellStyle name="Percent 9 4 2" xfId="3135" xr:uid="{00000000-0005-0000-0000-0000FC100000}"/>
    <cellStyle name="Percent 9 4_Inputs" xfId="4391" xr:uid="{00000000-0005-0000-0000-0000FD100000}"/>
    <cellStyle name="Percent 9_Inputs" xfId="4389" xr:uid="{00000000-0005-0000-0000-0000FE100000}"/>
    <cellStyle name="Pourcentage 10" xfId="3136" xr:uid="{00000000-0005-0000-0000-0000FF100000}"/>
    <cellStyle name="Pourcentage 10 2" xfId="3137" xr:uid="{00000000-0005-0000-0000-000000110000}"/>
    <cellStyle name="Pourcentage 10_Inputs" xfId="4392" xr:uid="{00000000-0005-0000-0000-000001110000}"/>
    <cellStyle name="Pourcentage 2" xfId="3138" xr:uid="{00000000-0005-0000-0000-000002110000}"/>
    <cellStyle name="Pourcentage 2 2" xfId="3139" xr:uid="{00000000-0005-0000-0000-000003110000}"/>
    <cellStyle name="Pourcentage 2 2 2" xfId="3140" xr:uid="{00000000-0005-0000-0000-000004110000}"/>
    <cellStyle name="Pourcentage 2 2 3" xfId="3141" xr:uid="{00000000-0005-0000-0000-000005110000}"/>
    <cellStyle name="Pourcentage 2 2_Inputs" xfId="4394" xr:uid="{00000000-0005-0000-0000-000006110000}"/>
    <cellStyle name="Pourcentage 2 3" xfId="3142" xr:uid="{00000000-0005-0000-0000-000007110000}"/>
    <cellStyle name="Pourcentage 2 4" xfId="3143" xr:uid="{00000000-0005-0000-0000-000008110000}"/>
    <cellStyle name="Pourcentage 2 5" xfId="3144" xr:uid="{00000000-0005-0000-0000-000009110000}"/>
    <cellStyle name="Pourcentage 2_Inputs" xfId="4393" xr:uid="{00000000-0005-0000-0000-00000A110000}"/>
    <cellStyle name="Pourcentage 3" xfId="3145" xr:uid="{00000000-0005-0000-0000-00000B110000}"/>
    <cellStyle name="Pourcentage 4" xfId="3146" xr:uid="{00000000-0005-0000-0000-00000C110000}"/>
    <cellStyle name="Pourcentage 5" xfId="3147" xr:uid="{00000000-0005-0000-0000-00000D110000}"/>
    <cellStyle name="Pourcentage 6" xfId="3148" xr:uid="{00000000-0005-0000-0000-00000E110000}"/>
    <cellStyle name="Pourcentage 7" xfId="3149" xr:uid="{00000000-0005-0000-0000-00000F110000}"/>
    <cellStyle name="Pourcentage 7 2" xfId="3150" xr:uid="{00000000-0005-0000-0000-000010110000}"/>
    <cellStyle name="Pourcentage 7 2 2" xfId="3151" xr:uid="{00000000-0005-0000-0000-000011110000}"/>
    <cellStyle name="Pourcentage 7 2_Inputs" xfId="4396" xr:uid="{00000000-0005-0000-0000-000012110000}"/>
    <cellStyle name="Pourcentage 7 3" xfId="3152" xr:uid="{00000000-0005-0000-0000-000013110000}"/>
    <cellStyle name="Pourcentage 7 3 2" xfId="3153" xr:uid="{00000000-0005-0000-0000-000014110000}"/>
    <cellStyle name="Pourcentage 7 3_Inputs" xfId="4397" xr:uid="{00000000-0005-0000-0000-000015110000}"/>
    <cellStyle name="Pourcentage 7 4" xfId="3154" xr:uid="{00000000-0005-0000-0000-000016110000}"/>
    <cellStyle name="Pourcentage 7_Inputs" xfId="4395" xr:uid="{00000000-0005-0000-0000-000017110000}"/>
    <cellStyle name="Pourcentage 8" xfId="3155" xr:uid="{00000000-0005-0000-0000-000018110000}"/>
    <cellStyle name="Pourcentage 8 2" xfId="3156" xr:uid="{00000000-0005-0000-0000-000019110000}"/>
    <cellStyle name="Pourcentage 8 2 2" xfId="3157" xr:uid="{00000000-0005-0000-0000-00001A110000}"/>
    <cellStyle name="Pourcentage 8 2 3" xfId="3158" xr:uid="{00000000-0005-0000-0000-00001B110000}"/>
    <cellStyle name="Pourcentage 8 2_Inputs" xfId="4399" xr:uid="{00000000-0005-0000-0000-00001C110000}"/>
    <cellStyle name="Pourcentage 8 3" xfId="3159" xr:uid="{00000000-0005-0000-0000-00001D110000}"/>
    <cellStyle name="Pourcentage 8 3 2" xfId="3160" xr:uid="{00000000-0005-0000-0000-00001E110000}"/>
    <cellStyle name="Pourcentage 8 3_Inputs" xfId="4400" xr:uid="{00000000-0005-0000-0000-00001F110000}"/>
    <cellStyle name="Pourcentage 8 4" xfId="3161" xr:uid="{00000000-0005-0000-0000-000020110000}"/>
    <cellStyle name="Pourcentage 8 5" xfId="3162" xr:uid="{00000000-0005-0000-0000-000021110000}"/>
    <cellStyle name="Pourcentage 8_Inputs" xfId="4398" xr:uid="{00000000-0005-0000-0000-000022110000}"/>
    <cellStyle name="Pourcentage 9" xfId="3163" xr:uid="{00000000-0005-0000-0000-000023110000}"/>
    <cellStyle name="Pourcentage 9 2" xfId="3164" xr:uid="{00000000-0005-0000-0000-000024110000}"/>
    <cellStyle name="Pourcentage 9 2 2" xfId="3165" xr:uid="{00000000-0005-0000-0000-000025110000}"/>
    <cellStyle name="Pourcentage 9 2_Inputs" xfId="4402" xr:uid="{00000000-0005-0000-0000-000026110000}"/>
    <cellStyle name="Pourcentage 9 3" xfId="3166" xr:uid="{00000000-0005-0000-0000-000027110000}"/>
    <cellStyle name="Pourcentage 9 3 2" xfId="3167" xr:uid="{00000000-0005-0000-0000-000028110000}"/>
    <cellStyle name="Pourcentage 9 3_Inputs" xfId="4403" xr:uid="{00000000-0005-0000-0000-000029110000}"/>
    <cellStyle name="Pourcentage 9 4" xfId="3168" xr:uid="{00000000-0005-0000-0000-00002A110000}"/>
    <cellStyle name="Pourcentage 9_Inputs" xfId="4401" xr:uid="{00000000-0005-0000-0000-00002B110000}"/>
    <cellStyle name="Satisfaisant 2" xfId="3169" xr:uid="{00000000-0005-0000-0000-00002C110000}"/>
    <cellStyle name="Sortie 2" xfId="3170" xr:uid="{00000000-0005-0000-0000-00002D110000}"/>
    <cellStyle name="Texte explicatif 2" xfId="3171" xr:uid="{00000000-0005-0000-0000-00002E110000}"/>
    <cellStyle name="Titre 2" xfId="3172" xr:uid="{00000000-0005-0000-0000-00002F110000}"/>
    <cellStyle name="Titre 2 2" xfId="3173" xr:uid="{00000000-0005-0000-0000-000030110000}"/>
    <cellStyle name="Titre 3 2" xfId="3174" xr:uid="{00000000-0005-0000-0000-000031110000}"/>
    <cellStyle name="Titre 4 2" xfId="3175" xr:uid="{00000000-0005-0000-0000-000032110000}"/>
    <cellStyle name="Vérification 2" xfId="3176" xr:uid="{00000000-0005-0000-0000-000033110000}"/>
  </cellStyles>
  <dxfs count="46">
    <dxf>
      <font>
        <color theme="0"/>
      </font>
    </dxf>
    <dxf>
      <font>
        <color theme="0"/>
      </font>
    </dxf>
    <dxf>
      <font>
        <color theme="0"/>
      </font>
      <fill>
        <patternFill>
          <bgColor theme="0"/>
        </patternFill>
      </fill>
    </dxf>
    <dxf>
      <font>
        <color theme="0"/>
      </font>
    </dxf>
    <dxf>
      <font>
        <color theme="0"/>
      </font>
    </dxf>
    <dxf>
      <font>
        <color theme="0"/>
      </font>
      <fill>
        <patternFill>
          <bgColor theme="0"/>
        </patternFill>
      </fill>
    </dxf>
    <dxf>
      <font>
        <color theme="0"/>
      </font>
    </dxf>
    <dxf>
      <font>
        <color theme="0"/>
      </font>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dxf>
    <dxf>
      <font>
        <color theme="0"/>
      </font>
    </dxf>
    <dxf>
      <font>
        <color theme="0"/>
      </font>
    </dxf>
    <dxf>
      <font>
        <color theme="0"/>
      </font>
      <fill>
        <patternFill>
          <bgColor theme="0"/>
        </patternFill>
      </fill>
    </dxf>
    <dxf>
      <font>
        <color theme="9" tint="-0.24994659260841701"/>
      </font>
    </dxf>
    <dxf>
      <font>
        <b/>
        <i val="0"/>
        <color theme="9" tint="-0.24994659260841701"/>
      </font>
    </dxf>
    <dxf>
      <font>
        <color theme="0"/>
      </font>
      <fill>
        <patternFill>
          <bgColor theme="0"/>
        </patternFill>
      </fill>
    </dxf>
    <dxf>
      <font>
        <color theme="0"/>
      </font>
    </dxf>
    <dxf>
      <font>
        <color theme="0"/>
      </font>
    </dxf>
    <dxf>
      <font>
        <color theme="0"/>
      </font>
      <fill>
        <patternFill>
          <bgColor theme="0"/>
        </patternFill>
      </fill>
    </dxf>
    <dxf>
      <font>
        <color theme="9" tint="-0.24994659260841701"/>
      </font>
    </dxf>
    <dxf>
      <font>
        <b/>
        <i val="0"/>
        <color theme="9" tint="-0.24994659260841701"/>
      </font>
    </dxf>
    <dxf>
      <font>
        <b/>
        <i val="0"/>
        <color theme="9" tint="-0.24994659260841701"/>
      </font>
    </dxf>
    <dxf>
      <font>
        <b/>
        <i val="0"/>
        <color rgb="FFA5C400"/>
      </font>
    </dxf>
    <dxf>
      <font>
        <b/>
        <i val="0"/>
        <color rgb="FFFF0000"/>
      </font>
    </dxf>
    <dxf>
      <font>
        <b/>
        <i val="0"/>
        <color theme="9" tint="-0.24994659260841701"/>
      </font>
    </dxf>
    <dxf>
      <font>
        <b/>
        <i val="0"/>
        <color theme="9" tint="-0.24994659260841701"/>
      </font>
    </dxf>
    <dxf>
      <font>
        <b/>
        <i val="0"/>
        <color theme="9" tint="-0.24994659260841701"/>
      </font>
    </dxf>
    <dxf>
      <font>
        <b/>
        <i val="0"/>
        <color theme="9" tint="-0.24994659260841701"/>
      </font>
    </dxf>
    <dxf>
      <font>
        <b/>
        <i val="0"/>
        <color rgb="FFFF0000"/>
      </font>
    </dxf>
    <dxf>
      <font>
        <b/>
        <i val="0"/>
        <color theme="9" tint="-0.24994659260841701"/>
      </font>
    </dxf>
    <dxf>
      <font>
        <b/>
        <i val="0"/>
        <color theme="9" tint="-0.24994659260841701"/>
      </font>
    </dxf>
    <dxf>
      <font>
        <b/>
        <i val="0"/>
        <color rgb="FFFF0000"/>
      </font>
    </dxf>
    <dxf>
      <font>
        <b/>
        <i val="0"/>
        <color theme="9" tint="-0.24994659260841701"/>
      </font>
    </dxf>
    <dxf>
      <font>
        <b/>
        <i val="0"/>
        <color theme="9" tint="-0.24994659260841701"/>
      </font>
    </dxf>
    <dxf>
      <font>
        <b/>
        <i val="0"/>
        <color rgb="FFFF0000"/>
      </font>
    </dxf>
    <dxf>
      <font>
        <b/>
        <i val="0"/>
        <color theme="9" tint="-0.24994659260841701"/>
      </font>
    </dxf>
    <dxf>
      <font>
        <b/>
        <i val="0"/>
        <color rgb="FFFF0000"/>
      </font>
    </dxf>
    <dxf>
      <font>
        <b/>
        <i val="0"/>
        <color rgb="FF99CC00"/>
      </font>
    </dxf>
    <dxf>
      <font>
        <b/>
        <i val="0"/>
        <color rgb="FFFF0000"/>
      </font>
    </dxf>
    <dxf>
      <font>
        <color theme="0"/>
      </font>
      <fill>
        <patternFill>
          <bgColor rgb="FF00B050"/>
        </patternFill>
      </fill>
    </dxf>
    <dxf>
      <font>
        <color theme="0"/>
      </font>
      <fill>
        <patternFill>
          <bgColor rgb="FFFF0000"/>
        </patternFill>
      </fill>
    </dxf>
    <dxf>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C000"/>
  </sheetPr>
  <dimension ref="A1:AT267"/>
  <sheetViews>
    <sheetView showGridLines="0" tabSelected="1" topLeftCell="A102" zoomScale="80" zoomScaleNormal="80" workbookViewId="0">
      <selection activeCell="B110" sqref="B110"/>
    </sheetView>
  </sheetViews>
  <sheetFormatPr defaultRowHeight="14.4" outlineLevelCol="1"/>
  <cols>
    <col min="1" max="1" width="24" style="589" customWidth="1"/>
    <col min="2" max="2" width="74.88671875" customWidth="1"/>
    <col min="3" max="3" width="12.44140625" style="20" customWidth="1"/>
    <col min="4" max="4" width="3.88671875" style="21" customWidth="1"/>
    <col min="5" max="6" width="53.109375" customWidth="1"/>
    <col min="7" max="7" width="38.88671875" customWidth="1"/>
    <col min="8" max="8" width="18" style="27" customWidth="1"/>
    <col min="9" max="9" width="15.5546875" style="27" customWidth="1"/>
    <col min="10" max="10" width="10.109375" style="27" customWidth="1"/>
    <col min="11" max="11" width="9.88671875" style="27" customWidth="1"/>
    <col min="12" max="12" width="11.33203125" style="27" customWidth="1"/>
    <col min="13" max="13" width="9.109375" customWidth="1"/>
    <col min="14" max="14" width="9.109375" style="28" customWidth="1"/>
    <col min="15" max="15" width="12.33203125" style="21" customWidth="1" outlineLevel="1"/>
    <col min="16" max="16" width="12" customWidth="1" outlineLevel="1"/>
    <col min="17" max="17" width="41.109375" customWidth="1" outlineLevel="1"/>
    <col min="18" max="18" width="46" customWidth="1" outlineLevel="1"/>
    <col min="19" max="19" width="17.33203125" customWidth="1" outlineLevel="1"/>
    <col min="20" max="20" width="21.6640625" customWidth="1" outlineLevel="1"/>
    <col min="21" max="21" width="9.109375" customWidth="1" outlineLevel="1" collapsed="1"/>
    <col min="22" max="28" width="9.109375" customWidth="1" outlineLevel="1"/>
    <col min="29" max="29" width="82" style="21" bestFit="1" customWidth="1"/>
    <col min="30" max="30" width="32.33203125" style="30" bestFit="1" customWidth="1"/>
    <col min="31" max="31" width="42.5546875" style="21" customWidth="1"/>
    <col min="32" max="32" width="47.5546875" style="28" customWidth="1"/>
    <col min="33" max="33" width="29.5546875" style="30" customWidth="1"/>
    <col min="34" max="34" width="9.44140625" customWidth="1" outlineLevel="1"/>
    <col min="35" max="35" width="46.44140625" customWidth="1" outlineLevel="1"/>
    <col min="36" max="36" width="27.5546875" style="31" customWidth="1" outlineLevel="1"/>
    <col min="37" max="37" width="27.5546875" style="30" customWidth="1" outlineLevel="1"/>
    <col min="38" max="45" width="9.109375" customWidth="1" outlineLevel="1"/>
  </cols>
  <sheetData>
    <row r="1" spans="1:37" s="14" customFormat="1" ht="23.4">
      <c r="A1" s="591"/>
      <c r="B1" s="1" t="s">
        <v>0</v>
      </c>
      <c r="C1" s="2"/>
      <c r="D1" s="3" t="s">
        <v>1</v>
      </c>
      <c r="E1" s="4"/>
      <c r="F1" s="4"/>
      <c r="G1" s="4"/>
      <c r="H1" s="5"/>
      <c r="I1" s="5"/>
      <c r="J1" s="5"/>
      <c r="K1" s="5"/>
      <c r="L1" s="5"/>
      <c r="M1" s="4"/>
      <c r="N1" s="6"/>
      <c r="O1" s="7" t="s">
        <v>2</v>
      </c>
      <c r="P1" s="8"/>
      <c r="Q1" s="8"/>
      <c r="R1" s="8"/>
      <c r="S1" s="8"/>
      <c r="T1" s="8"/>
      <c r="U1" s="8"/>
      <c r="V1" s="8"/>
      <c r="W1" s="8"/>
      <c r="X1" s="8"/>
      <c r="Y1" s="8"/>
      <c r="Z1" s="8"/>
      <c r="AA1" s="8"/>
      <c r="AB1" s="8"/>
      <c r="AC1" s="9" t="s">
        <v>3</v>
      </c>
      <c r="AD1" s="10"/>
      <c r="AE1" s="11" t="s">
        <v>4</v>
      </c>
      <c r="AF1" s="12"/>
      <c r="AG1" s="13"/>
      <c r="AH1" s="14" t="s">
        <v>5</v>
      </c>
      <c r="AJ1" s="15"/>
      <c r="AK1" s="16"/>
    </row>
    <row r="2" spans="1:37" s="19" customFormat="1" ht="30.75" customHeight="1" thickBot="1">
      <c r="A2" s="590"/>
      <c r="B2" s="599" t="s">
        <v>6</v>
      </c>
      <c r="C2" s="600"/>
      <c r="D2" s="601" t="s">
        <v>7</v>
      </c>
      <c r="E2" s="602"/>
      <c r="F2" s="602"/>
      <c r="G2" s="602"/>
      <c r="H2" s="602"/>
      <c r="I2" s="602"/>
      <c r="J2" s="602"/>
      <c r="K2" s="602"/>
      <c r="L2" s="602"/>
      <c r="M2" s="602"/>
      <c r="N2" s="602"/>
      <c r="O2" s="17" t="s">
        <v>8</v>
      </c>
      <c r="P2" s="18"/>
      <c r="Q2" s="18"/>
      <c r="R2" s="18"/>
      <c r="S2" s="18"/>
      <c r="T2" s="18"/>
      <c r="U2" s="18"/>
      <c r="V2" s="18"/>
      <c r="W2" s="18"/>
      <c r="X2" s="18"/>
      <c r="Y2" s="18"/>
      <c r="Z2" s="18"/>
      <c r="AA2" s="18"/>
      <c r="AB2" s="18"/>
      <c r="AC2" s="603" t="s">
        <v>9</v>
      </c>
      <c r="AD2" s="604"/>
      <c r="AE2" s="605" t="s">
        <v>10</v>
      </c>
      <c r="AF2" s="606"/>
      <c r="AG2" s="607"/>
      <c r="AH2" s="594" t="s">
        <v>11</v>
      </c>
      <c r="AI2" s="595"/>
      <c r="AJ2" s="595"/>
      <c r="AK2" s="596"/>
    </row>
    <row r="4" spans="1:37">
      <c r="E4" s="22" t="s">
        <v>12</v>
      </c>
      <c r="F4" s="22"/>
      <c r="G4" s="23">
        <f>SUM($J$9:$J$304)</f>
        <v>4</v>
      </c>
      <c r="H4" s="24" t="s">
        <v>13</v>
      </c>
      <c r="I4" s="25" t="str">
        <f>IF(G4=0,"Quote",IF(G5=0,"Refer","Decline"))</f>
        <v>Decline</v>
      </c>
      <c r="J4" s="26"/>
      <c r="L4" s="26"/>
      <c r="O4" s="29" t="s">
        <v>14</v>
      </c>
    </row>
    <row r="5" spans="1:37" ht="15" thickBot="1">
      <c r="A5" s="592"/>
      <c r="B5" s="32" t="s">
        <v>15</v>
      </c>
      <c r="C5" s="33" t="s">
        <v>16</v>
      </c>
      <c r="E5" s="22" t="s">
        <v>17</v>
      </c>
      <c r="F5" s="22"/>
      <c r="G5" s="25">
        <f>SUM($L$9:$L$204)</f>
        <v>3</v>
      </c>
      <c r="H5" s="24" t="s">
        <v>18</v>
      </c>
      <c r="I5" s="597" t="str">
        <f>IF($M$9&lt;&gt;"",$M$9,IF($M$10&lt;&gt;"",$M$10,IF($M$11&lt;&gt;"",$M$11,IF($M$12&lt;&gt;"",$M$12,IF($M$13&lt;&gt;"",$M$13,IF($M$14&lt;&gt;"",$M$14,IF($M$15&lt;&gt;"",$M$15,IF($M$16&lt;&gt;"",$M$16,IF($M$17&lt;&gt;"",$M$17,IF($M$18&lt;&gt;"",$M$18,IF($M$24&lt;&gt;"",$M$24,IF($M$25&lt;&gt;"",$M$25,IF($M$26&lt;&gt;"",$M$26,IF($M$27&lt;&gt;"",$M$27,IF($M$28&lt;&gt;"",$M$28,IF($M$29&lt;&gt;"",$M$29,IF($M$30&lt;&gt;"",$M$30,IF($M$31&lt;&gt;"",$M$31,IF($M$32&lt;&gt;"",$M$32,IF($M$33&lt;&gt;"",$M$33,IF($M$19&lt;&gt;"",$M$19,IF($M$20&lt;&gt;"",$M$20,IF($M$21&lt;&gt;"",$M$21,IF($M$22&lt;&gt;"",$M$22,IF($M$23&lt;&gt;"",$M$23,IF($M$38&lt;&gt;"",$M$38,IF($M$39&lt;&gt;"",$M$39,IF($M$40&lt;&gt;"",$M$40,IF($M$41&lt;&gt;"",$M$41,IF($M$42&lt;&gt;"",$M$42,IF($M$43&lt;&gt;"",$M$43,IF($M$44&lt;&gt;"",$M$44,IF($M$45&lt;&gt;"",$M$45,IF($M$46&lt;&gt;"",$M$46,IF($M$47&lt;&gt;"",$M$47,IF($M$48&lt;&gt;"",$M$48,IF($M$49&lt;&gt;"",$M$49,IF($M$50&lt;&gt;"",$M$50,IF($M$51&lt;&gt;"",$M$51,IF($M$52&lt;&gt;"",$M$52,IF($M$53&lt;&gt;"",$M$53,IF($M$54&lt;&gt;"",$M$54,IF($M$55&lt;&gt;"",$M$55,IF($M$56&lt;&gt;"",$M$56,IF($M$57&lt;&gt;"",$M$57,IF($M$58&lt;&gt;"",$M$58,IF($M$59&lt;&gt;"",$M$59,IF($M$60&lt;&gt;"",$M$60,IF($M$61&lt;&gt;"",$M$61,IF($M$62&lt;&gt;"",$M$62,IF($M$63&lt;&gt;"",$M$63,IF($M$64&lt;&gt;"",$M$64,IF($M$65&lt;&gt;"",$M$65,IF($M$66&lt;&gt;"",$M$66,IF($M$67&lt;&gt;"",$M$67,IF($M$68&lt;&gt;"",$M$68,IF($M$69&lt;&gt;"",$M$69,IF($M$70&lt;&gt;"",$M$70,IF($M$71&lt;&gt;"",$M$71,IF($M$72&lt;&gt;"",$M$72,IF($M$73&lt;&gt;"",$M$73,IF($M$74&lt;&gt;"",$M$74,IF($M$75&lt;&gt;"",$M$75,IF($M$76&lt;&gt;"",$M$76,""))))))))))))))))))))))))))))))))))))))))))))))))))))))))))))))))</f>
        <v>Previous claims</v>
      </c>
      <c r="J5" s="597"/>
      <c r="K5" s="597"/>
      <c r="L5" s="597"/>
      <c r="M5" s="597"/>
      <c r="N5" s="597"/>
      <c r="O5" s="34" t="s">
        <v>19</v>
      </c>
      <c r="P5" s="35" t="s">
        <v>20</v>
      </c>
      <c r="Q5" s="35" t="s">
        <v>21</v>
      </c>
      <c r="R5" s="35" t="s">
        <v>22</v>
      </c>
      <c r="AC5" s="36" t="s">
        <v>15</v>
      </c>
      <c r="AD5" s="37" t="s">
        <v>16</v>
      </c>
      <c r="AE5" s="36" t="s">
        <v>23</v>
      </c>
      <c r="AF5" s="38"/>
      <c r="AG5" s="37" t="s">
        <v>16</v>
      </c>
      <c r="AH5" t="s">
        <v>24</v>
      </c>
      <c r="AI5" t="s">
        <v>25</v>
      </c>
      <c r="AJ5" s="39" t="s">
        <v>26</v>
      </c>
      <c r="AK5" s="30" t="s">
        <v>27</v>
      </c>
    </row>
    <row r="6" spans="1:37" ht="15" thickTop="1">
      <c r="A6" s="589" t="s">
        <v>1127</v>
      </c>
      <c r="B6" s="40" t="s">
        <v>28</v>
      </c>
      <c r="C6" s="571"/>
      <c r="E6" t="s">
        <v>29</v>
      </c>
      <c r="F6" s="22" t="str">
        <f>IF(I4="Quote","",IF(I4="Refer",I6,IF(I4="Decline",I5,"")))</f>
        <v>Previous claims</v>
      </c>
      <c r="H6" s="24" t="s">
        <v>30</v>
      </c>
      <c r="I6" s="597" t="str">
        <f>IF($N$9&lt;&gt;"",$N$9,IF($N$10&lt;&gt;"",$N$10,IF($N$11&lt;&gt;"",$N$11,IF($N$12&lt;&gt;"",$N$12,IF($N$13&lt;&gt;"",$N$13,IF($N$14&lt;&gt;"",$N$14,IF($N$15&lt;&gt;"",$N$15,IF($N$16&lt;&gt;"",$N$16,IF($N$17&lt;&gt;"",$N$17,IF($N$18&lt;&gt;"",$N$18,IF($N$24&lt;&gt;"",$N$24,IF($N$25&lt;&gt;"",$N$25,IF($N$26&lt;&gt;"",$N$26,IF($N$27&lt;&gt;"",$N$27,IF($N$28&lt;&gt;"",$N$28,IF($N$29&lt;&gt;"",$N$29,IF($N$30&lt;&gt;"",$N$30,IF($N$31&lt;&gt;"",$N$31,IF($N$32&lt;&gt;"",$N$32,IF($N$33&lt;&gt;"",$N$33,IF($N$19&lt;&gt;"",$N$19,IF($N$20&lt;&gt;"",$N$20,IF($N$21&lt;&gt;"",$N$21,IF($N$22&lt;&gt;"",$N$22,IF($N$23&lt;&gt;"",$N$23,IF($N$38&lt;&gt;"",$N$38,IF($N$39&lt;&gt;"",$N$39,IF($N$40&lt;&gt;"",$N$40,IF($N$41&lt;&gt;"",$N$41,IF($N$42&lt;&gt;"",$N$42,IF($N$43&lt;&gt;"",$N$43,IF($N$44&lt;&gt;"",$N$44,IF($N$45&lt;&gt;"",$N$45,IF($N$46&lt;&gt;"",$N$46,IF($N$47&lt;&gt;"",$N$47,IF($N$48&lt;&gt;"",$N$48,IF($N$49&lt;&gt;"",$N$49,IF($N$50&lt;&gt;"",$N$50,IF($N$51&lt;&gt;"",$N$51,IF($N$52&lt;&gt;"",$N$52,IF($N$53&lt;&gt;"",$N$53,IF($N$54&lt;&gt;"",$N$54,IF($N$55&lt;&gt;"",$N$55,IF($N$56&lt;&gt;"",$N$56,IF($N$57&lt;&gt;"",$N$57,IF($N$58&lt;&gt;"",$N$58,IF($N$59&lt;&gt;"",$N$59,IF($N$60&lt;&gt;"",$N$60,IF($N$61&lt;&gt;"",$N$61,IF($N$62&lt;&gt;"",$N$62,IF($N$63&lt;&gt;"",$N$63,IF($N$64&lt;&gt;"",$N$64,IF($N$65&lt;&gt;"",$N$65,IF($N$66&lt;&gt;"",$N$66,IF($N$67&lt;&gt;"",$N$67,IF($N$68&lt;&gt;"",$N$68,IF($N$69&lt;&gt;"",$N$69,IF($N$70&lt;&gt;"",$N$70,IF($N$71&lt;&gt;"",$N$71,IF($N$72&lt;&gt;"",$N$72,IF($N$73&lt;&gt;"",$N$73,IF($N$74&lt;&gt;"",$N$74,IF($N$75&lt;&gt;"",$N$75,IF($N$76&lt;&gt;"",$N$76,""))))))))))))))))))))))))))))))))))))))))))))))))))))))))))))))))</f>
        <v>Not enough experience</v>
      </c>
      <c r="J6" s="597"/>
      <c r="K6" s="597"/>
      <c r="L6" s="597"/>
      <c r="M6" s="597"/>
      <c r="N6" s="597"/>
      <c r="O6" s="21">
        <v>175200</v>
      </c>
      <c r="P6">
        <v>1752</v>
      </c>
      <c r="Q6" t="s">
        <v>31</v>
      </c>
      <c r="R6" t="s">
        <v>32</v>
      </c>
      <c r="AC6" s="42" t="s">
        <v>33</v>
      </c>
      <c r="AD6" s="41" t="s">
        <v>34</v>
      </c>
      <c r="AE6" s="43" t="s">
        <v>35</v>
      </c>
      <c r="AF6" s="44"/>
      <c r="AG6" s="45" t="str">
        <f>'April Output'!D21</f>
        <v>April - Essential</v>
      </c>
    </row>
    <row r="7" spans="1:37">
      <c r="A7" s="589">
        <v>650000</v>
      </c>
      <c r="B7" s="44" t="s">
        <v>36</v>
      </c>
      <c r="C7" s="572"/>
      <c r="E7" s="22"/>
      <c r="F7" s="22"/>
      <c r="G7" s="25"/>
      <c r="H7" s="26"/>
      <c r="I7" s="26"/>
      <c r="J7" s="26"/>
      <c r="K7" s="24"/>
      <c r="L7" s="26"/>
      <c r="M7" s="25"/>
      <c r="O7" s="21">
        <v>174100</v>
      </c>
      <c r="P7">
        <v>1741</v>
      </c>
      <c r="Q7" t="s">
        <v>37</v>
      </c>
      <c r="R7" t="s">
        <v>38</v>
      </c>
      <c r="AC7" s="43" t="s">
        <v>39</v>
      </c>
      <c r="AD7" s="45"/>
      <c r="AE7" s="43" t="s">
        <v>26</v>
      </c>
      <c r="AF7" s="322" t="s">
        <v>1122</v>
      </c>
      <c r="AG7" s="47" t="str">
        <f>I4</f>
        <v>Decline</v>
      </c>
      <c r="AH7">
        <v>1</v>
      </c>
      <c r="AI7" s="322" t="s">
        <v>1122</v>
      </c>
      <c r="AJ7" s="39" t="str">
        <f t="shared" ref="AJ7:AJ12" si="0">IFERROR(VLOOKUP(AI7,$AF$6:$AG$895,2,FALSE),"")</f>
        <v>Decline</v>
      </c>
    </row>
    <row r="8" spans="1:37" ht="29.4" thickBot="1">
      <c r="A8" s="589">
        <v>650100</v>
      </c>
      <c r="B8" s="44" t="s">
        <v>40</v>
      </c>
      <c r="C8" s="572"/>
      <c r="D8" s="598" t="s">
        <v>41</v>
      </c>
      <c r="E8" s="598"/>
      <c r="F8" s="48" t="s">
        <v>42</v>
      </c>
      <c r="G8" s="49" t="s">
        <v>43</v>
      </c>
      <c r="H8" s="50" t="s">
        <v>44</v>
      </c>
      <c r="I8" s="50" t="s">
        <v>45</v>
      </c>
      <c r="J8" s="50" t="s">
        <v>46</v>
      </c>
      <c r="K8" s="50" t="s">
        <v>47</v>
      </c>
      <c r="L8" s="50" t="s">
        <v>48</v>
      </c>
      <c r="M8" s="50" t="s">
        <v>49</v>
      </c>
      <c r="N8" s="50" t="s">
        <v>50</v>
      </c>
      <c r="O8" s="21">
        <v>152800</v>
      </c>
      <c r="P8">
        <v>1528</v>
      </c>
      <c r="Q8" t="s">
        <v>60</v>
      </c>
      <c r="R8" t="s">
        <v>60</v>
      </c>
      <c r="AC8" s="43" t="s">
        <v>52</v>
      </c>
      <c r="AD8" s="51">
        <f>C6</f>
        <v>0</v>
      </c>
      <c r="AE8" s="43" t="s">
        <v>53</v>
      </c>
      <c r="AF8" s="44" t="s">
        <v>1121</v>
      </c>
      <c r="AG8" s="47" t="str">
        <f>IF(AG7="Refer",I6,IF(AG7="Decline",I5,"Send bind request to APRIL to bind"))</f>
        <v>Previous claims</v>
      </c>
      <c r="AH8">
        <v>2</v>
      </c>
      <c r="AI8" s="322" t="s">
        <v>1121</v>
      </c>
      <c r="AJ8" s="39" t="str">
        <f>IFERROR(VLOOKUP(AI8,$AF$6:$AG$895,2,FALSE),"")</f>
        <v>Previous claims</v>
      </c>
    </row>
    <row r="9" spans="1:37">
      <c r="A9" s="593">
        <v>510</v>
      </c>
      <c r="B9" s="44" t="s">
        <v>54</v>
      </c>
      <c r="C9" s="573"/>
      <c r="D9" s="53">
        <v>1</v>
      </c>
      <c r="E9" s="54" t="s">
        <v>55</v>
      </c>
      <c r="F9" s="54" t="s">
        <v>56</v>
      </c>
      <c r="G9" s="54" t="s">
        <v>57</v>
      </c>
      <c r="H9" s="55">
        <f>C7</f>
        <v>0</v>
      </c>
      <c r="I9" s="55" t="s">
        <v>58</v>
      </c>
      <c r="J9" s="55">
        <f>IF(H9=I9,0,1)</f>
        <v>1</v>
      </c>
      <c r="K9" s="55" t="s">
        <v>59</v>
      </c>
      <c r="L9" s="55">
        <f>IF(J9=0,0,IF(K9="Y",0,1))</f>
        <v>1</v>
      </c>
      <c r="M9" s="54" t="str">
        <f>IF(J9=1,F9,"")</f>
        <v>Previous claims</v>
      </c>
      <c r="N9" s="54" t="str">
        <f>IF(M9="","",IF(L9=0,F9,""))</f>
        <v/>
      </c>
      <c r="O9" s="21">
        <v>152100</v>
      </c>
      <c r="P9">
        <v>1521</v>
      </c>
      <c r="Q9" t="s">
        <v>82</v>
      </c>
      <c r="R9" t="s">
        <v>83</v>
      </c>
      <c r="AC9" s="43" t="s">
        <v>61</v>
      </c>
      <c r="AD9" s="56" t="e">
        <f>VLOOKUP(AD10,$P$6:$Q$68,2,FALSE)</f>
        <v>#N/A</v>
      </c>
      <c r="AE9" s="43" t="s">
        <v>62</v>
      </c>
      <c r="AF9"/>
      <c r="AG9" s="358" t="str">
        <f>IF(AG7="Quote",'April Output'!G60,"")</f>
        <v/>
      </c>
      <c r="AH9">
        <v>3</v>
      </c>
      <c r="AI9" s="322" t="s">
        <v>1123</v>
      </c>
      <c r="AJ9" s="39" t="str">
        <f>IFERROR(VLOOKUP(AI9,$AF$6:$AG$895,2,FALSE),"")</f>
        <v/>
      </c>
    </row>
    <row r="10" spans="1:37">
      <c r="A10" s="593">
        <v>513</v>
      </c>
      <c r="B10" s="44" t="s">
        <v>63</v>
      </c>
      <c r="C10" s="572"/>
      <c r="D10" s="57">
        <v>2</v>
      </c>
      <c r="E10" s="46" t="s">
        <v>64</v>
      </c>
      <c r="F10" s="46" t="s">
        <v>65</v>
      </c>
      <c r="G10" s="46" t="s">
        <v>40</v>
      </c>
      <c r="H10" s="58">
        <f>C8</f>
        <v>0</v>
      </c>
      <c r="I10" s="58" t="s">
        <v>58</v>
      </c>
      <c r="J10" s="58">
        <f>IF(H10=I10,0,1)</f>
        <v>1</v>
      </c>
      <c r="K10" s="58" t="s">
        <v>66</v>
      </c>
      <c r="L10" s="58">
        <f t="shared" ref="L10:L18" si="1">IF(J10=0,0,IF(K10="Y",0,1))</f>
        <v>1</v>
      </c>
      <c r="M10" s="46" t="str">
        <f t="shared" ref="M10:M18" si="2">IF(J10=1,F10,"")</f>
        <v>Other known or pending losses</v>
      </c>
      <c r="N10" s="46" t="str">
        <f t="shared" ref="N10:N18" si="3">IF(M10="","",IF(L10=0,F10,""))</f>
        <v/>
      </c>
      <c r="O10" s="21">
        <v>173600</v>
      </c>
      <c r="P10">
        <v>1736</v>
      </c>
      <c r="Q10" t="s">
        <v>91</v>
      </c>
      <c r="R10" t="s">
        <v>92</v>
      </c>
      <c r="AC10" s="43" t="s">
        <v>68</v>
      </c>
      <c r="AD10" s="357" t="e">
        <f>IF(MAX(C19,C26,C33,C40,C47)=C19,VLOOKUP(VALUE(C18),$O$6:$P$73,2,FALSE),IF(MAX(C19,C26,C33,C40,C47)=C26,VLOOKUP(VALUE(C25),$O$6:$P$73,2,FALSE),IF(MAX(C19,C26,C33,C40,C47)=C33,VLOOKUP(VALUE(C32),$O$6:$P$73,2,FALSE),IF(MAX(C19,C26,C33,C40,C47)=C40,VLOOKUP(VALUE(C39),$O$6:$P$73,2,FALSE),VLOOKUP(VALUE(C46),O6:P73,2,FALSE)))))</f>
        <v>#N/A</v>
      </c>
      <c r="AE10" s="43" t="s">
        <v>69</v>
      </c>
      <c r="AF10" s="322" t="s">
        <v>1124</v>
      </c>
      <c r="AG10" s="358" t="str">
        <f>IF(AG7="Quote",'April Output'!G61,"")</f>
        <v/>
      </c>
      <c r="AH10">
        <v>4</v>
      </c>
      <c r="AI10" s="322" t="s">
        <v>1124</v>
      </c>
      <c r="AJ10" s="39" t="str">
        <f t="shared" si="0"/>
        <v/>
      </c>
    </row>
    <row r="11" spans="1:37">
      <c r="A11" s="593">
        <v>10508</v>
      </c>
      <c r="B11" s="44" t="s">
        <v>70</v>
      </c>
      <c r="C11" s="572"/>
      <c r="D11" s="57">
        <v>3</v>
      </c>
      <c r="E11" s="44" t="s">
        <v>71</v>
      </c>
      <c r="F11" s="44" t="s">
        <v>72</v>
      </c>
      <c r="G11" s="44" t="s">
        <v>73</v>
      </c>
      <c r="H11" s="546">
        <f>IF(C24="No",1,IF(C31="No",1,IF(C38="No",1,IF(C45="No",1,IF(C52="No",1,IF(C59="No",1,IF(C59="No",1,IF(C66="No",1,IF(C73="No",1,IF(C80="No",1,IF(C80="No",1,IF(C87="No",1,0))))))))))))</f>
        <v>0</v>
      </c>
      <c r="I11" s="546">
        <v>0</v>
      </c>
      <c r="J11" s="58">
        <f>IF(H11=I11,0,1)</f>
        <v>0</v>
      </c>
      <c r="K11" s="58" t="s">
        <v>74</v>
      </c>
      <c r="L11" s="58">
        <f t="shared" si="1"/>
        <v>0</v>
      </c>
      <c r="M11" s="46" t="str">
        <f t="shared" si="2"/>
        <v/>
      </c>
      <c r="N11" s="46" t="str">
        <f t="shared" si="3"/>
        <v/>
      </c>
      <c r="O11" s="21">
        <v>177400</v>
      </c>
      <c r="P11">
        <v>1774</v>
      </c>
      <c r="Q11" t="s">
        <v>118</v>
      </c>
      <c r="R11" t="s">
        <v>118</v>
      </c>
      <c r="AC11" s="43" t="s">
        <v>76</v>
      </c>
      <c r="AD11" s="59" t="str">
        <f>H28</f>
        <v/>
      </c>
      <c r="AE11" s="43" t="s">
        <v>77</v>
      </c>
      <c r="AF11" s="322" t="s">
        <v>1123</v>
      </c>
      <c r="AG11" s="294" t="str">
        <f>IF(AG7="Quote",IF($AG$7="Quote",SUM(AG9:AG10),""),"")</f>
        <v/>
      </c>
      <c r="AH11">
        <v>5</v>
      </c>
      <c r="AI11" s="322" t="s">
        <v>78</v>
      </c>
      <c r="AJ11" s="39" t="str">
        <f t="shared" si="0"/>
        <v/>
      </c>
    </row>
    <row r="12" spans="1:37">
      <c r="A12" s="593">
        <v>519</v>
      </c>
      <c r="B12" s="44" t="s">
        <v>79</v>
      </c>
      <c r="C12" s="572"/>
      <c r="D12" s="57">
        <v>4</v>
      </c>
      <c r="E12" s="44" t="s">
        <v>80</v>
      </c>
      <c r="F12" s="44" t="s">
        <v>81</v>
      </c>
      <c r="G12" s="44" t="s">
        <v>54</v>
      </c>
      <c r="H12" s="312">
        <f>IFERROR(VALUE(C9),"")</f>
        <v>0</v>
      </c>
      <c r="I12" s="547">
        <f>IFERROR(VLOOKUP(AD10,'Conditions (june 2020)'!B:H,7,FALSE)*100,0)</f>
        <v>0</v>
      </c>
      <c r="J12" s="58">
        <f>IF(H12&lt;=I12,0,1)</f>
        <v>0</v>
      </c>
      <c r="K12" s="58" t="s">
        <v>74</v>
      </c>
      <c r="L12" s="58">
        <f t="shared" si="1"/>
        <v>0</v>
      </c>
      <c r="M12" s="46" t="str">
        <f t="shared" si="2"/>
        <v/>
      </c>
      <c r="N12" s="46" t="str">
        <f t="shared" si="3"/>
        <v/>
      </c>
      <c r="O12" s="21">
        <v>152200</v>
      </c>
      <c r="P12">
        <v>1522</v>
      </c>
      <c r="Q12" t="s">
        <v>126</v>
      </c>
      <c r="R12" t="s">
        <v>127</v>
      </c>
      <c r="AC12" s="43" t="s">
        <v>84</v>
      </c>
      <c r="AD12" s="59" t="b">
        <f>IF(H11=0,TRUE,FALSE)</f>
        <v>1</v>
      </c>
      <c r="AE12" s="43" t="s">
        <v>85</v>
      </c>
      <c r="AF12" s="44" t="s">
        <v>86</v>
      </c>
      <c r="AG12" s="359" t="str">
        <f>IF(AG7="Quote",'April Output'!E28,"")</f>
        <v/>
      </c>
      <c r="AH12">
        <v>6</v>
      </c>
      <c r="AI12" s="322" t="s">
        <v>1125</v>
      </c>
      <c r="AJ12" s="39" t="str">
        <f t="shared" si="0"/>
        <v/>
      </c>
    </row>
    <row r="13" spans="1:37">
      <c r="A13" s="593">
        <v>523</v>
      </c>
      <c r="B13" s="44" t="s">
        <v>87</v>
      </c>
      <c r="C13" s="562"/>
      <c r="D13" s="57">
        <v>5</v>
      </c>
      <c r="E13" s="44" t="s">
        <v>88</v>
      </c>
      <c r="F13" s="44" t="s">
        <v>89</v>
      </c>
      <c r="G13" s="44" t="s">
        <v>63</v>
      </c>
      <c r="H13" s="546" t="str">
        <f>IF(C10="","",C10)</f>
        <v/>
      </c>
      <c r="I13" s="546" t="s">
        <v>90</v>
      </c>
      <c r="J13" s="58">
        <f>IF(H13="",0,IF(H13=I13,0,1))</f>
        <v>0</v>
      </c>
      <c r="K13" s="58" t="s">
        <v>66</v>
      </c>
      <c r="L13" s="58">
        <f t="shared" si="1"/>
        <v>0</v>
      </c>
      <c r="M13" s="46" t="str">
        <f t="shared" si="2"/>
        <v/>
      </c>
      <c r="N13" s="46" t="str">
        <f t="shared" si="3"/>
        <v/>
      </c>
      <c r="O13" s="21">
        <v>739100</v>
      </c>
      <c r="P13">
        <v>7391</v>
      </c>
      <c r="Q13" t="s">
        <v>144</v>
      </c>
      <c r="R13" t="s">
        <v>145</v>
      </c>
      <c r="AC13" s="43" t="s">
        <v>93</v>
      </c>
      <c r="AD13" s="52">
        <f>IFERROR(VALUE(C9),"")</f>
        <v>0</v>
      </c>
      <c r="AE13" s="43" t="s">
        <v>94</v>
      </c>
      <c r="AF13" s="44" t="s">
        <v>95</v>
      </c>
      <c r="AG13" s="359" t="str">
        <f>IF(AG7="Quote",'April Output'!F28,"")</f>
        <v/>
      </c>
      <c r="AH13" s="60">
        <v>7</v>
      </c>
      <c r="AI13" s="61" t="s">
        <v>104</v>
      </c>
      <c r="AJ13" s="62" t="str">
        <f>IFERROR(IF($AJ$7&lt;&gt;"Quote","",IF(VLOOKUP(AI13,$AF$7:$AG$240,2,FALSE)=0,"-",VLOOKUP(AI13,$AF$7:$AG$240,2,FALSE))),"-")</f>
        <v/>
      </c>
      <c r="AK13" s="63"/>
    </row>
    <row r="14" spans="1:37">
      <c r="A14" s="593">
        <v>650500</v>
      </c>
      <c r="B14" s="44" t="s">
        <v>96</v>
      </c>
      <c r="C14" s="572"/>
      <c r="D14" s="57">
        <v>6</v>
      </c>
      <c r="E14" s="44" t="s">
        <v>97</v>
      </c>
      <c r="F14" s="44" t="s">
        <v>98</v>
      </c>
      <c r="G14" s="560" t="s">
        <v>99</v>
      </c>
      <c r="H14" s="546" t="str">
        <f>IF(C18="","Yes",IF(ISERROR(VLOOKUP(VALUE(C18),$O$6:$P$71,2,FALSE))=FALSE,"Yes","No"))</f>
        <v>Yes</v>
      </c>
      <c r="I14" s="546" t="s">
        <v>90</v>
      </c>
      <c r="J14" s="58">
        <f>IF(H14=I14,0,1)</f>
        <v>0</v>
      </c>
      <c r="K14" s="58" t="s">
        <v>74</v>
      </c>
      <c r="L14" s="58">
        <f>IF(J14=0,0,IF(K14="Y",0,1))</f>
        <v>0</v>
      </c>
      <c r="M14" s="46" t="str">
        <f>IF(J14=1,F14,"")</f>
        <v/>
      </c>
      <c r="N14" s="46" t="str">
        <f t="shared" si="3"/>
        <v/>
      </c>
      <c r="O14" s="21">
        <v>739500</v>
      </c>
      <c r="P14">
        <v>7395</v>
      </c>
      <c r="Q14" t="s">
        <v>153</v>
      </c>
      <c r="R14" t="s">
        <v>153</v>
      </c>
      <c r="AC14" s="43" t="s">
        <v>101</v>
      </c>
      <c r="AD14" s="45">
        <f>IFERROR(2020-VALUE(C11),"")</f>
        <v>2020</v>
      </c>
      <c r="AE14" s="43" t="s">
        <v>102</v>
      </c>
      <c r="AF14" s="44" t="s">
        <v>103</v>
      </c>
      <c r="AG14" s="359" t="str">
        <f>IF(AG7="Quote",'April Output'!E29,"")</f>
        <v/>
      </c>
      <c r="AH14">
        <v>8</v>
      </c>
      <c r="AI14" t="s">
        <v>112</v>
      </c>
      <c r="AJ14" s="39" t="str">
        <f t="shared" ref="AJ14:AJ77" si="4">IFERROR(IF($AJ$7&lt;&gt;"Quote","",IF(VLOOKUP(AI14,$AF$7:$AG$240,2,FALSE)=0,"-",VLOOKUP(AI14,$AF$7:$AG$240,2,FALSE))),"-")</f>
        <v/>
      </c>
    </row>
    <row r="15" spans="1:37">
      <c r="A15" s="593">
        <v>527</v>
      </c>
      <c r="B15" s="44" t="s">
        <v>105</v>
      </c>
      <c r="C15" s="66"/>
      <c r="D15" s="57">
        <v>7</v>
      </c>
      <c r="E15" s="44" t="s">
        <v>106</v>
      </c>
      <c r="F15" s="44" t="s">
        <v>107</v>
      </c>
      <c r="G15" s="560" t="s">
        <v>108</v>
      </c>
      <c r="H15" s="546" t="str">
        <f>IF(C25="","Yes",IF(ISERROR(VLOOKUP(VALUE(C25),$O$6:$P$71,2,FALSE))=FALSE,"Yes","No"))</f>
        <v>Yes</v>
      </c>
      <c r="I15" s="546" t="s">
        <v>90</v>
      </c>
      <c r="J15" s="58">
        <f t="shared" ref="J15:J16" si="5">IF(H15=I15,0,1)</f>
        <v>0</v>
      </c>
      <c r="K15" s="58" t="s">
        <v>74</v>
      </c>
      <c r="L15" s="58">
        <f t="shared" si="1"/>
        <v>0</v>
      </c>
      <c r="M15" s="46" t="str">
        <f t="shared" si="2"/>
        <v/>
      </c>
      <c r="N15" s="46" t="str">
        <f>IF(M15="","",IF(L15=0,F15,""))</f>
        <v/>
      </c>
      <c r="O15" s="21">
        <v>73500</v>
      </c>
      <c r="P15">
        <v>735</v>
      </c>
      <c r="Q15" t="s">
        <v>161</v>
      </c>
      <c r="R15" t="s">
        <v>161</v>
      </c>
      <c r="AC15" s="43" t="s">
        <v>110</v>
      </c>
      <c r="AD15" s="45">
        <f>IFERROR(VALUE(C12),"")</f>
        <v>0</v>
      </c>
      <c r="AE15" s="43" t="s">
        <v>111</v>
      </c>
      <c r="AF15" s="44"/>
      <c r="AG15" s="359" t="str">
        <f>IF(AG7="Quote",'April Output'!F29,"")</f>
        <v/>
      </c>
      <c r="AH15">
        <v>9</v>
      </c>
      <c r="AI15" t="s">
        <v>121</v>
      </c>
      <c r="AJ15" s="39" t="str">
        <f t="shared" si="4"/>
        <v/>
      </c>
    </row>
    <row r="16" spans="1:37">
      <c r="A16" s="593">
        <v>529</v>
      </c>
      <c r="B16" s="44" t="s">
        <v>1106</v>
      </c>
      <c r="C16" s="66"/>
      <c r="D16" s="57">
        <v>8</v>
      </c>
      <c r="E16" s="44" t="s">
        <v>115</v>
      </c>
      <c r="F16" s="44" t="s">
        <v>116</v>
      </c>
      <c r="G16" s="560" t="s">
        <v>117</v>
      </c>
      <c r="H16" s="546" t="str">
        <f>IF(C32="","Yes",IF(ISERROR(VLOOKUP(VALUE(C32),$O$6:$P$71,2,FALSE))=FALSE,"Yes","No"))</f>
        <v>Yes</v>
      </c>
      <c r="I16" s="546" t="s">
        <v>90</v>
      </c>
      <c r="J16" s="58">
        <f t="shared" si="5"/>
        <v>0</v>
      </c>
      <c r="K16" s="58" t="s">
        <v>74</v>
      </c>
      <c r="L16" s="58">
        <f t="shared" si="1"/>
        <v>0</v>
      </c>
      <c r="M16" s="46" t="str">
        <f t="shared" si="2"/>
        <v/>
      </c>
      <c r="N16" s="46" t="str">
        <f t="shared" si="3"/>
        <v/>
      </c>
      <c r="O16" s="21">
        <v>181200</v>
      </c>
      <c r="P16">
        <v>1812</v>
      </c>
      <c r="Q16" t="s">
        <v>169</v>
      </c>
      <c r="R16" t="s">
        <v>170</v>
      </c>
      <c r="AC16" s="43" t="s">
        <v>119</v>
      </c>
      <c r="AD16" s="45">
        <f>IFERROR(IF(C7="No",0,1),"")</f>
        <v>1</v>
      </c>
      <c r="AE16" s="43" t="s">
        <v>120</v>
      </c>
      <c r="AF16" s="44"/>
      <c r="AG16" s="359" t="str">
        <f>IF(AG7="Quote",'April Output'!E30,"")</f>
        <v/>
      </c>
      <c r="AH16">
        <v>10</v>
      </c>
      <c r="AI16" t="s">
        <v>1108</v>
      </c>
      <c r="AJ16" s="39" t="str">
        <f t="shared" si="4"/>
        <v/>
      </c>
    </row>
    <row r="17" spans="1:46">
      <c r="A17" s="593">
        <v>538</v>
      </c>
      <c r="B17" s="44" t="s">
        <v>1107</v>
      </c>
      <c r="C17" s="66"/>
      <c r="D17" s="57">
        <v>9</v>
      </c>
      <c r="E17" s="44" t="s">
        <v>123</v>
      </c>
      <c r="F17" s="44" t="s">
        <v>124</v>
      </c>
      <c r="G17" s="560" t="s">
        <v>125</v>
      </c>
      <c r="H17" s="546" t="str">
        <f>IF(C39="","Yes",IF(ISERROR(VLOOKUP(VALUE(C39),$O$6:$P$71,2,FALSE))=FALSE,"Yes","No"))</f>
        <v>Yes</v>
      </c>
      <c r="I17" s="546" t="s">
        <v>90</v>
      </c>
      <c r="J17" s="58">
        <f>IF(H17=I17,0,1)</f>
        <v>0</v>
      </c>
      <c r="K17" s="58" t="s">
        <v>74</v>
      </c>
      <c r="L17" s="58">
        <f t="shared" si="1"/>
        <v>0</v>
      </c>
      <c r="M17" s="46" t="str">
        <f t="shared" si="2"/>
        <v/>
      </c>
      <c r="N17" s="46" t="str">
        <f t="shared" si="3"/>
        <v/>
      </c>
      <c r="O17" s="21">
        <v>153500</v>
      </c>
      <c r="P17">
        <v>1535</v>
      </c>
      <c r="Q17" t="s">
        <v>179</v>
      </c>
      <c r="R17" t="s">
        <v>180</v>
      </c>
      <c r="AC17" s="43" t="s">
        <v>128</v>
      </c>
      <c r="AD17" s="45" t="str">
        <f>H26</f>
        <v>Yes</v>
      </c>
      <c r="AE17" s="585" t="s">
        <v>129</v>
      </c>
      <c r="AF17" s="586" t="s">
        <v>130</v>
      </c>
      <c r="AG17" s="587" t="str">
        <f>IF(AG7="Quote",'April Output'!E31,"")</f>
        <v/>
      </c>
      <c r="AH17">
        <v>11</v>
      </c>
      <c r="AI17" t="s">
        <v>140</v>
      </c>
      <c r="AJ17" s="39" t="str">
        <f t="shared" si="4"/>
        <v/>
      </c>
    </row>
    <row r="18" spans="1:46">
      <c r="A18" s="589" t="s">
        <v>113</v>
      </c>
      <c r="B18" s="46" t="s">
        <v>114</v>
      </c>
      <c r="C18" s="568"/>
      <c r="D18" s="57">
        <v>10</v>
      </c>
      <c r="E18" s="44" t="s">
        <v>133</v>
      </c>
      <c r="F18" s="44" t="s">
        <v>134</v>
      </c>
      <c r="G18" s="560" t="s">
        <v>135</v>
      </c>
      <c r="H18" s="546" t="str">
        <f>IF(C46="","Yes",IF(ISERROR(VLOOKUP(VALUE(C46),$O$6:$P$71,2,FALSE))=FALSE,"Yes","No"))</f>
        <v>Yes</v>
      </c>
      <c r="I18" s="546" t="s">
        <v>90</v>
      </c>
      <c r="J18" s="58">
        <f>IF(H18=I18,0,1)</f>
        <v>0</v>
      </c>
      <c r="K18" s="58" t="s">
        <v>74</v>
      </c>
      <c r="L18" s="58">
        <f t="shared" si="1"/>
        <v>0</v>
      </c>
      <c r="M18" s="46" t="str">
        <f t="shared" si="2"/>
        <v/>
      </c>
      <c r="N18" s="46" t="str">
        <f t="shared" si="3"/>
        <v/>
      </c>
      <c r="O18" s="21">
        <v>175601</v>
      </c>
      <c r="P18">
        <v>1756</v>
      </c>
      <c r="Q18" t="s">
        <v>206</v>
      </c>
      <c r="R18" t="s">
        <v>206</v>
      </c>
      <c r="AC18" s="43" t="s">
        <v>137</v>
      </c>
      <c r="AD18" s="66" t="str">
        <f>IF(H30&lt;10%,"Yes","No")</f>
        <v>Yes</v>
      </c>
      <c r="AE18" s="43" t="s">
        <v>138</v>
      </c>
      <c r="AF18" s="44" t="s">
        <v>139</v>
      </c>
      <c r="AG18" s="359" t="str">
        <f>IF(AG7="Quote",'April Output'!E36,"")</f>
        <v/>
      </c>
      <c r="AH18">
        <v>12</v>
      </c>
      <c r="AI18" t="s">
        <v>148</v>
      </c>
      <c r="AJ18" s="39" t="str">
        <f t="shared" si="4"/>
        <v/>
      </c>
    </row>
    <row r="19" spans="1:46">
      <c r="A19" s="589" t="s">
        <v>1128</v>
      </c>
      <c r="B19" s="65" t="s">
        <v>122</v>
      </c>
      <c r="C19" s="569"/>
      <c r="D19" s="57">
        <v>11</v>
      </c>
      <c r="E19" s="44" t="s">
        <v>1018</v>
      </c>
      <c r="F19" s="44" t="s">
        <v>1028</v>
      </c>
      <c r="G19" s="560" t="s">
        <v>1019</v>
      </c>
      <c r="H19" s="546" t="str">
        <f>IF(C53="","Yes",IF(ISERROR(VLOOKUP(VALUE(C53),$O$6:$P$71,2,FALSE))=FALSE,"Yes","No"))</f>
        <v>Yes</v>
      </c>
      <c r="I19" s="546" t="s">
        <v>90</v>
      </c>
      <c r="J19" s="58">
        <f t="shared" ref="J19:J23" si="6">IF(H19=I19,0,1)</f>
        <v>0</v>
      </c>
      <c r="K19" s="58" t="s">
        <v>74</v>
      </c>
      <c r="L19" s="58">
        <f t="shared" ref="L19:L23" si="7">IF(J19=0,0,IF(K19="Y",0,1))</f>
        <v>0</v>
      </c>
      <c r="M19" s="46" t="str">
        <f t="shared" ref="M19:M23" si="8">IF(J19=1,F19,"")</f>
        <v/>
      </c>
      <c r="N19" s="46" t="str">
        <f t="shared" ref="N19:N23" si="9">IF(M19="","",IF(L19=0,F19,""))</f>
        <v/>
      </c>
      <c r="O19" s="21">
        <v>175602</v>
      </c>
      <c r="P19">
        <v>1756</v>
      </c>
      <c r="Q19" t="s">
        <v>206</v>
      </c>
      <c r="R19" t="s">
        <v>215</v>
      </c>
      <c r="AC19" s="43" t="s">
        <v>146</v>
      </c>
      <c r="AD19" s="67">
        <f>IFERROR(VALUE(H31),"")</f>
        <v>0</v>
      </c>
      <c r="AE19" s="43" t="s">
        <v>147</v>
      </c>
      <c r="AF19" s="44"/>
      <c r="AG19" s="359" t="str">
        <f>IF(AG7="Quote",'April Output'!E37,"")</f>
        <v/>
      </c>
      <c r="AH19">
        <v>13</v>
      </c>
      <c r="AI19" t="s">
        <v>157</v>
      </c>
      <c r="AJ19" s="39" t="str">
        <f t="shared" si="4"/>
        <v/>
      </c>
    </row>
    <row r="20" spans="1:46">
      <c r="A20" s="589" t="s">
        <v>1129</v>
      </c>
      <c r="B20" s="65" t="s">
        <v>132</v>
      </c>
      <c r="C20" s="570"/>
      <c r="D20" s="57">
        <v>12</v>
      </c>
      <c r="E20" s="44" t="s">
        <v>1020</v>
      </c>
      <c r="F20" s="44" t="s">
        <v>1028</v>
      </c>
      <c r="G20" s="560" t="s">
        <v>1021</v>
      </c>
      <c r="H20" s="546" t="str">
        <f>IF(C60="","Yes",IF(ISERROR(VLOOKUP(VALUE(C60),$O$6:$P$71,2,FALSE))=FALSE,"Yes","No"))</f>
        <v>Yes</v>
      </c>
      <c r="I20" s="546" t="s">
        <v>90</v>
      </c>
      <c r="J20" s="58">
        <f t="shared" si="6"/>
        <v>0</v>
      </c>
      <c r="K20" s="58" t="s">
        <v>74</v>
      </c>
      <c r="L20" s="58">
        <f t="shared" si="7"/>
        <v>0</v>
      </c>
      <c r="M20" s="46" t="str">
        <f>IF(J20=1,F20,"")</f>
        <v/>
      </c>
      <c r="N20" s="46" t="str">
        <f t="shared" si="9"/>
        <v/>
      </c>
      <c r="O20" s="21">
        <v>175603</v>
      </c>
      <c r="P20">
        <v>1756</v>
      </c>
      <c r="Q20" t="s">
        <v>206</v>
      </c>
      <c r="R20" t="s">
        <v>219</v>
      </c>
      <c r="AC20" s="43" t="s">
        <v>154</v>
      </c>
      <c r="AD20" s="68">
        <f>R85</f>
        <v>0</v>
      </c>
      <c r="AE20" s="43" t="s">
        <v>155</v>
      </c>
      <c r="AF20" s="44" t="s">
        <v>156</v>
      </c>
      <c r="AG20" s="359" t="str">
        <f>IF(AG7="Quote",'April Output'!E40,"")</f>
        <v/>
      </c>
      <c r="AH20">
        <v>14</v>
      </c>
      <c r="AI20" t="s">
        <v>165</v>
      </c>
      <c r="AJ20" s="39" t="str">
        <f t="shared" si="4"/>
        <v/>
      </c>
    </row>
    <row r="21" spans="1:46">
      <c r="A21" s="589" t="s">
        <v>1130</v>
      </c>
      <c r="B21" s="65" t="s">
        <v>141</v>
      </c>
      <c r="C21" s="556"/>
      <c r="D21" s="57">
        <v>13</v>
      </c>
      <c r="E21" s="44" t="s">
        <v>1022</v>
      </c>
      <c r="F21" s="44" t="s">
        <v>1028</v>
      </c>
      <c r="G21" s="560" t="s">
        <v>1023</v>
      </c>
      <c r="H21" s="546" t="str">
        <f>IF(C67="","Yes",IF(ISERROR(VLOOKUP(VALUE(C67),$O$6:$P$71,2,FALSE))=FALSE,"Yes","No"))</f>
        <v>Yes</v>
      </c>
      <c r="I21" s="546" t="s">
        <v>90</v>
      </c>
      <c r="J21" s="58">
        <f t="shared" si="6"/>
        <v>0</v>
      </c>
      <c r="K21" s="58" t="s">
        <v>74</v>
      </c>
      <c r="L21" s="58">
        <f t="shared" si="7"/>
        <v>0</v>
      </c>
      <c r="M21" s="46" t="str">
        <f t="shared" si="8"/>
        <v/>
      </c>
      <c r="N21" s="46" t="str">
        <f t="shared" si="9"/>
        <v/>
      </c>
      <c r="O21" s="21">
        <v>175604</v>
      </c>
      <c r="P21">
        <v>1756</v>
      </c>
      <c r="Q21" t="s">
        <v>206</v>
      </c>
      <c r="R21" t="s">
        <v>223</v>
      </c>
      <c r="AC21" s="43" t="s">
        <v>162</v>
      </c>
      <c r="AD21" s="68">
        <f>S85</f>
        <v>0</v>
      </c>
      <c r="AE21" s="43" t="s">
        <v>163</v>
      </c>
      <c r="AF21" s="354" t="s">
        <v>164</v>
      </c>
      <c r="AG21" s="359" t="str">
        <f>IF(AG7="Quote",'April Output'!F40,"")</f>
        <v/>
      </c>
      <c r="AH21">
        <v>15</v>
      </c>
      <c r="AI21" t="s">
        <v>130</v>
      </c>
      <c r="AJ21" s="39" t="str">
        <f t="shared" si="4"/>
        <v/>
      </c>
    </row>
    <row r="22" spans="1:46">
      <c r="A22" s="589" t="s">
        <v>1131</v>
      </c>
      <c r="B22" s="65" t="s">
        <v>149</v>
      </c>
      <c r="C22" s="556"/>
      <c r="D22" s="57">
        <v>14</v>
      </c>
      <c r="E22" s="44" t="s">
        <v>1024</v>
      </c>
      <c r="F22" s="44" t="s">
        <v>1028</v>
      </c>
      <c r="G22" s="560" t="s">
        <v>1025</v>
      </c>
      <c r="H22" s="546" t="str">
        <f>IF(C74="","Yes",IF(ISERROR(VLOOKUP(VALUE(C74),$O$6:$P$71,2,FALSE))=FALSE,"Yes","No"))</f>
        <v>Yes</v>
      </c>
      <c r="I22" s="546" t="s">
        <v>90</v>
      </c>
      <c r="J22" s="58">
        <f t="shared" si="6"/>
        <v>0</v>
      </c>
      <c r="K22" s="58" t="s">
        <v>74</v>
      </c>
      <c r="L22" s="58">
        <f t="shared" si="7"/>
        <v>0</v>
      </c>
      <c r="M22" s="46" t="str">
        <f t="shared" si="8"/>
        <v/>
      </c>
      <c r="N22" s="46" t="str">
        <f t="shared" si="9"/>
        <v/>
      </c>
      <c r="O22" s="21">
        <v>175300</v>
      </c>
      <c r="P22">
        <v>1753</v>
      </c>
      <c r="Q22" t="s">
        <v>228</v>
      </c>
      <c r="R22" t="s">
        <v>228</v>
      </c>
      <c r="AC22" s="43" t="s">
        <v>171</v>
      </c>
      <c r="AD22" s="68">
        <f>T85</f>
        <v>0</v>
      </c>
      <c r="AE22" s="43" t="s">
        <v>172</v>
      </c>
      <c r="AF22" s="44" t="s">
        <v>173</v>
      </c>
      <c r="AG22" s="359" t="str">
        <f>IF(AG7="Quote",'April Output'!E50,"")</f>
        <v/>
      </c>
      <c r="AH22">
        <v>16</v>
      </c>
      <c r="AI22" t="s">
        <v>184</v>
      </c>
      <c r="AJ22" s="39" t="str">
        <f t="shared" si="4"/>
        <v/>
      </c>
    </row>
    <row r="23" spans="1:46">
      <c r="A23" s="589" t="s">
        <v>1132</v>
      </c>
      <c r="B23" s="65" t="s">
        <v>158</v>
      </c>
      <c r="C23" s="556"/>
      <c r="D23" s="57">
        <v>15</v>
      </c>
      <c r="E23" s="44" t="s">
        <v>1026</v>
      </c>
      <c r="F23" s="44" t="s">
        <v>1028</v>
      </c>
      <c r="G23" s="560" t="s">
        <v>1027</v>
      </c>
      <c r="H23" s="546" t="str">
        <f>IF(C81="","Yes",IF(ISERROR(VLOOKUP(VALUE(C81),$O$6:$P$71,2,FALSE))=FALSE,"Yes","No"))</f>
        <v>Yes</v>
      </c>
      <c r="I23" s="546" t="s">
        <v>90</v>
      </c>
      <c r="J23" s="58">
        <f t="shared" si="6"/>
        <v>0</v>
      </c>
      <c r="K23" s="58" t="s">
        <v>74</v>
      </c>
      <c r="L23" s="58">
        <f t="shared" si="7"/>
        <v>0</v>
      </c>
      <c r="M23" s="46" t="str">
        <f t="shared" si="8"/>
        <v/>
      </c>
      <c r="N23" s="46" t="str">
        <f t="shared" si="9"/>
        <v/>
      </c>
      <c r="O23" s="21">
        <v>175700</v>
      </c>
      <c r="P23">
        <v>1757</v>
      </c>
      <c r="Q23" t="s">
        <v>232</v>
      </c>
      <c r="R23" t="s">
        <v>232</v>
      </c>
      <c r="AC23" s="43" t="s">
        <v>181</v>
      </c>
      <c r="AD23" s="68">
        <v>0</v>
      </c>
      <c r="AE23" s="43" t="s">
        <v>182</v>
      </c>
      <c r="AF23" s="44" t="s">
        <v>183</v>
      </c>
      <c r="AG23" s="359" t="str">
        <f>IF(AG7="Quote",'April Output'!E51,"")</f>
        <v/>
      </c>
      <c r="AH23">
        <v>17</v>
      </c>
      <c r="AI23" t="s">
        <v>193</v>
      </c>
      <c r="AJ23" s="39" t="str">
        <f t="shared" si="4"/>
        <v/>
      </c>
    </row>
    <row r="24" spans="1:46">
      <c r="A24" s="589" t="s">
        <v>1133</v>
      </c>
      <c r="B24" s="65" t="s">
        <v>166</v>
      </c>
      <c r="C24" s="554"/>
      <c r="D24" s="57">
        <v>16</v>
      </c>
      <c r="E24" s="44" t="s">
        <v>970</v>
      </c>
      <c r="F24" s="44" t="s">
        <v>971</v>
      </c>
      <c r="G24" s="44" t="s">
        <v>142</v>
      </c>
      <c r="H24" s="548">
        <f>T85</f>
        <v>0</v>
      </c>
      <c r="I24" s="548">
        <f>IFERROR(VLOOKUP(AD10,'Conditions (june 2020)'!B:M,12,FALSE),0)</f>
        <v>0</v>
      </c>
      <c r="J24" s="58">
        <f>IF(H24&lt;=I24,0,1)</f>
        <v>0</v>
      </c>
      <c r="K24" s="58" t="s">
        <v>66</v>
      </c>
      <c r="L24" s="58">
        <f t="shared" ref="L24:L32" si="10">IF(J24=0,0,IF(K24="Y",0,1))</f>
        <v>0</v>
      </c>
      <c r="M24" s="46" t="str">
        <f t="shared" ref="M24:M32" si="11">IF(J24=1,F24,"")</f>
        <v/>
      </c>
      <c r="N24" s="46" t="str">
        <f t="shared" ref="N24:N32" si="12">IF(M24="","",IF(L24=0,F24,""))</f>
        <v/>
      </c>
      <c r="O24" s="21">
        <v>739401</v>
      </c>
      <c r="P24">
        <v>7394</v>
      </c>
      <c r="Q24" t="s">
        <v>240</v>
      </c>
      <c r="R24" t="s">
        <v>240</v>
      </c>
      <c r="AC24" s="43" t="s">
        <v>190</v>
      </c>
      <c r="AD24" s="68">
        <f>U85</f>
        <v>0</v>
      </c>
      <c r="AE24" s="43" t="s">
        <v>191</v>
      </c>
      <c r="AF24" s="44" t="s">
        <v>192</v>
      </c>
      <c r="AG24" s="359" t="str">
        <f>IF(AG7="Quote",'April Output'!E52,"")</f>
        <v/>
      </c>
      <c r="AH24">
        <v>18</v>
      </c>
      <c r="AI24" t="s">
        <v>202</v>
      </c>
      <c r="AJ24" s="39" t="str">
        <f t="shared" si="4"/>
        <v/>
      </c>
    </row>
    <row r="25" spans="1:46">
      <c r="A25" s="589" t="s">
        <v>174</v>
      </c>
      <c r="B25" s="46" t="s">
        <v>175</v>
      </c>
      <c r="C25" s="554"/>
      <c r="D25" s="57">
        <v>17</v>
      </c>
      <c r="E25" s="44" t="s">
        <v>150</v>
      </c>
      <c r="F25" s="44" t="s">
        <v>151</v>
      </c>
      <c r="G25" s="44" t="s">
        <v>152</v>
      </c>
      <c r="H25" s="312">
        <f>IFERROR(VALUE(C12),"")</f>
        <v>0</v>
      </c>
      <c r="I25" s="546">
        <v>3</v>
      </c>
      <c r="J25" s="58">
        <f>IF(H25&gt;=I25,0,1)</f>
        <v>1</v>
      </c>
      <c r="K25" s="58" t="s">
        <v>74</v>
      </c>
      <c r="L25" s="58">
        <f t="shared" si="10"/>
        <v>0</v>
      </c>
      <c r="M25" s="46" t="str">
        <f t="shared" si="11"/>
        <v>Not enough experience</v>
      </c>
      <c r="N25" s="46" t="str">
        <f t="shared" si="12"/>
        <v>Not enough experience</v>
      </c>
      <c r="O25" s="21">
        <v>739402</v>
      </c>
      <c r="P25">
        <v>7394</v>
      </c>
      <c r="Q25" t="s">
        <v>240</v>
      </c>
      <c r="R25" t="s">
        <v>244</v>
      </c>
      <c r="AC25" s="43" t="s">
        <v>199</v>
      </c>
      <c r="AD25" s="45" t="b">
        <f>U89</f>
        <v>0</v>
      </c>
      <c r="AE25" s="43" t="s">
        <v>200</v>
      </c>
      <c r="AF25" s="44" t="s">
        <v>201</v>
      </c>
      <c r="AG25" s="359" t="str">
        <f>IF(AG7="Quote",'April Output'!E53,"")</f>
        <v/>
      </c>
      <c r="AH25">
        <v>19</v>
      </c>
      <c r="AI25" t="s">
        <v>210</v>
      </c>
      <c r="AJ25" s="39" t="str">
        <f t="shared" si="4"/>
        <v/>
      </c>
    </row>
    <row r="26" spans="1:46">
      <c r="A26" s="589" t="s">
        <v>1134</v>
      </c>
      <c r="B26" s="65" t="s">
        <v>185</v>
      </c>
      <c r="C26" s="555"/>
      <c r="D26" s="57">
        <v>18</v>
      </c>
      <c r="E26" s="44" t="s">
        <v>159</v>
      </c>
      <c r="F26" s="44" t="s">
        <v>160</v>
      </c>
      <c r="G26" s="44" t="s">
        <v>87</v>
      </c>
      <c r="H26" s="546" t="str">
        <f>IF(C13="License required but not obtained","No","Yes")</f>
        <v>Yes</v>
      </c>
      <c r="I26" s="546" t="s">
        <v>90</v>
      </c>
      <c r="J26" s="58">
        <f>IF(H26=I26,0,1)</f>
        <v>0</v>
      </c>
      <c r="K26" s="58" t="s">
        <v>66</v>
      </c>
      <c r="L26" s="58">
        <f t="shared" si="10"/>
        <v>0</v>
      </c>
      <c r="M26" s="46" t="str">
        <f t="shared" si="11"/>
        <v/>
      </c>
      <c r="N26" s="46" t="str">
        <f t="shared" si="12"/>
        <v/>
      </c>
      <c r="O26" s="21">
        <v>173200</v>
      </c>
      <c r="P26">
        <v>1732</v>
      </c>
      <c r="Q26" t="s">
        <v>248</v>
      </c>
      <c r="R26" t="s">
        <v>249</v>
      </c>
      <c r="AC26" s="43" t="s">
        <v>207</v>
      </c>
      <c r="AD26" s="360">
        <f>C89</f>
        <v>0</v>
      </c>
      <c r="AE26" s="43" t="s">
        <v>208</v>
      </c>
      <c r="AF26" s="44" t="s">
        <v>209</v>
      </c>
      <c r="AG26" s="359" t="str">
        <f>IF(AG7="Quote",'April Output'!E54,"")</f>
        <v/>
      </c>
      <c r="AH26">
        <v>20</v>
      </c>
      <c r="AI26" t="s">
        <v>221</v>
      </c>
      <c r="AJ26" s="39" t="str">
        <f t="shared" si="4"/>
        <v/>
      </c>
    </row>
    <row r="27" spans="1:46">
      <c r="A27" s="589" t="s">
        <v>1135</v>
      </c>
      <c r="B27" s="65" t="s">
        <v>194</v>
      </c>
      <c r="C27" s="556"/>
      <c r="D27" s="57">
        <v>19</v>
      </c>
      <c r="E27" s="44" t="s">
        <v>167</v>
      </c>
      <c r="F27" s="44" t="s">
        <v>168</v>
      </c>
      <c r="G27" s="44" t="s">
        <v>96</v>
      </c>
      <c r="H27" s="546">
        <f>IFERROR(C14,"")</f>
        <v>0</v>
      </c>
      <c r="I27" s="546" t="s">
        <v>58</v>
      </c>
      <c r="J27" s="58">
        <f>IF(H27=I27,0,1)</f>
        <v>1</v>
      </c>
      <c r="K27" s="58" t="s">
        <v>66</v>
      </c>
      <c r="L27" s="58">
        <f t="shared" si="10"/>
        <v>1</v>
      </c>
      <c r="M27" s="46" t="str">
        <f t="shared" si="11"/>
        <v>Previous insurance refusal / cancellation</v>
      </c>
      <c r="N27" s="46" t="str">
        <f t="shared" si="12"/>
        <v/>
      </c>
      <c r="O27" s="21">
        <v>174300</v>
      </c>
      <c r="P27">
        <v>1743</v>
      </c>
      <c r="Q27" t="s">
        <v>264</v>
      </c>
      <c r="R27" t="s">
        <v>265</v>
      </c>
      <c r="AC27" s="43" t="s">
        <v>216</v>
      </c>
      <c r="AD27" s="70" t="b">
        <f>U101</f>
        <v>0</v>
      </c>
      <c r="AE27" s="43" t="s">
        <v>217</v>
      </c>
      <c r="AF27" s="322" t="s">
        <v>1111</v>
      </c>
      <c r="AG27" s="359" t="str">
        <f>IF(AG7="Quote",'April Output'!E56,"")</f>
        <v/>
      </c>
      <c r="AH27">
        <v>21</v>
      </c>
      <c r="AI27" t="s">
        <v>225</v>
      </c>
      <c r="AJ27" s="39" t="str">
        <f t="shared" si="4"/>
        <v/>
      </c>
    </row>
    <row r="28" spans="1:46">
      <c r="A28" s="589" t="s">
        <v>1136</v>
      </c>
      <c r="B28" s="65" t="s">
        <v>203</v>
      </c>
      <c r="C28" s="556"/>
      <c r="D28" s="57">
        <v>20</v>
      </c>
      <c r="E28" s="44" t="s">
        <v>176</v>
      </c>
      <c r="F28" s="44" t="s">
        <v>177</v>
      </c>
      <c r="G28" s="44" t="s">
        <v>178</v>
      </c>
      <c r="H28" s="548" t="str">
        <f>IFERROR(MAX(C19,C26,C33,C40,C47,C54,C61,C68,C75,C82)/H31,"")</f>
        <v/>
      </c>
      <c r="I28" s="548">
        <v>0.9</v>
      </c>
      <c r="J28" s="58">
        <f>IF(H28&gt;=I28,0,1)</f>
        <v>0</v>
      </c>
      <c r="K28" s="58" t="s">
        <v>143</v>
      </c>
      <c r="L28" s="58">
        <f t="shared" si="10"/>
        <v>0</v>
      </c>
      <c r="M28" s="46" t="str">
        <f t="shared" si="11"/>
        <v/>
      </c>
      <c r="N28" s="46" t="str">
        <f t="shared" si="12"/>
        <v/>
      </c>
      <c r="O28" s="21">
        <v>176600</v>
      </c>
      <c r="P28">
        <v>1766</v>
      </c>
      <c r="Q28" t="s">
        <v>269</v>
      </c>
      <c r="R28" t="s">
        <v>270</v>
      </c>
      <c r="AC28" s="43" t="s">
        <v>220</v>
      </c>
      <c r="AD28" s="360">
        <f>C90</f>
        <v>0</v>
      </c>
      <c r="AE28" s="43"/>
      <c r="AF28" s="44"/>
      <c r="AG28" s="47"/>
      <c r="AH28">
        <v>22</v>
      </c>
      <c r="AI28" t="s">
        <v>230</v>
      </c>
      <c r="AJ28" s="39" t="str">
        <f t="shared" si="4"/>
        <v/>
      </c>
    </row>
    <row r="29" spans="1:46">
      <c r="A29" s="589" t="s">
        <v>1137</v>
      </c>
      <c r="B29" s="65" t="s">
        <v>211</v>
      </c>
      <c r="C29" s="556"/>
      <c r="D29" s="57">
        <v>21</v>
      </c>
      <c r="E29" s="44" t="s">
        <v>186</v>
      </c>
      <c r="F29" s="44" t="s">
        <v>187</v>
      </c>
      <c r="G29" s="44" t="s">
        <v>188</v>
      </c>
      <c r="H29" s="553" t="str">
        <f>IFERROR(IF(C15="Yes",C16,""),"")</f>
        <v/>
      </c>
      <c r="I29" s="553">
        <v>10</v>
      </c>
      <c r="J29" s="58">
        <f>IF(H29="",0,IF(H29&gt;I29,1,0))</f>
        <v>0</v>
      </c>
      <c r="K29" s="58" t="s">
        <v>74</v>
      </c>
      <c r="L29" s="58">
        <f t="shared" si="10"/>
        <v>0</v>
      </c>
      <c r="M29" s="46" t="str">
        <f t="shared" si="11"/>
        <v/>
      </c>
      <c r="N29" s="46" t="str">
        <f t="shared" si="12"/>
        <v/>
      </c>
      <c r="AC29" s="43" t="s">
        <v>224</v>
      </c>
      <c r="AD29" s="70" t="b">
        <f>U116</f>
        <v>0</v>
      </c>
      <c r="AE29" s="43"/>
      <c r="AF29" s="44"/>
      <c r="AG29" s="47"/>
      <c r="AH29">
        <v>23</v>
      </c>
      <c r="AI29" t="s">
        <v>234</v>
      </c>
      <c r="AJ29" s="39" t="str">
        <f t="shared" si="4"/>
        <v/>
      </c>
    </row>
    <row r="30" spans="1:46">
      <c r="A30" s="589" t="s">
        <v>1138</v>
      </c>
      <c r="B30" s="65" t="s">
        <v>218</v>
      </c>
      <c r="C30" s="556"/>
      <c r="D30" s="57">
        <v>22</v>
      </c>
      <c r="E30" s="44" t="s">
        <v>195</v>
      </c>
      <c r="F30" s="44" t="s">
        <v>196</v>
      </c>
      <c r="G30" s="44" t="s">
        <v>197</v>
      </c>
      <c r="H30" s="548">
        <f>IFERROR(C17,"")</f>
        <v>0</v>
      </c>
      <c r="I30" s="548" t="s">
        <v>58</v>
      </c>
      <c r="J30" s="58">
        <f>IF(H30&lt;=I30,0,1)</f>
        <v>0</v>
      </c>
      <c r="K30" s="58" t="s">
        <v>74</v>
      </c>
      <c r="L30" s="58">
        <f t="shared" si="10"/>
        <v>0</v>
      </c>
      <c r="M30" s="46" t="str">
        <f t="shared" si="11"/>
        <v/>
      </c>
      <c r="N30" s="46" t="str">
        <f t="shared" si="12"/>
        <v/>
      </c>
      <c r="AC30" s="43" t="s">
        <v>229</v>
      </c>
      <c r="AD30" s="418"/>
      <c r="AE30" s="43" t="s">
        <v>104</v>
      </c>
      <c r="AF30" s="44" t="s">
        <v>104</v>
      </c>
      <c r="AG30" s="293" t="str">
        <f>IF(AND($AG$7="Quote",'April Output'!$E$37&gt;0),VLOOKUP(Inputs!AF30,'Extension of coverage'!B:C,2,FALSE),"-")</f>
        <v>-</v>
      </c>
      <c r="AH30">
        <v>24</v>
      </c>
      <c r="AI30" t="s">
        <v>238</v>
      </c>
      <c r="AJ30" s="39" t="str">
        <f t="shared" si="4"/>
        <v/>
      </c>
    </row>
    <row r="31" spans="1:46">
      <c r="A31" s="589" t="s">
        <v>1139</v>
      </c>
      <c r="B31" s="65" t="s">
        <v>222</v>
      </c>
      <c r="C31" s="554"/>
      <c r="D31" s="57">
        <v>23</v>
      </c>
      <c r="E31" s="44" t="s">
        <v>204</v>
      </c>
      <c r="F31" s="44" t="s">
        <v>205</v>
      </c>
      <c r="G31" s="44" t="s">
        <v>146</v>
      </c>
      <c r="H31" s="549">
        <f>Q85</f>
        <v>0</v>
      </c>
      <c r="I31" s="549">
        <v>2000000</v>
      </c>
      <c r="J31" s="58">
        <f>IF(H31&lt;=I31,0,1)</f>
        <v>0</v>
      </c>
      <c r="K31" s="58" t="s">
        <v>74</v>
      </c>
      <c r="L31" s="58">
        <f t="shared" si="10"/>
        <v>0</v>
      </c>
      <c r="M31" s="46" t="str">
        <f t="shared" si="11"/>
        <v/>
      </c>
      <c r="N31" s="46" t="str">
        <f t="shared" si="12"/>
        <v/>
      </c>
      <c r="AC31" s="43" t="s">
        <v>233</v>
      </c>
      <c r="AD31" s="70" t="b">
        <f>U126</f>
        <v>0</v>
      </c>
      <c r="AE31" s="43" t="s">
        <v>112</v>
      </c>
      <c r="AF31" s="44" t="s">
        <v>112</v>
      </c>
      <c r="AG31" s="293" t="str">
        <f>IF(AND($AG$7="Quote",'April Output'!$E$37&gt;0),VLOOKUP(Inputs!AF31,'Extension of coverage'!B:C,2,FALSE),"-")</f>
        <v>-</v>
      </c>
      <c r="AH31">
        <v>25</v>
      </c>
      <c r="AI31" t="s">
        <v>242</v>
      </c>
      <c r="AJ31" s="39" t="str">
        <f t="shared" si="4"/>
        <v/>
      </c>
      <c r="AT31" s="322"/>
    </row>
    <row r="32" spans="1:46">
      <c r="A32" s="589" t="s">
        <v>226</v>
      </c>
      <c r="B32" s="46" t="s">
        <v>227</v>
      </c>
      <c r="C32" s="554"/>
      <c r="D32" s="57">
        <v>24</v>
      </c>
      <c r="E32" s="44" t="s">
        <v>212</v>
      </c>
      <c r="F32" s="44" t="s">
        <v>213</v>
      </c>
      <c r="G32" s="44" t="s">
        <v>214</v>
      </c>
      <c r="H32" s="549">
        <f>C88</f>
        <v>0</v>
      </c>
      <c r="I32" s="546">
        <v>0</v>
      </c>
      <c r="J32" s="58">
        <f>IF(H32="",0,IF(H32&gt;I32,1,0))</f>
        <v>0</v>
      </c>
      <c r="K32" s="58" t="s">
        <v>74</v>
      </c>
      <c r="L32" s="58">
        <f t="shared" si="10"/>
        <v>0</v>
      </c>
      <c r="M32" s="46" t="str">
        <f t="shared" si="11"/>
        <v/>
      </c>
      <c r="N32" s="46" t="str">
        <f t="shared" si="12"/>
        <v/>
      </c>
      <c r="O32" s="21">
        <v>175400</v>
      </c>
      <c r="P32">
        <v>1754</v>
      </c>
      <c r="Q32" t="s">
        <v>287</v>
      </c>
      <c r="R32" t="s">
        <v>288</v>
      </c>
      <c r="AC32" s="43" t="s">
        <v>237</v>
      </c>
      <c r="AD32" s="428">
        <f>C91+C92+C93+C94</f>
        <v>0</v>
      </c>
      <c r="AE32" s="43" t="s">
        <v>131</v>
      </c>
      <c r="AF32" s="44" t="s">
        <v>131</v>
      </c>
      <c r="AG32" s="293" t="str">
        <f>IF(AND($AG$7="Quote",'April Output'!$E$37&gt;0),VLOOKUP(Inputs!AF32,'Extension of coverage'!B:C,2,FALSE),"-")</f>
        <v>-</v>
      </c>
      <c r="AH32">
        <v>26</v>
      </c>
      <c r="AI32" t="s">
        <v>246</v>
      </c>
      <c r="AJ32" s="39" t="str">
        <f t="shared" si="4"/>
        <v/>
      </c>
      <c r="AT32" s="322"/>
    </row>
    <row r="33" spans="1:46">
      <c r="A33" s="589" t="s">
        <v>1140</v>
      </c>
      <c r="B33" s="65" t="s">
        <v>231</v>
      </c>
      <c r="C33" s="555"/>
      <c r="D33" s="57">
        <v>25</v>
      </c>
      <c r="E33" s="550" t="s">
        <v>949</v>
      </c>
      <c r="F33" s="550" t="s">
        <v>972</v>
      </c>
      <c r="G33" s="550" t="s">
        <v>973</v>
      </c>
      <c r="H33" s="551">
        <f>U85</f>
        <v>0</v>
      </c>
      <c r="I33" s="552">
        <v>0</v>
      </c>
      <c r="J33" s="58">
        <f>IF(H33="",0,IF(H33&gt;I33,1,0))</f>
        <v>0</v>
      </c>
      <c r="K33" s="58" t="s">
        <v>66</v>
      </c>
      <c r="L33" s="58">
        <f>IF(J33=0,0,IF(K33="Y",0,1))</f>
        <v>0</v>
      </c>
      <c r="M33" s="46"/>
      <c r="N33" s="46"/>
      <c r="O33" s="21">
        <v>175500</v>
      </c>
      <c r="P33">
        <v>1755</v>
      </c>
      <c r="Q33" t="s">
        <v>292</v>
      </c>
      <c r="R33" t="s">
        <v>293</v>
      </c>
      <c r="AC33" s="43" t="s">
        <v>241</v>
      </c>
      <c r="AD33" s="70" t="b">
        <f>U138</f>
        <v>0</v>
      </c>
      <c r="AE33" s="43" t="s">
        <v>140</v>
      </c>
      <c r="AF33" s="44" t="s">
        <v>140</v>
      </c>
      <c r="AG33" s="293" t="str">
        <f>IF(AND($AG$7="Quote",'April Output'!$E$37&gt;0),VLOOKUP(Inputs!AF33,'Extension of coverage'!B:C,2,FALSE),"-")</f>
        <v>-</v>
      </c>
      <c r="AH33">
        <v>27</v>
      </c>
      <c r="AI33" t="s">
        <v>251</v>
      </c>
      <c r="AJ33" s="39" t="str">
        <f t="shared" si="4"/>
        <v/>
      </c>
      <c r="AT33" s="322"/>
    </row>
    <row r="34" spans="1:46">
      <c r="A34" s="589" t="s">
        <v>1141</v>
      </c>
      <c r="B34" s="65" t="s">
        <v>235</v>
      </c>
      <c r="C34" s="556"/>
      <c r="D34" s="57"/>
      <c r="E34" s="44"/>
      <c r="F34" s="44"/>
      <c r="G34" s="44"/>
      <c r="H34" s="553"/>
      <c r="I34" s="546"/>
      <c r="J34" s="58"/>
      <c r="K34" s="58"/>
      <c r="L34" s="58"/>
      <c r="M34" s="46"/>
      <c r="N34" s="46"/>
      <c r="O34" s="21">
        <v>174400</v>
      </c>
      <c r="P34">
        <v>1744</v>
      </c>
      <c r="Q34" t="s">
        <v>297</v>
      </c>
      <c r="R34" t="s">
        <v>298</v>
      </c>
      <c r="AC34" s="43" t="s">
        <v>245</v>
      </c>
      <c r="AD34" s="360">
        <f>C95</f>
        <v>0</v>
      </c>
      <c r="AE34" s="43" t="s">
        <v>148</v>
      </c>
      <c r="AF34" s="44" t="s">
        <v>148</v>
      </c>
      <c r="AG34" s="293" t="str">
        <f>IF(AND($AG$7="Quote",'April Output'!$E$37&gt;0),VLOOKUP(Inputs!AF34,'Extension of coverage'!B:C,2,FALSE),"-")</f>
        <v>-</v>
      </c>
      <c r="AH34">
        <v>28</v>
      </c>
      <c r="AI34" t="s">
        <v>103</v>
      </c>
      <c r="AJ34" s="39" t="str">
        <f t="shared" si="4"/>
        <v/>
      </c>
      <c r="AT34" s="322"/>
    </row>
    <row r="35" spans="1:46">
      <c r="A35" s="589" t="s">
        <v>1142</v>
      </c>
      <c r="B35" s="65" t="s">
        <v>239</v>
      </c>
      <c r="C35" s="556"/>
      <c r="D35" s="57"/>
      <c r="E35" s="44"/>
      <c r="F35" s="44"/>
      <c r="G35" s="44"/>
      <c r="H35" s="553"/>
      <c r="I35" s="546"/>
      <c r="J35" s="58"/>
      <c r="K35" s="58"/>
      <c r="L35" s="58"/>
      <c r="M35" s="46"/>
      <c r="N35" s="46"/>
      <c r="O35" s="21">
        <v>769300</v>
      </c>
      <c r="P35">
        <v>7693</v>
      </c>
      <c r="Q35" t="s">
        <v>304</v>
      </c>
      <c r="R35" t="s">
        <v>305</v>
      </c>
      <c r="AC35" s="43" t="s">
        <v>250</v>
      </c>
      <c r="AD35" s="69" t="b">
        <f>U149</f>
        <v>0</v>
      </c>
      <c r="AE35" s="43" t="s">
        <v>230</v>
      </c>
      <c r="AF35" s="44" t="s">
        <v>230</v>
      </c>
      <c r="AG35" s="293" t="str">
        <f>IF(AND($AG$7="Quote",'April Output'!$E$37&gt;0),VLOOKUP(Inputs!AF35,'Extension of coverage'!B:C,2,FALSE),"-")</f>
        <v>-</v>
      </c>
      <c r="AH35">
        <v>29</v>
      </c>
      <c r="AI35" s="322" t="s">
        <v>262</v>
      </c>
      <c r="AJ35" s="39" t="str">
        <f t="shared" si="4"/>
        <v/>
      </c>
      <c r="AT35" s="322"/>
    </row>
    <row r="36" spans="1:46">
      <c r="A36" s="589" t="s">
        <v>1143</v>
      </c>
      <c r="B36" s="65" t="s">
        <v>243</v>
      </c>
      <c r="C36" s="556"/>
      <c r="D36" s="557" t="s">
        <v>1066</v>
      </c>
      <c r="E36" s="46"/>
      <c r="F36" s="46"/>
      <c r="G36" s="46"/>
      <c r="H36" s="58"/>
      <c r="I36" s="58"/>
      <c r="J36" s="58"/>
      <c r="K36" s="58"/>
      <c r="L36" s="58"/>
      <c r="M36" s="46"/>
      <c r="N36" s="46"/>
      <c r="O36" s="21">
        <v>176200</v>
      </c>
      <c r="P36">
        <v>1762</v>
      </c>
      <c r="Q36" t="s">
        <v>317</v>
      </c>
      <c r="R36" t="s">
        <v>318</v>
      </c>
      <c r="AC36" s="43" t="s">
        <v>254</v>
      </c>
      <c r="AD36" s="70" t="b">
        <f>U161</f>
        <v>0</v>
      </c>
      <c r="AE36" s="43" t="s">
        <v>234</v>
      </c>
      <c r="AF36" s="44" t="s">
        <v>234</v>
      </c>
      <c r="AG36" s="293" t="str">
        <f>IF(AND($AG$7="Quote",'April Output'!$E$37&gt;0),VLOOKUP(Inputs!AF36,'Extension of coverage'!B:C,2,FALSE),"-")</f>
        <v>-</v>
      </c>
      <c r="AH36">
        <v>30</v>
      </c>
      <c r="AI36" t="s">
        <v>267</v>
      </c>
      <c r="AJ36" s="39" t="str">
        <f t="shared" si="4"/>
        <v/>
      </c>
      <c r="AT36" s="322"/>
    </row>
    <row r="37" spans="1:46" ht="29.4" thickBot="1">
      <c r="A37" s="589" t="s">
        <v>1144</v>
      </c>
      <c r="B37" s="65" t="s">
        <v>247</v>
      </c>
      <c r="C37" s="556"/>
      <c r="D37" s="50"/>
      <c r="E37" s="543" t="s">
        <v>1067</v>
      </c>
      <c r="F37" s="50" t="s">
        <v>42</v>
      </c>
      <c r="G37" s="50" t="s">
        <v>1068</v>
      </c>
      <c r="H37" s="50" t="s">
        <v>1069</v>
      </c>
      <c r="I37" s="50" t="s">
        <v>45</v>
      </c>
      <c r="J37" s="50" t="s">
        <v>46</v>
      </c>
      <c r="K37" s="50" t="s">
        <v>47</v>
      </c>
      <c r="L37" s="50" t="s">
        <v>48</v>
      </c>
      <c r="M37" s="50" t="s">
        <v>49</v>
      </c>
      <c r="N37" s="50" t="s">
        <v>50</v>
      </c>
      <c r="O37" s="21">
        <v>176100</v>
      </c>
      <c r="P37">
        <v>1761</v>
      </c>
      <c r="Q37" t="s">
        <v>322</v>
      </c>
      <c r="R37" t="s">
        <v>323</v>
      </c>
      <c r="AC37" s="43" t="s">
        <v>258</v>
      </c>
      <c r="AD37" s="67">
        <f>U162</f>
        <v>0</v>
      </c>
      <c r="AE37" s="43" t="s">
        <v>238</v>
      </c>
      <c r="AF37" s="44" t="s">
        <v>238</v>
      </c>
      <c r="AG37" s="293" t="str">
        <f>IF(AND($AG$7="Quote",'April Output'!$E$37&gt;0),VLOOKUP(Inputs!AF37,'Extension of coverage'!B:C,2,FALSE),"-")</f>
        <v>-</v>
      </c>
      <c r="AH37">
        <v>31</v>
      </c>
      <c r="AI37" t="s">
        <v>272</v>
      </c>
      <c r="AJ37" s="39" t="str">
        <f t="shared" si="4"/>
        <v/>
      </c>
      <c r="AT37" s="322"/>
    </row>
    <row r="38" spans="1:46">
      <c r="A38" s="589" t="s">
        <v>1145</v>
      </c>
      <c r="B38" s="65" t="s">
        <v>252</v>
      </c>
      <c r="C38" s="554"/>
      <c r="D38" s="57"/>
      <c r="E38" s="558">
        <v>175200</v>
      </c>
      <c r="F38" s="558" t="s">
        <v>1070</v>
      </c>
      <c r="G38" s="58">
        <f t="shared" ref="G38:G70" si="13">IF(OR(E38=$C$18,E38=$C$25,E38=$C$32,E38=$C$39,E38=$C$46,E38=$C$53,E38=$C$60,E38=$C$67,E38=$C$74,E38=$C$81),1,0)</f>
        <v>0</v>
      </c>
      <c r="H38" s="559">
        <f>$C$111</f>
        <v>0</v>
      </c>
      <c r="I38" s="58" t="s">
        <v>58</v>
      </c>
      <c r="J38" s="58">
        <f>IF(G38&lt;&gt;1,0,IF(H38="Yes",1,0))</f>
        <v>0</v>
      </c>
      <c r="K38" s="58" t="s">
        <v>74</v>
      </c>
      <c r="L38" s="58">
        <f t="shared" ref="L38:L85" si="14">IF(J38=0,0,IF(K38="Y",0,1))</f>
        <v>0</v>
      </c>
      <c r="M38" s="46" t="str">
        <f t="shared" ref="M38:M85" si="15">IF(J38=1,F38,"")</f>
        <v/>
      </c>
      <c r="N38" s="46" t="str">
        <f t="shared" ref="N38:N85" si="16">IF(M38="","",IF(L38=0,F38,""))</f>
        <v/>
      </c>
      <c r="O38" s="21">
        <v>152300</v>
      </c>
      <c r="P38">
        <v>1523</v>
      </c>
      <c r="Q38" t="s">
        <v>327</v>
      </c>
      <c r="R38" t="s">
        <v>328</v>
      </c>
      <c r="AC38" s="43" t="s">
        <v>261</v>
      </c>
      <c r="AD38" s="70" t="b">
        <f>U171</f>
        <v>1</v>
      </c>
      <c r="AE38" s="43" t="s">
        <v>242</v>
      </c>
      <c r="AF38" s="44" t="s">
        <v>242</v>
      </c>
      <c r="AG38" s="47"/>
      <c r="AH38">
        <v>32</v>
      </c>
      <c r="AI38" t="s">
        <v>276</v>
      </c>
      <c r="AJ38" s="71" t="str">
        <f t="shared" si="4"/>
        <v/>
      </c>
      <c r="AT38" s="322"/>
    </row>
    <row r="39" spans="1:46">
      <c r="A39" s="589" t="s">
        <v>255</v>
      </c>
      <c r="B39" s="46" t="s">
        <v>256</v>
      </c>
      <c r="C39" s="554"/>
      <c r="D39" s="57"/>
      <c r="E39" s="558">
        <v>181200</v>
      </c>
      <c r="F39" s="558" t="s">
        <v>1070</v>
      </c>
      <c r="G39" s="58">
        <f t="shared" si="13"/>
        <v>0</v>
      </c>
      <c r="H39" s="58">
        <f>$C$111</f>
        <v>0</v>
      </c>
      <c r="I39" s="58" t="s">
        <v>58</v>
      </c>
      <c r="J39" s="58">
        <f t="shared" ref="J39:J85" si="17">IF(G39&lt;&gt;1,0,IF(H39="Yes",1,0))</f>
        <v>0</v>
      </c>
      <c r="K39" s="58" t="s">
        <v>74</v>
      </c>
      <c r="L39" s="58">
        <f t="shared" si="14"/>
        <v>0</v>
      </c>
      <c r="M39" s="46" t="str">
        <f t="shared" si="15"/>
        <v/>
      </c>
      <c r="N39" s="46" t="str">
        <f t="shared" si="16"/>
        <v/>
      </c>
      <c r="O39" s="21">
        <v>153200</v>
      </c>
      <c r="P39">
        <v>1532</v>
      </c>
      <c r="Q39" t="s">
        <v>332</v>
      </c>
      <c r="R39" t="s">
        <v>333</v>
      </c>
      <c r="AC39" s="43" t="s">
        <v>266</v>
      </c>
      <c r="AD39" s="70" t="b">
        <f>U182</f>
        <v>0</v>
      </c>
      <c r="AE39" s="43" t="s">
        <v>259</v>
      </c>
      <c r="AF39" s="44" t="s">
        <v>259</v>
      </c>
      <c r="AG39" s="293" t="str">
        <f>IF(AND($AG$7="Quote",'April Output'!$E$37&gt;0),VLOOKUP(Inputs!AF39,'Extension of coverage'!B:C,2,FALSE),"-")</f>
        <v>-</v>
      </c>
      <c r="AH39">
        <v>33</v>
      </c>
      <c r="AI39" t="s">
        <v>280</v>
      </c>
      <c r="AJ39" s="39" t="str">
        <f t="shared" si="4"/>
        <v/>
      </c>
      <c r="AT39" s="322"/>
    </row>
    <row r="40" spans="1:46">
      <c r="A40" s="589" t="s">
        <v>1146</v>
      </c>
      <c r="B40" s="65" t="s">
        <v>260</v>
      </c>
      <c r="C40" s="555"/>
      <c r="D40" s="57"/>
      <c r="E40" s="558">
        <v>176200</v>
      </c>
      <c r="F40" s="558" t="s">
        <v>1070</v>
      </c>
      <c r="G40" s="58">
        <f t="shared" si="13"/>
        <v>0</v>
      </c>
      <c r="H40" s="58">
        <f>$C$111</f>
        <v>0</v>
      </c>
      <c r="I40" s="58" t="s">
        <v>58</v>
      </c>
      <c r="J40" s="58">
        <f t="shared" si="17"/>
        <v>0</v>
      </c>
      <c r="K40" s="58" t="s">
        <v>74</v>
      </c>
      <c r="L40" s="58">
        <f t="shared" si="14"/>
        <v>0</v>
      </c>
      <c r="M40" s="46" t="str">
        <f t="shared" si="15"/>
        <v/>
      </c>
      <c r="N40" s="46" t="str">
        <f t="shared" si="16"/>
        <v/>
      </c>
      <c r="O40" s="21">
        <v>183100</v>
      </c>
      <c r="P40">
        <v>1831</v>
      </c>
      <c r="Q40" t="s">
        <v>336</v>
      </c>
      <c r="R40" t="s">
        <v>337</v>
      </c>
      <c r="AC40" s="43" t="s">
        <v>271</v>
      </c>
      <c r="AD40" s="70" t="b">
        <f>U199</f>
        <v>0</v>
      </c>
      <c r="AE40" s="43" t="s">
        <v>262</v>
      </c>
      <c r="AF40" s="44" t="s">
        <v>262</v>
      </c>
      <c r="AG40" s="47"/>
      <c r="AH40">
        <v>34</v>
      </c>
      <c r="AI40" t="s">
        <v>284</v>
      </c>
      <c r="AJ40" s="39" t="str">
        <f t="shared" si="4"/>
        <v/>
      </c>
      <c r="AT40" s="322"/>
    </row>
    <row r="41" spans="1:46">
      <c r="A41" s="589" t="s">
        <v>1147</v>
      </c>
      <c r="B41" s="65" t="s">
        <v>263</v>
      </c>
      <c r="C41" s="556"/>
      <c r="D41" s="72"/>
      <c r="E41" s="558">
        <v>174100</v>
      </c>
      <c r="F41" s="558" t="s">
        <v>1071</v>
      </c>
      <c r="G41" s="58">
        <f t="shared" si="13"/>
        <v>0</v>
      </c>
      <c r="H41" s="58">
        <f>C112</f>
        <v>0</v>
      </c>
      <c r="I41" s="58" t="s">
        <v>58</v>
      </c>
      <c r="J41" s="58">
        <f t="shared" si="17"/>
        <v>0</v>
      </c>
      <c r="K41" s="58" t="s">
        <v>74</v>
      </c>
      <c r="L41" s="58">
        <f t="shared" si="14"/>
        <v>0</v>
      </c>
      <c r="M41" s="46" t="str">
        <f t="shared" si="15"/>
        <v/>
      </c>
      <c r="N41" s="46" t="str">
        <f t="shared" si="16"/>
        <v/>
      </c>
      <c r="O41" s="21">
        <v>153400</v>
      </c>
      <c r="P41">
        <v>1534</v>
      </c>
      <c r="Q41" t="s">
        <v>341</v>
      </c>
      <c r="R41" t="s">
        <v>341</v>
      </c>
      <c r="AC41" s="43" t="s">
        <v>275</v>
      </c>
      <c r="AD41" s="70" t="b">
        <f>U208</f>
        <v>0</v>
      </c>
      <c r="AE41" s="43" t="s">
        <v>267</v>
      </c>
      <c r="AF41" s="44" t="s">
        <v>267</v>
      </c>
      <c r="AG41" s="293" t="str">
        <f>IF(AND($AG$7="Quote",'April Output'!$E$37&gt;0),VLOOKUP(Inputs!AF41,'Extension of coverage'!B:C,2,FALSE),"-")</f>
        <v>-</v>
      </c>
      <c r="AH41">
        <v>35</v>
      </c>
      <c r="AI41" t="s">
        <v>290</v>
      </c>
      <c r="AJ41" s="39" t="str">
        <f t="shared" si="4"/>
        <v/>
      </c>
      <c r="AT41" s="322"/>
    </row>
    <row r="42" spans="1:46">
      <c r="A42" s="589" t="s">
        <v>1148</v>
      </c>
      <c r="B42" s="65" t="s">
        <v>268</v>
      </c>
      <c r="C42" s="556"/>
      <c r="D42" s="72"/>
      <c r="E42" s="558">
        <v>175300</v>
      </c>
      <c r="F42" s="558" t="s">
        <v>1072</v>
      </c>
      <c r="G42" s="58">
        <f t="shared" si="13"/>
        <v>0</v>
      </c>
      <c r="H42" s="58">
        <f>$C$113</f>
        <v>0</v>
      </c>
      <c r="I42" s="58" t="s">
        <v>58</v>
      </c>
      <c r="J42" s="58">
        <f t="shared" si="17"/>
        <v>0</v>
      </c>
      <c r="K42" s="58" t="s">
        <v>74</v>
      </c>
      <c r="L42" s="58">
        <f t="shared" si="14"/>
        <v>0</v>
      </c>
      <c r="M42" s="46" t="str">
        <f t="shared" si="15"/>
        <v/>
      </c>
      <c r="N42" s="46" t="str">
        <f t="shared" si="16"/>
        <v/>
      </c>
      <c r="O42" s="21">
        <v>235300</v>
      </c>
      <c r="P42">
        <v>2353</v>
      </c>
      <c r="Q42" t="s">
        <v>344</v>
      </c>
      <c r="R42" t="s">
        <v>345</v>
      </c>
      <c r="AC42" s="43" t="s">
        <v>279</v>
      </c>
      <c r="AD42" s="70" t="b">
        <f>U219</f>
        <v>0</v>
      </c>
      <c r="AE42" s="43" t="s">
        <v>272</v>
      </c>
      <c r="AF42" s="44" t="s">
        <v>272</v>
      </c>
      <c r="AG42" s="293" t="str">
        <f>IF(AND($AG$7="Quote",'April Output'!$E$37&gt;0),VLOOKUP(Inputs!AF42,'Extension of coverage'!B:C,2,FALSE),"-")</f>
        <v>-</v>
      </c>
      <c r="AH42">
        <v>36</v>
      </c>
      <c r="AI42" t="s">
        <v>295</v>
      </c>
      <c r="AJ42" s="39" t="str">
        <f t="shared" si="4"/>
        <v/>
      </c>
      <c r="AT42" s="322"/>
    </row>
    <row r="43" spans="1:46">
      <c r="A43" s="589" t="s">
        <v>1149</v>
      </c>
      <c r="B43" s="65" t="s">
        <v>273</v>
      </c>
      <c r="C43" s="556"/>
      <c r="D43" s="72"/>
      <c r="E43" s="558">
        <v>176200</v>
      </c>
      <c r="F43" s="558" t="s">
        <v>1072</v>
      </c>
      <c r="G43" s="58">
        <f t="shared" si="13"/>
        <v>0</v>
      </c>
      <c r="H43" s="58">
        <f>$C$113</f>
        <v>0</v>
      </c>
      <c r="I43" s="58" t="s">
        <v>58</v>
      </c>
      <c r="J43" s="58">
        <f t="shared" si="17"/>
        <v>0</v>
      </c>
      <c r="K43" s="58" t="s">
        <v>74</v>
      </c>
      <c r="L43" s="58">
        <f t="shared" si="14"/>
        <v>0</v>
      </c>
      <c r="M43" s="46" t="str">
        <f t="shared" si="15"/>
        <v/>
      </c>
      <c r="N43" s="46" t="str">
        <f t="shared" si="16"/>
        <v/>
      </c>
      <c r="O43" s="21">
        <v>174500</v>
      </c>
      <c r="P43">
        <v>1745</v>
      </c>
      <c r="Q43" t="s">
        <v>349</v>
      </c>
      <c r="R43" t="s">
        <v>350</v>
      </c>
      <c r="AC43" s="43" t="s">
        <v>283</v>
      </c>
      <c r="AD43" s="70" t="b">
        <f>U229</f>
        <v>0</v>
      </c>
      <c r="AE43" s="43" t="s">
        <v>276</v>
      </c>
      <c r="AF43" s="44" t="s">
        <v>276</v>
      </c>
      <c r="AG43" s="47"/>
      <c r="AH43">
        <v>37</v>
      </c>
      <c r="AI43" t="s">
        <v>299</v>
      </c>
      <c r="AJ43" s="39" t="str">
        <f t="shared" si="4"/>
        <v/>
      </c>
      <c r="AT43" s="322"/>
    </row>
    <row r="44" spans="1:46">
      <c r="A44" s="589" t="s">
        <v>1150</v>
      </c>
      <c r="B44" s="65" t="s">
        <v>277</v>
      </c>
      <c r="C44" s="556"/>
      <c r="D44" s="72"/>
      <c r="E44" s="558">
        <v>174300</v>
      </c>
      <c r="F44" s="558" t="s">
        <v>1073</v>
      </c>
      <c r="G44" s="58">
        <f t="shared" si="13"/>
        <v>0</v>
      </c>
      <c r="H44" s="58">
        <f>C114</f>
        <v>0</v>
      </c>
      <c r="I44" s="58" t="s">
        <v>58</v>
      </c>
      <c r="J44" s="58">
        <f t="shared" si="17"/>
        <v>0</v>
      </c>
      <c r="K44" s="58" t="s">
        <v>74</v>
      </c>
      <c r="L44" s="58">
        <f t="shared" si="14"/>
        <v>0</v>
      </c>
      <c r="M44" s="46" t="str">
        <f t="shared" si="15"/>
        <v/>
      </c>
      <c r="N44" s="46" t="str">
        <f t="shared" si="16"/>
        <v/>
      </c>
      <c r="O44" s="21">
        <v>73600</v>
      </c>
      <c r="P44">
        <v>736</v>
      </c>
      <c r="Q44" t="s">
        <v>353</v>
      </c>
      <c r="R44" t="s">
        <v>353</v>
      </c>
      <c r="AC44" s="43" t="s">
        <v>289</v>
      </c>
      <c r="AD44" s="70" t="b">
        <f>U241</f>
        <v>0</v>
      </c>
      <c r="AE44" s="43" t="s">
        <v>280</v>
      </c>
      <c r="AF44" s="44" t="s">
        <v>280</v>
      </c>
      <c r="AG44" s="293" t="str">
        <f>IF(AND($AG$7="Quote",'April Output'!$E$37&gt;0),VLOOKUP(Inputs!AF44,'Extension of coverage'!B:C,2,FALSE),"-")</f>
        <v>-</v>
      </c>
      <c r="AH44">
        <v>38</v>
      </c>
      <c r="AI44" t="s">
        <v>95</v>
      </c>
      <c r="AJ44" s="39" t="str">
        <f t="shared" si="4"/>
        <v/>
      </c>
      <c r="AT44" s="322"/>
    </row>
    <row r="45" spans="1:46">
      <c r="A45" s="589" t="s">
        <v>1151</v>
      </c>
      <c r="B45" s="65" t="s">
        <v>281</v>
      </c>
      <c r="C45" s="554"/>
      <c r="D45" s="72"/>
      <c r="E45" s="558">
        <v>181200</v>
      </c>
      <c r="F45" s="558" t="s">
        <v>1074</v>
      </c>
      <c r="G45" s="58">
        <f t="shared" si="13"/>
        <v>0</v>
      </c>
      <c r="H45" s="58">
        <f>C115</f>
        <v>0</v>
      </c>
      <c r="I45" s="58" t="s">
        <v>58</v>
      </c>
      <c r="J45" s="58">
        <f t="shared" si="17"/>
        <v>0</v>
      </c>
      <c r="K45" s="58" t="s">
        <v>74</v>
      </c>
      <c r="L45" s="58">
        <f t="shared" si="14"/>
        <v>0</v>
      </c>
      <c r="M45" s="46" t="str">
        <f t="shared" si="15"/>
        <v/>
      </c>
      <c r="N45" s="46" t="str">
        <f t="shared" si="16"/>
        <v/>
      </c>
      <c r="O45" s="21">
        <v>739200</v>
      </c>
      <c r="P45">
        <v>7392</v>
      </c>
      <c r="Q45" t="s">
        <v>375</v>
      </c>
      <c r="R45" t="s">
        <v>375</v>
      </c>
      <c r="AC45" s="43" t="s">
        <v>294</v>
      </c>
      <c r="AD45" s="70" t="b">
        <f>U253</f>
        <v>0</v>
      </c>
      <c r="AE45" s="43" t="s">
        <v>284</v>
      </c>
      <c r="AF45" s="44" t="s">
        <v>284</v>
      </c>
      <c r="AG45" s="293" t="str">
        <f>IF(AND($AG$7="Quote",'April Output'!$E$37&gt;0),VLOOKUP(Inputs!AF45,'Extension of coverage'!B:C,2,FALSE),"-")</f>
        <v>-</v>
      </c>
      <c r="AH45">
        <v>39</v>
      </c>
      <c r="AI45" t="s">
        <v>310</v>
      </c>
      <c r="AJ45" s="39" t="str">
        <f t="shared" si="4"/>
        <v/>
      </c>
      <c r="AT45" s="322"/>
    </row>
    <row r="46" spans="1:46">
      <c r="A46" s="589" t="s">
        <v>285</v>
      </c>
      <c r="B46" s="46" t="s">
        <v>286</v>
      </c>
      <c r="C46" s="554"/>
      <c r="E46" s="558">
        <v>173200</v>
      </c>
      <c r="F46" s="558" t="s">
        <v>1075</v>
      </c>
      <c r="G46" s="58">
        <f t="shared" si="13"/>
        <v>0</v>
      </c>
      <c r="H46" s="58">
        <f>C116</f>
        <v>0</v>
      </c>
      <c r="I46" s="58" t="s">
        <v>58</v>
      </c>
      <c r="J46" s="58">
        <f t="shared" si="17"/>
        <v>0</v>
      </c>
      <c r="K46" s="58" t="s">
        <v>74</v>
      </c>
      <c r="L46" s="58">
        <f t="shared" si="14"/>
        <v>0</v>
      </c>
      <c r="M46" s="46" t="str">
        <f t="shared" si="15"/>
        <v/>
      </c>
      <c r="N46" s="46" t="str">
        <f t="shared" si="16"/>
        <v/>
      </c>
      <c r="O46" s="21">
        <v>173101</v>
      </c>
      <c r="P46">
        <v>1731</v>
      </c>
      <c r="Q46" t="s">
        <v>379</v>
      </c>
      <c r="R46" t="s">
        <v>380</v>
      </c>
      <c r="AC46" s="73"/>
      <c r="AD46" s="74"/>
      <c r="AE46" s="43" t="s">
        <v>299</v>
      </c>
      <c r="AF46" s="44" t="s">
        <v>299</v>
      </c>
      <c r="AG46" s="293" t="str">
        <f>IF(AND($AG$7="Quote",'April Output'!$E$37&gt;0),VLOOKUP(Inputs!AF46,'Extension of coverage'!B:C,2,FALSE),"-")</f>
        <v>-</v>
      </c>
      <c r="AH46">
        <v>40</v>
      </c>
      <c r="AI46" t="s">
        <v>314</v>
      </c>
      <c r="AJ46" s="39" t="str">
        <f t="shared" si="4"/>
        <v/>
      </c>
      <c r="AT46" s="322"/>
    </row>
    <row r="47" spans="1:46">
      <c r="A47" s="589" t="s">
        <v>1152</v>
      </c>
      <c r="B47" s="65" t="s">
        <v>291</v>
      </c>
      <c r="C47" s="555"/>
      <c r="E47" s="558">
        <v>181200</v>
      </c>
      <c r="F47" s="558" t="s">
        <v>1076</v>
      </c>
      <c r="G47" s="58">
        <f t="shared" si="13"/>
        <v>0</v>
      </c>
      <c r="H47" s="58">
        <f>C115</f>
        <v>0</v>
      </c>
      <c r="I47" s="58" t="s">
        <v>58</v>
      </c>
      <c r="J47" s="58">
        <f t="shared" si="17"/>
        <v>0</v>
      </c>
      <c r="K47" s="58" t="s">
        <v>74</v>
      </c>
      <c r="L47" s="58">
        <f t="shared" si="14"/>
        <v>0</v>
      </c>
      <c r="M47" s="46" t="str">
        <f t="shared" si="15"/>
        <v/>
      </c>
      <c r="N47" s="46" t="str">
        <f t="shared" si="16"/>
        <v/>
      </c>
      <c r="O47" s="21">
        <v>173102</v>
      </c>
      <c r="P47">
        <v>1731</v>
      </c>
      <c r="Q47" t="s">
        <v>379</v>
      </c>
      <c r="R47" t="s">
        <v>383</v>
      </c>
      <c r="AC47" s="73"/>
      <c r="AD47" s="75"/>
      <c r="AE47" s="43" t="s">
        <v>302</v>
      </c>
      <c r="AF47" s="44" t="s">
        <v>302</v>
      </c>
      <c r="AG47" s="293" t="str">
        <f>IF(AND($AG$7="Quote",'April Output'!$E$37&gt;0),VLOOKUP(Inputs!AF47,'Extension of coverage'!B:C,2,FALSE),"-")</f>
        <v>-</v>
      </c>
      <c r="AH47">
        <v>41</v>
      </c>
      <c r="AI47" t="s">
        <v>320</v>
      </c>
      <c r="AJ47" s="39" t="str">
        <f t="shared" si="4"/>
        <v/>
      </c>
      <c r="AT47" s="322"/>
    </row>
    <row r="48" spans="1:46">
      <c r="A48" s="589" t="s">
        <v>1153</v>
      </c>
      <c r="B48" s="65" t="s">
        <v>296</v>
      </c>
      <c r="C48" s="556"/>
      <c r="E48" s="558">
        <v>739401</v>
      </c>
      <c r="F48" s="558" t="s">
        <v>1077</v>
      </c>
      <c r="G48" s="58">
        <f t="shared" si="13"/>
        <v>0</v>
      </c>
      <c r="H48" s="58">
        <f>$C$117</f>
        <v>0</v>
      </c>
      <c r="I48" s="58" t="s">
        <v>58</v>
      </c>
      <c r="J48" s="58">
        <f t="shared" si="17"/>
        <v>0</v>
      </c>
      <c r="K48" s="58" t="s">
        <v>74</v>
      </c>
      <c r="L48" s="58">
        <f t="shared" si="14"/>
        <v>0</v>
      </c>
      <c r="M48" s="46" t="str">
        <f t="shared" si="15"/>
        <v/>
      </c>
      <c r="N48" s="46" t="str">
        <f t="shared" si="16"/>
        <v/>
      </c>
      <c r="O48" s="21">
        <v>173103</v>
      </c>
      <c r="P48">
        <v>1731</v>
      </c>
      <c r="Q48" t="s">
        <v>379</v>
      </c>
      <c r="R48" t="s">
        <v>387</v>
      </c>
      <c r="AC48" s="73"/>
      <c r="AD48" s="75"/>
      <c r="AE48" s="43" t="s">
        <v>306</v>
      </c>
      <c r="AF48" s="44" t="s">
        <v>306</v>
      </c>
      <c r="AG48" s="293" t="str">
        <f>IF(AND($AG$7="Quote",'April Output'!$E$37&gt;0),VLOOKUP(Inputs!AF48,'Extension of coverage'!B:C,2,FALSE),"-")</f>
        <v>-</v>
      </c>
      <c r="AH48">
        <v>42</v>
      </c>
      <c r="AI48" t="s">
        <v>325</v>
      </c>
      <c r="AJ48" s="39" t="str">
        <f t="shared" si="4"/>
        <v/>
      </c>
      <c r="AT48" s="322"/>
    </row>
    <row r="49" spans="1:46">
      <c r="A49" s="589" t="s">
        <v>1154</v>
      </c>
      <c r="B49" s="65" t="s">
        <v>300</v>
      </c>
      <c r="C49" s="556"/>
      <c r="E49" s="558">
        <v>739402</v>
      </c>
      <c r="F49" s="558" t="s">
        <v>1077</v>
      </c>
      <c r="G49" s="58">
        <f t="shared" si="13"/>
        <v>0</v>
      </c>
      <c r="H49" s="58">
        <f>$C$117</f>
        <v>0</v>
      </c>
      <c r="I49" s="58" t="s">
        <v>58</v>
      </c>
      <c r="J49" s="58">
        <f t="shared" si="17"/>
        <v>0</v>
      </c>
      <c r="K49" s="58" t="s">
        <v>74</v>
      </c>
      <c r="L49" s="58">
        <f t="shared" si="14"/>
        <v>0</v>
      </c>
      <c r="M49" s="46" t="str">
        <f t="shared" si="15"/>
        <v/>
      </c>
      <c r="N49" s="46" t="str">
        <f t="shared" si="16"/>
        <v/>
      </c>
      <c r="AC49" s="73"/>
      <c r="AD49" s="75"/>
      <c r="AE49" s="43" t="s">
        <v>309</v>
      </c>
      <c r="AF49" s="44" t="s">
        <v>309</v>
      </c>
      <c r="AG49" s="293" t="str">
        <f>IF(AND($AG$7="Quote",'April Output'!$E$37&gt;0),VLOOKUP(Inputs!AF49,'Extension of coverage'!B:C,2,FALSE),"-")</f>
        <v>-</v>
      </c>
      <c r="AH49">
        <v>43</v>
      </c>
      <c r="AI49" t="s">
        <v>330</v>
      </c>
      <c r="AJ49" s="39" t="str">
        <f t="shared" si="4"/>
        <v/>
      </c>
      <c r="AT49" s="322"/>
    </row>
    <row r="50" spans="1:46">
      <c r="A50" s="589" t="s">
        <v>1155</v>
      </c>
      <c r="B50" s="65" t="s">
        <v>303</v>
      </c>
      <c r="C50" s="556"/>
      <c r="E50" s="558">
        <v>152800</v>
      </c>
      <c r="F50" s="558" t="s">
        <v>1078</v>
      </c>
      <c r="G50" s="58">
        <f t="shared" si="13"/>
        <v>0</v>
      </c>
      <c r="H50" s="58">
        <f>$C$118</f>
        <v>0</v>
      </c>
      <c r="I50" s="58" t="s">
        <v>58</v>
      </c>
      <c r="J50" s="58">
        <f t="shared" si="17"/>
        <v>0</v>
      </c>
      <c r="K50" s="58" t="s">
        <v>74</v>
      </c>
      <c r="L50" s="58">
        <f t="shared" si="14"/>
        <v>0</v>
      </c>
      <c r="M50" s="46" t="str">
        <f t="shared" si="15"/>
        <v/>
      </c>
      <c r="N50" s="46" t="str">
        <f t="shared" si="16"/>
        <v/>
      </c>
      <c r="AC50" s="76"/>
      <c r="AD50" s="77"/>
      <c r="AE50" s="43" t="s">
        <v>313</v>
      </c>
      <c r="AF50" s="44" t="s">
        <v>313</v>
      </c>
      <c r="AG50" s="293" t="str">
        <f>IF(AND($AG$7="Quote",'April Output'!$E$37&gt;0),VLOOKUP(Inputs!AF50,'Extension of coverage'!B:C,2,FALSE),"-")</f>
        <v>-</v>
      </c>
      <c r="AH50">
        <v>44</v>
      </c>
      <c r="AI50" s="322" t="s">
        <v>302</v>
      </c>
      <c r="AJ50" s="39" t="str">
        <f t="shared" si="4"/>
        <v/>
      </c>
      <c r="AT50" s="322"/>
    </row>
    <row r="51" spans="1:46">
      <c r="A51" s="589" t="s">
        <v>1156</v>
      </c>
      <c r="B51" s="65" t="s">
        <v>307</v>
      </c>
      <c r="C51" s="556"/>
      <c r="E51" s="558">
        <v>73500</v>
      </c>
      <c r="F51" s="558" t="s">
        <v>1078</v>
      </c>
      <c r="G51" s="58">
        <f t="shared" si="13"/>
        <v>0</v>
      </c>
      <c r="H51" s="58">
        <f>$C$118</f>
        <v>0</v>
      </c>
      <c r="I51" s="58" t="s">
        <v>58</v>
      </c>
      <c r="J51" s="58">
        <f t="shared" si="17"/>
        <v>0</v>
      </c>
      <c r="K51" s="58" t="s">
        <v>74</v>
      </c>
      <c r="L51" s="58">
        <f t="shared" si="14"/>
        <v>0</v>
      </c>
      <c r="M51" s="46" t="str">
        <f t="shared" si="15"/>
        <v/>
      </c>
      <c r="N51" s="46" t="str">
        <f t="shared" si="16"/>
        <v/>
      </c>
      <c r="AE51" s="43" t="s">
        <v>319</v>
      </c>
      <c r="AF51" s="44" t="s">
        <v>319</v>
      </c>
      <c r="AG51" s="293" t="str">
        <f>IF(AND($AG$7="Quote",'April Output'!$E$37&gt;0),VLOOKUP(Inputs!AF51,'Extension of coverage'!B:C,2,FALSE),"-")</f>
        <v>-</v>
      </c>
      <c r="AH51">
        <v>45</v>
      </c>
      <c r="AI51" t="s">
        <v>339</v>
      </c>
      <c r="AJ51" s="39" t="str">
        <f t="shared" si="4"/>
        <v/>
      </c>
      <c r="AT51" s="322"/>
    </row>
    <row r="52" spans="1:46">
      <c r="A52" s="589" t="s">
        <v>1157</v>
      </c>
      <c r="B52" s="65" t="s">
        <v>311</v>
      </c>
      <c r="C52" s="554"/>
      <c r="E52" s="558">
        <v>152100</v>
      </c>
      <c r="F52" s="558" t="s">
        <v>1079</v>
      </c>
      <c r="G52" s="58">
        <f t="shared" si="13"/>
        <v>0</v>
      </c>
      <c r="H52" s="58">
        <f>C119</f>
        <v>0</v>
      </c>
      <c r="I52" s="58" t="s">
        <v>58</v>
      </c>
      <c r="J52" s="58">
        <f t="shared" si="17"/>
        <v>0</v>
      </c>
      <c r="K52" s="58" t="s">
        <v>74</v>
      </c>
      <c r="L52" s="58">
        <f t="shared" si="14"/>
        <v>0</v>
      </c>
      <c r="M52" s="46" t="str">
        <f t="shared" si="15"/>
        <v/>
      </c>
      <c r="N52" s="46" t="str">
        <f t="shared" si="16"/>
        <v/>
      </c>
      <c r="AE52" s="43" t="s">
        <v>324</v>
      </c>
      <c r="AF52" s="44" t="s">
        <v>324</v>
      </c>
      <c r="AG52" s="293" t="str">
        <f>IF(AND($AG$7="Quote",'April Output'!$E$37&gt;0),VLOOKUP(Inputs!AF52,'Extension of coverage'!B:C,2,FALSE),"-")</f>
        <v>-</v>
      </c>
      <c r="AH52">
        <v>46</v>
      </c>
      <c r="AI52" t="s">
        <v>306</v>
      </c>
      <c r="AJ52" s="39" t="str">
        <f t="shared" si="4"/>
        <v/>
      </c>
      <c r="AT52" s="322"/>
    </row>
    <row r="53" spans="1:46">
      <c r="A53" s="589" t="s">
        <v>315</v>
      </c>
      <c r="B53" s="46" t="s">
        <v>316</v>
      </c>
      <c r="C53" s="554"/>
      <c r="E53" s="558">
        <v>152800</v>
      </c>
      <c r="F53" s="558" t="s">
        <v>1080</v>
      </c>
      <c r="G53" s="58">
        <f t="shared" si="13"/>
        <v>0</v>
      </c>
      <c r="H53" s="58">
        <f>C120</f>
        <v>0</v>
      </c>
      <c r="I53" s="58" t="s">
        <v>58</v>
      </c>
      <c r="J53" s="58">
        <f t="shared" si="17"/>
        <v>0</v>
      </c>
      <c r="K53" s="58" t="s">
        <v>74</v>
      </c>
      <c r="L53" s="58">
        <f t="shared" si="14"/>
        <v>0</v>
      </c>
      <c r="M53" s="46" t="str">
        <f t="shared" si="15"/>
        <v/>
      </c>
      <c r="N53" s="46" t="str">
        <f t="shared" si="16"/>
        <v/>
      </c>
      <c r="AE53" s="43" t="s">
        <v>329</v>
      </c>
      <c r="AF53" s="44" t="s">
        <v>329</v>
      </c>
      <c r="AG53" s="293" t="str">
        <f>IF(AND($AG$7="Quote",'April Output'!$E$37&gt;0),VLOOKUP(Inputs!AF53,'Extension of coverage'!B:C,2,FALSE),"-")</f>
        <v>-</v>
      </c>
      <c r="AH53">
        <v>47</v>
      </c>
      <c r="AI53" t="s">
        <v>309</v>
      </c>
      <c r="AJ53" s="39" t="str">
        <f t="shared" si="4"/>
        <v/>
      </c>
      <c r="AT53" s="322"/>
    </row>
    <row r="54" spans="1:46">
      <c r="A54" s="589" t="s">
        <v>1158</v>
      </c>
      <c r="B54" s="65" t="s">
        <v>321</v>
      </c>
      <c r="C54" s="555"/>
      <c r="E54" s="558">
        <v>153500</v>
      </c>
      <c r="F54" s="558" t="s">
        <v>1081</v>
      </c>
      <c r="G54" s="58">
        <f t="shared" si="13"/>
        <v>0</v>
      </c>
      <c r="H54" s="58">
        <f t="shared" ref="H54:H62" si="18">$C$121</f>
        <v>0</v>
      </c>
      <c r="I54" s="58">
        <v>3</v>
      </c>
      <c r="J54" s="58">
        <f>IF(G54&lt;&gt;1,0,IF(H54&gt;I54,1,0))</f>
        <v>0</v>
      </c>
      <c r="K54" s="58" t="s">
        <v>74</v>
      </c>
      <c r="L54" s="58">
        <f t="shared" si="14"/>
        <v>0</v>
      </c>
      <c r="M54" s="46" t="str">
        <f t="shared" si="15"/>
        <v/>
      </c>
      <c r="N54" s="46" t="str">
        <f t="shared" si="16"/>
        <v/>
      </c>
      <c r="AE54" s="43" t="s">
        <v>334</v>
      </c>
      <c r="AF54" s="44" t="s">
        <v>334</v>
      </c>
      <c r="AG54" s="293" t="str">
        <f>IF(AND($AG$7="Quote",'April Output'!$E$37&gt;0),VLOOKUP(Inputs!AF54,'Extension of coverage'!B:C,2,FALSE),"-")</f>
        <v>-</v>
      </c>
      <c r="AH54">
        <v>48</v>
      </c>
      <c r="AI54" t="s">
        <v>355</v>
      </c>
      <c r="AJ54" s="39" t="str">
        <f t="shared" si="4"/>
        <v/>
      </c>
      <c r="AT54" s="322"/>
    </row>
    <row r="55" spans="1:46">
      <c r="A55" s="589" t="s">
        <v>1159</v>
      </c>
      <c r="B55" s="65" t="s">
        <v>326</v>
      </c>
      <c r="C55" s="556"/>
      <c r="E55" s="558">
        <v>175200</v>
      </c>
      <c r="F55" s="558" t="s">
        <v>1082</v>
      </c>
      <c r="G55" s="58">
        <f t="shared" si="13"/>
        <v>0</v>
      </c>
      <c r="H55" s="58">
        <f t="shared" si="18"/>
        <v>0</v>
      </c>
      <c r="I55" s="58">
        <v>4</v>
      </c>
      <c r="J55" s="58">
        <f t="shared" ref="J55:J62" si="19">IF(G55&lt;&gt;1,0,IF(H55&gt;I55,1,0))</f>
        <v>0</v>
      </c>
      <c r="K55" s="58" t="s">
        <v>74</v>
      </c>
      <c r="L55" s="58">
        <f t="shared" si="14"/>
        <v>0</v>
      </c>
      <c r="M55" s="46" t="str">
        <f t="shared" si="15"/>
        <v/>
      </c>
      <c r="N55" s="46" t="str">
        <f t="shared" si="16"/>
        <v/>
      </c>
      <c r="AE55" s="43" t="s">
        <v>338</v>
      </c>
      <c r="AF55" s="44" t="s">
        <v>338</v>
      </c>
      <c r="AG55" s="293" t="str">
        <f>IF(AND($AG$7="Quote",'April Output'!$E$37&gt;0),VLOOKUP(Inputs!AF55,'Extension of coverage'!B:C,2,FALSE),"-")</f>
        <v>-</v>
      </c>
      <c r="AH55">
        <v>49</v>
      </c>
      <c r="AI55" t="s">
        <v>313</v>
      </c>
      <c r="AJ55" s="39" t="str">
        <f t="shared" si="4"/>
        <v/>
      </c>
      <c r="AT55" s="322"/>
    </row>
    <row r="56" spans="1:46">
      <c r="A56" s="589" t="s">
        <v>1160</v>
      </c>
      <c r="B56" s="65" t="s">
        <v>331</v>
      </c>
      <c r="C56" s="556"/>
      <c r="E56" s="558">
        <v>175300</v>
      </c>
      <c r="F56" s="558" t="s">
        <v>1082</v>
      </c>
      <c r="G56" s="58">
        <f t="shared" si="13"/>
        <v>0</v>
      </c>
      <c r="H56" s="58">
        <f t="shared" si="18"/>
        <v>0</v>
      </c>
      <c r="I56" s="58">
        <v>4</v>
      </c>
      <c r="J56" s="58">
        <f t="shared" si="19"/>
        <v>0</v>
      </c>
      <c r="K56" s="58" t="s">
        <v>74</v>
      </c>
      <c r="L56" s="58">
        <f t="shared" si="14"/>
        <v>0</v>
      </c>
      <c r="M56" s="46" t="str">
        <f t="shared" si="15"/>
        <v/>
      </c>
      <c r="N56" s="46" t="str">
        <f t="shared" si="16"/>
        <v/>
      </c>
      <c r="AE56" s="43" t="s">
        <v>342</v>
      </c>
      <c r="AF56" s="44" t="s">
        <v>342</v>
      </c>
      <c r="AG56" s="293" t="str">
        <f>IF(AND($AG$7="Quote",'April Output'!$E$37&gt;0),VLOOKUP(Inputs!AF56,'Extension of coverage'!B:C,2,FALSE),"-")</f>
        <v>-</v>
      </c>
      <c r="AH56">
        <v>50</v>
      </c>
      <c r="AI56" t="s">
        <v>319</v>
      </c>
      <c r="AJ56" s="39" t="str">
        <f t="shared" si="4"/>
        <v/>
      </c>
      <c r="AT56" s="322"/>
    </row>
    <row r="57" spans="1:46">
      <c r="A57" s="589" t="s">
        <v>1161</v>
      </c>
      <c r="B57" s="65" t="s">
        <v>335</v>
      </c>
      <c r="C57" s="556"/>
      <c r="E57" s="558">
        <v>174300</v>
      </c>
      <c r="F57" s="558" t="s">
        <v>1082</v>
      </c>
      <c r="G57" s="58">
        <f t="shared" si="13"/>
        <v>0</v>
      </c>
      <c r="H57" s="58">
        <f t="shared" si="18"/>
        <v>0</v>
      </c>
      <c r="I57" s="58">
        <v>4</v>
      </c>
      <c r="J57" s="58">
        <f t="shared" si="19"/>
        <v>0</v>
      </c>
      <c r="K57" s="58" t="s">
        <v>74</v>
      </c>
      <c r="L57" s="58">
        <f t="shared" si="14"/>
        <v>0</v>
      </c>
      <c r="M57" s="46" t="str">
        <f t="shared" si="15"/>
        <v/>
      </c>
      <c r="N57" s="46" t="str">
        <f t="shared" si="16"/>
        <v/>
      </c>
      <c r="AE57" s="43" t="s">
        <v>346</v>
      </c>
      <c r="AF57" s="44" t="s">
        <v>346</v>
      </c>
      <c r="AG57" s="293" t="str">
        <f>IF(AND($AG$7="Quote",'April Output'!$E$37&gt;0),VLOOKUP(Inputs!AF57,'Extension of coverage'!B:C,2,FALSE),"-")</f>
        <v>-</v>
      </c>
      <c r="AH57">
        <v>51</v>
      </c>
      <c r="AI57" t="s">
        <v>324</v>
      </c>
      <c r="AJ57" s="39" t="str">
        <f t="shared" si="4"/>
        <v/>
      </c>
      <c r="AT57" s="322"/>
    </row>
    <row r="58" spans="1:46">
      <c r="A58" s="589" t="s">
        <v>1162</v>
      </c>
      <c r="B58" s="65" t="s">
        <v>340</v>
      </c>
      <c r="C58" s="556"/>
      <c r="E58" s="558">
        <v>176600</v>
      </c>
      <c r="F58" s="558" t="s">
        <v>1082</v>
      </c>
      <c r="G58" s="58">
        <f t="shared" si="13"/>
        <v>0</v>
      </c>
      <c r="H58" s="58">
        <f t="shared" si="18"/>
        <v>0</v>
      </c>
      <c r="I58" s="58">
        <v>4</v>
      </c>
      <c r="J58" s="58">
        <f t="shared" si="19"/>
        <v>0</v>
      </c>
      <c r="K58" s="58" t="s">
        <v>74</v>
      </c>
      <c r="L58" s="58">
        <f t="shared" si="14"/>
        <v>0</v>
      </c>
      <c r="M58" s="46" t="str">
        <f t="shared" si="15"/>
        <v/>
      </c>
      <c r="N58" s="46" t="str">
        <f t="shared" si="16"/>
        <v/>
      </c>
      <c r="AE58" s="365" t="s">
        <v>956</v>
      </c>
      <c r="AF58" s="44" t="s">
        <v>351</v>
      </c>
      <c r="AG58" s="293" t="str">
        <f>IF(AND($AG$7="Quote",'April Output'!$E$37&gt;0),VLOOKUP(Inputs!AF58,'Extension of coverage'!B:C,2,FALSE),"-")</f>
        <v>-</v>
      </c>
      <c r="AH58">
        <v>52</v>
      </c>
      <c r="AI58" t="s">
        <v>368</v>
      </c>
      <c r="AJ58" s="39" t="str">
        <f t="shared" si="4"/>
        <v/>
      </c>
      <c r="AT58" s="322"/>
    </row>
    <row r="59" spans="1:46">
      <c r="A59" s="589" t="s">
        <v>1163</v>
      </c>
      <c r="B59" s="65" t="s">
        <v>343</v>
      </c>
      <c r="C59" s="554"/>
      <c r="E59" s="558">
        <v>175500</v>
      </c>
      <c r="F59" s="558" t="s">
        <v>1082</v>
      </c>
      <c r="G59" s="58">
        <f t="shared" si="13"/>
        <v>0</v>
      </c>
      <c r="H59" s="58">
        <f t="shared" si="18"/>
        <v>0</v>
      </c>
      <c r="I59" s="58">
        <v>4</v>
      </c>
      <c r="J59" s="58">
        <f t="shared" si="19"/>
        <v>0</v>
      </c>
      <c r="K59" s="58" t="s">
        <v>74</v>
      </c>
      <c r="L59" s="58">
        <f t="shared" si="14"/>
        <v>0</v>
      </c>
      <c r="M59" s="46" t="str">
        <f t="shared" si="15"/>
        <v/>
      </c>
      <c r="N59" s="46" t="str">
        <f t="shared" si="16"/>
        <v/>
      </c>
      <c r="AE59" s="43" t="s">
        <v>354</v>
      </c>
      <c r="AF59" s="44" t="s">
        <v>354</v>
      </c>
      <c r="AG59" s="293" t="str">
        <f>IF(AND($AG$7="Quote",'April Output'!$E$37&gt;0),VLOOKUP(Inputs!AF59,'Extension of coverage'!B:C,2,FALSE),"-")</f>
        <v>-</v>
      </c>
      <c r="AH59">
        <v>53</v>
      </c>
      <c r="AI59" t="s">
        <v>372</v>
      </c>
      <c r="AJ59" s="39" t="str">
        <f t="shared" si="4"/>
        <v/>
      </c>
      <c r="AT59" s="322"/>
    </row>
    <row r="60" spans="1:46">
      <c r="A60" s="589" t="s">
        <v>347</v>
      </c>
      <c r="B60" s="46" t="s">
        <v>348</v>
      </c>
      <c r="C60" s="554"/>
      <c r="E60" s="558">
        <v>153200</v>
      </c>
      <c r="F60" s="558" t="s">
        <v>1082</v>
      </c>
      <c r="G60" s="58">
        <f t="shared" si="13"/>
        <v>0</v>
      </c>
      <c r="H60" s="58">
        <f t="shared" si="18"/>
        <v>0</v>
      </c>
      <c r="I60" s="58">
        <v>4</v>
      </c>
      <c r="J60" s="58">
        <f t="shared" si="19"/>
        <v>0</v>
      </c>
      <c r="K60" s="58" t="s">
        <v>74</v>
      </c>
      <c r="L60" s="58">
        <f t="shared" si="14"/>
        <v>0</v>
      </c>
      <c r="M60" s="46" t="str">
        <f t="shared" si="15"/>
        <v/>
      </c>
      <c r="N60" s="46" t="str">
        <f t="shared" si="16"/>
        <v/>
      </c>
      <c r="AE60" s="43" t="s">
        <v>358</v>
      </c>
      <c r="AF60" s="44" t="s">
        <v>358</v>
      </c>
      <c r="AG60" s="293" t="str">
        <f>IF(AND($AG$7="Quote",'April Output'!$E$37&gt;0),VLOOKUP(Inputs!AF60,'Extension of coverage'!B:C,2,FALSE),"-")</f>
        <v>-</v>
      </c>
      <c r="AH60">
        <v>54</v>
      </c>
      <c r="AI60" t="s">
        <v>377</v>
      </c>
      <c r="AJ60" s="39" t="str">
        <f t="shared" si="4"/>
        <v/>
      </c>
      <c r="AT60" s="322"/>
    </row>
    <row r="61" spans="1:46">
      <c r="A61" s="589" t="s">
        <v>1164</v>
      </c>
      <c r="B61" s="65" t="s">
        <v>352</v>
      </c>
      <c r="C61" s="555"/>
      <c r="E61" s="558">
        <v>739200</v>
      </c>
      <c r="F61" s="558" t="s">
        <v>1082</v>
      </c>
      <c r="G61" s="58">
        <f t="shared" si="13"/>
        <v>0</v>
      </c>
      <c r="H61" s="58">
        <f t="shared" si="18"/>
        <v>0</v>
      </c>
      <c r="I61" s="58">
        <v>4</v>
      </c>
      <c r="J61" s="58">
        <f t="shared" si="19"/>
        <v>0</v>
      </c>
      <c r="K61" s="58" t="s">
        <v>74</v>
      </c>
      <c r="L61" s="58">
        <f t="shared" si="14"/>
        <v>0</v>
      </c>
      <c r="M61" s="46" t="str">
        <f t="shared" si="15"/>
        <v/>
      </c>
      <c r="N61" s="46" t="str">
        <f t="shared" si="16"/>
        <v/>
      </c>
      <c r="AE61" s="43" t="s">
        <v>361</v>
      </c>
      <c r="AF61" s="44" t="s">
        <v>361</v>
      </c>
      <c r="AG61" s="293" t="str">
        <f>IF(AND($AG$7="Quote",'April Output'!$E$37&gt;0),VLOOKUP(Inputs!AF61,'Extension of coverage'!B:C,2,FALSE),"-")</f>
        <v>-</v>
      </c>
      <c r="AH61">
        <v>55</v>
      </c>
      <c r="AI61" t="s">
        <v>385</v>
      </c>
      <c r="AJ61" s="39" t="str">
        <f t="shared" si="4"/>
        <v/>
      </c>
      <c r="AT61" s="322"/>
    </row>
    <row r="62" spans="1:46">
      <c r="A62" s="589" t="s">
        <v>1165</v>
      </c>
      <c r="B62" s="65" t="s">
        <v>356</v>
      </c>
      <c r="C62" s="556"/>
      <c r="E62" s="558">
        <v>174400</v>
      </c>
      <c r="F62" s="558" t="s">
        <v>1083</v>
      </c>
      <c r="G62" s="58">
        <f t="shared" si="13"/>
        <v>0</v>
      </c>
      <c r="H62" s="58">
        <f t="shared" si="18"/>
        <v>0</v>
      </c>
      <c r="I62" s="58">
        <v>5</v>
      </c>
      <c r="J62" s="58">
        <f t="shared" si="19"/>
        <v>0</v>
      </c>
      <c r="K62" s="58" t="s">
        <v>74</v>
      </c>
      <c r="L62" s="58">
        <f t="shared" si="14"/>
        <v>0</v>
      </c>
      <c r="M62" s="46" t="str">
        <f t="shared" si="15"/>
        <v/>
      </c>
      <c r="N62" s="46" t="str">
        <f t="shared" si="16"/>
        <v/>
      </c>
      <c r="AE62" s="43" t="s">
        <v>364</v>
      </c>
      <c r="AF62" s="44" t="s">
        <v>364</v>
      </c>
      <c r="AG62" s="293" t="str">
        <f>IF(AND($AG$7="Quote",'April Output'!$E$37&gt;0),VLOOKUP(Inputs!AF62,'Extension of coverage'!B:C,2,FALSE),"-")</f>
        <v>-</v>
      </c>
      <c r="AH62">
        <v>56</v>
      </c>
      <c r="AI62" t="s">
        <v>329</v>
      </c>
      <c r="AJ62" s="39" t="str">
        <f t="shared" si="4"/>
        <v/>
      </c>
      <c r="AT62" s="322"/>
    </row>
    <row r="63" spans="1:46">
      <c r="A63" s="589" t="s">
        <v>1166</v>
      </c>
      <c r="B63" s="65" t="s">
        <v>359</v>
      </c>
      <c r="C63" s="556"/>
      <c r="E63" s="558">
        <v>175400</v>
      </c>
      <c r="F63" s="558" t="s">
        <v>1084</v>
      </c>
      <c r="G63" s="58">
        <f t="shared" si="13"/>
        <v>0</v>
      </c>
      <c r="H63" s="58">
        <f>$C$122</f>
        <v>0</v>
      </c>
      <c r="I63" s="58" t="s">
        <v>90</v>
      </c>
      <c r="J63" s="58">
        <f>IF(G63&lt;&gt;1,0,IF(H63="No",1,0))</f>
        <v>0</v>
      </c>
      <c r="K63" s="58" t="s">
        <v>74</v>
      </c>
      <c r="L63" s="58">
        <f t="shared" si="14"/>
        <v>0</v>
      </c>
      <c r="M63" s="46" t="str">
        <f t="shared" si="15"/>
        <v/>
      </c>
      <c r="N63" s="46" t="str">
        <f t="shared" si="16"/>
        <v/>
      </c>
      <c r="AE63" s="43" t="s">
        <v>367</v>
      </c>
      <c r="AF63" s="44" t="s">
        <v>367</v>
      </c>
      <c r="AG63" s="293" t="str">
        <f>IF(AND($AG$7="Quote",'April Output'!$E$37&gt;0),VLOOKUP(Inputs!AF63,'Extension of coverage'!B:C,2,FALSE),"-")</f>
        <v>-</v>
      </c>
      <c r="AH63">
        <v>57</v>
      </c>
      <c r="AI63" t="s">
        <v>139</v>
      </c>
      <c r="AJ63" s="39" t="str">
        <f t="shared" si="4"/>
        <v/>
      </c>
      <c r="AT63" s="322"/>
    </row>
    <row r="64" spans="1:46">
      <c r="A64" s="589" t="s">
        <v>1167</v>
      </c>
      <c r="B64" s="65" t="s">
        <v>362</v>
      </c>
      <c r="C64" s="556"/>
      <c r="E64" s="558">
        <v>175500</v>
      </c>
      <c r="F64" s="558" t="s">
        <v>1084</v>
      </c>
      <c r="G64" s="58">
        <f t="shared" si="13"/>
        <v>0</v>
      </c>
      <c r="H64" s="58">
        <f>$C$122</f>
        <v>0</v>
      </c>
      <c r="I64" s="58" t="s">
        <v>90</v>
      </c>
      <c r="J64" s="58">
        <f>IF(G64&lt;&gt;1,0,IF(H64="No",1,0))</f>
        <v>0</v>
      </c>
      <c r="K64" s="58" t="s">
        <v>74</v>
      </c>
      <c r="L64" s="58">
        <f t="shared" si="14"/>
        <v>0</v>
      </c>
      <c r="M64" s="46" t="str">
        <f t="shared" si="15"/>
        <v/>
      </c>
      <c r="N64" s="46" t="str">
        <f t="shared" si="16"/>
        <v/>
      </c>
      <c r="AE64" s="43" t="s">
        <v>371</v>
      </c>
      <c r="AF64" s="44" t="s">
        <v>371</v>
      </c>
      <c r="AG64" s="293" t="str">
        <f>IF(AND($AG$7="Quote",'April Output'!$E$37&gt;0),VLOOKUP(Inputs!AF64,'Extension of coverage'!B:C,2,FALSE),"-")</f>
        <v>-</v>
      </c>
      <c r="AH64">
        <v>58</v>
      </c>
      <c r="AI64" t="s">
        <v>393</v>
      </c>
      <c r="AJ64" s="39" t="str">
        <f t="shared" si="4"/>
        <v/>
      </c>
      <c r="AT64" s="322"/>
    </row>
    <row r="65" spans="1:46">
      <c r="A65" s="589" t="s">
        <v>1168</v>
      </c>
      <c r="B65" s="65" t="s">
        <v>365</v>
      </c>
      <c r="C65" s="556"/>
      <c r="E65" s="558">
        <v>175500</v>
      </c>
      <c r="F65" s="558" t="s">
        <v>1085</v>
      </c>
      <c r="G65" s="58">
        <f t="shared" si="13"/>
        <v>0</v>
      </c>
      <c r="H65" s="58">
        <f>C123</f>
        <v>0</v>
      </c>
      <c r="I65" s="58">
        <v>30</v>
      </c>
      <c r="J65" s="58">
        <f>IF(G65&lt;&gt;1,0,IF(H65&gt;I65,1,0))</f>
        <v>0</v>
      </c>
      <c r="K65" s="58" t="s">
        <v>74</v>
      </c>
      <c r="L65" s="58">
        <f t="shared" si="14"/>
        <v>0</v>
      </c>
      <c r="M65" s="46" t="str">
        <f t="shared" si="15"/>
        <v/>
      </c>
      <c r="N65" s="46" t="str">
        <f t="shared" si="16"/>
        <v/>
      </c>
      <c r="AE65" s="43" t="s">
        <v>376</v>
      </c>
      <c r="AF65" s="44" t="s">
        <v>376</v>
      </c>
      <c r="AG65" s="293" t="str">
        <f>IF(AND($AG$7="Quote",'April Output'!$E$37&gt;0),VLOOKUP(Inputs!AF65,'Extension of coverage'!B:C,2,FALSE),"-")</f>
        <v>-</v>
      </c>
      <c r="AH65">
        <v>59</v>
      </c>
      <c r="AI65" t="s">
        <v>396</v>
      </c>
      <c r="AJ65" s="39" t="str">
        <f t="shared" si="4"/>
        <v/>
      </c>
      <c r="AT65" s="322"/>
    </row>
    <row r="66" spans="1:46">
      <c r="A66" s="589" t="s">
        <v>1169</v>
      </c>
      <c r="B66" s="65" t="s">
        <v>369</v>
      </c>
      <c r="C66" s="554"/>
      <c r="E66" s="558">
        <v>235300</v>
      </c>
      <c r="F66" s="558" t="s">
        <v>1086</v>
      </c>
      <c r="G66" s="58">
        <f t="shared" si="13"/>
        <v>0</v>
      </c>
      <c r="H66" s="58">
        <f>C125</f>
        <v>0</v>
      </c>
      <c r="I66" s="58" t="s">
        <v>58</v>
      </c>
      <c r="J66" s="58">
        <f t="shared" si="17"/>
        <v>0</v>
      </c>
      <c r="K66" s="58" t="s">
        <v>74</v>
      </c>
      <c r="L66" s="58">
        <f t="shared" si="14"/>
        <v>0</v>
      </c>
      <c r="M66" s="46" t="str">
        <f t="shared" si="15"/>
        <v/>
      </c>
      <c r="N66" s="46" t="str">
        <f t="shared" si="16"/>
        <v/>
      </c>
      <c r="AE66" s="43" t="s">
        <v>381</v>
      </c>
      <c r="AF66" s="44" t="s">
        <v>381</v>
      </c>
      <c r="AG66" s="293" t="str">
        <f>IF(AND($AG$7="Quote",'April Output'!$E$37&gt;0),VLOOKUP(Inputs!AF66,'Extension of coverage'!B:C,2,FALSE),"-")</f>
        <v>-</v>
      </c>
      <c r="AH66">
        <v>60</v>
      </c>
      <c r="AI66" t="s">
        <v>334</v>
      </c>
      <c r="AJ66" s="39" t="str">
        <f t="shared" si="4"/>
        <v/>
      </c>
      <c r="AT66" s="322"/>
    </row>
    <row r="67" spans="1:46">
      <c r="A67" s="589" t="s">
        <v>373</v>
      </c>
      <c r="B67" s="46" t="s">
        <v>374</v>
      </c>
      <c r="C67" s="554"/>
      <c r="E67" s="558">
        <v>175400</v>
      </c>
      <c r="F67" s="558" t="s">
        <v>1087</v>
      </c>
      <c r="G67" s="58">
        <f t="shared" si="13"/>
        <v>0</v>
      </c>
      <c r="H67" s="58">
        <f>$C$124</f>
        <v>0</v>
      </c>
      <c r="I67" s="58">
        <v>30</v>
      </c>
      <c r="J67" s="58">
        <f>IF(G67&lt;&gt;1,0,IF(H67&gt;I67,1,0))</f>
        <v>0</v>
      </c>
      <c r="K67" s="58" t="s">
        <v>74</v>
      </c>
      <c r="L67" s="58">
        <f t="shared" si="14"/>
        <v>0</v>
      </c>
      <c r="M67" s="46" t="str">
        <f t="shared" si="15"/>
        <v/>
      </c>
      <c r="N67" s="46" t="str">
        <f t="shared" si="16"/>
        <v/>
      </c>
      <c r="AE67" s="43" t="s">
        <v>384</v>
      </c>
      <c r="AF67" s="44" t="s">
        <v>384</v>
      </c>
      <c r="AG67" s="293" t="str">
        <f>IF(AND($AG$7="Quote",'April Output'!$E$37&gt;0),VLOOKUP(Inputs!AF67,'Extension of coverage'!B:C,2,FALSE),"-")</f>
        <v>-</v>
      </c>
      <c r="AH67">
        <v>61</v>
      </c>
      <c r="AI67" t="s">
        <v>410</v>
      </c>
      <c r="AJ67" s="39" t="str">
        <f t="shared" si="4"/>
        <v/>
      </c>
      <c r="AT67" s="322"/>
    </row>
    <row r="68" spans="1:46">
      <c r="A68" s="589" t="s">
        <v>1170</v>
      </c>
      <c r="B68" s="65" t="s">
        <v>378</v>
      </c>
      <c r="C68" s="555"/>
      <c r="E68" s="558">
        <v>175500</v>
      </c>
      <c r="F68" s="558" t="s">
        <v>1087</v>
      </c>
      <c r="G68" s="58">
        <f t="shared" si="13"/>
        <v>0</v>
      </c>
      <c r="H68" s="58">
        <f>$C$124</f>
        <v>0</v>
      </c>
      <c r="I68" s="58">
        <v>30</v>
      </c>
      <c r="J68" s="58">
        <f>IF(G68&lt;&gt;1,0,IF(H68&gt;I68,1,0))</f>
        <v>0</v>
      </c>
      <c r="K68" s="58" t="s">
        <v>74</v>
      </c>
      <c r="L68" s="58">
        <f t="shared" si="14"/>
        <v>0</v>
      </c>
      <c r="M68" s="46" t="str">
        <f t="shared" si="15"/>
        <v/>
      </c>
      <c r="N68" s="46" t="str">
        <f t="shared" si="16"/>
        <v/>
      </c>
      <c r="AE68" s="43" t="s">
        <v>388</v>
      </c>
      <c r="AF68" s="44" t="s">
        <v>388</v>
      </c>
      <c r="AG68" s="293" t="str">
        <f>IF(AND($AG$7="Quote",'April Output'!$E$37&gt;0),VLOOKUP(Inputs!AF68,'Extension of coverage'!B:C,2,FALSE),"-")</f>
        <v>-</v>
      </c>
      <c r="AH68">
        <v>62</v>
      </c>
      <c r="AI68" t="s">
        <v>338</v>
      </c>
      <c r="AJ68" s="39" t="str">
        <f t="shared" si="4"/>
        <v/>
      </c>
      <c r="AT68" s="322"/>
    </row>
    <row r="69" spans="1:46">
      <c r="A69" s="589" t="s">
        <v>1171</v>
      </c>
      <c r="B69" s="65" t="s">
        <v>382</v>
      </c>
      <c r="C69" s="556"/>
      <c r="E69" s="558">
        <v>73500</v>
      </c>
      <c r="F69" s="558" t="s">
        <v>1088</v>
      </c>
      <c r="G69" s="58">
        <f t="shared" si="13"/>
        <v>0</v>
      </c>
      <c r="H69" s="58" t="str">
        <f>IF($C$126="Yes","Yes",IF($C$127="Yes","Yes","No"))</f>
        <v>No</v>
      </c>
      <c r="I69" s="58" t="s">
        <v>58</v>
      </c>
      <c r="J69" s="58">
        <f t="shared" si="17"/>
        <v>0</v>
      </c>
      <c r="K69" s="58" t="s">
        <v>74</v>
      </c>
      <c r="L69" s="58">
        <f t="shared" si="14"/>
        <v>0</v>
      </c>
      <c r="M69" s="46" t="str">
        <f t="shared" si="15"/>
        <v/>
      </c>
      <c r="N69" s="46" t="str">
        <f t="shared" si="16"/>
        <v/>
      </c>
      <c r="AE69" s="43" t="s">
        <v>390</v>
      </c>
      <c r="AF69" s="44" t="s">
        <v>390</v>
      </c>
      <c r="AG69" s="293" t="str">
        <f>IF(AND($AG$7="Quote",'April Output'!$E$37&gt;0),VLOOKUP(Inputs!AF69,'Extension of coverage'!B:C,2,FALSE),"-")</f>
        <v>-</v>
      </c>
      <c r="AH69">
        <v>63</v>
      </c>
      <c r="AI69" t="s">
        <v>342</v>
      </c>
      <c r="AJ69" s="39" t="str">
        <f t="shared" si="4"/>
        <v/>
      </c>
      <c r="AT69" s="322"/>
    </row>
    <row r="70" spans="1:46">
      <c r="A70" s="589" t="s">
        <v>1172</v>
      </c>
      <c r="B70" s="65" t="s">
        <v>386</v>
      </c>
      <c r="C70" s="556"/>
      <c r="E70" s="558">
        <v>73600</v>
      </c>
      <c r="F70" s="558" t="s">
        <v>1088</v>
      </c>
      <c r="G70" s="58">
        <f t="shared" si="13"/>
        <v>0</v>
      </c>
      <c r="H70" s="58" t="str">
        <f>IF($C$126="Yes","Yes",IF($C$127="Yes","Yes","No"))</f>
        <v>No</v>
      </c>
      <c r="I70" s="58" t="s">
        <v>58</v>
      </c>
      <c r="J70" s="58">
        <f t="shared" si="17"/>
        <v>0</v>
      </c>
      <c r="K70" s="58" t="s">
        <v>74</v>
      </c>
      <c r="L70" s="58">
        <f t="shared" si="14"/>
        <v>0</v>
      </c>
      <c r="M70" s="46" t="str">
        <f t="shared" si="15"/>
        <v/>
      </c>
      <c r="N70" s="46" t="str">
        <f t="shared" si="16"/>
        <v/>
      </c>
      <c r="AE70" s="43" t="s">
        <v>392</v>
      </c>
      <c r="AF70" s="44" t="s">
        <v>392</v>
      </c>
      <c r="AG70" s="293" t="str">
        <f>IF(AND($AG$7="Quote",'April Output'!$E$37&gt;0),VLOOKUP(Inputs!AF70,'Extension of coverage'!B:C,2,FALSE),"-")</f>
        <v>-</v>
      </c>
      <c r="AH70">
        <v>64</v>
      </c>
      <c r="AI70" t="s">
        <v>346</v>
      </c>
      <c r="AJ70" s="39" t="str">
        <f t="shared" si="4"/>
        <v/>
      </c>
      <c r="AT70" s="322"/>
    </row>
    <row r="71" spans="1:46">
      <c r="A71" s="589" t="s">
        <v>1173</v>
      </c>
      <c r="B71" s="65" t="s">
        <v>389</v>
      </c>
      <c r="C71" s="556"/>
      <c r="E71" s="558"/>
      <c r="F71" s="558"/>
      <c r="G71" s="58"/>
      <c r="H71" s="58"/>
      <c r="I71" s="58"/>
      <c r="J71" s="58">
        <f t="shared" si="17"/>
        <v>0</v>
      </c>
      <c r="K71" s="58" t="s">
        <v>74</v>
      </c>
      <c r="L71" s="58">
        <f t="shared" si="14"/>
        <v>0</v>
      </c>
      <c r="M71" s="46" t="str">
        <f t="shared" si="15"/>
        <v/>
      </c>
      <c r="N71" s="46" t="str">
        <f t="shared" si="16"/>
        <v/>
      </c>
      <c r="AE71" s="43" t="str">
        <f>'April Output'!C41</f>
        <v>Products-Completed Operations</v>
      </c>
      <c r="AF71" s="44" t="s">
        <v>395</v>
      </c>
      <c r="AG71" s="293" t="str">
        <f>IF($AG$7="Quote",'April Output'!E41,"")</f>
        <v/>
      </c>
      <c r="AH71">
        <v>65</v>
      </c>
      <c r="AI71" t="s">
        <v>423</v>
      </c>
      <c r="AJ71" s="39" t="str">
        <f t="shared" si="4"/>
        <v/>
      </c>
      <c r="AT71" s="322"/>
    </row>
    <row r="72" spans="1:46">
      <c r="A72" s="589" t="s">
        <v>1174</v>
      </c>
      <c r="B72" s="65" t="s">
        <v>391</v>
      </c>
      <c r="C72" s="556"/>
      <c r="E72" s="558"/>
      <c r="F72" s="558"/>
      <c r="G72" s="558"/>
      <c r="H72" s="58"/>
      <c r="I72" s="58"/>
      <c r="J72" s="58">
        <f t="shared" si="17"/>
        <v>0</v>
      </c>
      <c r="K72" s="58" t="s">
        <v>74</v>
      </c>
      <c r="L72" s="58">
        <f t="shared" si="14"/>
        <v>0</v>
      </c>
      <c r="M72" s="46" t="str">
        <f t="shared" si="15"/>
        <v/>
      </c>
      <c r="N72" s="46" t="str">
        <f t="shared" si="16"/>
        <v/>
      </c>
      <c r="AE72" s="43" t="str">
        <f>'April Output'!C49</f>
        <v>Employee Benefits Extension</v>
      </c>
      <c r="AF72" s="44" t="s">
        <v>399</v>
      </c>
      <c r="AG72" s="293" t="str">
        <f>IF($AG$7="Quote",'April Output'!E49,"")</f>
        <v/>
      </c>
      <c r="AH72">
        <v>66</v>
      </c>
      <c r="AI72" t="s">
        <v>351</v>
      </c>
      <c r="AJ72" s="39" t="str">
        <f t="shared" si="4"/>
        <v/>
      </c>
      <c r="AT72" s="322"/>
    </row>
    <row r="73" spans="1:46">
      <c r="A73" s="589" t="s">
        <v>1175</v>
      </c>
      <c r="B73" s="65" t="s">
        <v>394</v>
      </c>
      <c r="C73" s="554"/>
      <c r="E73" s="558"/>
      <c r="F73" s="558"/>
      <c r="G73" s="558"/>
      <c r="H73" s="58"/>
      <c r="I73" s="58"/>
      <c r="J73" s="58">
        <f t="shared" si="17"/>
        <v>0</v>
      </c>
      <c r="K73" s="58" t="s">
        <v>74</v>
      </c>
      <c r="L73" s="58">
        <f t="shared" si="14"/>
        <v>0</v>
      </c>
      <c r="M73" s="46" t="str">
        <f t="shared" si="15"/>
        <v/>
      </c>
      <c r="N73" s="46" t="str">
        <f t="shared" si="16"/>
        <v/>
      </c>
      <c r="AE73" s="43" t="str">
        <f>'April Output'!C48</f>
        <v>Employers' Bodily Injury Liability Extension</v>
      </c>
      <c r="AF73" s="44" t="s">
        <v>401</v>
      </c>
      <c r="AG73" s="293" t="str">
        <f>IF($AG$7="Quote",'April Output'!E48,"")</f>
        <v/>
      </c>
      <c r="AH73">
        <v>67</v>
      </c>
      <c r="AI73" t="s">
        <v>354</v>
      </c>
      <c r="AJ73" s="39" t="str">
        <f t="shared" si="4"/>
        <v/>
      </c>
      <c r="AT73" s="322"/>
    </row>
    <row r="74" spans="1:46">
      <c r="A74" s="589" t="s">
        <v>397</v>
      </c>
      <c r="B74" s="46" t="s">
        <v>398</v>
      </c>
      <c r="C74" s="554"/>
      <c r="E74" s="558"/>
      <c r="F74" s="558"/>
      <c r="G74" s="558"/>
      <c r="H74" s="58"/>
      <c r="I74" s="58"/>
      <c r="J74" s="58">
        <f t="shared" si="17"/>
        <v>0</v>
      </c>
      <c r="K74" s="58" t="s">
        <v>74</v>
      </c>
      <c r="L74" s="58">
        <f t="shared" si="14"/>
        <v>0</v>
      </c>
      <c r="M74" s="46" t="str">
        <f t="shared" si="15"/>
        <v/>
      </c>
      <c r="N74" s="46" t="str">
        <f t="shared" si="16"/>
        <v/>
      </c>
      <c r="O74" s="79" t="s">
        <v>403</v>
      </c>
      <c r="Q74" s="22" t="s">
        <v>404</v>
      </c>
      <c r="R74" t="s">
        <v>405</v>
      </c>
      <c r="S74" t="s">
        <v>406</v>
      </c>
      <c r="T74" t="s">
        <v>407</v>
      </c>
      <c r="U74" t="s">
        <v>408</v>
      </c>
      <c r="AE74" s="43" t="str">
        <f>'April Output'!C55</f>
        <v>Failure to perform</v>
      </c>
      <c r="AF74" s="44" t="s">
        <v>409</v>
      </c>
      <c r="AG74" s="293" t="str">
        <f>IF($AG$7="Quote",'April Output'!E55,"")</f>
        <v/>
      </c>
      <c r="AH74">
        <v>68</v>
      </c>
      <c r="AI74" t="s">
        <v>434</v>
      </c>
      <c r="AJ74" s="39" t="str">
        <f t="shared" si="4"/>
        <v/>
      </c>
      <c r="AT74" s="322"/>
    </row>
    <row r="75" spans="1:46">
      <c r="A75" s="589" t="s">
        <v>1176</v>
      </c>
      <c r="B75" s="78" t="s">
        <v>400</v>
      </c>
      <c r="C75" s="555"/>
      <c r="E75" s="558"/>
      <c r="F75" s="558"/>
      <c r="G75" s="558"/>
      <c r="H75" s="58"/>
      <c r="I75" s="58"/>
      <c r="J75" s="58">
        <f t="shared" si="17"/>
        <v>0</v>
      </c>
      <c r="K75" s="58" t="s">
        <v>74</v>
      </c>
      <c r="L75" s="58">
        <f t="shared" si="14"/>
        <v>0</v>
      </c>
      <c r="M75" s="46" t="str">
        <f t="shared" si="15"/>
        <v/>
      </c>
      <c r="N75" s="46" t="str">
        <f t="shared" si="16"/>
        <v/>
      </c>
      <c r="O75" s="21" t="s">
        <v>412</v>
      </c>
      <c r="Q75" s="39">
        <f>C19</f>
        <v>0</v>
      </c>
      <c r="R75" s="80">
        <f>C20/100</f>
        <v>0</v>
      </c>
      <c r="S75" s="80">
        <f>C21/100</f>
        <v>0</v>
      </c>
      <c r="T75" s="80">
        <f>C22/100</f>
        <v>0</v>
      </c>
      <c r="U75" s="80">
        <f>C23/100</f>
        <v>0</v>
      </c>
      <c r="AE75" s="43" t="s">
        <v>413</v>
      </c>
      <c r="AF75" s="44" t="s">
        <v>413</v>
      </c>
      <c r="AG75" s="293" t="str">
        <f>IF($AG$7="Quote",$AG$20,"")</f>
        <v/>
      </c>
      <c r="AH75">
        <v>69</v>
      </c>
      <c r="AI75" t="s">
        <v>438</v>
      </c>
      <c r="AJ75" s="39" t="str">
        <f t="shared" si="4"/>
        <v/>
      </c>
      <c r="AT75" s="322"/>
    </row>
    <row r="76" spans="1:46">
      <c r="A76" s="589" t="s">
        <v>1177</v>
      </c>
      <c r="B76" s="65" t="s">
        <v>402</v>
      </c>
      <c r="C76" s="556"/>
      <c r="E76" s="558"/>
      <c r="F76" s="558"/>
      <c r="G76" s="558"/>
      <c r="H76" s="58"/>
      <c r="I76" s="58"/>
      <c r="J76" s="58">
        <f t="shared" si="17"/>
        <v>0</v>
      </c>
      <c r="K76" s="58" t="s">
        <v>74</v>
      </c>
      <c r="L76" s="58">
        <f t="shared" si="14"/>
        <v>0</v>
      </c>
      <c r="M76" s="46" t="str">
        <f t="shared" si="15"/>
        <v/>
      </c>
      <c r="N76" s="46" t="str">
        <f t="shared" si="16"/>
        <v/>
      </c>
      <c r="O76" s="21" t="s">
        <v>415</v>
      </c>
      <c r="Q76" s="39">
        <f>C26</f>
        <v>0</v>
      </c>
      <c r="R76" s="80">
        <f>C27/100</f>
        <v>0</v>
      </c>
      <c r="S76" s="80">
        <f>C28/100</f>
        <v>0</v>
      </c>
      <c r="T76" s="80">
        <f>C29/100</f>
        <v>0</v>
      </c>
      <c r="U76" s="80">
        <f>C30/100</f>
        <v>0</v>
      </c>
      <c r="AE76" s="43" t="str">
        <f>'April Output'!C43</f>
        <v>Liability Medical Payments</v>
      </c>
      <c r="AF76" s="44" t="s">
        <v>416</v>
      </c>
      <c r="AG76" s="293" t="str">
        <f>IF($AG$7="Quote",25000,"")</f>
        <v/>
      </c>
      <c r="AH76">
        <v>70</v>
      </c>
      <c r="AI76" t="s">
        <v>358</v>
      </c>
      <c r="AJ76" s="39" t="str">
        <f t="shared" si="4"/>
        <v/>
      </c>
      <c r="AT76" s="322"/>
    </row>
    <row r="77" spans="1:46">
      <c r="A77" s="589" t="s">
        <v>1178</v>
      </c>
      <c r="B77" s="65" t="s">
        <v>411</v>
      </c>
      <c r="C77" s="556"/>
      <c r="E77" s="558"/>
      <c r="F77" s="558"/>
      <c r="G77" s="558"/>
      <c r="H77" s="58"/>
      <c r="I77" s="58"/>
      <c r="J77" s="58">
        <f t="shared" si="17"/>
        <v>0</v>
      </c>
      <c r="K77" s="58" t="s">
        <v>74</v>
      </c>
      <c r="L77" s="58">
        <f t="shared" si="14"/>
        <v>0</v>
      </c>
      <c r="M77" s="46" t="str">
        <f t="shared" si="15"/>
        <v/>
      </c>
      <c r="N77" s="46" t="str">
        <f t="shared" si="16"/>
        <v/>
      </c>
      <c r="O77" s="21" t="s">
        <v>418</v>
      </c>
      <c r="Q77" s="39">
        <f>C33</f>
        <v>0</v>
      </c>
      <c r="R77" s="80">
        <f>C34/100</f>
        <v>0</v>
      </c>
      <c r="S77" s="80">
        <f>C35/100</f>
        <v>0</v>
      </c>
      <c r="T77" s="80">
        <f>C36/100</f>
        <v>0</v>
      </c>
      <c r="U77" s="80">
        <f>C37/100</f>
        <v>0</v>
      </c>
      <c r="AE77" s="43"/>
      <c r="AF77" s="44"/>
      <c r="AG77" s="293"/>
      <c r="AH77">
        <v>71</v>
      </c>
      <c r="AI77" t="s">
        <v>445</v>
      </c>
      <c r="AJ77" s="39" t="str">
        <f t="shared" si="4"/>
        <v/>
      </c>
      <c r="AT77" s="322"/>
    </row>
    <row r="78" spans="1:46">
      <c r="A78" s="589" t="s">
        <v>1179</v>
      </c>
      <c r="B78" s="65" t="s">
        <v>414</v>
      </c>
      <c r="C78" s="556"/>
      <c r="E78" s="558"/>
      <c r="F78" s="558"/>
      <c r="G78" s="558"/>
      <c r="H78" s="58"/>
      <c r="I78" s="58"/>
      <c r="J78" s="58">
        <f t="shared" si="17"/>
        <v>0</v>
      </c>
      <c r="K78" s="58" t="s">
        <v>74</v>
      </c>
      <c r="L78" s="58">
        <f t="shared" si="14"/>
        <v>0</v>
      </c>
      <c r="M78" s="46" t="str">
        <f t="shared" si="15"/>
        <v/>
      </c>
      <c r="N78" s="46" t="str">
        <f t="shared" si="16"/>
        <v/>
      </c>
      <c r="O78" s="21" t="s">
        <v>421</v>
      </c>
      <c r="Q78" s="39">
        <f>C40</f>
        <v>0</v>
      </c>
      <c r="R78" s="80">
        <f>C41/100</f>
        <v>0</v>
      </c>
      <c r="S78" s="80">
        <f>C42/100</f>
        <v>0</v>
      </c>
      <c r="T78" s="80">
        <f>C43/100</f>
        <v>0</v>
      </c>
      <c r="U78" s="80">
        <f>C44/100</f>
        <v>0</v>
      </c>
      <c r="AE78" s="43" t="str">
        <f>'April Output'!C44</f>
        <v>Non Owed Automobile</v>
      </c>
      <c r="AF78" s="44" t="s">
        <v>422</v>
      </c>
      <c r="AG78" s="293" t="str">
        <f>IF($AG$7="Quote",'April Output'!E44,"")</f>
        <v/>
      </c>
      <c r="AH78">
        <v>72</v>
      </c>
      <c r="AI78" t="s">
        <v>361</v>
      </c>
      <c r="AJ78" s="39" t="str">
        <f t="shared" ref="AJ78:AJ141" si="20">IFERROR(IF($AJ$7&lt;&gt;"Quote","",IF(VLOOKUP(AI78,$AF$7:$AG$240,2,FALSE)=0,"-",VLOOKUP(AI78,$AF$7:$AG$240,2,FALSE))),"-")</f>
        <v/>
      </c>
      <c r="AT78" s="322"/>
    </row>
    <row r="79" spans="1:46">
      <c r="A79" s="589" t="s">
        <v>1180</v>
      </c>
      <c r="B79" s="65" t="s">
        <v>417</v>
      </c>
      <c r="C79" s="556"/>
      <c r="E79" s="558"/>
      <c r="F79" s="558"/>
      <c r="G79" s="558"/>
      <c r="H79" s="58"/>
      <c r="I79" s="58"/>
      <c r="J79" s="58">
        <f t="shared" si="17"/>
        <v>0</v>
      </c>
      <c r="K79" s="58" t="s">
        <v>74</v>
      </c>
      <c r="L79" s="58">
        <f t="shared" si="14"/>
        <v>0</v>
      </c>
      <c r="M79" s="46" t="str">
        <f t="shared" si="15"/>
        <v/>
      </c>
      <c r="N79" s="46" t="str">
        <f t="shared" si="16"/>
        <v/>
      </c>
      <c r="O79" s="21" t="s">
        <v>426</v>
      </c>
      <c r="Q79" s="39">
        <f>C47</f>
        <v>0</v>
      </c>
      <c r="R79" s="71">
        <f>C48/100</f>
        <v>0</v>
      </c>
      <c r="S79" s="80">
        <f>C49/100</f>
        <v>0</v>
      </c>
      <c r="T79" s="80">
        <f>C50/100</f>
        <v>0</v>
      </c>
      <c r="U79" s="80">
        <f>C51/100</f>
        <v>0</v>
      </c>
      <c r="AE79" s="43" t="str">
        <f>'April Output'!C46</f>
        <v>Reduction of Coverage for Leased Vehicles Endorsement (OEF 98B)</v>
      </c>
      <c r="AF79" s="44" t="s">
        <v>427</v>
      </c>
      <c r="AG79" s="293" t="str">
        <f>IF($AG$7="Quote",'April Output'!E46,"")</f>
        <v/>
      </c>
      <c r="AH79">
        <v>73</v>
      </c>
      <c r="AI79" t="s">
        <v>364</v>
      </c>
      <c r="AJ79" s="39" t="str">
        <f t="shared" si="20"/>
        <v/>
      </c>
      <c r="AT79" s="322"/>
    </row>
    <row r="80" spans="1:46">
      <c r="A80" s="589" t="s">
        <v>1181</v>
      </c>
      <c r="B80" s="65" t="s">
        <v>420</v>
      </c>
      <c r="C80" s="554"/>
      <c r="E80" s="558"/>
      <c r="F80" s="558"/>
      <c r="G80" s="558"/>
      <c r="H80" s="58"/>
      <c r="I80" s="58"/>
      <c r="J80" s="58">
        <f t="shared" si="17"/>
        <v>0</v>
      </c>
      <c r="K80" s="58" t="s">
        <v>74</v>
      </c>
      <c r="L80" s="58">
        <f t="shared" si="14"/>
        <v>0</v>
      </c>
      <c r="M80" s="46" t="str">
        <f t="shared" si="15"/>
        <v/>
      </c>
      <c r="N80" s="46" t="str">
        <f t="shared" si="16"/>
        <v/>
      </c>
      <c r="O80" s="21" t="s">
        <v>429</v>
      </c>
      <c r="Q80" s="39">
        <f>C54</f>
        <v>0</v>
      </c>
      <c r="R80" s="80">
        <f>C55/100</f>
        <v>0</v>
      </c>
      <c r="S80" s="80">
        <f>C56/100</f>
        <v>0</v>
      </c>
      <c r="T80" s="80">
        <f>C57/100</f>
        <v>0</v>
      </c>
      <c r="U80" s="80">
        <f>C58/100</f>
        <v>0</v>
      </c>
      <c r="AE80" s="43" t="str">
        <f>'April Output'!C45</f>
        <v>Contractual Liability Extension (SEF 96)</v>
      </c>
      <c r="AF80" s="44" t="s">
        <v>430</v>
      </c>
      <c r="AG80" s="293" t="str">
        <f>IF($AG$7="Quote",'April Output'!E45,"")</f>
        <v/>
      </c>
      <c r="AH80">
        <v>74</v>
      </c>
      <c r="AI80" t="s">
        <v>457</v>
      </c>
      <c r="AJ80" s="39" t="str">
        <f t="shared" si="20"/>
        <v/>
      </c>
      <c r="AT80" s="322"/>
    </row>
    <row r="81" spans="1:46">
      <c r="A81" s="589" t="s">
        <v>424</v>
      </c>
      <c r="B81" s="46" t="s">
        <v>425</v>
      </c>
      <c r="C81" s="554"/>
      <c r="E81" s="558"/>
      <c r="F81" s="558"/>
      <c r="G81" s="558"/>
      <c r="H81" s="58"/>
      <c r="I81" s="58"/>
      <c r="J81" s="58">
        <f t="shared" si="17"/>
        <v>0</v>
      </c>
      <c r="K81" s="58" t="s">
        <v>74</v>
      </c>
      <c r="L81" s="58">
        <f t="shared" si="14"/>
        <v>0</v>
      </c>
      <c r="M81" s="46" t="str">
        <f t="shared" si="15"/>
        <v/>
      </c>
      <c r="N81" s="46" t="str">
        <f t="shared" si="16"/>
        <v/>
      </c>
      <c r="O81" s="21" t="s">
        <v>432</v>
      </c>
      <c r="Q81" s="39">
        <f>C61</f>
        <v>0</v>
      </c>
      <c r="R81" s="80">
        <f>C62/100</f>
        <v>0</v>
      </c>
      <c r="S81" s="80">
        <f>C63/100</f>
        <v>0</v>
      </c>
      <c r="T81" s="80">
        <f>C64/100</f>
        <v>0</v>
      </c>
      <c r="U81" s="80">
        <f>C65/100</f>
        <v>0</v>
      </c>
      <c r="AE81" s="43" t="str">
        <f>'April Output'!C47</f>
        <v>Long Term Leased Vehicle Exclusion (SEF 99)</v>
      </c>
      <c r="AF81" s="44" t="s">
        <v>433</v>
      </c>
      <c r="AG81" s="293" t="str">
        <f>IF($AG$7="Quote",'April Output'!E47,"")</f>
        <v/>
      </c>
      <c r="AH81">
        <v>75</v>
      </c>
      <c r="AI81" t="s">
        <v>461</v>
      </c>
      <c r="AJ81" s="39" t="str">
        <f t="shared" si="20"/>
        <v/>
      </c>
      <c r="AT81" s="322"/>
    </row>
    <row r="82" spans="1:46">
      <c r="A82" s="589" t="s">
        <v>1182</v>
      </c>
      <c r="B82" s="65" t="s">
        <v>428</v>
      </c>
      <c r="C82" s="555"/>
      <c r="E82" s="558"/>
      <c r="F82" s="558"/>
      <c r="G82" s="558"/>
      <c r="H82" s="58"/>
      <c r="I82" s="58"/>
      <c r="J82" s="58">
        <f t="shared" si="17"/>
        <v>0</v>
      </c>
      <c r="K82" s="58" t="s">
        <v>74</v>
      </c>
      <c r="L82" s="58">
        <f t="shared" si="14"/>
        <v>0</v>
      </c>
      <c r="M82" s="46" t="str">
        <f t="shared" si="15"/>
        <v/>
      </c>
      <c r="N82" s="46" t="str">
        <f t="shared" si="16"/>
        <v/>
      </c>
      <c r="O82" s="21" t="s">
        <v>436</v>
      </c>
      <c r="Q82" s="39">
        <f>C68</f>
        <v>0</v>
      </c>
      <c r="R82" s="80">
        <f>C69/100</f>
        <v>0</v>
      </c>
      <c r="S82" s="80">
        <f>C70/100</f>
        <v>0</v>
      </c>
      <c r="T82" s="80">
        <f>C71/100</f>
        <v>0</v>
      </c>
      <c r="U82" s="80">
        <f>C72/100</f>
        <v>0</v>
      </c>
      <c r="AE82" s="43" t="str">
        <f>'April Output'!C42</f>
        <v>Personal &amp; Advertising</v>
      </c>
      <c r="AF82" s="44" t="s">
        <v>437</v>
      </c>
      <c r="AG82" s="293" t="str">
        <f>IF($AG$7="Quote",'April Output'!E42,"")</f>
        <v/>
      </c>
      <c r="AH82">
        <v>76</v>
      </c>
      <c r="AI82" t="s">
        <v>367</v>
      </c>
      <c r="AJ82" s="39" t="str">
        <f t="shared" si="20"/>
        <v/>
      </c>
      <c r="AT82" s="322"/>
    </row>
    <row r="83" spans="1:46">
      <c r="A83" s="589" t="s">
        <v>1183</v>
      </c>
      <c r="B83" s="65" t="s">
        <v>431</v>
      </c>
      <c r="C83" s="556"/>
      <c r="E83" s="558"/>
      <c r="F83" s="558"/>
      <c r="G83" s="558"/>
      <c r="H83" s="58"/>
      <c r="I83" s="58"/>
      <c r="J83" s="58">
        <f t="shared" si="17"/>
        <v>0</v>
      </c>
      <c r="K83" s="58" t="s">
        <v>74</v>
      </c>
      <c r="L83" s="58">
        <f t="shared" si="14"/>
        <v>0</v>
      </c>
      <c r="M83" s="46" t="str">
        <f t="shared" si="15"/>
        <v/>
      </c>
      <c r="N83" s="46" t="str">
        <f t="shared" si="16"/>
        <v/>
      </c>
      <c r="O83" s="21" t="s">
        <v>440</v>
      </c>
      <c r="Q83" s="39">
        <f>C75</f>
        <v>0</v>
      </c>
      <c r="R83" s="80">
        <f>C76/100</f>
        <v>0</v>
      </c>
      <c r="S83" s="80">
        <f>C77/100</f>
        <v>0</v>
      </c>
      <c r="T83" s="80">
        <f>C78/100</f>
        <v>0</v>
      </c>
      <c r="U83" s="80">
        <f>C79/100</f>
        <v>0</v>
      </c>
      <c r="AE83" s="43" t="s">
        <v>441</v>
      </c>
      <c r="AF83" s="44" t="s">
        <v>441</v>
      </c>
      <c r="AG83" s="293" t="str">
        <f>IF(AND($AG$7="Quote",'April Output'!$E$37&gt;0),VLOOKUP(Inputs!AF83,'Extension of coverage'!B:C,2,FALSE),"-")</f>
        <v>-</v>
      </c>
      <c r="AH83">
        <v>77</v>
      </c>
      <c r="AI83" t="s">
        <v>465</v>
      </c>
      <c r="AJ83" s="39" t="str">
        <f t="shared" si="20"/>
        <v/>
      </c>
      <c r="AT83" s="322"/>
    </row>
    <row r="84" spans="1:46" ht="15" thickBot="1">
      <c r="A84" s="589" t="s">
        <v>1184</v>
      </c>
      <c r="B84" s="65" t="s">
        <v>435</v>
      </c>
      <c r="C84" s="556"/>
      <c r="E84" s="558"/>
      <c r="F84" s="558"/>
      <c r="G84" s="558"/>
      <c r="H84" s="58"/>
      <c r="I84" s="58"/>
      <c r="J84" s="58">
        <f t="shared" si="17"/>
        <v>0</v>
      </c>
      <c r="K84" s="58" t="s">
        <v>74</v>
      </c>
      <c r="L84" s="58">
        <f t="shared" si="14"/>
        <v>0</v>
      </c>
      <c r="M84" s="46" t="str">
        <f t="shared" si="15"/>
        <v/>
      </c>
      <c r="N84" s="46" t="str">
        <f t="shared" si="16"/>
        <v/>
      </c>
      <c r="O84" s="21" t="s">
        <v>443</v>
      </c>
      <c r="Q84" s="39">
        <f>C82</f>
        <v>0</v>
      </c>
      <c r="R84" s="80">
        <f>C83/100</f>
        <v>0</v>
      </c>
      <c r="S84" s="80">
        <f>C84/100</f>
        <v>0</v>
      </c>
      <c r="T84" s="80">
        <f>C85/100</f>
        <v>0</v>
      </c>
      <c r="U84" s="80">
        <f>C86/100</f>
        <v>0</v>
      </c>
      <c r="AE84" s="43"/>
      <c r="AF84" s="44"/>
      <c r="AG84" s="47"/>
      <c r="AH84">
        <v>78</v>
      </c>
      <c r="AI84" t="s">
        <v>371</v>
      </c>
      <c r="AJ84" s="39" t="str">
        <f t="shared" si="20"/>
        <v/>
      </c>
      <c r="AT84" s="322"/>
    </row>
    <row r="85" spans="1:46" ht="15" thickTop="1">
      <c r="A85" s="589" t="s">
        <v>1185</v>
      </c>
      <c r="B85" s="65" t="s">
        <v>439</v>
      </c>
      <c r="C85" s="556"/>
      <c r="E85" s="558"/>
      <c r="F85" s="558"/>
      <c r="G85" s="558"/>
      <c r="H85" s="58"/>
      <c r="I85" s="58"/>
      <c r="J85" s="58">
        <f t="shared" si="17"/>
        <v>0</v>
      </c>
      <c r="K85" s="58" t="s">
        <v>74</v>
      </c>
      <c r="L85" s="58">
        <f t="shared" si="14"/>
        <v>0</v>
      </c>
      <c r="M85" s="46" t="str">
        <f t="shared" si="15"/>
        <v/>
      </c>
      <c r="N85" s="46" t="str">
        <f t="shared" si="16"/>
        <v/>
      </c>
      <c r="O85" s="81" t="s">
        <v>447</v>
      </c>
      <c r="P85" s="82"/>
      <c r="Q85" s="83">
        <f>SUM(Q75:Q84)</f>
        <v>0</v>
      </c>
      <c r="R85" s="655">
        <f>IFERROR(SUMPRODUCT($Q75:$Q84,R75:R84)/$Q85/100,0)</f>
        <v>0</v>
      </c>
      <c r="S85" s="655">
        <f>IFERROR(SUMPRODUCT($Q75:$Q84,S75:S84)/$Q85/100,0)</f>
        <v>0</v>
      </c>
      <c r="T85" s="655">
        <f>IFERROR(SUMPRODUCT($Q75:$Q84,T75:T84)/$Q85/100,0)</f>
        <v>0</v>
      </c>
      <c r="U85" s="655">
        <f>IFERROR(SUMPRODUCT($Q75:$Q84,U75:U84)/$Q85/100,0)</f>
        <v>0</v>
      </c>
      <c r="AE85" s="588" t="str">
        <f>B91</f>
        <v>Contents Limit Required</v>
      </c>
      <c r="AF85" s="586"/>
      <c r="AG85" s="569">
        <f>IF(SUM('April Output'!E$32:E$35)='April Output'!E$31,'April Output'!E32,0)</f>
        <v>0</v>
      </c>
      <c r="AH85">
        <v>79</v>
      </c>
      <c r="AI85" t="s">
        <v>376</v>
      </c>
      <c r="AJ85" s="39" t="str">
        <f t="shared" si="20"/>
        <v/>
      </c>
    </row>
    <row r="86" spans="1:46">
      <c r="A86" s="589" t="s">
        <v>1186</v>
      </c>
      <c r="B86" s="65" t="s">
        <v>442</v>
      </c>
      <c r="C86" s="556"/>
      <c r="AE86" s="588" t="str">
        <f>B92</f>
        <v>EDP systems limit</v>
      </c>
      <c r="AF86" s="586"/>
      <c r="AG86" s="569">
        <f>IF(SUM('April Output'!E$32:E$35)='April Output'!E$31,'April Output'!E33,0)</f>
        <v>0</v>
      </c>
      <c r="AH86">
        <v>80</v>
      </c>
      <c r="AI86" t="s">
        <v>472</v>
      </c>
      <c r="AJ86" s="39" t="str">
        <f t="shared" si="20"/>
        <v/>
      </c>
    </row>
    <row r="87" spans="1:46">
      <c r="A87" s="589" t="s">
        <v>1187</v>
      </c>
      <c r="B87" s="65" t="s">
        <v>446</v>
      </c>
      <c r="C87" s="554"/>
      <c r="O87" s="79" t="s">
        <v>450</v>
      </c>
      <c r="AE87" s="588" t="str">
        <f>B93</f>
        <v>Stock limit</v>
      </c>
      <c r="AF87" s="586"/>
      <c r="AG87" s="569">
        <f>IF(SUM('April Output'!E$32:E$35)='April Output'!E$31,'April Output'!E34,0)</f>
        <v>0</v>
      </c>
      <c r="AH87">
        <v>81</v>
      </c>
      <c r="AI87" t="s">
        <v>474</v>
      </c>
      <c r="AJ87" s="39" t="str">
        <f t="shared" si="20"/>
        <v/>
      </c>
    </row>
    <row r="88" spans="1:46">
      <c r="A88" s="589" t="s">
        <v>1188</v>
      </c>
      <c r="B88" s="65" t="s">
        <v>448</v>
      </c>
      <c r="C88" s="545"/>
      <c r="O88" s="85" t="s">
        <v>452</v>
      </c>
      <c r="Q88" s="86" t="s">
        <v>453</v>
      </c>
      <c r="R88" s="87" t="s">
        <v>454</v>
      </c>
      <c r="S88" s="88" t="s">
        <v>455</v>
      </c>
      <c r="T88" s="87" t="s">
        <v>455</v>
      </c>
      <c r="U88" s="88" t="s">
        <v>456</v>
      </c>
      <c r="AE88" s="588" t="str">
        <f>B94</f>
        <v>Business equipment limit</v>
      </c>
      <c r="AF88" s="586"/>
      <c r="AG88" s="569">
        <f>IF(SUM('April Output'!E$32:E$35)='April Output'!E$31,'April Output'!E35,0)</f>
        <v>0</v>
      </c>
      <c r="AH88">
        <v>82</v>
      </c>
      <c r="AI88" t="s">
        <v>381</v>
      </c>
      <c r="AJ88" s="39" t="str">
        <f t="shared" si="20"/>
        <v/>
      </c>
    </row>
    <row r="89" spans="1:46">
      <c r="A89" s="593">
        <v>1000130</v>
      </c>
      <c r="B89" s="84" t="s">
        <v>449</v>
      </c>
      <c r="C89" s="545"/>
      <c r="O89" s="21" t="s">
        <v>459</v>
      </c>
      <c r="Q89" s="89">
        <f>VALUE(C89)</f>
        <v>0</v>
      </c>
      <c r="R89" s="27" t="s">
        <v>460</v>
      </c>
      <c r="S89" t="b">
        <v>0</v>
      </c>
      <c r="T89" s="27">
        <v>0</v>
      </c>
      <c r="U89" s="90" t="b">
        <f>VLOOKUP($Q$90,$R$89:$T$96,2,FALSE)</f>
        <v>0</v>
      </c>
      <c r="AE89" s="353" t="str">
        <f>'April Output'!C70</f>
        <v>Specific conditions, Endorsements and Exclusions applied to this quote:</v>
      </c>
      <c r="AF89" s="44"/>
      <c r="AG89" s="47"/>
      <c r="AH89">
        <v>83</v>
      </c>
      <c r="AI89" t="s">
        <v>478</v>
      </c>
      <c r="AJ89" s="39" t="str">
        <f t="shared" si="20"/>
        <v/>
      </c>
    </row>
    <row r="90" spans="1:46">
      <c r="A90" s="593">
        <v>1000140</v>
      </c>
      <c r="B90" s="84" t="s">
        <v>451</v>
      </c>
      <c r="C90" s="545"/>
      <c r="O90" s="21" t="s">
        <v>463</v>
      </c>
      <c r="Q90" s="91" t="str">
        <f>IFERROR(VLOOKUP(Q89,R89:R96,1,TRUE),"Not required")</f>
        <v>Not required</v>
      </c>
      <c r="R90" s="27">
        <v>5000</v>
      </c>
      <c r="S90" t="b">
        <v>1</v>
      </c>
      <c r="T90" s="27">
        <v>10000</v>
      </c>
      <c r="U90" s="90">
        <f>VLOOKUP($Q$90,$R$89:$T$96,3,FALSE)</f>
        <v>0</v>
      </c>
      <c r="AE90" s="351" t="str">
        <f>'April Output'!C71</f>
        <v>CW214 Exclusion of activities or work performed prior to the  risk effective date of the current policy</v>
      </c>
      <c r="AF90" s="44"/>
      <c r="AG90" s="47"/>
      <c r="AH90">
        <v>84</v>
      </c>
      <c r="AI90" t="s">
        <v>86</v>
      </c>
      <c r="AJ90" s="39" t="str">
        <f t="shared" si="20"/>
        <v/>
      </c>
    </row>
    <row r="91" spans="1:46">
      <c r="A91" s="589" t="s">
        <v>1189</v>
      </c>
      <c r="B91" s="84" t="s">
        <v>458</v>
      </c>
      <c r="C91" s="577"/>
      <c r="R91" s="27">
        <v>10000</v>
      </c>
      <c r="S91" t="b">
        <v>1</v>
      </c>
      <c r="T91" s="27">
        <v>10000</v>
      </c>
      <c r="U91" s="64"/>
      <c r="AE91" s="351" t="e">
        <f>'April Output'!C72</f>
        <v>#N/A</v>
      </c>
      <c r="AF91" s="44"/>
      <c r="AG91" s="47"/>
      <c r="AH91">
        <v>85</v>
      </c>
      <c r="AI91" t="s">
        <v>384</v>
      </c>
      <c r="AJ91" s="39" t="str">
        <f t="shared" si="20"/>
        <v/>
      </c>
    </row>
    <row r="92" spans="1:46">
      <c r="A92" s="589" t="s">
        <v>1190</v>
      </c>
      <c r="B92" s="84" t="s">
        <v>462</v>
      </c>
      <c r="C92" s="577"/>
      <c r="R92" s="27">
        <v>15000</v>
      </c>
      <c r="S92" t="b">
        <v>1</v>
      </c>
      <c r="T92" s="27">
        <v>15000</v>
      </c>
      <c r="U92" s="64"/>
      <c r="AE92" s="351" t="str">
        <f>'April Output'!C73</f>
        <v>CW180 -SubContractors Warranty- min $2,000,000</v>
      </c>
      <c r="AF92" s="44"/>
      <c r="AG92" s="47"/>
      <c r="AH92">
        <v>86</v>
      </c>
      <c r="AI92" t="s">
        <v>388</v>
      </c>
      <c r="AJ92" s="39" t="str">
        <f t="shared" si="20"/>
        <v/>
      </c>
    </row>
    <row r="93" spans="1:46">
      <c r="A93" s="589" t="s">
        <v>1191</v>
      </c>
      <c r="B93" s="84" t="s">
        <v>464</v>
      </c>
      <c r="C93" s="577"/>
      <c r="R93" s="27">
        <v>25000</v>
      </c>
      <c r="S93" t="b">
        <v>1</v>
      </c>
      <c r="T93" s="27">
        <v>25000</v>
      </c>
      <c r="AE93" s="352" t="str">
        <f>'April Output'!C74</f>
        <v>Subject to not more than 10% engineering activity</v>
      </c>
      <c r="AF93" s="44"/>
      <c r="AG93" s="47"/>
      <c r="AH93">
        <v>87</v>
      </c>
      <c r="AI93" t="s">
        <v>390</v>
      </c>
      <c r="AJ93" s="39" t="str">
        <f t="shared" si="20"/>
        <v/>
      </c>
    </row>
    <row r="94" spans="1:46">
      <c r="A94" s="589" t="s">
        <v>1192</v>
      </c>
      <c r="B94" s="84" t="s">
        <v>466</v>
      </c>
      <c r="C94" s="577"/>
      <c r="R94" s="27">
        <v>35000</v>
      </c>
      <c r="S94" t="b">
        <v>1</v>
      </c>
      <c r="T94" s="27">
        <v>25000</v>
      </c>
      <c r="AE94" s="351" t="str">
        <f>'April Output'!C75</f>
        <v>LR1bLimitation to Designated Premises Restriction</v>
      </c>
      <c r="AF94" s="44"/>
      <c r="AG94" s="47"/>
      <c r="AH94">
        <v>88</v>
      </c>
      <c r="AI94" t="s">
        <v>484</v>
      </c>
      <c r="AJ94" s="39" t="str">
        <f t="shared" si="20"/>
        <v/>
      </c>
    </row>
    <row r="95" spans="1:46">
      <c r="A95" s="593">
        <v>1000160</v>
      </c>
      <c r="B95" s="84" t="s">
        <v>467</v>
      </c>
      <c r="C95" s="545"/>
      <c r="R95" s="27">
        <v>50000</v>
      </c>
      <c r="S95" t="b">
        <v>1</v>
      </c>
      <c r="T95" s="27">
        <v>25000</v>
      </c>
      <c r="AE95" s="351" t="str">
        <f>'April Output'!C76</f>
        <v>CM16A  Exclusion of Snowremoval activities</v>
      </c>
      <c r="AF95" s="44"/>
      <c r="AG95" s="47"/>
      <c r="AH95">
        <v>89</v>
      </c>
      <c r="AI95" t="s">
        <v>487</v>
      </c>
      <c r="AJ95" s="39" t="str">
        <f t="shared" si="20"/>
        <v/>
      </c>
    </row>
    <row r="96" spans="1:46">
      <c r="A96" s="589" t="s">
        <v>1193</v>
      </c>
      <c r="B96" s="84" t="s">
        <v>468</v>
      </c>
      <c r="C96" s="562"/>
      <c r="R96" s="27" t="s">
        <v>471</v>
      </c>
      <c r="S96" t="b">
        <v>0</v>
      </c>
      <c r="T96" s="27">
        <v>0</v>
      </c>
      <c r="AE96" s="351" t="str">
        <f>'April Output'!C77</f>
        <v>CM25  USA Conditions – if any US Sales</v>
      </c>
      <c r="AF96" s="44"/>
      <c r="AG96" s="47"/>
      <c r="AH96">
        <v>90</v>
      </c>
      <c r="AI96" t="s">
        <v>489</v>
      </c>
      <c r="AJ96" s="39" t="str">
        <f t="shared" si="20"/>
        <v/>
      </c>
    </row>
    <row r="97" spans="1:36">
      <c r="A97" s="593">
        <v>1000100</v>
      </c>
      <c r="B97" s="84" t="s">
        <v>469</v>
      </c>
      <c r="C97" s="567"/>
      <c r="R97" s="27"/>
      <c r="T97" s="27"/>
      <c r="AE97" s="351" t="str">
        <f>'April Output'!C78</f>
        <v>LX35 USA Sales and Operations Exclusion</v>
      </c>
      <c r="AF97" s="44"/>
      <c r="AG97" s="47"/>
      <c r="AH97">
        <v>91</v>
      </c>
      <c r="AI97" t="s">
        <v>395</v>
      </c>
      <c r="AJ97" s="39" t="str">
        <f t="shared" si="20"/>
        <v/>
      </c>
    </row>
    <row r="98" spans="1:36">
      <c r="A98" s="593" t="s">
        <v>1194</v>
      </c>
      <c r="B98" s="84" t="s">
        <v>470</v>
      </c>
      <c r="C98" s="545"/>
      <c r="R98" s="27"/>
      <c r="T98" s="27"/>
      <c r="AE98" s="351" t="str">
        <f>'April Output'!C79</f>
        <v>CW217 LMA5391 Coronavirus Exclusion</v>
      </c>
      <c r="AF98" s="322" t="s">
        <v>1036</v>
      </c>
      <c r="AG98" s="293" t="str">
        <f>IF($AG$7="Quote","Included","")</f>
        <v/>
      </c>
      <c r="AH98">
        <v>92</v>
      </c>
      <c r="AI98" t="s">
        <v>209</v>
      </c>
      <c r="AJ98" s="39" t="str">
        <f t="shared" si="20"/>
        <v/>
      </c>
    </row>
    <row r="99" spans="1:36">
      <c r="A99" s="593">
        <v>1000360</v>
      </c>
      <c r="B99" s="84" t="s">
        <v>473</v>
      </c>
      <c r="C99" s="544"/>
      <c r="O99" s="79" t="s">
        <v>477</v>
      </c>
      <c r="R99" s="27"/>
      <c r="T99" s="27"/>
      <c r="AE99" s="351" t="str">
        <f>'April Output'!C80</f>
        <v>CW218 LMA5393 Coronavirus Exclusion</v>
      </c>
      <c r="AF99" s="44"/>
      <c r="AG99" s="47"/>
      <c r="AH99">
        <v>93</v>
      </c>
      <c r="AI99" t="s">
        <v>156</v>
      </c>
      <c r="AJ99" s="39" t="str">
        <f t="shared" si="20"/>
        <v/>
      </c>
    </row>
    <row r="100" spans="1:36">
      <c r="A100" s="593">
        <v>1000190</v>
      </c>
      <c r="B100" s="84" t="s">
        <v>475</v>
      </c>
      <c r="C100" s="545"/>
      <c r="O100" s="85" t="s">
        <v>452</v>
      </c>
      <c r="Q100" s="86" t="s">
        <v>453</v>
      </c>
      <c r="R100" s="87" t="s">
        <v>454</v>
      </c>
      <c r="S100" s="88" t="s">
        <v>455</v>
      </c>
      <c r="T100" s="87" t="s">
        <v>455</v>
      </c>
      <c r="U100" s="88" t="s">
        <v>456</v>
      </c>
      <c r="AE100" s="351" t="str">
        <f>'April Output'!C81</f>
        <v xml:space="preserve">LX6  Blasting, Pile Driving,Weakness of Support Exclusion </v>
      </c>
      <c r="AF100" s="44"/>
      <c r="AG100" s="47"/>
      <c r="AH100">
        <v>94</v>
      </c>
      <c r="AI100" t="s">
        <v>492</v>
      </c>
      <c r="AJ100" s="39" t="str">
        <f t="shared" si="20"/>
        <v/>
      </c>
    </row>
    <row r="101" spans="1:36">
      <c r="A101" s="593" t="s">
        <v>1196</v>
      </c>
      <c r="B101" s="84" t="s">
        <v>476</v>
      </c>
      <c r="C101" s="545"/>
      <c r="O101" s="21" t="s">
        <v>480</v>
      </c>
      <c r="Q101" s="89">
        <f>C90</f>
        <v>0</v>
      </c>
      <c r="R101" s="27" t="s">
        <v>460</v>
      </c>
      <c r="S101" t="b">
        <v>0</v>
      </c>
      <c r="T101" s="27">
        <v>0</v>
      </c>
      <c r="U101" s="90" t="b">
        <f>VLOOKUP($Q$102,$R$101:$T$111,2,FALSE)</f>
        <v>0</v>
      </c>
      <c r="AE101" s="351" t="e">
        <f>'April Output'!C82</f>
        <v>#N/A</v>
      </c>
      <c r="AF101" s="44"/>
      <c r="AG101" s="47"/>
      <c r="AH101">
        <v>95</v>
      </c>
      <c r="AI101" t="s">
        <v>493</v>
      </c>
      <c r="AJ101" s="39" t="str">
        <f t="shared" si="20"/>
        <v/>
      </c>
    </row>
    <row r="102" spans="1:36">
      <c r="A102" s="593">
        <v>1000220</v>
      </c>
      <c r="B102" s="84" t="s">
        <v>479</v>
      </c>
      <c r="C102" s="545"/>
      <c r="O102" s="21" t="s">
        <v>463</v>
      </c>
      <c r="Q102" s="92" t="str">
        <f>IFERROR(VLOOKUP(Q101,R101:R111,1,TRUE),"Not required")</f>
        <v>Not required</v>
      </c>
      <c r="R102" s="27">
        <v>1000</v>
      </c>
      <c r="S102" t="b">
        <v>1</v>
      </c>
      <c r="T102" s="27">
        <v>15000</v>
      </c>
      <c r="U102" s="90">
        <f>VLOOKUP($Q$102,$R$101:$T$111,3,FALSE)</f>
        <v>0</v>
      </c>
      <c r="AE102" s="351" t="e">
        <f>'April Output'!C83</f>
        <v>#N/A</v>
      </c>
      <c r="AF102" s="44"/>
      <c r="AG102" s="47"/>
      <c r="AH102">
        <v>96</v>
      </c>
      <c r="AI102" t="s">
        <v>494</v>
      </c>
      <c r="AJ102" s="39" t="str">
        <f t="shared" si="20"/>
        <v/>
      </c>
    </row>
    <row r="103" spans="1:36">
      <c r="A103" s="593">
        <v>1000210</v>
      </c>
      <c r="B103" s="84" t="s">
        <v>481</v>
      </c>
      <c r="C103" s="545"/>
      <c r="Q103" s="93"/>
      <c r="R103" s="27">
        <v>5000</v>
      </c>
      <c r="S103" t="b">
        <v>1</v>
      </c>
      <c r="T103" s="27">
        <v>15000</v>
      </c>
      <c r="U103" s="90"/>
      <c r="AE103" s="351" t="e">
        <f>'April Output'!C84</f>
        <v>#N/A</v>
      </c>
      <c r="AF103" s="44"/>
      <c r="AG103" s="47"/>
      <c r="AH103">
        <v>97</v>
      </c>
      <c r="AI103" t="s">
        <v>183</v>
      </c>
      <c r="AJ103" s="39" t="str">
        <f t="shared" si="20"/>
        <v/>
      </c>
    </row>
    <row r="104" spans="1:36">
      <c r="A104" s="593" t="s">
        <v>1197</v>
      </c>
      <c r="B104" s="84" t="s">
        <v>482</v>
      </c>
      <c r="C104" s="545"/>
      <c r="Q104" s="93"/>
      <c r="R104" s="27">
        <v>10000</v>
      </c>
      <c r="S104" t="b">
        <v>1</v>
      </c>
      <c r="T104" s="27">
        <v>15000</v>
      </c>
      <c r="U104" s="90"/>
      <c r="AE104" s="351" t="e">
        <f>'April Output'!C85</f>
        <v>#N/A</v>
      </c>
      <c r="AF104" s="44"/>
      <c r="AG104" s="47"/>
      <c r="AH104">
        <v>98</v>
      </c>
      <c r="AI104" t="s">
        <v>1109</v>
      </c>
      <c r="AJ104" s="39" t="str">
        <f t="shared" si="20"/>
        <v/>
      </c>
    </row>
    <row r="105" spans="1:36">
      <c r="A105" s="593">
        <v>1000380</v>
      </c>
      <c r="B105" s="84" t="s">
        <v>483</v>
      </c>
      <c r="C105" s="544"/>
      <c r="Q105" s="93"/>
      <c r="R105" s="27">
        <v>15000</v>
      </c>
      <c r="S105" t="b">
        <v>1</v>
      </c>
      <c r="T105" s="27">
        <v>15000</v>
      </c>
      <c r="U105" s="90"/>
      <c r="AE105" s="351" t="e">
        <f>'April Output'!C86</f>
        <v>#N/A</v>
      </c>
      <c r="AF105" s="44"/>
      <c r="AG105" s="47"/>
      <c r="AH105">
        <v>99</v>
      </c>
      <c r="AI105" t="s">
        <v>496</v>
      </c>
      <c r="AJ105" s="39" t="str">
        <f t="shared" si="20"/>
        <v/>
      </c>
    </row>
    <row r="106" spans="1:36">
      <c r="A106" s="593">
        <v>1000180</v>
      </c>
      <c r="B106" s="84" t="s">
        <v>485</v>
      </c>
      <c r="C106" s="545"/>
      <c r="Q106" s="93"/>
      <c r="R106" s="27">
        <v>20000</v>
      </c>
      <c r="S106" t="b">
        <v>1</v>
      </c>
      <c r="T106" s="27">
        <v>15000</v>
      </c>
      <c r="U106" s="90"/>
      <c r="AE106" s="351" t="e">
        <f>'April Output'!C87</f>
        <v>#N/A</v>
      </c>
      <c r="AF106" s="44"/>
      <c r="AG106" s="47"/>
      <c r="AH106">
        <v>100</v>
      </c>
      <c r="AI106" t="s">
        <v>498</v>
      </c>
      <c r="AJ106" s="39" t="str">
        <f t="shared" si="20"/>
        <v/>
      </c>
    </row>
    <row r="107" spans="1:36">
      <c r="A107" s="593" t="s">
        <v>1195</v>
      </c>
      <c r="B107" s="84" t="s">
        <v>486</v>
      </c>
      <c r="C107" s="545"/>
      <c r="R107" s="27">
        <v>25000</v>
      </c>
      <c r="S107" t="b">
        <v>1</v>
      </c>
      <c r="T107" s="27">
        <v>50000</v>
      </c>
      <c r="AE107" s="351" t="e">
        <f>'April Output'!C88</f>
        <v>#N/A</v>
      </c>
      <c r="AF107" s="44"/>
      <c r="AG107" s="47"/>
      <c r="AH107">
        <v>101</v>
      </c>
      <c r="AI107" t="s">
        <v>399</v>
      </c>
      <c r="AJ107" s="39" t="str">
        <f t="shared" si="20"/>
        <v/>
      </c>
    </row>
    <row r="108" spans="1:36">
      <c r="A108" s="593">
        <v>1000310</v>
      </c>
      <c r="B108" s="84" t="s">
        <v>488</v>
      </c>
      <c r="C108" s="545"/>
      <c r="R108" s="27">
        <v>35000</v>
      </c>
      <c r="S108" t="b">
        <v>1</v>
      </c>
      <c r="T108" s="27">
        <v>50000</v>
      </c>
      <c r="AE108" s="351" t="e">
        <f>'April Output'!C89</f>
        <v>#N/A</v>
      </c>
      <c r="AF108" s="44"/>
      <c r="AG108" s="47"/>
      <c r="AH108">
        <v>102</v>
      </c>
      <c r="AI108" t="s">
        <v>401</v>
      </c>
      <c r="AJ108" s="39" t="str">
        <f t="shared" si="20"/>
        <v/>
      </c>
    </row>
    <row r="109" spans="1:36">
      <c r="A109" s="593" t="s">
        <v>1198</v>
      </c>
      <c r="B109" s="84" t="s">
        <v>490</v>
      </c>
      <c r="C109" s="545"/>
      <c r="R109" s="27">
        <v>50000</v>
      </c>
      <c r="S109" t="b">
        <v>1</v>
      </c>
      <c r="T109" s="27">
        <v>50000</v>
      </c>
      <c r="AE109" s="351" t="e">
        <f>'April Output'!C90</f>
        <v>#N/A</v>
      </c>
      <c r="AF109" s="44"/>
      <c r="AG109" s="47"/>
      <c r="AH109">
        <v>103</v>
      </c>
      <c r="AI109" t="s">
        <v>409</v>
      </c>
      <c r="AJ109" s="39" t="str">
        <f t="shared" si="20"/>
        <v/>
      </c>
    </row>
    <row r="110" spans="1:36">
      <c r="A110" s="593">
        <v>1000300</v>
      </c>
      <c r="B110" s="84" t="s">
        <v>491</v>
      </c>
      <c r="C110" s="544"/>
      <c r="R110" s="27">
        <v>100000</v>
      </c>
      <c r="S110" t="b">
        <v>1</v>
      </c>
      <c r="T110" s="27">
        <v>50000</v>
      </c>
      <c r="AE110" s="351" t="str">
        <f>'April Output'!C91</f>
        <v/>
      </c>
      <c r="AF110" s="44"/>
      <c r="AG110" s="47"/>
      <c r="AH110">
        <v>104</v>
      </c>
      <c r="AI110" t="s">
        <v>173</v>
      </c>
      <c r="AJ110" s="39" t="str">
        <f t="shared" si="20"/>
        <v/>
      </c>
    </row>
    <row r="111" spans="1:36">
      <c r="A111" s="593">
        <v>10001</v>
      </c>
      <c r="B111" s="65" t="s">
        <v>1089</v>
      </c>
      <c r="C111" s="544"/>
      <c r="R111" s="27" t="s">
        <v>471</v>
      </c>
      <c r="S111" t="b">
        <v>0</v>
      </c>
      <c r="T111" s="27">
        <v>0</v>
      </c>
      <c r="AE111" s="350"/>
      <c r="AF111" s="44"/>
      <c r="AG111" s="47"/>
      <c r="AH111">
        <v>105</v>
      </c>
      <c r="AI111" t="s">
        <v>499</v>
      </c>
      <c r="AJ111" s="39" t="str">
        <f t="shared" si="20"/>
        <v/>
      </c>
    </row>
    <row r="112" spans="1:36">
      <c r="A112" s="593">
        <v>11001</v>
      </c>
      <c r="B112" s="46" t="s">
        <v>1090</v>
      </c>
      <c r="C112" s="544"/>
      <c r="R112" s="27"/>
      <c r="T112" s="27"/>
      <c r="AE112" s="43"/>
      <c r="AF112" s="44"/>
      <c r="AG112" s="47"/>
      <c r="AH112">
        <v>106</v>
      </c>
      <c r="AI112" t="s">
        <v>192</v>
      </c>
      <c r="AJ112" s="39" t="str">
        <f t="shared" si="20"/>
        <v/>
      </c>
    </row>
    <row r="113" spans="1:36">
      <c r="A113" s="593">
        <v>11045</v>
      </c>
      <c r="B113" s="46" t="s">
        <v>1091</v>
      </c>
      <c r="C113" s="544"/>
      <c r="R113" s="27"/>
      <c r="T113" s="27"/>
      <c r="AE113" s="43"/>
      <c r="AF113" s="44"/>
      <c r="AG113" s="47"/>
      <c r="AH113">
        <v>107</v>
      </c>
      <c r="AI113" t="s">
        <v>413</v>
      </c>
      <c r="AJ113" s="39" t="str">
        <f t="shared" si="20"/>
        <v/>
      </c>
    </row>
    <row r="114" spans="1:36">
      <c r="A114" s="593">
        <v>14500</v>
      </c>
      <c r="B114" s="46" t="s">
        <v>1092</v>
      </c>
      <c r="C114" s="544"/>
      <c r="O114" s="79" t="s">
        <v>495</v>
      </c>
      <c r="R114" s="27"/>
      <c r="T114" s="27"/>
      <c r="AE114" s="43"/>
      <c r="AF114" s="44"/>
      <c r="AG114" s="47"/>
      <c r="AH114">
        <v>108</v>
      </c>
      <c r="AI114" t="s">
        <v>1110</v>
      </c>
      <c r="AJ114" s="39" t="str">
        <f t="shared" si="20"/>
        <v/>
      </c>
    </row>
    <row r="115" spans="1:36">
      <c r="A115" s="593">
        <v>13720</v>
      </c>
      <c r="B115" s="46" t="s">
        <v>1093</v>
      </c>
      <c r="C115" s="544"/>
      <c r="O115" s="85" t="s">
        <v>452</v>
      </c>
      <c r="Q115" s="86" t="s">
        <v>453</v>
      </c>
      <c r="R115" s="87" t="s">
        <v>454</v>
      </c>
      <c r="S115" s="88" t="s">
        <v>455</v>
      </c>
      <c r="T115" s="87" t="s">
        <v>455</v>
      </c>
      <c r="U115" s="88" t="s">
        <v>456</v>
      </c>
      <c r="AE115" s="43"/>
      <c r="AF115" s="44"/>
      <c r="AG115" s="47"/>
      <c r="AH115">
        <v>109</v>
      </c>
      <c r="AI115" t="s">
        <v>501</v>
      </c>
      <c r="AJ115" s="39" t="str">
        <f t="shared" si="20"/>
        <v/>
      </c>
    </row>
    <row r="116" spans="1:36">
      <c r="A116" s="593">
        <v>12720</v>
      </c>
      <c r="B116" s="46" t="s">
        <v>1094</v>
      </c>
      <c r="C116" s="544"/>
      <c r="O116" s="21" t="s">
        <v>120</v>
      </c>
      <c r="Q116" s="89"/>
      <c r="R116" s="27" t="s">
        <v>460</v>
      </c>
      <c r="S116" t="b">
        <v>0</v>
      </c>
      <c r="T116" s="27">
        <v>0</v>
      </c>
      <c r="U116" s="90" t="b">
        <f>VLOOKUP($Q$117,$R$116:$T$122,2,FALSE)</f>
        <v>0</v>
      </c>
      <c r="AE116" s="43"/>
      <c r="AF116" s="44"/>
      <c r="AG116" s="47"/>
      <c r="AH116">
        <v>110</v>
      </c>
      <c r="AI116" t="s">
        <v>503</v>
      </c>
      <c r="AJ116" s="39" t="str">
        <f t="shared" si="20"/>
        <v/>
      </c>
    </row>
    <row r="117" spans="1:36">
      <c r="A117" s="593">
        <v>11920</v>
      </c>
      <c r="B117" s="46" t="s">
        <v>1095</v>
      </c>
      <c r="C117" s="544"/>
      <c r="O117" s="21" t="s">
        <v>463</v>
      </c>
      <c r="Q117" s="92" t="str">
        <f>IFERROR(VLOOKUP(Q116,R116:R122,1,FALSE),"Not required")</f>
        <v>Not required</v>
      </c>
      <c r="R117" s="27" t="s">
        <v>497</v>
      </c>
      <c r="S117" t="b">
        <v>1</v>
      </c>
      <c r="T117" s="27">
        <v>25000</v>
      </c>
      <c r="U117" s="90">
        <f>VLOOKUP($Q$117,$R$116:$T$122,3,FALSE)</f>
        <v>0</v>
      </c>
      <c r="AE117" s="43"/>
      <c r="AF117" s="44"/>
      <c r="AG117" s="47"/>
      <c r="AH117">
        <v>111</v>
      </c>
      <c r="AI117" t="s">
        <v>201</v>
      </c>
      <c r="AJ117" s="39" t="str">
        <f t="shared" si="20"/>
        <v/>
      </c>
    </row>
    <row r="118" spans="1:36">
      <c r="A118" s="593">
        <v>12800</v>
      </c>
      <c r="B118" s="46" t="s">
        <v>1096</v>
      </c>
      <c r="C118" s="544"/>
      <c r="R118" s="27">
        <v>5000</v>
      </c>
      <c r="S118" t="b">
        <v>1</v>
      </c>
      <c r="T118" s="27">
        <v>25000</v>
      </c>
      <c r="AE118" s="43"/>
      <c r="AF118" s="44"/>
      <c r="AG118" s="47"/>
      <c r="AH118">
        <v>112</v>
      </c>
      <c r="AI118" t="s">
        <v>416</v>
      </c>
      <c r="AJ118" s="39" t="str">
        <f t="shared" si="20"/>
        <v/>
      </c>
    </row>
    <row r="119" spans="1:36">
      <c r="A119" s="593">
        <v>13320</v>
      </c>
      <c r="B119" s="46" t="s">
        <v>1097</v>
      </c>
      <c r="C119" s="544"/>
      <c r="R119" s="27">
        <v>10000</v>
      </c>
      <c r="S119" t="b">
        <v>1</v>
      </c>
      <c r="T119" s="27">
        <v>25000</v>
      </c>
      <c r="AE119" s="43"/>
      <c r="AF119" s="44"/>
      <c r="AG119" s="47"/>
      <c r="AH119">
        <v>113</v>
      </c>
      <c r="AI119" t="s">
        <v>419</v>
      </c>
      <c r="AJ119" s="39" t="str">
        <f t="shared" si="20"/>
        <v/>
      </c>
    </row>
    <row r="120" spans="1:36">
      <c r="A120" s="593">
        <v>14550</v>
      </c>
      <c r="B120" s="46" t="s">
        <v>1098</v>
      </c>
      <c r="C120" s="544"/>
      <c r="R120" s="27">
        <v>25000</v>
      </c>
      <c r="S120" t="b">
        <v>1</v>
      </c>
      <c r="T120" s="27">
        <v>25000</v>
      </c>
      <c r="AE120" s="43"/>
      <c r="AF120" s="44"/>
      <c r="AG120" s="47"/>
      <c r="AH120">
        <v>114</v>
      </c>
      <c r="AI120" t="s">
        <v>422</v>
      </c>
      <c r="AJ120" s="39" t="str">
        <f t="shared" si="20"/>
        <v/>
      </c>
    </row>
    <row r="121" spans="1:36">
      <c r="A121" s="593">
        <v>13000</v>
      </c>
      <c r="B121" s="46" t="s">
        <v>1099</v>
      </c>
      <c r="C121" s="544"/>
      <c r="R121" s="27">
        <v>50000</v>
      </c>
      <c r="S121" t="b">
        <v>1</v>
      </c>
      <c r="T121" s="27">
        <v>50000</v>
      </c>
      <c r="AE121" s="43"/>
      <c r="AF121" s="44"/>
      <c r="AG121" s="47"/>
      <c r="AH121">
        <v>115</v>
      </c>
      <c r="AI121" t="s">
        <v>427</v>
      </c>
      <c r="AJ121" s="39" t="str">
        <f t="shared" si="20"/>
        <v/>
      </c>
    </row>
    <row r="122" spans="1:36">
      <c r="A122" s="593">
        <v>11710</v>
      </c>
      <c r="B122" s="46" t="s">
        <v>1100</v>
      </c>
      <c r="C122" s="544"/>
      <c r="R122" s="27" t="s">
        <v>471</v>
      </c>
      <c r="S122" t="b">
        <v>0</v>
      </c>
      <c r="T122" s="27">
        <v>0</v>
      </c>
      <c r="AE122" s="43"/>
      <c r="AF122" s="44"/>
      <c r="AG122" s="47"/>
      <c r="AH122">
        <v>116</v>
      </c>
      <c r="AI122" t="s">
        <v>430</v>
      </c>
      <c r="AJ122" s="39" t="str">
        <f t="shared" si="20"/>
        <v/>
      </c>
    </row>
    <row r="123" spans="1:36">
      <c r="A123" s="593">
        <v>11705</v>
      </c>
      <c r="B123" s="46" t="s">
        <v>1101</v>
      </c>
      <c r="C123" s="544"/>
      <c r="R123" s="27"/>
      <c r="T123" s="27"/>
      <c r="AE123" s="43"/>
      <c r="AF123" s="44"/>
      <c r="AG123" s="47"/>
      <c r="AH123">
        <v>117</v>
      </c>
      <c r="AI123" t="s">
        <v>433</v>
      </c>
      <c r="AJ123" s="39" t="str">
        <f t="shared" si="20"/>
        <v/>
      </c>
    </row>
    <row r="124" spans="1:36">
      <c r="A124" s="593">
        <v>11715</v>
      </c>
      <c r="B124" s="46" t="s">
        <v>1102</v>
      </c>
      <c r="C124" s="544"/>
      <c r="O124" s="79" t="s">
        <v>500</v>
      </c>
      <c r="R124" s="27"/>
      <c r="T124" s="27"/>
      <c r="AE124" s="43"/>
      <c r="AF124" s="44"/>
      <c r="AG124" s="47"/>
      <c r="AH124">
        <v>118</v>
      </c>
      <c r="AI124" t="s">
        <v>1036</v>
      </c>
      <c r="AJ124" s="39" t="str">
        <f t="shared" si="20"/>
        <v/>
      </c>
    </row>
    <row r="125" spans="1:36">
      <c r="A125" s="593">
        <v>14580</v>
      </c>
      <c r="B125" s="46" t="s">
        <v>1103</v>
      </c>
      <c r="C125" s="544"/>
      <c r="O125" s="85" t="s">
        <v>452</v>
      </c>
      <c r="Q125" s="86" t="s">
        <v>453</v>
      </c>
      <c r="R125" s="87" t="s">
        <v>454</v>
      </c>
      <c r="S125" s="88" t="s">
        <v>455</v>
      </c>
      <c r="T125" s="87" t="s">
        <v>455</v>
      </c>
      <c r="U125" s="88" t="s">
        <v>456</v>
      </c>
      <c r="AE125" s="43"/>
      <c r="AF125" s="44"/>
      <c r="AG125" s="47"/>
      <c r="AH125">
        <v>119</v>
      </c>
      <c r="AI125" t="s">
        <v>437</v>
      </c>
      <c r="AJ125" s="39" t="str">
        <f t="shared" si="20"/>
        <v/>
      </c>
    </row>
    <row r="126" spans="1:36">
      <c r="A126" s="593">
        <v>13900</v>
      </c>
      <c r="B126" s="46" t="s">
        <v>1104</v>
      </c>
      <c r="C126" s="544"/>
      <c r="O126" s="21" t="s">
        <v>129</v>
      </c>
      <c r="Q126" s="89">
        <f>C91</f>
        <v>0</v>
      </c>
      <c r="R126" s="27" t="s">
        <v>460</v>
      </c>
      <c r="S126" t="b">
        <v>0</v>
      </c>
      <c r="T126" s="27">
        <v>0</v>
      </c>
      <c r="U126" s="90" t="b">
        <f>VLOOKUP($Q$131,$R$126:$T$134,2,FALSE)</f>
        <v>0</v>
      </c>
      <c r="AE126" s="43"/>
      <c r="AF126" s="44"/>
      <c r="AG126" s="47"/>
      <c r="AH126">
        <v>120</v>
      </c>
      <c r="AI126" t="s">
        <v>164</v>
      </c>
      <c r="AJ126" s="39" t="str">
        <f t="shared" si="20"/>
        <v/>
      </c>
    </row>
    <row r="127" spans="1:36">
      <c r="A127" s="593">
        <v>13910</v>
      </c>
      <c r="B127" s="46" t="s">
        <v>1105</v>
      </c>
      <c r="C127" s="544"/>
      <c r="O127" s="21" t="s">
        <v>502</v>
      </c>
      <c r="Q127" s="89">
        <f>C92</f>
        <v>0</v>
      </c>
      <c r="R127" s="27">
        <v>1000</v>
      </c>
      <c r="S127" t="b">
        <v>1</v>
      </c>
      <c r="T127" s="27">
        <v>5000</v>
      </c>
      <c r="U127" s="90">
        <f>VLOOKUP($Q$131,$R$126:$T$134,3,FALSE)</f>
        <v>0</v>
      </c>
      <c r="AE127" s="43"/>
      <c r="AF127" s="44"/>
      <c r="AG127" s="47"/>
      <c r="AH127">
        <v>121</v>
      </c>
      <c r="AI127" t="s">
        <v>507</v>
      </c>
      <c r="AJ127" s="39" t="str">
        <f t="shared" si="20"/>
        <v/>
      </c>
    </row>
    <row r="128" spans="1:36">
      <c r="O128" s="21" t="s">
        <v>474</v>
      </c>
      <c r="Q128" s="94">
        <f>C93</f>
        <v>0</v>
      </c>
      <c r="R128" s="27">
        <v>5000</v>
      </c>
      <c r="S128" t="b">
        <v>1</v>
      </c>
      <c r="T128" s="27">
        <v>5000</v>
      </c>
      <c r="U128" s="64"/>
      <c r="AE128" s="43"/>
      <c r="AF128" s="44"/>
      <c r="AG128" s="47"/>
      <c r="AH128">
        <v>122</v>
      </c>
      <c r="AI128" t="s">
        <v>508</v>
      </c>
      <c r="AJ128" s="39" t="str">
        <f t="shared" si="20"/>
        <v/>
      </c>
    </row>
    <row r="129" spans="15:36">
      <c r="O129" s="21" t="s">
        <v>504</v>
      </c>
      <c r="Q129" s="94">
        <f>C94</f>
        <v>0</v>
      </c>
      <c r="R129" s="27">
        <v>10000</v>
      </c>
      <c r="S129" t="b">
        <v>1</v>
      </c>
      <c r="T129" s="27">
        <v>10000</v>
      </c>
      <c r="U129" s="64"/>
      <c r="AE129" s="43"/>
      <c r="AF129" s="44"/>
      <c r="AG129" s="47"/>
      <c r="AH129">
        <v>123</v>
      </c>
      <c r="AI129" t="s">
        <v>1111</v>
      </c>
      <c r="AJ129" s="39" t="str">
        <f t="shared" si="20"/>
        <v/>
      </c>
    </row>
    <row r="130" spans="15:36">
      <c r="O130" s="21" t="s">
        <v>505</v>
      </c>
      <c r="Q130" s="95">
        <f>SUM(Q126:Q129)</f>
        <v>0</v>
      </c>
      <c r="R130" s="27">
        <v>15000</v>
      </c>
      <c r="S130" t="b">
        <v>1</v>
      </c>
      <c r="T130" s="27">
        <v>10000</v>
      </c>
      <c r="AE130" s="43"/>
      <c r="AF130" s="44"/>
      <c r="AG130" s="47"/>
      <c r="AH130">
        <v>124</v>
      </c>
      <c r="AI130" t="s">
        <v>509</v>
      </c>
      <c r="AJ130" s="39" t="str">
        <f t="shared" si="20"/>
        <v/>
      </c>
    </row>
    <row r="131" spans="15:36">
      <c r="O131" s="21" t="s">
        <v>463</v>
      </c>
      <c r="Q131" s="92" t="str">
        <f>IFERROR(VLOOKUP(Q130,R126:R134,1,TRUE),"Not required")</f>
        <v>Not required</v>
      </c>
      <c r="R131" s="27">
        <v>20000</v>
      </c>
      <c r="S131" t="b">
        <v>1</v>
      </c>
      <c r="T131" s="27">
        <v>10000</v>
      </c>
      <c r="AE131" s="43"/>
      <c r="AF131" s="44"/>
      <c r="AG131" s="47"/>
      <c r="AH131">
        <v>125</v>
      </c>
      <c r="AI131" t="s">
        <v>510</v>
      </c>
      <c r="AJ131" s="39" t="str">
        <f t="shared" si="20"/>
        <v/>
      </c>
    </row>
    <row r="132" spans="15:36">
      <c r="R132" s="27">
        <v>25000</v>
      </c>
      <c r="S132" t="b">
        <v>1</v>
      </c>
      <c r="T132" s="27">
        <v>10000</v>
      </c>
      <c r="AE132" s="43"/>
      <c r="AF132" s="44"/>
      <c r="AG132" s="47"/>
      <c r="AH132">
        <v>126</v>
      </c>
      <c r="AI132" t="s">
        <v>441</v>
      </c>
      <c r="AJ132" s="39" t="str">
        <f t="shared" si="20"/>
        <v/>
      </c>
    </row>
    <row r="133" spans="15:36">
      <c r="R133" s="27">
        <v>50000</v>
      </c>
      <c r="S133" t="b">
        <v>1</v>
      </c>
      <c r="T133" s="27">
        <v>10000</v>
      </c>
      <c r="AE133" s="43"/>
      <c r="AF133" s="44"/>
      <c r="AG133" s="47"/>
      <c r="AH133">
        <v>127</v>
      </c>
      <c r="AI133" t="s">
        <v>511</v>
      </c>
      <c r="AJ133" s="39" t="str">
        <f t="shared" si="20"/>
        <v/>
      </c>
    </row>
    <row r="134" spans="15:36">
      <c r="R134" s="27" t="s">
        <v>471</v>
      </c>
      <c r="S134" t="b">
        <v>0</v>
      </c>
      <c r="T134" s="27">
        <v>0</v>
      </c>
      <c r="AE134" s="43"/>
      <c r="AF134" s="44"/>
      <c r="AG134" s="47"/>
      <c r="AH134">
        <v>128</v>
      </c>
      <c r="AI134" t="s">
        <v>512</v>
      </c>
      <c r="AJ134" s="39" t="str">
        <f t="shared" si="20"/>
        <v/>
      </c>
    </row>
    <row r="135" spans="15:36">
      <c r="R135" s="27"/>
      <c r="T135" s="27"/>
      <c r="AE135" s="43"/>
      <c r="AF135" s="44"/>
      <c r="AG135" s="47"/>
      <c r="AH135">
        <v>129</v>
      </c>
      <c r="AI135" t="s">
        <v>513</v>
      </c>
      <c r="AJ135" s="39" t="str">
        <f t="shared" si="20"/>
        <v/>
      </c>
    </row>
    <row r="136" spans="15:36">
      <c r="O136" s="79" t="s">
        <v>506</v>
      </c>
      <c r="R136" s="27"/>
      <c r="T136" s="27"/>
      <c r="AE136" s="43"/>
      <c r="AF136" s="44"/>
      <c r="AG136" s="47"/>
      <c r="AH136">
        <v>130</v>
      </c>
      <c r="AI136" t="s">
        <v>514</v>
      </c>
      <c r="AJ136" s="39" t="str">
        <f t="shared" si="20"/>
        <v/>
      </c>
    </row>
    <row r="137" spans="15:36">
      <c r="O137" s="85" t="s">
        <v>452</v>
      </c>
      <c r="Q137" s="86" t="s">
        <v>453</v>
      </c>
      <c r="R137" s="87" t="s">
        <v>454</v>
      </c>
      <c r="S137" s="88" t="s">
        <v>455</v>
      </c>
      <c r="T137" s="87" t="s">
        <v>455</v>
      </c>
      <c r="U137" s="88" t="s">
        <v>456</v>
      </c>
      <c r="AE137" s="43"/>
      <c r="AF137" s="44"/>
      <c r="AG137" s="47"/>
      <c r="AH137">
        <v>131</v>
      </c>
      <c r="AI137" t="s">
        <v>516</v>
      </c>
      <c r="AJ137" s="39" t="str">
        <f t="shared" si="20"/>
        <v/>
      </c>
    </row>
    <row r="138" spans="15:36">
      <c r="O138" s="21" t="s">
        <v>138</v>
      </c>
      <c r="Q138" s="94">
        <f>C95</f>
        <v>0</v>
      </c>
      <c r="R138" s="27" t="s">
        <v>460</v>
      </c>
      <c r="S138" t="b">
        <v>0</v>
      </c>
      <c r="T138" s="27">
        <v>0</v>
      </c>
      <c r="U138" s="90" t="b">
        <f>VLOOKUP($Q$139,$R$138:$T$143,2,FALSE)</f>
        <v>0</v>
      </c>
      <c r="AE138" s="43"/>
      <c r="AF138" s="44"/>
      <c r="AG138" s="47"/>
      <c r="AH138">
        <v>132</v>
      </c>
      <c r="AI138" t="s">
        <v>517</v>
      </c>
      <c r="AJ138" s="39" t="str">
        <f t="shared" si="20"/>
        <v/>
      </c>
    </row>
    <row r="139" spans="15:36">
      <c r="O139" s="21" t="s">
        <v>463</v>
      </c>
      <c r="Q139" s="92" t="str">
        <f>IFERROR(VLOOKUP(Q138,R138:R144,1,tur),"Not required")</f>
        <v>Not required</v>
      </c>
      <c r="R139" s="27" t="s">
        <v>497</v>
      </c>
      <c r="S139" t="b">
        <v>1</v>
      </c>
      <c r="T139" s="27">
        <v>10000</v>
      </c>
      <c r="U139" s="90">
        <f>VLOOKUP($Q$139,$R$138:$T$144,3,FALSE)</f>
        <v>0</v>
      </c>
      <c r="AE139" s="43"/>
      <c r="AF139" s="44"/>
      <c r="AG139" s="47"/>
      <c r="AH139">
        <v>133</v>
      </c>
      <c r="AI139" t="s">
        <v>519</v>
      </c>
      <c r="AJ139" s="39" t="str">
        <f t="shared" si="20"/>
        <v/>
      </c>
    </row>
    <row r="140" spans="15:36">
      <c r="R140" s="170">
        <v>25000</v>
      </c>
      <c r="S140" t="b">
        <v>1</v>
      </c>
      <c r="T140" s="170">
        <v>25000</v>
      </c>
      <c r="AE140" s="43"/>
      <c r="AF140" s="44"/>
      <c r="AG140" s="47"/>
      <c r="AH140">
        <v>134</v>
      </c>
      <c r="AI140" t="s">
        <v>521</v>
      </c>
      <c r="AJ140" s="39" t="str">
        <f t="shared" si="20"/>
        <v/>
      </c>
    </row>
    <row r="141" spans="15:36">
      <c r="R141" s="170">
        <v>50000</v>
      </c>
      <c r="S141" t="b">
        <v>1</v>
      </c>
      <c r="T141" s="170">
        <v>50000</v>
      </c>
      <c r="AE141" s="43"/>
      <c r="AF141" s="44"/>
      <c r="AG141" s="47"/>
      <c r="AH141">
        <v>135</v>
      </c>
      <c r="AI141" t="s">
        <v>523</v>
      </c>
      <c r="AJ141" s="39" t="str">
        <f t="shared" si="20"/>
        <v/>
      </c>
    </row>
    <row r="142" spans="15:36">
      <c r="R142" s="308">
        <v>100000</v>
      </c>
      <c r="S142" t="b">
        <v>1</v>
      </c>
      <c r="T142" s="308">
        <v>100000</v>
      </c>
      <c r="AE142" s="43"/>
      <c r="AF142" s="44"/>
      <c r="AG142" s="47"/>
      <c r="AH142">
        <v>136</v>
      </c>
      <c r="AI142" t="s">
        <v>525</v>
      </c>
      <c r="AJ142" s="39" t="str">
        <f t="shared" ref="AJ142:AJ201" si="21">IFERROR(IF($AJ$7&lt;&gt;"Quote","",IF(VLOOKUP(AI142,$AF$7:$AG$240,2,FALSE)=0,"-",VLOOKUP(AI142,$AF$7:$AG$240,2,FALSE))),"-")</f>
        <v/>
      </c>
    </row>
    <row r="143" spans="15:36">
      <c r="R143" s="308">
        <v>250000</v>
      </c>
      <c r="S143" t="b">
        <v>1</v>
      </c>
      <c r="T143" s="308">
        <v>250000</v>
      </c>
      <c r="AE143" s="43"/>
      <c r="AF143" s="44"/>
      <c r="AG143" s="47"/>
      <c r="AH143">
        <v>137</v>
      </c>
      <c r="AI143" t="s">
        <v>526</v>
      </c>
      <c r="AJ143" s="39" t="str">
        <f t="shared" si="21"/>
        <v/>
      </c>
    </row>
    <row r="144" spans="15:36">
      <c r="R144" s="27" t="s">
        <v>471</v>
      </c>
      <c r="S144" t="b">
        <v>0</v>
      </c>
      <c r="T144" s="27">
        <v>0</v>
      </c>
      <c r="AE144" s="43"/>
      <c r="AF144" s="44"/>
      <c r="AG144" s="47"/>
      <c r="AH144">
        <v>138</v>
      </c>
      <c r="AI144" t="s">
        <v>527</v>
      </c>
      <c r="AJ144" s="39" t="str">
        <f t="shared" si="21"/>
        <v/>
      </c>
    </row>
    <row r="145" spans="15:36">
      <c r="R145" s="27"/>
      <c r="T145" s="27"/>
      <c r="AE145" s="43"/>
      <c r="AF145" s="44"/>
      <c r="AG145" s="47"/>
      <c r="AH145">
        <v>139</v>
      </c>
      <c r="AI145" t="s">
        <v>528</v>
      </c>
      <c r="AJ145" s="39" t="str">
        <f t="shared" si="21"/>
        <v/>
      </c>
    </row>
    <row r="146" spans="15:36">
      <c r="R146" s="27"/>
      <c r="T146" s="27"/>
      <c r="AE146" s="43"/>
      <c r="AF146" s="44"/>
      <c r="AG146" s="47"/>
      <c r="AH146">
        <v>140</v>
      </c>
      <c r="AI146" t="s">
        <v>529</v>
      </c>
      <c r="AJ146" s="39" t="str">
        <f t="shared" si="21"/>
        <v/>
      </c>
    </row>
    <row r="147" spans="15:36">
      <c r="O147" s="79" t="s">
        <v>515</v>
      </c>
      <c r="R147" s="27"/>
      <c r="T147" s="27"/>
      <c r="AE147" s="43"/>
      <c r="AF147" s="44"/>
      <c r="AG147" s="47"/>
      <c r="AH147">
        <v>141</v>
      </c>
      <c r="AI147" t="s">
        <v>530</v>
      </c>
      <c r="AJ147" s="39" t="str">
        <f t="shared" si="21"/>
        <v/>
      </c>
    </row>
    <row r="148" spans="15:36">
      <c r="O148" s="85" t="s">
        <v>452</v>
      </c>
      <c r="Q148" s="86" t="s">
        <v>453</v>
      </c>
      <c r="R148" s="87" t="s">
        <v>454</v>
      </c>
      <c r="S148" s="88" t="s">
        <v>455</v>
      </c>
      <c r="T148" s="87" t="s">
        <v>455</v>
      </c>
      <c r="U148" s="88" t="s">
        <v>456</v>
      </c>
      <c r="AE148" s="43"/>
      <c r="AF148" s="44"/>
      <c r="AG148" s="47"/>
      <c r="AH148">
        <v>142</v>
      </c>
      <c r="AI148" t="s">
        <v>531</v>
      </c>
      <c r="AJ148" s="39" t="str">
        <f t="shared" si="21"/>
        <v/>
      </c>
    </row>
    <row r="149" spans="15:36">
      <c r="O149" s="21" t="s">
        <v>518</v>
      </c>
      <c r="Q149" s="96">
        <f>C96</f>
        <v>0</v>
      </c>
      <c r="R149" s="27" t="s">
        <v>460</v>
      </c>
      <c r="S149" t="b">
        <v>0</v>
      </c>
      <c r="T149" s="27">
        <v>0</v>
      </c>
      <c r="U149" s="90" t="b">
        <f>IFERROR(VLOOKUP($Q$149,$R$149:$T$154,2,FALSE),FALSE)</f>
        <v>0</v>
      </c>
      <c r="AE149" s="43"/>
      <c r="AF149" s="44"/>
      <c r="AG149" s="47"/>
      <c r="AH149">
        <v>143</v>
      </c>
      <c r="AI149" t="s">
        <v>533</v>
      </c>
      <c r="AJ149" s="39" t="str">
        <f t="shared" si="21"/>
        <v/>
      </c>
    </row>
    <row r="150" spans="15:36">
      <c r="Q150" s="93"/>
      <c r="R150" s="27" t="s">
        <v>520</v>
      </c>
      <c r="S150" t="b">
        <v>0</v>
      </c>
      <c r="T150" s="27">
        <v>100000</v>
      </c>
      <c r="U150" s="90" t="e">
        <f>VLOOKUP($Q$149,$R$149:$T$154,3,FALSE)</f>
        <v>#N/A</v>
      </c>
      <c r="AE150" s="43"/>
      <c r="AF150" s="44"/>
      <c r="AG150" s="47"/>
      <c r="AH150">
        <v>144</v>
      </c>
      <c r="AI150" t="s">
        <v>534</v>
      </c>
      <c r="AJ150" s="39" t="str">
        <f t="shared" si="21"/>
        <v/>
      </c>
    </row>
    <row r="151" spans="15:36">
      <c r="R151" s="27" t="s">
        <v>522</v>
      </c>
      <c r="S151" t="b">
        <v>1</v>
      </c>
      <c r="T151" s="27">
        <v>100000</v>
      </c>
      <c r="AE151" s="43"/>
      <c r="AF151" s="44"/>
      <c r="AG151" s="47"/>
      <c r="AH151">
        <v>145</v>
      </c>
      <c r="AI151" t="s">
        <v>536</v>
      </c>
      <c r="AJ151" s="39" t="str">
        <f t="shared" si="21"/>
        <v/>
      </c>
    </row>
    <row r="152" spans="15:36">
      <c r="R152" s="27" t="s">
        <v>524</v>
      </c>
      <c r="S152" t="b">
        <v>1</v>
      </c>
      <c r="T152" s="27">
        <v>100000</v>
      </c>
      <c r="AE152" s="43"/>
      <c r="AF152" s="44"/>
      <c r="AG152" s="47"/>
      <c r="AH152">
        <v>146</v>
      </c>
      <c r="AI152" t="s">
        <v>538</v>
      </c>
      <c r="AJ152" s="39" t="str">
        <f t="shared" si="21"/>
        <v/>
      </c>
    </row>
    <row r="153" spans="15:36">
      <c r="R153" s="27"/>
      <c r="S153" t="b">
        <v>1</v>
      </c>
      <c r="T153" s="27">
        <v>100000</v>
      </c>
      <c r="AE153" s="43"/>
      <c r="AF153" s="44"/>
      <c r="AG153" s="47"/>
      <c r="AH153">
        <v>147</v>
      </c>
      <c r="AI153" t="s">
        <v>540</v>
      </c>
      <c r="AJ153" s="39" t="str">
        <f t="shared" si="21"/>
        <v/>
      </c>
    </row>
    <row r="154" spans="15:36">
      <c r="R154" s="27"/>
      <c r="S154" t="b">
        <v>0</v>
      </c>
      <c r="T154" s="27">
        <v>0</v>
      </c>
      <c r="AE154" s="43"/>
      <c r="AF154" s="44"/>
      <c r="AG154" s="47"/>
      <c r="AH154">
        <v>148</v>
      </c>
      <c r="AI154" t="s">
        <v>541</v>
      </c>
      <c r="AJ154" s="39" t="str">
        <f t="shared" si="21"/>
        <v/>
      </c>
    </row>
    <row r="155" spans="15:36">
      <c r="R155" s="27"/>
      <c r="T155" s="27"/>
      <c r="AE155" s="43"/>
      <c r="AF155" s="44"/>
      <c r="AG155" s="47"/>
      <c r="AH155">
        <v>149</v>
      </c>
      <c r="AI155" t="s">
        <v>1037</v>
      </c>
      <c r="AJ155" s="39" t="str">
        <f t="shared" si="21"/>
        <v/>
      </c>
    </row>
    <row r="156" spans="15:36">
      <c r="R156" s="27"/>
      <c r="T156" s="27"/>
      <c r="AE156" s="43"/>
      <c r="AF156" s="44"/>
      <c r="AG156" s="47"/>
      <c r="AH156">
        <v>150</v>
      </c>
      <c r="AI156" t="s">
        <v>1038</v>
      </c>
      <c r="AJ156" s="39" t="str">
        <f t="shared" si="21"/>
        <v/>
      </c>
    </row>
    <row r="157" spans="15:36">
      <c r="R157" s="27"/>
      <c r="T157" s="27"/>
      <c r="AE157" s="43"/>
      <c r="AF157" s="44"/>
      <c r="AG157" s="47"/>
      <c r="AH157">
        <v>151</v>
      </c>
      <c r="AI157" t="s">
        <v>1039</v>
      </c>
      <c r="AJ157" s="39" t="str">
        <f t="shared" si="21"/>
        <v/>
      </c>
    </row>
    <row r="158" spans="15:36">
      <c r="R158" s="27"/>
      <c r="T158" s="27"/>
      <c r="AE158" s="43"/>
      <c r="AF158" s="44"/>
      <c r="AG158" s="47"/>
      <c r="AH158">
        <v>152</v>
      </c>
      <c r="AI158" t="s">
        <v>1040</v>
      </c>
      <c r="AJ158" s="39" t="str">
        <f t="shared" si="21"/>
        <v/>
      </c>
    </row>
    <row r="159" spans="15:36">
      <c r="O159" s="79" t="s">
        <v>532</v>
      </c>
      <c r="R159" s="27"/>
      <c r="T159" s="27"/>
      <c r="AE159" s="43"/>
      <c r="AF159" s="44"/>
      <c r="AG159" s="47"/>
      <c r="AH159">
        <v>153</v>
      </c>
      <c r="AI159" t="s">
        <v>1041</v>
      </c>
      <c r="AJ159" s="39" t="str">
        <f t="shared" si="21"/>
        <v/>
      </c>
    </row>
    <row r="160" spans="15:36">
      <c r="O160" s="85" t="s">
        <v>452</v>
      </c>
      <c r="Q160" s="86" t="s">
        <v>453</v>
      </c>
      <c r="R160" s="87" t="s">
        <v>454</v>
      </c>
      <c r="S160" s="88" t="s">
        <v>455</v>
      </c>
      <c r="T160" s="87" t="s">
        <v>455</v>
      </c>
      <c r="U160" s="88" t="s">
        <v>456</v>
      </c>
      <c r="AE160" s="43"/>
      <c r="AF160" s="44"/>
      <c r="AG160" s="47"/>
      <c r="AH160">
        <v>154</v>
      </c>
      <c r="AI160" t="s">
        <v>1042</v>
      </c>
      <c r="AJ160" s="39" t="str">
        <f t="shared" si="21"/>
        <v/>
      </c>
    </row>
    <row r="161" spans="15:36">
      <c r="O161" s="21" t="s">
        <v>535</v>
      </c>
      <c r="Q161" s="89">
        <f>C97</f>
        <v>0</v>
      </c>
      <c r="R161" s="27" t="s">
        <v>460</v>
      </c>
      <c r="S161" t="b">
        <v>0</v>
      </c>
      <c r="T161" s="27">
        <v>0</v>
      </c>
      <c r="U161" s="90" t="b">
        <f>VLOOKUP($Q$164,$R$161:$T$168,2,FALSE)</f>
        <v>0</v>
      </c>
      <c r="AE161" s="43"/>
      <c r="AF161" s="44"/>
      <c r="AG161" s="47"/>
      <c r="AH161">
        <v>155</v>
      </c>
      <c r="AI161" t="s">
        <v>1043</v>
      </c>
      <c r="AJ161" s="39" t="str">
        <f t="shared" si="21"/>
        <v/>
      </c>
    </row>
    <row r="162" spans="15:36">
      <c r="O162" s="21" t="s">
        <v>537</v>
      </c>
      <c r="Q162" s="89">
        <f>C98</f>
        <v>0</v>
      </c>
      <c r="R162" s="27">
        <v>1000000</v>
      </c>
      <c r="S162" t="b">
        <v>1</v>
      </c>
      <c r="T162" s="27">
        <v>1000000</v>
      </c>
      <c r="U162" s="90">
        <f>VLOOKUP($Q$164,$R$161:$T$168,3,FALSE)</f>
        <v>0</v>
      </c>
      <c r="AE162" s="43"/>
      <c r="AF162" s="44"/>
      <c r="AG162" s="47"/>
      <c r="AH162">
        <v>156</v>
      </c>
      <c r="AI162" t="s">
        <v>1044</v>
      </c>
      <c r="AJ162" s="39" t="str">
        <f t="shared" si="21"/>
        <v/>
      </c>
    </row>
    <row r="163" spans="15:36">
      <c r="O163" s="21" t="s">
        <v>539</v>
      </c>
      <c r="Q163">
        <f>IF(Q161="Other",Q162,Q161)</f>
        <v>0</v>
      </c>
      <c r="R163" s="27">
        <v>2000000</v>
      </c>
      <c r="S163" t="b">
        <v>1</v>
      </c>
      <c r="T163" s="27">
        <v>2000000</v>
      </c>
      <c r="AE163" s="43"/>
      <c r="AF163" s="44"/>
      <c r="AG163" s="47"/>
      <c r="AH163">
        <v>157</v>
      </c>
      <c r="AI163" t="s">
        <v>1045</v>
      </c>
      <c r="AJ163" s="39" t="str">
        <f t="shared" si="21"/>
        <v/>
      </c>
    </row>
    <row r="164" spans="15:36">
      <c r="O164" s="21" t="s">
        <v>463</v>
      </c>
      <c r="Q164" s="92" t="str">
        <f>IFERROR(VLOOKUP(Q163,R161:R168,1,TRUE),"Not required")</f>
        <v>Not required</v>
      </c>
      <c r="R164" s="27">
        <v>3000000</v>
      </c>
      <c r="S164" t="b">
        <v>1</v>
      </c>
      <c r="T164" s="27">
        <v>5000000</v>
      </c>
      <c r="AE164" s="43"/>
      <c r="AF164" s="44"/>
      <c r="AG164" s="47"/>
      <c r="AH164">
        <v>158</v>
      </c>
      <c r="AI164" t="s">
        <v>1046</v>
      </c>
      <c r="AJ164" s="39" t="str">
        <f t="shared" si="21"/>
        <v/>
      </c>
    </row>
    <row r="165" spans="15:36">
      <c r="R165" s="27">
        <v>4000000</v>
      </c>
      <c r="S165" t="b">
        <v>1</v>
      </c>
      <c r="T165" s="27">
        <v>5000000</v>
      </c>
      <c r="AE165" s="43"/>
      <c r="AF165" s="44"/>
      <c r="AG165" s="47"/>
      <c r="AH165">
        <v>159</v>
      </c>
      <c r="AI165" t="s">
        <v>1047</v>
      </c>
      <c r="AJ165" s="39" t="str">
        <f t="shared" si="21"/>
        <v/>
      </c>
    </row>
    <row r="166" spans="15:36">
      <c r="R166" s="27">
        <v>5000000</v>
      </c>
      <c r="S166" t="b">
        <v>1</v>
      </c>
      <c r="T166" s="27">
        <v>5000000</v>
      </c>
      <c r="AE166" s="43"/>
      <c r="AF166" s="44"/>
      <c r="AG166" s="47"/>
      <c r="AH166">
        <v>160</v>
      </c>
      <c r="AI166" t="s">
        <v>1048</v>
      </c>
      <c r="AJ166" s="39" t="str">
        <f t="shared" si="21"/>
        <v/>
      </c>
    </row>
    <row r="167" spans="15:36">
      <c r="R167" s="27" t="s">
        <v>542</v>
      </c>
      <c r="S167" t="b">
        <v>1</v>
      </c>
      <c r="T167" s="27">
        <v>5000000</v>
      </c>
      <c r="AE167" s="43"/>
      <c r="AF167" s="44"/>
      <c r="AG167" s="47"/>
      <c r="AH167">
        <v>161</v>
      </c>
      <c r="AI167" t="s">
        <v>1049</v>
      </c>
      <c r="AJ167" s="39" t="str">
        <f t="shared" si="21"/>
        <v/>
      </c>
    </row>
    <row r="168" spans="15:36">
      <c r="R168" s="27" t="s">
        <v>471</v>
      </c>
      <c r="S168" t="b">
        <v>0</v>
      </c>
      <c r="T168" s="27">
        <v>0</v>
      </c>
      <c r="AE168" s="43"/>
      <c r="AF168" s="44"/>
      <c r="AG168" s="47"/>
      <c r="AH168">
        <v>162</v>
      </c>
      <c r="AI168" t="s">
        <v>1050</v>
      </c>
      <c r="AJ168" s="39" t="str">
        <f t="shared" si="21"/>
        <v/>
      </c>
    </row>
    <row r="169" spans="15:36">
      <c r="O169" s="79" t="s">
        <v>543</v>
      </c>
      <c r="R169" s="27"/>
      <c r="T169" s="27"/>
      <c r="AE169" s="43"/>
      <c r="AF169" s="44"/>
      <c r="AG169" s="47"/>
      <c r="AH169">
        <v>163</v>
      </c>
      <c r="AI169" t="s">
        <v>1051</v>
      </c>
      <c r="AJ169" s="39" t="str">
        <f t="shared" si="21"/>
        <v/>
      </c>
    </row>
    <row r="170" spans="15:36">
      <c r="O170" s="85" t="s">
        <v>452</v>
      </c>
      <c r="Q170" s="86" t="s">
        <v>453</v>
      </c>
      <c r="R170" s="87" t="s">
        <v>454</v>
      </c>
      <c r="S170" s="88" t="s">
        <v>455</v>
      </c>
      <c r="T170" s="87" t="s">
        <v>455</v>
      </c>
      <c r="U170" s="88" t="s">
        <v>456</v>
      </c>
      <c r="AE170" s="43"/>
      <c r="AF170" s="44"/>
      <c r="AG170" s="47"/>
      <c r="AH170">
        <v>164</v>
      </c>
      <c r="AI170" t="s">
        <v>1052</v>
      </c>
      <c r="AJ170" s="39" t="str">
        <f t="shared" si="21"/>
        <v/>
      </c>
    </row>
    <row r="171" spans="15:36">
      <c r="O171" s="21" t="s">
        <v>449</v>
      </c>
      <c r="Q171" s="97">
        <v>10000</v>
      </c>
      <c r="R171" s="27" t="s">
        <v>460</v>
      </c>
      <c r="S171" t="b">
        <v>0</v>
      </c>
      <c r="T171" s="27">
        <v>0</v>
      </c>
      <c r="U171" s="90" t="b">
        <f>VLOOKUP($Q$172,$R$171:$T$176,2,FALSE)</f>
        <v>1</v>
      </c>
      <c r="AE171" s="43"/>
      <c r="AF171" s="44"/>
      <c r="AG171" s="47"/>
      <c r="AH171">
        <v>165</v>
      </c>
      <c r="AI171" t="s">
        <v>1053</v>
      </c>
      <c r="AJ171" s="39" t="str">
        <f t="shared" si="21"/>
        <v/>
      </c>
    </row>
    <row r="172" spans="15:36">
      <c r="O172" s="21" t="s">
        <v>463</v>
      </c>
      <c r="Q172" s="92">
        <f>IFERROR(VLOOKUP(Q171,R171:R177,1,TRUE),"Not required")</f>
        <v>10000</v>
      </c>
      <c r="R172" s="27">
        <v>5000</v>
      </c>
      <c r="S172" t="b">
        <v>1</v>
      </c>
      <c r="T172" s="27">
        <v>10000</v>
      </c>
      <c r="U172" s="90">
        <f>VLOOKUP($Q$172,$R$171:$T$176,3,FALSE)</f>
        <v>10000</v>
      </c>
      <c r="AE172" s="43"/>
      <c r="AF172" s="44"/>
      <c r="AG172" s="47"/>
      <c r="AH172">
        <v>166</v>
      </c>
      <c r="AI172" t="s">
        <v>1054</v>
      </c>
      <c r="AJ172" s="39" t="str">
        <f t="shared" si="21"/>
        <v/>
      </c>
    </row>
    <row r="173" spans="15:36">
      <c r="R173" s="27">
        <v>10000</v>
      </c>
      <c r="S173" t="b">
        <v>1</v>
      </c>
      <c r="T173" s="27">
        <v>10000</v>
      </c>
      <c r="AE173" s="43"/>
      <c r="AF173" s="44"/>
      <c r="AG173" s="47"/>
      <c r="AH173">
        <v>167</v>
      </c>
      <c r="AI173" t="s">
        <v>1055</v>
      </c>
      <c r="AJ173" s="39" t="str">
        <f t="shared" si="21"/>
        <v/>
      </c>
    </row>
    <row r="174" spans="15:36">
      <c r="R174" s="27">
        <v>25000</v>
      </c>
      <c r="S174" t="b">
        <v>1</v>
      </c>
      <c r="T174" s="27">
        <v>10000</v>
      </c>
      <c r="AE174" s="43"/>
      <c r="AF174" s="44"/>
      <c r="AG174" s="47"/>
      <c r="AH174">
        <v>168</v>
      </c>
      <c r="AI174" t="s">
        <v>1056</v>
      </c>
      <c r="AJ174" s="39" t="str">
        <f t="shared" si="21"/>
        <v/>
      </c>
    </row>
    <row r="175" spans="15:36">
      <c r="R175" s="27">
        <v>50000</v>
      </c>
      <c r="S175" t="b">
        <v>1</v>
      </c>
      <c r="T175" s="27">
        <v>10000</v>
      </c>
      <c r="AE175" s="43"/>
      <c r="AF175" s="44"/>
      <c r="AG175" s="47"/>
      <c r="AH175">
        <v>169</v>
      </c>
      <c r="AI175" t="s">
        <v>1057</v>
      </c>
      <c r="AJ175" s="39" t="str">
        <f t="shared" si="21"/>
        <v/>
      </c>
    </row>
    <row r="176" spans="15:36">
      <c r="R176" s="27">
        <v>100000</v>
      </c>
      <c r="S176" t="b">
        <v>1</v>
      </c>
      <c r="T176" s="27">
        <v>0</v>
      </c>
      <c r="AE176" s="43"/>
      <c r="AF176" s="44"/>
      <c r="AG176" s="47"/>
      <c r="AH176">
        <v>170</v>
      </c>
      <c r="AI176" t="s">
        <v>1058</v>
      </c>
      <c r="AJ176" s="39" t="str">
        <f t="shared" si="21"/>
        <v/>
      </c>
    </row>
    <row r="177" spans="15:36">
      <c r="R177" s="27"/>
      <c r="T177" s="27"/>
      <c r="AE177" s="43"/>
      <c r="AF177" s="44"/>
      <c r="AG177" s="47"/>
      <c r="AH177">
        <v>171</v>
      </c>
      <c r="AI177" t="s">
        <v>544</v>
      </c>
      <c r="AJ177" s="39" t="str">
        <f t="shared" si="21"/>
        <v/>
      </c>
    </row>
    <row r="178" spans="15:36">
      <c r="R178" s="27"/>
      <c r="T178" s="27"/>
      <c r="AE178" s="43"/>
      <c r="AF178" s="44"/>
      <c r="AG178" s="47"/>
      <c r="AH178">
        <v>172</v>
      </c>
      <c r="AI178" t="s">
        <v>1059</v>
      </c>
      <c r="AJ178" s="39" t="str">
        <f t="shared" si="21"/>
        <v/>
      </c>
    </row>
    <row r="179" spans="15:36">
      <c r="R179" s="27"/>
      <c r="T179" s="27"/>
      <c r="AH179">
        <v>173</v>
      </c>
      <c r="AI179" t="s">
        <v>1060</v>
      </c>
      <c r="AJ179" s="39" t="str">
        <f t="shared" si="21"/>
        <v/>
      </c>
    </row>
    <row r="180" spans="15:36">
      <c r="O180" s="79" t="s">
        <v>547</v>
      </c>
      <c r="R180" s="27"/>
      <c r="T180" s="27"/>
      <c r="AH180">
        <v>174</v>
      </c>
      <c r="AI180" t="s">
        <v>1061</v>
      </c>
      <c r="AJ180" s="39" t="str">
        <f t="shared" si="21"/>
        <v/>
      </c>
    </row>
    <row r="181" spans="15:36">
      <c r="O181" s="85" t="s">
        <v>452</v>
      </c>
      <c r="Q181" s="86" t="s">
        <v>453</v>
      </c>
      <c r="R181" s="87" t="s">
        <v>454</v>
      </c>
      <c r="S181" s="88" t="s">
        <v>455</v>
      </c>
      <c r="T181" s="87" t="s">
        <v>455</v>
      </c>
      <c r="U181" s="88" t="s">
        <v>456</v>
      </c>
      <c r="AH181">
        <v>175</v>
      </c>
      <c r="AI181" t="s">
        <v>1062</v>
      </c>
      <c r="AJ181" s="39" t="str">
        <f t="shared" si="21"/>
        <v/>
      </c>
    </row>
    <row r="182" spans="15:36">
      <c r="O182" s="21" t="s">
        <v>550</v>
      </c>
      <c r="Q182" s="89">
        <f>C100</f>
        <v>0</v>
      </c>
      <c r="R182" s="27" t="s">
        <v>460</v>
      </c>
      <c r="S182" t="b">
        <v>0</v>
      </c>
      <c r="T182" s="27">
        <v>0</v>
      </c>
      <c r="U182" s="90" t="b">
        <f>VLOOKUP($Q$186,$R$182:$T$193,2,FALSE)</f>
        <v>0</v>
      </c>
      <c r="AH182">
        <v>176</v>
      </c>
      <c r="AI182" t="s">
        <v>1063</v>
      </c>
      <c r="AJ182" s="39" t="str">
        <f t="shared" si="21"/>
        <v/>
      </c>
    </row>
    <row r="183" spans="15:36">
      <c r="O183" s="21" t="s">
        <v>552</v>
      </c>
      <c r="Q183" s="89">
        <f>C101</f>
        <v>0</v>
      </c>
      <c r="R183" s="27" t="s">
        <v>497</v>
      </c>
      <c r="S183" t="b">
        <v>1</v>
      </c>
      <c r="T183" s="27">
        <v>10000</v>
      </c>
      <c r="U183" s="90">
        <f>VLOOKUP($Q$186,$R$182:$T$193,3,FALSE)</f>
        <v>0</v>
      </c>
      <c r="AH183">
        <v>177</v>
      </c>
      <c r="AI183" t="s">
        <v>1064</v>
      </c>
      <c r="AJ183" s="39" t="str">
        <f t="shared" si="21"/>
        <v/>
      </c>
    </row>
    <row r="184" spans="15:36">
      <c r="O184" s="21" t="s">
        <v>554</v>
      </c>
      <c r="Q184" s="31">
        <f>IF(Q182="Other",Q183,Q182)</f>
        <v>0</v>
      </c>
      <c r="R184" s="27">
        <v>5000</v>
      </c>
      <c r="S184" t="b">
        <v>1</v>
      </c>
      <c r="T184" s="27">
        <v>10000</v>
      </c>
      <c r="AH184">
        <v>178</v>
      </c>
      <c r="AI184" t="s">
        <v>1065</v>
      </c>
      <c r="AJ184" s="39" t="str">
        <f t="shared" si="21"/>
        <v/>
      </c>
    </row>
    <row r="185" spans="15:36">
      <c r="Q185" s="31"/>
      <c r="R185" s="27">
        <v>10000</v>
      </c>
      <c r="S185" t="b">
        <v>1</v>
      </c>
      <c r="T185" s="27">
        <v>10000</v>
      </c>
      <c r="AH185">
        <v>179</v>
      </c>
      <c r="AI185" t="s">
        <v>545</v>
      </c>
      <c r="AJ185" s="39" t="str">
        <f t="shared" si="21"/>
        <v/>
      </c>
    </row>
    <row r="186" spans="15:36">
      <c r="O186" s="21" t="s">
        <v>463</v>
      </c>
      <c r="Q186" s="98" t="str">
        <f>IFERROR(VLOOKUP(Q184,R182:R193,1,TRUE),"Not required")</f>
        <v>Not required</v>
      </c>
      <c r="R186" s="27">
        <v>25000</v>
      </c>
      <c r="S186" t="b">
        <v>1</v>
      </c>
      <c r="T186" s="27">
        <v>10000</v>
      </c>
      <c r="AH186">
        <v>180</v>
      </c>
      <c r="AI186" t="s">
        <v>546</v>
      </c>
      <c r="AJ186" s="39" t="str">
        <f t="shared" si="21"/>
        <v/>
      </c>
    </row>
    <row r="187" spans="15:36">
      <c r="R187" s="27">
        <v>50000</v>
      </c>
      <c r="S187" t="b">
        <v>1</v>
      </c>
      <c r="T187" s="27">
        <v>10000</v>
      </c>
      <c r="AH187">
        <v>181</v>
      </c>
      <c r="AI187" t="s">
        <v>548</v>
      </c>
      <c r="AJ187" s="39" t="str">
        <f t="shared" si="21"/>
        <v/>
      </c>
    </row>
    <row r="188" spans="15:36">
      <c r="R188" s="27">
        <v>100000</v>
      </c>
      <c r="S188" t="b">
        <v>1</v>
      </c>
      <c r="T188" s="27">
        <v>10000</v>
      </c>
      <c r="AH188">
        <v>182</v>
      </c>
      <c r="AI188" t="s">
        <v>549</v>
      </c>
      <c r="AJ188" s="39" t="str">
        <f t="shared" si="21"/>
        <v/>
      </c>
    </row>
    <row r="189" spans="15:36">
      <c r="R189" s="27">
        <v>250000</v>
      </c>
      <c r="S189" t="b">
        <v>1</v>
      </c>
      <c r="T189" s="27">
        <v>10000</v>
      </c>
      <c r="AH189">
        <v>183</v>
      </c>
      <c r="AI189" t="s">
        <v>551</v>
      </c>
      <c r="AJ189" s="39" t="str">
        <f t="shared" si="21"/>
        <v/>
      </c>
    </row>
    <row r="190" spans="15:36">
      <c r="R190" s="27">
        <v>1000000</v>
      </c>
      <c r="S190" t="b">
        <v>1</v>
      </c>
      <c r="T190" s="27">
        <v>10000</v>
      </c>
      <c r="AH190">
        <v>184</v>
      </c>
      <c r="AI190" t="s">
        <v>553</v>
      </c>
      <c r="AJ190" s="39" t="str">
        <f t="shared" si="21"/>
        <v/>
      </c>
    </row>
    <row r="191" spans="15:36">
      <c r="R191" s="27">
        <v>2000000</v>
      </c>
      <c r="S191" t="b">
        <v>1</v>
      </c>
      <c r="T191" s="27">
        <v>10000</v>
      </c>
      <c r="AH191">
        <v>185</v>
      </c>
      <c r="AI191" t="s">
        <v>555</v>
      </c>
      <c r="AJ191" s="39" t="str">
        <f t="shared" si="21"/>
        <v/>
      </c>
    </row>
    <row r="192" spans="15:36">
      <c r="R192" s="27">
        <v>5000000</v>
      </c>
      <c r="S192" t="b">
        <v>1</v>
      </c>
      <c r="T192" s="27">
        <v>10000</v>
      </c>
      <c r="AH192">
        <v>186</v>
      </c>
      <c r="AI192" t="s">
        <v>556</v>
      </c>
      <c r="AJ192" s="39" t="str">
        <f t="shared" si="21"/>
        <v/>
      </c>
    </row>
    <row r="193" spans="15:36">
      <c r="R193" s="27" t="s">
        <v>471</v>
      </c>
      <c r="S193" t="b">
        <v>0</v>
      </c>
      <c r="T193" s="27">
        <v>0</v>
      </c>
      <c r="AH193">
        <v>187</v>
      </c>
      <c r="AI193" t="s">
        <v>1112</v>
      </c>
      <c r="AJ193" s="39" t="str">
        <f t="shared" si="21"/>
        <v/>
      </c>
    </row>
    <row r="194" spans="15:36">
      <c r="R194" s="27"/>
      <c r="T194" s="27"/>
      <c r="AH194">
        <v>188</v>
      </c>
      <c r="AI194" t="s">
        <v>1113</v>
      </c>
      <c r="AJ194" s="39" t="str">
        <f t="shared" si="21"/>
        <v/>
      </c>
    </row>
    <row r="195" spans="15:36">
      <c r="R195" s="27"/>
      <c r="T195" s="27"/>
      <c r="AH195">
        <v>189</v>
      </c>
      <c r="AI195" t="s">
        <v>1114</v>
      </c>
      <c r="AJ195" s="39" t="str">
        <f t="shared" si="21"/>
        <v/>
      </c>
    </row>
    <row r="196" spans="15:36">
      <c r="R196" s="27"/>
      <c r="T196" s="27"/>
      <c r="AH196">
        <v>190</v>
      </c>
      <c r="AI196" t="s">
        <v>1115</v>
      </c>
      <c r="AJ196" s="39" t="str">
        <f t="shared" si="21"/>
        <v/>
      </c>
    </row>
    <row r="197" spans="15:36">
      <c r="O197" s="79" t="s">
        <v>557</v>
      </c>
      <c r="R197" s="27"/>
      <c r="T197" s="27"/>
      <c r="AH197">
        <v>191</v>
      </c>
      <c r="AI197" t="s">
        <v>1116</v>
      </c>
      <c r="AJ197" s="39" t="str">
        <f t="shared" si="21"/>
        <v/>
      </c>
    </row>
    <row r="198" spans="15:36">
      <c r="O198" s="85" t="s">
        <v>452</v>
      </c>
      <c r="Q198" s="86" t="s">
        <v>453</v>
      </c>
      <c r="R198" s="87" t="s">
        <v>454</v>
      </c>
      <c r="S198" s="88" t="s">
        <v>455</v>
      </c>
      <c r="T198" s="87" t="s">
        <v>455</v>
      </c>
      <c r="U198" s="88" t="s">
        <v>456</v>
      </c>
      <c r="AH198">
        <v>192</v>
      </c>
      <c r="AI198" t="s">
        <v>1117</v>
      </c>
      <c r="AJ198" s="39" t="str">
        <f t="shared" si="21"/>
        <v/>
      </c>
    </row>
    <row r="199" spans="15:36">
      <c r="O199" s="21" t="s">
        <v>558</v>
      </c>
      <c r="Q199" s="89">
        <f>C102</f>
        <v>0</v>
      </c>
      <c r="R199" s="27" t="s">
        <v>460</v>
      </c>
      <c r="S199" t="b">
        <v>0</v>
      </c>
      <c r="T199" s="27">
        <v>0</v>
      </c>
      <c r="U199" s="90" t="b">
        <f>VLOOKUP($Q$202,$R$199:$T$204,2,FALSE)</f>
        <v>0</v>
      </c>
      <c r="AH199">
        <v>193</v>
      </c>
      <c r="AI199" t="s">
        <v>1118</v>
      </c>
      <c r="AJ199" s="39" t="str">
        <f t="shared" si="21"/>
        <v/>
      </c>
    </row>
    <row r="200" spans="15:36">
      <c r="O200" s="21" t="s">
        <v>559</v>
      </c>
      <c r="Q200" s="99"/>
      <c r="R200" s="27" t="s">
        <v>497</v>
      </c>
      <c r="S200" t="b">
        <v>1</v>
      </c>
      <c r="T200" s="27">
        <v>50000</v>
      </c>
      <c r="U200" s="90">
        <f>VLOOKUP($Q$202,$R$199:$T$204,3,FALSE)</f>
        <v>0</v>
      </c>
      <c r="AH200">
        <v>194</v>
      </c>
      <c r="AI200" t="s">
        <v>1119</v>
      </c>
      <c r="AJ200" s="39" t="str">
        <f t="shared" si="21"/>
        <v/>
      </c>
    </row>
    <row r="201" spans="15:36">
      <c r="O201" s="21" t="s">
        <v>560</v>
      </c>
      <c r="Q201">
        <f>IF(Q199="Other",Q200,Q199)</f>
        <v>0</v>
      </c>
      <c r="R201" s="27">
        <v>50000</v>
      </c>
      <c r="S201" t="b">
        <v>1</v>
      </c>
      <c r="T201" s="27">
        <v>50000</v>
      </c>
      <c r="AH201">
        <v>195</v>
      </c>
      <c r="AI201" t="s">
        <v>1120</v>
      </c>
      <c r="AJ201" s="39" t="str">
        <f t="shared" si="21"/>
        <v/>
      </c>
    </row>
    <row r="202" spans="15:36">
      <c r="O202" s="21" t="s">
        <v>463</v>
      </c>
      <c r="Q202" s="92" t="str">
        <f>IFERROR(VLOOKUP(Q201,R199:R205,1,TRUE),"Not required")</f>
        <v>Not required</v>
      </c>
      <c r="R202" s="27">
        <v>100000</v>
      </c>
      <c r="S202" t="b">
        <v>1</v>
      </c>
      <c r="T202" s="27">
        <v>50000</v>
      </c>
    </row>
    <row r="203" spans="15:36">
      <c r="R203" s="27">
        <v>250000</v>
      </c>
      <c r="S203" t="b">
        <v>1</v>
      </c>
      <c r="T203" s="27">
        <v>50000</v>
      </c>
    </row>
    <row r="204" spans="15:36">
      <c r="R204" s="27" t="s">
        <v>471</v>
      </c>
      <c r="S204" t="b">
        <v>0</v>
      </c>
      <c r="T204" s="27">
        <v>0</v>
      </c>
    </row>
    <row r="205" spans="15:36">
      <c r="R205" s="27"/>
      <c r="T205" s="27"/>
    </row>
    <row r="206" spans="15:36">
      <c r="O206" s="79" t="s">
        <v>561</v>
      </c>
      <c r="R206" s="27"/>
      <c r="T206" s="27"/>
    </row>
    <row r="207" spans="15:36">
      <c r="O207" s="85" t="s">
        <v>452</v>
      </c>
      <c r="Q207" s="86" t="s">
        <v>453</v>
      </c>
      <c r="R207" s="87" t="s">
        <v>454</v>
      </c>
      <c r="S207" s="88" t="s">
        <v>455</v>
      </c>
      <c r="T207" s="87" t="s">
        <v>455</v>
      </c>
      <c r="U207" s="88" t="s">
        <v>456</v>
      </c>
    </row>
    <row r="208" spans="15:36">
      <c r="O208" s="21" t="s">
        <v>562</v>
      </c>
      <c r="Q208" s="89">
        <f>C103</f>
        <v>0</v>
      </c>
      <c r="R208" s="27" t="s">
        <v>460</v>
      </c>
      <c r="S208" t="b">
        <v>0</v>
      </c>
      <c r="T208" s="27">
        <v>0</v>
      </c>
      <c r="U208" s="90" t="b">
        <f>VLOOKUP($Q$211,$R$208:$T$213,2,FALSE)</f>
        <v>0</v>
      </c>
    </row>
    <row r="209" spans="15:21">
      <c r="O209" s="21" t="s">
        <v>563</v>
      </c>
      <c r="Q209" s="99">
        <f>C104</f>
        <v>0</v>
      </c>
      <c r="R209" s="27" t="s">
        <v>497</v>
      </c>
      <c r="S209" t="b">
        <v>1</v>
      </c>
      <c r="T209" s="27">
        <v>250000</v>
      </c>
      <c r="U209" s="90">
        <f>VLOOKUP($Q$211,$R$208:$T$213,3,FALSE)</f>
        <v>0</v>
      </c>
    </row>
    <row r="210" spans="15:21">
      <c r="O210" s="21" t="s">
        <v>564</v>
      </c>
      <c r="Q210">
        <f>IF(Q208="Other",Q209,Q208)</f>
        <v>0</v>
      </c>
      <c r="R210" s="27">
        <v>1000000</v>
      </c>
      <c r="S210" t="b">
        <v>1</v>
      </c>
      <c r="T210" s="27">
        <v>250000</v>
      </c>
    </row>
    <row r="211" spans="15:21">
      <c r="O211" s="21" t="s">
        <v>463</v>
      </c>
      <c r="Q211" s="92" t="str">
        <f>IFERROR(VLOOKUP(Q210,R208:R214,1,TRUE),"Not required")</f>
        <v>Not required</v>
      </c>
      <c r="R211" s="27">
        <v>2000000</v>
      </c>
      <c r="S211" t="b">
        <v>1</v>
      </c>
      <c r="T211" s="27">
        <v>250000</v>
      </c>
    </row>
    <row r="212" spans="15:21">
      <c r="R212" s="27">
        <v>5000000</v>
      </c>
      <c r="S212" t="b">
        <v>1</v>
      </c>
      <c r="T212" s="27">
        <v>250000</v>
      </c>
    </row>
    <row r="213" spans="15:21">
      <c r="R213" s="27" t="s">
        <v>471</v>
      </c>
      <c r="S213" t="b">
        <v>0</v>
      </c>
      <c r="T213" s="27">
        <v>0</v>
      </c>
    </row>
    <row r="214" spans="15:21">
      <c r="R214" s="27"/>
      <c r="T214" s="27"/>
    </row>
    <row r="215" spans="15:21">
      <c r="R215" s="27"/>
      <c r="T215" s="27"/>
    </row>
    <row r="216" spans="15:21">
      <c r="R216" s="27"/>
      <c r="T216" s="27"/>
    </row>
    <row r="217" spans="15:21">
      <c r="O217" s="79" t="s">
        <v>565</v>
      </c>
      <c r="R217" s="27"/>
      <c r="T217" s="27"/>
    </row>
    <row r="218" spans="15:21">
      <c r="O218" s="85" t="s">
        <v>452</v>
      </c>
      <c r="Q218" s="86" t="s">
        <v>453</v>
      </c>
      <c r="R218" s="87" t="s">
        <v>454</v>
      </c>
      <c r="S218" s="88" t="s">
        <v>455</v>
      </c>
      <c r="T218" s="87" t="s">
        <v>455</v>
      </c>
      <c r="U218" s="88" t="s">
        <v>456</v>
      </c>
    </row>
    <row r="219" spans="15:21">
      <c r="O219" s="21" t="s">
        <v>566</v>
      </c>
      <c r="Q219" s="97">
        <f>C105</f>
        <v>0</v>
      </c>
      <c r="R219" s="27" t="s">
        <v>460</v>
      </c>
      <c r="S219" t="b">
        <v>0</v>
      </c>
      <c r="T219" s="27">
        <v>0</v>
      </c>
      <c r="U219" s="90" t="b">
        <f>VLOOKUP($Q$220,$R$219:$T$224,2,FALSE)</f>
        <v>0</v>
      </c>
    </row>
    <row r="220" spans="15:21">
      <c r="O220" s="21" t="s">
        <v>463</v>
      </c>
      <c r="Q220" s="92" t="str">
        <f>IFERROR(VLOOKUP(Q219,R219:R225,1,TRUE),"Not required")</f>
        <v>Not required</v>
      </c>
      <c r="R220" s="27"/>
      <c r="S220" t="b">
        <v>1</v>
      </c>
      <c r="T220" s="27">
        <v>10000</v>
      </c>
      <c r="U220" s="90">
        <f>VLOOKUP($Q$220,$R$219:$T$224,3,FALSE)</f>
        <v>0</v>
      </c>
    </row>
    <row r="221" spans="15:21">
      <c r="R221" s="27"/>
      <c r="S221" t="b">
        <v>1</v>
      </c>
      <c r="T221" s="27">
        <v>10000</v>
      </c>
    </row>
    <row r="222" spans="15:21">
      <c r="R222" s="27"/>
      <c r="S222" t="b">
        <v>1</v>
      </c>
      <c r="T222" s="27">
        <v>10000</v>
      </c>
    </row>
    <row r="223" spans="15:21">
      <c r="R223" s="27"/>
      <c r="S223" t="b">
        <v>1</v>
      </c>
      <c r="T223" s="27">
        <v>10000</v>
      </c>
    </row>
    <row r="224" spans="15:21">
      <c r="R224" s="27"/>
      <c r="S224" t="b">
        <v>0</v>
      </c>
      <c r="T224" s="27">
        <v>0</v>
      </c>
    </row>
    <row r="225" spans="15:21">
      <c r="R225" s="27"/>
      <c r="T225" s="27"/>
    </row>
    <row r="226" spans="15:21">
      <c r="R226" s="27"/>
      <c r="T226" s="27"/>
    </row>
    <row r="227" spans="15:21">
      <c r="O227" s="79" t="s">
        <v>567</v>
      </c>
      <c r="R227" s="27"/>
      <c r="T227" s="27"/>
    </row>
    <row r="228" spans="15:21">
      <c r="O228" s="85" t="s">
        <v>452</v>
      </c>
      <c r="Q228" s="86" t="s">
        <v>453</v>
      </c>
      <c r="R228" s="87" t="s">
        <v>454</v>
      </c>
      <c r="S228" s="88" t="s">
        <v>455</v>
      </c>
      <c r="T228" s="87" t="s">
        <v>455</v>
      </c>
      <c r="U228" s="88" t="s">
        <v>456</v>
      </c>
    </row>
    <row r="229" spans="15:21">
      <c r="O229" s="21" t="s">
        <v>568</v>
      </c>
      <c r="Q229" s="89">
        <f>C106</f>
        <v>0</v>
      </c>
      <c r="R229" s="27" t="s">
        <v>460</v>
      </c>
      <c r="S229" t="b">
        <v>0</v>
      </c>
      <c r="T229" s="27">
        <v>0</v>
      </c>
      <c r="U229" s="90" t="b">
        <f>VLOOKUP($Q$232,$R$229:$T$236,2,FALSE)</f>
        <v>0</v>
      </c>
    </row>
    <row r="230" spans="15:21">
      <c r="O230" s="21" t="s">
        <v>569</v>
      </c>
      <c r="Q230" s="89">
        <f>C107</f>
        <v>0</v>
      </c>
      <c r="R230" s="27" t="s">
        <v>497</v>
      </c>
      <c r="S230" t="b">
        <v>1</v>
      </c>
      <c r="T230" s="27">
        <v>250000</v>
      </c>
      <c r="U230" s="90">
        <f>VLOOKUP($Q$232,$R$229:$T$236,3,FALSE)</f>
        <v>0</v>
      </c>
    </row>
    <row r="231" spans="15:21">
      <c r="O231" s="21" t="s">
        <v>570</v>
      </c>
      <c r="Q231">
        <f>IF(Q229="Other",Q230,Q229)</f>
        <v>0</v>
      </c>
      <c r="R231" s="27">
        <v>250000</v>
      </c>
      <c r="S231" t="b">
        <v>1</v>
      </c>
      <c r="T231" s="27">
        <v>250000</v>
      </c>
    </row>
    <row r="232" spans="15:21">
      <c r="O232" s="21" t="s">
        <v>463</v>
      </c>
      <c r="Q232" s="92" t="str">
        <f>IFERROR(VLOOKUP(Q231,R229:R236,1,TRUE),"Not required")</f>
        <v>Not required</v>
      </c>
      <c r="R232" s="27">
        <v>500000</v>
      </c>
      <c r="S232" t="b">
        <v>1</v>
      </c>
      <c r="T232" s="27">
        <v>250000</v>
      </c>
    </row>
    <row r="233" spans="15:21">
      <c r="R233" s="27">
        <v>1000000</v>
      </c>
      <c r="S233" t="b">
        <v>1</v>
      </c>
      <c r="T233" s="27">
        <v>250000</v>
      </c>
    </row>
    <row r="234" spans="15:21">
      <c r="R234" s="27">
        <v>2000000</v>
      </c>
      <c r="S234" t="b">
        <v>1</v>
      </c>
      <c r="T234" s="27">
        <v>250000</v>
      </c>
    </row>
    <row r="235" spans="15:21">
      <c r="R235" s="27">
        <v>5000000</v>
      </c>
      <c r="S235" t="b">
        <v>1</v>
      </c>
      <c r="T235" s="27">
        <v>250000</v>
      </c>
    </row>
    <row r="236" spans="15:21">
      <c r="R236" s="27" t="s">
        <v>471</v>
      </c>
      <c r="S236" t="b">
        <v>0</v>
      </c>
      <c r="T236" s="27">
        <v>0</v>
      </c>
    </row>
    <row r="237" spans="15:21">
      <c r="R237" s="27"/>
      <c r="T237" s="27"/>
    </row>
    <row r="238" spans="15:21">
      <c r="R238" s="27"/>
      <c r="T238" s="27"/>
    </row>
    <row r="239" spans="15:21">
      <c r="O239" s="79" t="s">
        <v>571</v>
      </c>
      <c r="R239" s="27"/>
      <c r="T239" s="27"/>
    </row>
    <row r="240" spans="15:21">
      <c r="O240" s="85" t="s">
        <v>452</v>
      </c>
      <c r="Q240" s="86" t="s">
        <v>453</v>
      </c>
      <c r="R240" s="87" t="s">
        <v>454</v>
      </c>
      <c r="S240" s="88" t="s">
        <v>455</v>
      </c>
      <c r="T240" s="87" t="s">
        <v>455</v>
      </c>
      <c r="U240" s="88" t="s">
        <v>456</v>
      </c>
    </row>
    <row r="241" spans="15:21">
      <c r="O241" s="21" t="s">
        <v>572</v>
      </c>
      <c r="Q241" s="89">
        <f>C108</f>
        <v>0</v>
      </c>
      <c r="R241" s="27" t="s">
        <v>460</v>
      </c>
      <c r="S241" t="b">
        <v>0</v>
      </c>
      <c r="T241" s="27">
        <v>0</v>
      </c>
      <c r="U241" s="90" t="b">
        <f>VLOOKUP($Q$244,$R$241:$T$247,2,FALSE)</f>
        <v>0</v>
      </c>
    </row>
    <row r="242" spans="15:21">
      <c r="O242" s="21" t="s">
        <v>573</v>
      </c>
      <c r="Q242" s="99">
        <f>C109</f>
        <v>0</v>
      </c>
      <c r="R242" s="27" t="s">
        <v>497</v>
      </c>
      <c r="S242" t="b">
        <v>1</v>
      </c>
      <c r="T242" s="27">
        <v>25000</v>
      </c>
      <c r="U242" s="90">
        <f>VLOOKUP($Q$244,$R$241:$T$247,3,FALSE)</f>
        <v>0</v>
      </c>
    </row>
    <row r="243" spans="15:21">
      <c r="O243" s="21" t="s">
        <v>574</v>
      </c>
      <c r="Q243">
        <f>IF(Q241="Other",Q242,Q241)</f>
        <v>0</v>
      </c>
      <c r="R243" s="27">
        <v>20000</v>
      </c>
      <c r="S243" t="b">
        <v>1</v>
      </c>
      <c r="T243" s="27">
        <v>25000</v>
      </c>
    </row>
    <row r="244" spans="15:21">
      <c r="O244" s="21" t="s">
        <v>463</v>
      </c>
      <c r="Q244" s="92" t="str">
        <f>IFERROR(VLOOKUP(Q243,R241:R247,1,TRUE),"Not required")</f>
        <v>Not required</v>
      </c>
      <c r="R244" s="27">
        <v>50000</v>
      </c>
      <c r="S244" t="b">
        <v>1</v>
      </c>
      <c r="T244" s="27">
        <v>25000</v>
      </c>
    </row>
    <row r="245" spans="15:21">
      <c r="R245" s="27">
        <v>100000</v>
      </c>
      <c r="S245" t="b">
        <v>1</v>
      </c>
      <c r="T245" s="27">
        <v>25000</v>
      </c>
    </row>
    <row r="246" spans="15:21">
      <c r="R246" s="27">
        <v>250000</v>
      </c>
      <c r="S246" t="b">
        <v>1</v>
      </c>
      <c r="T246" s="27">
        <v>25000</v>
      </c>
    </row>
    <row r="247" spans="15:21">
      <c r="R247" s="27" t="s">
        <v>471</v>
      </c>
      <c r="S247" t="b">
        <v>0</v>
      </c>
      <c r="T247" s="27">
        <v>0</v>
      </c>
    </row>
    <row r="248" spans="15:21">
      <c r="R248" s="27"/>
      <c r="T248" s="27"/>
    </row>
    <row r="249" spans="15:21">
      <c r="R249" s="27"/>
      <c r="T249" s="27"/>
    </row>
    <row r="250" spans="15:21">
      <c r="R250" s="27"/>
      <c r="T250" s="27"/>
    </row>
    <row r="251" spans="15:21">
      <c r="O251" s="79" t="s">
        <v>575</v>
      </c>
      <c r="R251" s="27"/>
      <c r="T251" s="27"/>
    </row>
    <row r="252" spans="15:21">
      <c r="O252" s="85" t="s">
        <v>452</v>
      </c>
      <c r="Q252" s="86" t="s">
        <v>453</v>
      </c>
      <c r="R252" s="87" t="s">
        <v>454</v>
      </c>
      <c r="S252" s="88" t="s">
        <v>455</v>
      </c>
      <c r="T252" s="87" t="s">
        <v>455</v>
      </c>
      <c r="U252" s="88" t="s">
        <v>456</v>
      </c>
    </row>
    <row r="253" spans="15:21">
      <c r="O253" s="21" t="s">
        <v>576</v>
      </c>
      <c r="Q253" s="89">
        <f>C110</f>
        <v>0</v>
      </c>
      <c r="R253" s="27" t="s">
        <v>460</v>
      </c>
      <c r="S253" t="b">
        <v>0</v>
      </c>
      <c r="T253" s="27">
        <v>0</v>
      </c>
      <c r="U253" s="90" t="b">
        <f>VLOOKUP($Q$260,$R$253:$T$259,2,FALSE)</f>
        <v>0</v>
      </c>
    </row>
    <row r="254" spans="15:21">
      <c r="O254" s="21" t="s">
        <v>577</v>
      </c>
      <c r="Q254" s="31"/>
      <c r="R254" s="27" t="s">
        <v>497</v>
      </c>
      <c r="S254" t="b">
        <v>1</v>
      </c>
      <c r="T254" s="27">
        <v>50000</v>
      </c>
      <c r="U254" s="90">
        <f>VLOOKUP($Q$260,$R$253:$T$259,3,FALSE)</f>
        <v>0</v>
      </c>
    </row>
    <row r="255" spans="15:21">
      <c r="O255" s="21" t="s">
        <v>578</v>
      </c>
      <c r="Q255">
        <f>IF(Q253="Other",Q254,Q253)</f>
        <v>0</v>
      </c>
      <c r="R255" s="27">
        <v>50000</v>
      </c>
      <c r="S255" t="b">
        <v>1</v>
      </c>
      <c r="T255" s="27">
        <v>50000</v>
      </c>
    </row>
    <row r="256" spans="15:21">
      <c r="O256" s="21" t="s">
        <v>579</v>
      </c>
      <c r="Q256" s="31"/>
      <c r="R256" s="27">
        <v>100000</v>
      </c>
      <c r="S256" t="b">
        <v>1</v>
      </c>
      <c r="T256" s="27">
        <v>50000</v>
      </c>
    </row>
    <row r="257" spans="15:20">
      <c r="O257" s="21" t="s">
        <v>580</v>
      </c>
      <c r="Q257" s="31"/>
      <c r="R257" s="27">
        <v>250000</v>
      </c>
      <c r="S257" t="b">
        <v>1</v>
      </c>
      <c r="T257" s="27">
        <v>50000</v>
      </c>
    </row>
    <row r="258" spans="15:20">
      <c r="O258" s="21" t="s">
        <v>581</v>
      </c>
      <c r="Q258">
        <f>IF(Q256="Other",Q257,Q256)</f>
        <v>0</v>
      </c>
      <c r="R258" s="27">
        <v>1000000</v>
      </c>
      <c r="S258" t="b">
        <v>1</v>
      </c>
      <c r="T258" s="27">
        <v>50000</v>
      </c>
    </row>
    <row r="259" spans="15:20">
      <c r="O259" s="21" t="s">
        <v>582</v>
      </c>
      <c r="Q259" s="99">
        <f>MAX(Q253:Q258)</f>
        <v>0</v>
      </c>
      <c r="R259" s="27" t="s">
        <v>471</v>
      </c>
      <c r="S259" t="b">
        <v>0</v>
      </c>
      <c r="T259" s="27">
        <v>0</v>
      </c>
    </row>
    <row r="260" spans="15:20">
      <c r="O260" s="21" t="s">
        <v>463</v>
      </c>
      <c r="Q260" s="92" t="str">
        <f>IFERROR(VLOOKUP(Q259,R253:R259,1,TRUE),"Not required")</f>
        <v>Not required</v>
      </c>
      <c r="R260" s="27"/>
      <c r="T260" s="27"/>
    </row>
    <row r="261" spans="15:20">
      <c r="R261" s="27"/>
      <c r="T261" s="27"/>
    </row>
    <row r="262" spans="15:20">
      <c r="R262" s="27"/>
      <c r="T262" s="27"/>
    </row>
    <row r="263" spans="15:20">
      <c r="R263" s="27"/>
      <c r="T263" s="27"/>
    </row>
    <row r="264" spans="15:20">
      <c r="T264" s="27"/>
    </row>
    <row r="265" spans="15:20">
      <c r="T265" s="27"/>
    </row>
    <row r="266" spans="15:20">
      <c r="T266" s="27"/>
    </row>
    <row r="267" spans="15:20">
      <c r="T267" s="27"/>
    </row>
  </sheetData>
  <mergeCells count="8">
    <mergeCell ref="AH2:AK2"/>
    <mergeCell ref="I5:N5"/>
    <mergeCell ref="I6:N6"/>
    <mergeCell ref="D8:E8"/>
    <mergeCell ref="B2:C2"/>
    <mergeCell ref="D2:N2"/>
    <mergeCell ref="AC2:AD2"/>
    <mergeCell ref="AE2:AG2"/>
  </mergeCells>
  <conditionalFormatting sqref="J9:J36 J38:J191">
    <cfRule type="containsBlanks" dxfId="45" priority="4">
      <formula>LEN(TRIM(J9))=0</formula>
    </cfRule>
    <cfRule type="cellIs" dxfId="44" priority="5" operator="equal">
      <formula>1</formula>
    </cfRule>
    <cfRule type="cellIs" dxfId="43" priority="6" operator="equal">
      <formula>0</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92D050"/>
    <pageSetUpPr fitToPage="1"/>
  </sheetPr>
  <dimension ref="A2:AB91"/>
  <sheetViews>
    <sheetView showGridLines="0" topLeftCell="B1" workbookViewId="0">
      <selection activeCell="C20" sqref="C20"/>
    </sheetView>
  </sheetViews>
  <sheetFormatPr defaultColWidth="9.109375" defaultRowHeight="14.4" outlineLevelRow="1" outlineLevelCol="1"/>
  <cols>
    <col min="1" max="1" width="25" style="368" hidden="1" customWidth="1" outlineLevel="1"/>
    <col min="2" max="2" width="2" style="368" customWidth="1" collapsed="1"/>
    <col min="3" max="3" width="30.5546875" style="368" customWidth="1"/>
    <col min="4" max="4" width="38.33203125" style="368" customWidth="1"/>
    <col min="5" max="5" width="14.6640625" style="368" customWidth="1"/>
    <col min="6" max="6" width="16.88671875" style="368" customWidth="1"/>
    <col min="7" max="7" width="17.33203125" style="368" customWidth="1"/>
    <col min="8" max="8" width="31.44140625" style="368" hidden="1" customWidth="1" outlineLevel="1"/>
    <col min="9" max="9" width="20.5546875" style="368" hidden="1" customWidth="1" outlineLevel="1"/>
    <col min="10" max="10" width="15.88671875" style="368" hidden="1" customWidth="1" outlineLevel="1"/>
    <col min="11" max="11" width="14.88671875" style="368" hidden="1" customWidth="1" outlineLevel="1"/>
    <col min="12" max="12" width="19.44140625" style="368" hidden="1" customWidth="1" outlineLevel="1"/>
    <col min="13" max="13" width="14.33203125" style="368" hidden="1" customWidth="1" outlineLevel="1"/>
    <col min="14" max="14" width="13.109375" style="368" hidden="1" customWidth="1" outlineLevel="1"/>
    <col min="15" max="15" width="11.44140625" style="368" hidden="1" customWidth="1" outlineLevel="1"/>
    <col min="16" max="20" width="9.109375" style="368" hidden="1" customWidth="1" outlineLevel="1"/>
    <col min="21" max="21" width="12" style="368" hidden="1" customWidth="1" outlineLevel="1"/>
    <col min="22" max="22" width="9.109375" style="368" hidden="1" customWidth="1" outlineLevel="1"/>
    <col min="23" max="23" width="10.5546875" style="368" hidden="1" customWidth="1" outlineLevel="1"/>
    <col min="24" max="24" width="9.109375" style="368" hidden="1" customWidth="1" outlineLevel="1" collapsed="1"/>
    <col min="25" max="25" width="24.109375" style="372" hidden="1" customWidth="1" outlineLevel="1"/>
    <col min="26" max="27" width="9.109375" style="368" hidden="1" customWidth="1" outlineLevel="1"/>
    <col min="28" max="28" width="9.109375" style="368" collapsed="1"/>
    <col min="29" max="16384" width="9.109375" style="368"/>
  </cols>
  <sheetData>
    <row r="2" spans="3:8" ht="30">
      <c r="C2" s="613" t="s">
        <v>943</v>
      </c>
      <c r="D2" s="614"/>
      <c r="E2" s="292" t="s">
        <v>944</v>
      </c>
      <c r="F2" s="621" t="s">
        <v>975</v>
      </c>
      <c r="G2" s="622"/>
      <c r="H2" s="309" t="s">
        <v>969</v>
      </c>
    </row>
    <row r="3" spans="3:8">
      <c r="C3" s="611" t="s">
        <v>974</v>
      </c>
      <c r="D3" s="612"/>
      <c r="E3" s="369" t="e">
        <f>Inputs!AD10</f>
        <v>#N/A</v>
      </c>
      <c r="F3" s="271"/>
      <c r="G3" s="300"/>
      <c r="H3" s="302"/>
    </row>
    <row r="4" spans="3:8" hidden="1" outlineLevel="1">
      <c r="C4" s="363" t="s">
        <v>943</v>
      </c>
      <c r="D4" s="364"/>
      <c r="E4" s="369" t="e">
        <f>VLOOKUP(E3,'Conditions (june 2020)'!B:G,6,FALSE)</f>
        <v>#N/A</v>
      </c>
      <c r="F4" s="271" t="s">
        <v>765</v>
      </c>
      <c r="G4" s="300"/>
      <c r="H4" s="302" t="e">
        <f>IF(E4&gt;=F4,0,1)</f>
        <v>#N/A</v>
      </c>
    </row>
    <row r="5" spans="3:8" hidden="1" outlineLevel="1">
      <c r="C5" s="611" t="s">
        <v>955</v>
      </c>
      <c r="D5" s="612"/>
      <c r="E5" s="370" t="e">
        <f>VLOOKUP(E3,'Conditions (june 2020)'!B:AK,36,FALSE)</f>
        <v>#N/A</v>
      </c>
      <c r="F5" s="271"/>
      <c r="G5" s="300"/>
      <c r="H5" s="302"/>
    </row>
    <row r="6" spans="3:8" hidden="1" outlineLevel="1">
      <c r="C6" s="611" t="s">
        <v>761</v>
      </c>
      <c r="D6" s="612"/>
      <c r="E6" s="370" t="e">
        <f>VLOOKUP(E3,'Conditions (june 2020)'!B:AK,35,FALSE)</f>
        <v>#N/A</v>
      </c>
      <c r="F6" s="271"/>
      <c r="G6" s="300"/>
      <c r="H6" s="302"/>
    </row>
    <row r="7" spans="3:8" hidden="1" outlineLevel="1">
      <c r="C7" s="611" t="s">
        <v>966</v>
      </c>
      <c r="D7" s="612"/>
      <c r="E7" s="370" t="e">
        <f>VLOOKUP(E3,'Conditions (june 2020)'!B:AK,34,FALSE)</f>
        <v>#N/A</v>
      </c>
      <c r="F7" s="271"/>
      <c r="G7" s="300"/>
      <c r="H7" s="302"/>
    </row>
    <row r="8" spans="3:8" s="372" customFormat="1" collapsed="1">
      <c r="C8" s="615" t="s">
        <v>922</v>
      </c>
      <c r="D8" s="616"/>
      <c r="E8" s="371" t="str">
        <f>Inputs!H28</f>
        <v/>
      </c>
      <c r="F8" s="617">
        <v>8.9999999999999993E-3</v>
      </c>
      <c r="G8" s="618"/>
      <c r="H8" s="302">
        <f>IF(E8&gt;0,0,1)</f>
        <v>0</v>
      </c>
    </row>
    <row r="9" spans="3:8">
      <c r="C9" s="627"/>
      <c r="D9" s="624"/>
      <c r="E9" s="373"/>
      <c r="F9" s="269"/>
      <c r="G9" s="270"/>
      <c r="H9" s="302"/>
    </row>
    <row r="10" spans="3:8" ht="16.5" customHeight="1">
      <c r="C10" s="619" t="s">
        <v>1004</v>
      </c>
      <c r="D10" s="620"/>
      <c r="E10" s="371">
        <f>Inputs!H11</f>
        <v>0</v>
      </c>
      <c r="F10" s="623">
        <v>0</v>
      </c>
      <c r="G10" s="624"/>
      <c r="H10" s="302">
        <f>IF(E10&gt;F10,1,0)</f>
        <v>0</v>
      </c>
    </row>
    <row r="11" spans="3:8">
      <c r="C11" s="611" t="s">
        <v>923</v>
      </c>
      <c r="D11" s="612"/>
      <c r="E11" s="420">
        <f>Inputs!H12</f>
        <v>0</v>
      </c>
      <c r="F11" s="628">
        <f>IFERROR(VLOOKUP(E3,'Conditions (june 2020)'!B:H,7,FALSE)*100,0)</f>
        <v>0</v>
      </c>
      <c r="G11" s="629"/>
      <c r="H11" s="302">
        <f>IF(E11&gt;F11,1,0)</f>
        <v>0</v>
      </c>
    </row>
    <row r="12" spans="3:8">
      <c r="C12" s="611" t="s">
        <v>924</v>
      </c>
      <c r="D12" s="612"/>
      <c r="E12" s="374">
        <f ca="1">YEAR(TODAY())-Inputs!C11</f>
        <v>2021</v>
      </c>
      <c r="F12" s="310"/>
      <c r="G12" s="311"/>
      <c r="H12" s="302"/>
    </row>
    <row r="13" spans="3:8">
      <c r="C13" s="611" t="s">
        <v>925</v>
      </c>
      <c r="D13" s="612"/>
      <c r="E13" s="374">
        <f>Inputs!H25</f>
        <v>0</v>
      </c>
      <c r="F13" s="626">
        <v>3</v>
      </c>
      <c r="G13" s="618"/>
      <c r="H13" s="302">
        <f>IF(E13&gt;=F13,0,1)</f>
        <v>1</v>
      </c>
    </row>
    <row r="14" spans="3:8">
      <c r="C14" s="611" t="s">
        <v>1006</v>
      </c>
      <c r="D14" s="612"/>
      <c r="E14" s="374">
        <f>Inputs!H9</f>
        <v>0</v>
      </c>
      <c r="F14" s="630" t="s">
        <v>58</v>
      </c>
      <c r="G14" s="624"/>
      <c r="H14" s="302">
        <f>IF(E14=F14,0,1)</f>
        <v>1</v>
      </c>
    </row>
    <row r="15" spans="3:8">
      <c r="C15" s="611" t="s">
        <v>926</v>
      </c>
      <c r="D15" s="612"/>
      <c r="E15" s="374" t="str">
        <f>Inputs!H26</f>
        <v>Yes</v>
      </c>
      <c r="F15" s="630" t="s">
        <v>90</v>
      </c>
      <c r="G15" s="624"/>
      <c r="H15" s="302">
        <f>IF(E15=F15,0,1)</f>
        <v>0</v>
      </c>
    </row>
    <row r="16" spans="3:8">
      <c r="C16" s="611" t="s">
        <v>1005</v>
      </c>
      <c r="D16" s="612"/>
      <c r="E16" s="375"/>
      <c r="F16" s="313">
        <v>0.1</v>
      </c>
      <c r="G16" s="300"/>
      <c r="H16" s="302"/>
    </row>
    <row r="17" spans="3:27">
      <c r="C17" s="631" t="s">
        <v>927</v>
      </c>
      <c r="D17" s="632"/>
      <c r="E17" s="376">
        <f>Inputs!AD19</f>
        <v>0</v>
      </c>
      <c r="F17" s="608">
        <v>2000000</v>
      </c>
      <c r="G17" s="609"/>
      <c r="H17" s="302">
        <f>IF(E17&lt;F17,0,q)</f>
        <v>0</v>
      </c>
    </row>
    <row r="18" spans="3:27">
      <c r="C18" s="421" t="s">
        <v>928</v>
      </c>
      <c r="D18" s="422"/>
      <c r="E18" s="422"/>
      <c r="F18" s="523" t="e">
        <f>VLOOKUP(E3,'Conditions (june 2020)'!B:M,12,FALSE)</f>
        <v>#N/A</v>
      </c>
      <c r="G18" s="427">
        <f>SUM(C20:G20)</f>
        <v>0</v>
      </c>
      <c r="H18" s="302">
        <f>IF(G18=100%,0,1)</f>
        <v>1</v>
      </c>
    </row>
    <row r="19" spans="3:27">
      <c r="C19" s="423" t="s">
        <v>945</v>
      </c>
      <c r="D19" s="424" t="s">
        <v>946</v>
      </c>
      <c r="E19" s="424" t="s">
        <v>947</v>
      </c>
      <c r="F19" s="424" t="s">
        <v>948</v>
      </c>
      <c r="G19" s="425" t="s">
        <v>949</v>
      </c>
    </row>
    <row r="20" spans="3:27">
      <c r="C20" s="377">
        <f>Inputs!R85*100</f>
        <v>0</v>
      </c>
      <c r="D20" s="378">
        <f>Inputs!S85*100</f>
        <v>0</v>
      </c>
      <c r="E20" s="379">
        <f>Inputs!T85*100</f>
        <v>0</v>
      </c>
      <c r="F20" s="426"/>
      <c r="G20" s="380">
        <f>Inputs!U85*100</f>
        <v>0</v>
      </c>
      <c r="H20" s="302" t="e">
        <f>IF(G20&gt;0,1, IF((E20+D20)&lt;=F18,0,1))</f>
        <v>#N/A</v>
      </c>
    </row>
    <row r="21" spans="3:27">
      <c r="C21" s="381" t="s">
        <v>35</v>
      </c>
      <c r="D21" s="381" t="str">
        <f>CONCATENATE("April - ",I21)</f>
        <v>April - Essential</v>
      </c>
      <c r="E21" s="382"/>
      <c r="F21" s="382"/>
      <c r="H21" s="368" t="e">
        <f>IF(SUM(H2:H20)=0,"Quote","REFER")</f>
        <v>#N/A</v>
      </c>
      <c r="I21" s="383" t="s">
        <v>520</v>
      </c>
    </row>
    <row r="23" spans="3:27" ht="20.399999999999999">
      <c r="C23" s="610" t="s">
        <v>929</v>
      </c>
      <c r="D23" s="610"/>
      <c r="E23" s="610"/>
      <c r="F23" s="610"/>
      <c r="G23" s="610"/>
      <c r="H23" s="362"/>
    </row>
    <row r="24" spans="3:27" ht="16.8">
      <c r="C24" s="314"/>
      <c r="D24" s="314"/>
      <c r="E24" s="315"/>
      <c r="F24" s="315"/>
      <c r="G24" s="315"/>
      <c r="H24" s="301"/>
    </row>
    <row r="25" spans="3:27" ht="20.399999999999999">
      <c r="C25" s="272"/>
      <c r="D25" s="272"/>
      <c r="E25" s="273"/>
      <c r="F25" s="273"/>
      <c r="G25" s="273"/>
      <c r="H25" s="273"/>
      <c r="S25" s="368" t="s">
        <v>960</v>
      </c>
      <c r="V25" s="368" t="s">
        <v>968</v>
      </c>
    </row>
    <row r="26" spans="3:27" ht="41.4">
      <c r="C26" s="274" t="s">
        <v>950</v>
      </c>
      <c r="D26" s="274"/>
      <c r="E26" s="275" t="s">
        <v>951</v>
      </c>
      <c r="F26" s="275" t="s">
        <v>952</v>
      </c>
      <c r="G26" s="275" t="s">
        <v>953</v>
      </c>
      <c r="H26" s="384" t="s">
        <v>961</v>
      </c>
      <c r="I26" s="385" t="s">
        <v>963</v>
      </c>
      <c r="J26" s="304" t="s">
        <v>965</v>
      </c>
      <c r="K26" s="305" t="s">
        <v>959</v>
      </c>
      <c r="L26" s="305" t="s">
        <v>958</v>
      </c>
      <c r="M26" s="306" t="s">
        <v>1008</v>
      </c>
      <c r="N26" s="303" t="s">
        <v>985</v>
      </c>
      <c r="O26" s="361" t="s">
        <v>1009</v>
      </c>
      <c r="P26" s="303" t="s">
        <v>986</v>
      </c>
      <c r="Q26" s="307" t="s">
        <v>639</v>
      </c>
      <c r="S26" s="303" t="str">
        <f>H36</f>
        <v>Installation floater</v>
      </c>
      <c r="T26" s="534" t="str">
        <f>H28</f>
        <v>Contractor's Tools</v>
      </c>
      <c r="U26" s="537" t="s">
        <v>1032</v>
      </c>
      <c r="V26" s="303" t="str">
        <f>S26</f>
        <v>Installation floater</v>
      </c>
      <c r="W26" s="534" t="str">
        <f>T26</f>
        <v>Contractor's Tools</v>
      </c>
      <c r="X26" s="537" t="s">
        <v>1032</v>
      </c>
      <c r="Y26" s="303"/>
      <c r="Z26" s="540" t="s">
        <v>1033</v>
      </c>
      <c r="AA26" s="540" t="s">
        <v>1034</v>
      </c>
    </row>
    <row r="27" spans="3:27" ht="15.6">
      <c r="C27" s="276"/>
      <c r="D27" s="276"/>
      <c r="E27" s="277"/>
      <c r="F27" s="277"/>
      <c r="G27" s="278"/>
      <c r="H27" s="386" t="s">
        <v>964</v>
      </c>
      <c r="I27" s="387" t="e">
        <f>IF(E3=J27,"No","Yes")</f>
        <v>#N/A</v>
      </c>
      <c r="J27" s="368">
        <v>1774</v>
      </c>
      <c r="O27" s="388"/>
      <c r="T27" s="535"/>
      <c r="U27" s="538"/>
      <c r="W27" s="535"/>
      <c r="X27" s="538"/>
    </row>
    <row r="28" spans="3:27" ht="16.2">
      <c r="C28" s="279" t="s">
        <v>930</v>
      </c>
      <c r="D28" s="279"/>
      <c r="E28" s="338" t="e">
        <f>O28</f>
        <v>#N/A</v>
      </c>
      <c r="F28" s="337" t="e">
        <f>IF(E28=0,0,IFERROR(VLOOKUP(E28,Paramètres!D3:E4,2,TRUE),2500))</f>
        <v>#N/A</v>
      </c>
      <c r="G28" s="338" t="e">
        <f>P28</f>
        <v>#N/A</v>
      </c>
      <c r="H28" s="386" t="s">
        <v>930</v>
      </c>
      <c r="I28" s="389">
        <f>IF($I$30=50000,25000,50000)</f>
        <v>50000</v>
      </c>
      <c r="J28" s="389"/>
      <c r="K28" s="389">
        <f>Inputs!AD26</f>
        <v>0</v>
      </c>
      <c r="L28" s="389">
        <f>I28</f>
        <v>50000</v>
      </c>
      <c r="M28" s="389">
        <f>IF(K28=0,0,IF(L28&lt;K28,L28,K28))</f>
        <v>0</v>
      </c>
      <c r="N28" s="389" t="e">
        <f>IF(E5="Yes",VLOOKUP($I$21,R28:T30,3,FALSE),0)</f>
        <v>#N/A</v>
      </c>
      <c r="O28" s="390" t="e">
        <f>MAX(M28:N28)</f>
        <v>#N/A</v>
      </c>
      <c r="P28" s="368" t="e">
        <f>IF(E5="Yes",VLOOKUP($I$21,$R$28:$W$30,6,FALSE)+AA28,)</f>
        <v>#N/A</v>
      </c>
      <c r="Q28" s="391">
        <v>1</v>
      </c>
      <c r="R28" s="392" t="s">
        <v>520</v>
      </c>
      <c r="S28" s="393">
        <f>I49</f>
        <v>10000</v>
      </c>
      <c r="T28" s="536">
        <v>5000</v>
      </c>
      <c r="U28" s="539">
        <v>10000</v>
      </c>
      <c r="V28" s="393" t="str">
        <f>M49</f>
        <v>Included</v>
      </c>
      <c r="W28" s="536">
        <f>T28*Q28/100</f>
        <v>50</v>
      </c>
      <c r="X28" s="539">
        <f>0.55/100*U28</f>
        <v>55.000000000000007</v>
      </c>
      <c r="Y28" s="542" t="str">
        <f>C28</f>
        <v>Contractor's Tools</v>
      </c>
      <c r="Z28" s="393" t="e">
        <f>O28-N28</f>
        <v>#N/A</v>
      </c>
      <c r="AA28" s="541" t="e">
        <f>Z28*Q28/100</f>
        <v>#N/A</v>
      </c>
    </row>
    <row r="29" spans="3:27" ht="16.2">
      <c r="C29" s="279" t="s">
        <v>931</v>
      </c>
      <c r="D29" s="279"/>
      <c r="E29" s="338" t="e">
        <f>O29</f>
        <v>#N/A</v>
      </c>
      <c r="F29" s="337" t="e">
        <f>IF(E29=0,0,IFERROR(VLOOKUP(E29,Paramètres!$D$13:$E$14,2,TRUE),2500))</f>
        <v>#N/A</v>
      </c>
      <c r="G29" s="338" t="e">
        <f>P29</f>
        <v>#N/A</v>
      </c>
      <c r="H29" s="386" t="s">
        <v>931</v>
      </c>
      <c r="I29" s="389">
        <v>75000</v>
      </c>
      <c r="J29" s="389"/>
      <c r="K29" s="389">
        <f>Inputs!AD28</f>
        <v>0</v>
      </c>
      <c r="L29" s="389" t="e">
        <f>IF($I$27="Yes",I29,0)</f>
        <v>#N/A</v>
      </c>
      <c r="M29" s="389">
        <f>IF(K29=0,0,IF(L29&lt;K29,L29,K29))</f>
        <v>0</v>
      </c>
      <c r="N29" s="389" t="e">
        <f>IF(E5="Yes",VLOOKUP($I$21,R28:U30,4,FALSE),0)</f>
        <v>#N/A</v>
      </c>
      <c r="O29" s="390" t="e">
        <f>MAX(M29:N29)</f>
        <v>#N/A</v>
      </c>
      <c r="P29" s="541" t="e">
        <f>IF(E5="Yes",VLOOKUP($I$21,$R$28:$X$30,7,FALSE)+AA29,)</f>
        <v>#N/A</v>
      </c>
      <c r="Q29" s="394">
        <v>0.85</v>
      </c>
      <c r="R29" s="392" t="s">
        <v>522</v>
      </c>
      <c r="S29" s="393">
        <f>J49</f>
        <v>25000</v>
      </c>
      <c r="T29" s="536">
        <f>J57</f>
        <v>10000</v>
      </c>
      <c r="U29" s="539">
        <v>25000</v>
      </c>
      <c r="V29" s="393">
        <f>N49</f>
        <v>100</v>
      </c>
      <c r="W29" s="536">
        <f>N57</f>
        <v>50</v>
      </c>
      <c r="X29" s="539">
        <f>0.55/100*U29</f>
        <v>137.5</v>
      </c>
      <c r="Y29" s="542" t="str">
        <f>C29</f>
        <v>Contractor's Equipment</v>
      </c>
      <c r="Z29" s="393" t="e">
        <f>O29-N29</f>
        <v>#N/A</v>
      </c>
      <c r="AA29" s="541" t="e">
        <f>Z29*Q29/100</f>
        <v>#N/A</v>
      </c>
    </row>
    <row r="30" spans="3:27" ht="16.2">
      <c r="C30" s="279" t="s">
        <v>932</v>
      </c>
      <c r="D30" s="279"/>
      <c r="E30" s="338">
        <f>M30</f>
        <v>0</v>
      </c>
      <c r="F30" s="337">
        <f>IF(E30=0,0,IFERROR(VLOOKUP(E30,Paramètres!$D$13:$E$14,2,TRUE),2500))</f>
        <v>0</v>
      </c>
      <c r="G30" s="338">
        <f>E30*Q30/1000</f>
        <v>0</v>
      </c>
      <c r="H30" s="386" t="s">
        <v>962</v>
      </c>
      <c r="I30" s="389">
        <f>IF(K30&gt;0,50000,0)</f>
        <v>0</v>
      </c>
      <c r="J30" s="389"/>
      <c r="K30" s="389">
        <f>Inputs!AD30</f>
        <v>0</v>
      </c>
      <c r="L30" s="389" t="e">
        <f>IF($I$27="Yes",I30,0)</f>
        <v>#N/A</v>
      </c>
      <c r="M30" s="389">
        <f>IF(K30=0,0,IF(L30&lt;K30,L30,K30))</f>
        <v>0</v>
      </c>
      <c r="N30" s="389"/>
      <c r="O30" s="388"/>
      <c r="Q30" s="394">
        <v>0.85</v>
      </c>
      <c r="R30" s="395" t="s">
        <v>524</v>
      </c>
      <c r="S30" s="393">
        <f>K49</f>
        <v>50000</v>
      </c>
      <c r="T30" s="536">
        <f>K57</f>
        <v>20000</v>
      </c>
      <c r="U30" s="539">
        <v>50000</v>
      </c>
      <c r="V30" s="393">
        <f>O49</f>
        <v>100</v>
      </c>
      <c r="W30" s="536">
        <f>O57</f>
        <v>125</v>
      </c>
      <c r="X30" s="539">
        <f>0.55/100*U30</f>
        <v>275</v>
      </c>
      <c r="Y30" s="542" t="str">
        <f>C36</f>
        <v>Installation floater</v>
      </c>
      <c r="Z30" s="393" t="e">
        <f>O36-N36</f>
        <v>#N/A</v>
      </c>
      <c r="AA30" s="541">
        <f>IF((E17*Q36/100)&lt;100,100,(E17*Q36/100))</f>
        <v>100</v>
      </c>
    </row>
    <row r="31" spans="3:27" ht="16.2">
      <c r="C31" s="279" t="s">
        <v>1126</v>
      </c>
      <c r="D31" s="280"/>
      <c r="E31" s="338">
        <f t="shared" ref="E31" si="0">M31</f>
        <v>0</v>
      </c>
      <c r="F31" s="337">
        <f>IF(E31=0,0,VLOOKUP(Paramètres!C42,Paramètres!D8:E9,2,TRUE))</f>
        <v>0</v>
      </c>
      <c r="G31" s="338">
        <f>E31*Q$31/100</f>
        <v>0</v>
      </c>
      <c r="H31" s="386" t="s">
        <v>933</v>
      </c>
      <c r="I31" s="389">
        <v>25000</v>
      </c>
      <c r="J31" s="389"/>
      <c r="K31" s="389">
        <f>Inputs!AD32</f>
        <v>0</v>
      </c>
      <c r="L31" s="389">
        <v>25000</v>
      </c>
      <c r="M31" s="389">
        <f>IF(K31=0,0,IF(L31&lt;K31,L31,K31))</f>
        <v>0</v>
      </c>
      <c r="N31" s="389"/>
      <c r="O31" s="388"/>
      <c r="Q31" s="394">
        <v>1</v>
      </c>
    </row>
    <row r="32" spans="3:27" ht="16.2">
      <c r="C32" s="576" t="str">
        <f>Inputs!B91</f>
        <v>Contents Limit Required</v>
      </c>
      <c r="D32" s="576"/>
      <c r="E32" s="576">
        <f>IF(SUM(K$32:K$35)=E$31,K32,IF(K32=0,0,25000-SUM(E33:E35)))</f>
        <v>0</v>
      </c>
      <c r="F32" s="576">
        <f>IF(E32=0,0,F$31)</f>
        <v>0</v>
      </c>
      <c r="G32" s="584">
        <f t="shared" ref="G32:G35" si="1">E32*Q$31/100</f>
        <v>0</v>
      </c>
      <c r="H32" s="386"/>
      <c r="I32" s="389"/>
      <c r="J32" s="389"/>
      <c r="K32" s="389">
        <f>Inputs!C91</f>
        <v>0</v>
      </c>
      <c r="L32" s="389"/>
      <c r="M32" s="389"/>
      <c r="N32" s="389"/>
      <c r="O32" s="388"/>
      <c r="Q32" s="394"/>
    </row>
    <row r="33" spans="3:17" ht="16.2">
      <c r="C33" s="576" t="str">
        <f>Inputs!B92</f>
        <v>EDP systems limit</v>
      </c>
      <c r="D33" s="576"/>
      <c r="E33" s="576">
        <f>IF(SUM(K$32:K$35)=E$31,K33,IF(K33=0,0,2500))</f>
        <v>0</v>
      </c>
      <c r="F33" s="576">
        <f t="shared" ref="F33:F35" si="2">IF(E33=0,0,F$31)</f>
        <v>0</v>
      </c>
      <c r="G33" s="584">
        <f t="shared" si="1"/>
        <v>0</v>
      </c>
      <c r="H33" s="386"/>
      <c r="I33" s="389"/>
      <c r="J33" s="389"/>
      <c r="K33" s="389">
        <f>Inputs!C92</f>
        <v>0</v>
      </c>
      <c r="L33" s="389"/>
      <c r="M33" s="389"/>
      <c r="N33" s="389"/>
      <c r="O33" s="388"/>
      <c r="Q33" s="394"/>
    </row>
    <row r="34" spans="3:17" ht="16.2">
      <c r="C34" s="576" t="str">
        <f>Inputs!B93</f>
        <v>Stock limit</v>
      </c>
      <c r="D34" s="576"/>
      <c r="E34" s="576">
        <f>IF(SUM(K$32:K$35)=E$31,K34,IF(K34=0,0,(IF(K34&lt;10000,K34,IF(K32=0,(25000-E33-E35),10000)))))</f>
        <v>0</v>
      </c>
      <c r="F34" s="576">
        <f t="shared" si="2"/>
        <v>0</v>
      </c>
      <c r="G34" s="584">
        <f t="shared" si="1"/>
        <v>0</v>
      </c>
      <c r="H34" s="386"/>
      <c r="I34" s="389"/>
      <c r="J34" s="389"/>
      <c r="K34" s="389">
        <f>Inputs!C93</f>
        <v>0</v>
      </c>
      <c r="L34" s="389"/>
      <c r="M34" s="389"/>
      <c r="N34" s="389"/>
      <c r="O34" s="388"/>
      <c r="Q34" s="394"/>
    </row>
    <row r="35" spans="3:17" ht="16.2">
      <c r="C35" s="576" t="str">
        <f>Inputs!B94</f>
        <v>Business equipment limit</v>
      </c>
      <c r="D35" s="576"/>
      <c r="E35" s="576">
        <f>IF(SUM(K$32:K$35)=E$31,K35,IF(K35=0,0,2500))</f>
        <v>0</v>
      </c>
      <c r="F35" s="576">
        <f t="shared" si="2"/>
        <v>0</v>
      </c>
      <c r="G35" s="584">
        <f t="shared" si="1"/>
        <v>0</v>
      </c>
      <c r="H35" s="386"/>
      <c r="I35" s="389"/>
      <c r="J35" s="389"/>
      <c r="K35" s="389">
        <f>Inputs!C94</f>
        <v>0</v>
      </c>
      <c r="L35" s="389"/>
      <c r="M35" s="389"/>
      <c r="N35" s="389"/>
      <c r="O35" s="388"/>
      <c r="Q35" s="394"/>
    </row>
    <row r="36" spans="3:17" ht="16.2">
      <c r="C36" s="279" t="s">
        <v>908</v>
      </c>
      <c r="D36" s="279"/>
      <c r="E36" s="338" t="e">
        <f>O36</f>
        <v>#N/A</v>
      </c>
      <c r="F36" s="337" t="e">
        <f>IF(E36=0,0,VLOOKUP(E36,Paramètres!D19:E20,2,TRUE))</f>
        <v>#N/A</v>
      </c>
      <c r="G36" s="356" t="e">
        <f>P36</f>
        <v>#N/A</v>
      </c>
      <c r="H36" s="386" t="s">
        <v>908</v>
      </c>
      <c r="I36" s="389">
        <f>IF($I$30=50000,75000,100000)</f>
        <v>100000</v>
      </c>
      <c r="J36" s="389">
        <f>25%*E17</f>
        <v>0</v>
      </c>
      <c r="K36" s="389">
        <f>Inputs!AD34</f>
        <v>0</v>
      </c>
      <c r="L36" s="389">
        <f>IF(J36&lt;I36,J36,I36)</f>
        <v>0</v>
      </c>
      <c r="M36" s="389">
        <f>IF(K36=0,0,IF(L36&lt;K36,L36,K36))</f>
        <v>0</v>
      </c>
      <c r="N36" s="389" t="e">
        <f>IF(E5="Yes",VLOOKUP($I$21,R28:S30,2,FALSE),0)</f>
        <v>#N/A</v>
      </c>
      <c r="O36" s="390" t="e">
        <f>MAX(M36:N36)</f>
        <v>#N/A</v>
      </c>
      <c r="P36" s="396" t="e">
        <f>IF(E5="Yes",IF(O36=N36,VLOOKUP($I$21,$R$28:$W$30,5,FALSE),AA30),0)</f>
        <v>#N/A</v>
      </c>
      <c r="Q36" s="394">
        <v>0.03</v>
      </c>
    </row>
    <row r="37" spans="3:17" ht="24" customHeight="1">
      <c r="C37" s="279" t="s">
        <v>934</v>
      </c>
      <c r="D37" s="279"/>
      <c r="E37" s="338">
        <f>IF(M37=0,IF(I21="Essential",0,L37),0)</f>
        <v>0</v>
      </c>
      <c r="F37" s="337">
        <f>IF(E37=0,0,2500)</f>
        <v>0</v>
      </c>
      <c r="G37" s="338">
        <f>IF(I21="Essential",0,120)</f>
        <v>0</v>
      </c>
      <c r="H37" s="397" t="s">
        <v>934</v>
      </c>
      <c r="I37" s="389">
        <v>100000</v>
      </c>
      <c r="J37" s="389"/>
      <c r="K37" s="389">
        <f>IFERROR(IF(Inputs!AD35=TRUE,100000,0),0)</f>
        <v>0</v>
      </c>
      <c r="L37" s="389">
        <f t="shared" ref="L37" si="3">I37</f>
        <v>100000</v>
      </c>
      <c r="M37" s="389">
        <f>IF(K37=FALSE,0,IF(L37&lt;K37,L37,K37))</f>
        <v>0</v>
      </c>
      <c r="N37" s="389"/>
      <c r="O37" s="398"/>
      <c r="Q37" s="394">
        <v>0.1</v>
      </c>
    </row>
    <row r="38" spans="3:17">
      <c r="C38" s="268"/>
      <c r="D38" s="268"/>
      <c r="E38" s="268"/>
      <c r="F38" s="268"/>
      <c r="G38" s="281"/>
      <c r="H38" s="281"/>
      <c r="I38" s="393">
        <f>SUM(I28:I37)</f>
        <v>350000</v>
      </c>
    </row>
    <row r="39" spans="3:17" ht="27.6">
      <c r="C39" s="274" t="s">
        <v>954</v>
      </c>
      <c r="D39" s="274"/>
      <c r="E39" s="275" t="s">
        <v>951</v>
      </c>
      <c r="F39" s="275" t="s">
        <v>952</v>
      </c>
      <c r="G39" s="282" t="s">
        <v>953</v>
      </c>
      <c r="H39" s="399" t="s">
        <v>1014</v>
      </c>
      <c r="I39" s="368">
        <v>350000</v>
      </c>
    </row>
    <row r="40" spans="3:17" ht="16.5" customHeight="1">
      <c r="C40" s="342" t="s">
        <v>935</v>
      </c>
      <c r="D40" s="342"/>
      <c r="E40" s="400">
        <f>Inputs!AD37</f>
        <v>0</v>
      </c>
      <c r="F40" s="337">
        <f>Paramètres!I31</f>
        <v>1000</v>
      </c>
      <c r="G40" s="338" t="e">
        <f>Paramètres!C46</f>
        <v>#N/A</v>
      </c>
    </row>
    <row r="41" spans="3:17" ht="16.5" customHeight="1">
      <c r="C41" s="349" t="s">
        <v>995</v>
      </c>
      <c r="D41" s="342"/>
      <c r="E41" s="401">
        <v>2000000</v>
      </c>
      <c r="F41" s="337">
        <f>F40</f>
        <v>1000</v>
      </c>
      <c r="G41" s="338" t="e">
        <f t="shared" ref="G41:G49" si="4">IF($H$21="Quote","included","excluded")</f>
        <v>#N/A</v>
      </c>
      <c r="I41" s="382"/>
      <c r="J41" s="382"/>
      <c r="K41" s="382"/>
    </row>
    <row r="42" spans="3:17" ht="16.5" customHeight="1">
      <c r="C42" s="349" t="s">
        <v>996</v>
      </c>
      <c r="D42" s="342"/>
      <c r="E42" s="401">
        <v>2000000</v>
      </c>
      <c r="F42" s="337">
        <f t="shared" ref="F42:F49" si="5">F41</f>
        <v>1000</v>
      </c>
      <c r="G42" s="338" t="e">
        <f t="shared" si="4"/>
        <v>#N/A</v>
      </c>
      <c r="I42" s="382"/>
      <c r="J42" s="382"/>
      <c r="K42" s="382"/>
    </row>
    <row r="43" spans="3:17" ht="16.5" customHeight="1">
      <c r="C43" s="349" t="s">
        <v>997</v>
      </c>
      <c r="D43" s="342"/>
      <c r="E43" s="401">
        <v>25000</v>
      </c>
      <c r="F43" s="337">
        <f t="shared" si="5"/>
        <v>1000</v>
      </c>
      <c r="G43" s="338" t="e">
        <f t="shared" si="4"/>
        <v>#N/A</v>
      </c>
      <c r="I43" s="382"/>
      <c r="J43" s="382"/>
      <c r="K43" s="382"/>
    </row>
    <row r="44" spans="3:17" ht="16.5" customHeight="1">
      <c r="C44" s="349" t="s">
        <v>998</v>
      </c>
      <c r="D44" s="342"/>
      <c r="E44" s="401">
        <v>2000000</v>
      </c>
      <c r="F44" s="337">
        <f t="shared" si="5"/>
        <v>1000</v>
      </c>
      <c r="G44" s="338" t="e">
        <f t="shared" si="4"/>
        <v>#N/A</v>
      </c>
      <c r="I44" s="382"/>
      <c r="J44" s="382"/>
      <c r="K44" s="382"/>
    </row>
    <row r="45" spans="3:17" ht="16.5" customHeight="1">
      <c r="C45" s="349" t="s">
        <v>999</v>
      </c>
      <c r="D45" s="342"/>
      <c r="E45" s="401" t="s">
        <v>444</v>
      </c>
      <c r="F45" s="337">
        <f t="shared" si="5"/>
        <v>1000</v>
      </c>
      <c r="G45" s="338" t="e">
        <f t="shared" si="4"/>
        <v>#N/A</v>
      </c>
      <c r="I45" s="382"/>
      <c r="J45" s="382"/>
      <c r="K45" s="382"/>
    </row>
    <row r="46" spans="3:17" ht="16.5" customHeight="1">
      <c r="C46" s="349" t="s">
        <v>1000</v>
      </c>
      <c r="D46" s="342"/>
      <c r="E46" s="401" t="s">
        <v>444</v>
      </c>
      <c r="F46" s="337">
        <f>F45</f>
        <v>1000</v>
      </c>
      <c r="G46" s="338" t="e">
        <f t="shared" si="4"/>
        <v>#N/A</v>
      </c>
    </row>
    <row r="47" spans="3:17" ht="16.5" customHeight="1">
      <c r="C47" s="349" t="s">
        <v>1001</v>
      </c>
      <c r="D47" s="342"/>
      <c r="E47" s="401" t="s">
        <v>444</v>
      </c>
      <c r="F47" s="337">
        <f t="shared" si="5"/>
        <v>1000</v>
      </c>
      <c r="G47" s="338" t="e">
        <f t="shared" si="4"/>
        <v>#N/A</v>
      </c>
      <c r="I47" s="625" t="s">
        <v>967</v>
      </c>
      <c r="J47" s="625"/>
      <c r="K47" s="625"/>
      <c r="M47" s="402" t="s">
        <v>968</v>
      </c>
      <c r="N47" s="403"/>
      <c r="O47" s="404"/>
    </row>
    <row r="48" spans="3:17" ht="16.5" customHeight="1">
      <c r="C48" s="349" t="s">
        <v>1002</v>
      </c>
      <c r="D48" s="342"/>
      <c r="E48" s="401">
        <v>2000000</v>
      </c>
      <c r="F48" s="337">
        <f t="shared" si="5"/>
        <v>1000</v>
      </c>
      <c r="G48" s="338" t="e">
        <f t="shared" si="4"/>
        <v>#N/A</v>
      </c>
      <c r="I48" s="382" t="s">
        <v>520</v>
      </c>
      <c r="J48" s="392" t="s">
        <v>522</v>
      </c>
      <c r="K48" s="395" t="s">
        <v>524</v>
      </c>
      <c r="M48" s="392" t="s">
        <v>520</v>
      </c>
      <c r="N48" s="392" t="s">
        <v>522</v>
      </c>
      <c r="O48" s="395" t="s">
        <v>524</v>
      </c>
    </row>
    <row r="49" spans="1:15" ht="15.6">
      <c r="A49" s="342"/>
      <c r="C49" s="349" t="s">
        <v>1003</v>
      </c>
      <c r="D49" s="342"/>
      <c r="E49" s="401">
        <v>2000000</v>
      </c>
      <c r="F49" s="337">
        <f t="shared" si="5"/>
        <v>1000</v>
      </c>
      <c r="G49" s="338" t="e">
        <f t="shared" si="4"/>
        <v>#N/A</v>
      </c>
      <c r="H49" s="386" t="s">
        <v>908</v>
      </c>
      <c r="I49" s="389">
        <v>10000</v>
      </c>
      <c r="J49" s="389">
        <v>25000</v>
      </c>
      <c r="K49" s="389">
        <v>50000</v>
      </c>
      <c r="L49" s="386" t="s">
        <v>908</v>
      </c>
      <c r="M49" s="405" t="s">
        <v>444</v>
      </c>
      <c r="N49" s="405">
        <v>100</v>
      </c>
      <c r="O49" s="406">
        <v>100</v>
      </c>
    </row>
    <row r="50" spans="1:15" ht="15.6">
      <c r="A50" s="342" t="s">
        <v>909</v>
      </c>
      <c r="C50" s="342" t="str">
        <f t="shared" ref="C50:C55" si="6">H50</f>
        <v>Faulty workmanship</v>
      </c>
      <c r="D50" s="342"/>
      <c r="E50" s="337" t="e">
        <f>IF(E$6="Yes","excluded",IF($E$5="Yes",INDEX($H$48:$K$57,MATCH($C50,$H$48:$H$57,0),MATCH($I$21,$H$48:$K$48,0)),"excluded"))</f>
        <v>#N/A</v>
      </c>
      <c r="F50" s="337" t="e">
        <f>IF(E50="excluded","",2500)</f>
        <v>#N/A</v>
      </c>
      <c r="G50" s="337" t="e">
        <f>IF(E$6="Yes","excluded",IF($E$5="Yes",INDEX($L$48:$O$57,MATCH($C50,$L$48:$L$57,0),MATCH($I$21,$L$48:$O$48,0)),"excluded"))</f>
        <v>#N/A</v>
      </c>
      <c r="H50" s="386" t="s">
        <v>173</v>
      </c>
      <c r="I50" s="389">
        <v>10000</v>
      </c>
      <c r="J50" s="389">
        <v>25000</v>
      </c>
      <c r="K50" s="389">
        <v>100000</v>
      </c>
      <c r="L50" s="386" t="s">
        <v>173</v>
      </c>
      <c r="M50" s="405" t="s">
        <v>444</v>
      </c>
      <c r="N50" s="405">
        <f>25</f>
        <v>25</v>
      </c>
      <c r="O50" s="406">
        <v>25</v>
      </c>
    </row>
    <row r="51" spans="1:15" ht="27.6">
      <c r="A51" s="342" t="s">
        <v>910</v>
      </c>
      <c r="C51" s="342" t="str">
        <f t="shared" si="6"/>
        <v>Contractors Professional Liability (retro date)</v>
      </c>
      <c r="D51" s="342"/>
      <c r="E51" s="337" t="e">
        <f>IF(E$6="Yes","excluded",IF($E$5="Yes",INDEX($H$48:$K$57,MATCH($C51,$H$48:$H$57,0),MATCH($I$21,$H$48:$K$48,0)),"excluded"))</f>
        <v>#N/A</v>
      </c>
      <c r="F51" s="337" t="e">
        <f>IF(E51="excluded","",2500)</f>
        <v>#N/A</v>
      </c>
      <c r="G51" s="337" t="e">
        <f>IF(E$7="Yes","excluded",IF($E$5="Yes",INDEX($L$48:$O$57,MATCH($C51,$L$48:$L$57,0),MATCH($I$21,$L$48:$O$48,0)),"excluded"))</f>
        <v>#N/A</v>
      </c>
      <c r="H51" s="386" t="s">
        <v>976</v>
      </c>
      <c r="I51" s="389">
        <v>10000</v>
      </c>
      <c r="J51" s="389">
        <v>50000</v>
      </c>
      <c r="K51" s="389">
        <v>250000</v>
      </c>
      <c r="L51" s="386" t="s">
        <v>976</v>
      </c>
      <c r="M51" s="405" t="s">
        <v>444</v>
      </c>
      <c r="N51" s="405">
        <v>75</v>
      </c>
      <c r="O51" s="406">
        <v>75</v>
      </c>
    </row>
    <row r="52" spans="1:15" ht="22.5" customHeight="1">
      <c r="A52" s="342" t="s">
        <v>911</v>
      </c>
      <c r="C52" s="342" t="str">
        <f t="shared" si="6"/>
        <v>Fungi and fungal derivatives</v>
      </c>
      <c r="D52" s="342"/>
      <c r="E52" s="337" t="e">
        <f>IF($E$5="Yes",INDEX($H$48:$K$57,MATCH($C52,$H$48:$H$57,0),MATCH($I$21,$H$48:$K$48,0)),"excluded")</f>
        <v>#N/A</v>
      </c>
      <c r="F52" s="337">
        <v>2500</v>
      </c>
      <c r="G52" s="337" t="e">
        <f>IF($E$5="Yes",INDEX($L$48:$O$57,MATCH($C52,$L$48:$L$57,0),MATCH($I$21,$L$48:$O$48,0)),"excluded")</f>
        <v>#N/A</v>
      </c>
      <c r="H52" s="386" t="s">
        <v>192</v>
      </c>
      <c r="I52" s="389">
        <v>50000</v>
      </c>
      <c r="J52" s="389">
        <v>250000</v>
      </c>
      <c r="K52" s="389">
        <v>250000</v>
      </c>
      <c r="L52" s="386" t="s">
        <v>192</v>
      </c>
      <c r="M52" s="405" t="s">
        <v>444</v>
      </c>
      <c r="N52" s="405" t="s">
        <v>1007</v>
      </c>
      <c r="O52" s="406" t="s">
        <v>1007</v>
      </c>
    </row>
    <row r="53" spans="1:15" ht="17.25" customHeight="1">
      <c r="A53" s="342" t="s">
        <v>912</v>
      </c>
      <c r="C53" s="342" t="str">
        <f t="shared" si="6"/>
        <v>Sudden and accidental pollution(120H)</v>
      </c>
      <c r="D53" s="342"/>
      <c r="E53" s="337" t="e">
        <f>IF($E$5="Yes",INDEX($H$48:$K$57,MATCH($C53,$H$48:$H$57,0),MATCH($I$21,$H$48:$K$48,0)),"excluded")</f>
        <v>#N/A</v>
      </c>
      <c r="F53" s="337">
        <v>2500</v>
      </c>
      <c r="G53" s="337" t="e">
        <f>IF($E$5="Yes",INDEX($L$48:$O$57,MATCH($C53,$L$48:$L$57,0),MATCH($I$21,$L$48:$O$48,0)),"excluded")</f>
        <v>#N/A</v>
      </c>
      <c r="H53" s="386" t="s">
        <v>977</v>
      </c>
      <c r="I53" s="389">
        <v>250000</v>
      </c>
      <c r="J53" s="389">
        <v>500000</v>
      </c>
      <c r="K53" s="389">
        <v>1000000</v>
      </c>
      <c r="L53" s="386" t="s">
        <v>977</v>
      </c>
      <c r="M53" s="405" t="s">
        <v>444</v>
      </c>
      <c r="N53" s="405" t="s">
        <v>1007</v>
      </c>
      <c r="O53" s="406">
        <v>25</v>
      </c>
    </row>
    <row r="54" spans="1:15" ht="17.25" customHeight="1">
      <c r="A54" s="342" t="s">
        <v>913</v>
      </c>
      <c r="C54" s="342" t="str">
        <f t="shared" si="6"/>
        <v>Care, custody and control</v>
      </c>
      <c r="D54" s="342"/>
      <c r="E54" s="337" t="e">
        <f>IF($E$5="Yes",INDEX($H$48:$K$57,MATCH($C54,$H$48:$H$57,0),MATCH($I$21,$H$48:$K$48,0)),"excluded")</f>
        <v>#N/A</v>
      </c>
      <c r="F54" s="337">
        <v>2500</v>
      </c>
      <c r="G54" s="337" t="e">
        <f>IF($E$5="Yes",INDEX($L$48:$O$57,MATCH($C54,$L$48:$L$57,0),MATCH($I$21,$L$48:$O$48,0)),"excluded")</f>
        <v>#N/A</v>
      </c>
      <c r="H54" s="386" t="s">
        <v>209</v>
      </c>
      <c r="I54" s="389">
        <v>10000</v>
      </c>
      <c r="J54" s="389">
        <v>25000</v>
      </c>
      <c r="K54" s="389">
        <v>50000</v>
      </c>
      <c r="L54" s="386" t="s">
        <v>209</v>
      </c>
      <c r="M54" s="405" t="s">
        <v>444</v>
      </c>
      <c r="N54" s="405">
        <v>25</v>
      </c>
      <c r="O54" s="406">
        <v>25</v>
      </c>
    </row>
    <row r="55" spans="1:15" ht="15.6">
      <c r="A55" s="342" t="s">
        <v>915</v>
      </c>
      <c r="C55" s="342" t="str">
        <f t="shared" si="6"/>
        <v>Failure to perform</v>
      </c>
      <c r="D55" s="342"/>
      <c r="E55" s="337" t="e">
        <f>IF($E$5="Yes",INDEX($H$48:$K$57,MATCH($C55,$H$48:$H$57,0),MATCH($I$21,$H$48:$K$48,0)),"excluded")</f>
        <v>#N/A</v>
      </c>
      <c r="F55" s="337">
        <v>2500</v>
      </c>
      <c r="G55" s="337" t="e">
        <f>IF($E$5="Yes",INDEX($L$48:$O$57,MATCH($C55,$L$48:$L$57,0),MATCH($I$21,$L$48:$O$48,0)),"excluded")</f>
        <v>#N/A</v>
      </c>
      <c r="H55" s="386" t="s">
        <v>409</v>
      </c>
      <c r="I55" s="389" t="s">
        <v>916</v>
      </c>
      <c r="J55" s="389" t="s">
        <v>916</v>
      </c>
      <c r="K55" s="389">
        <v>250000</v>
      </c>
      <c r="L55" s="386" t="s">
        <v>409</v>
      </c>
      <c r="M55" s="389" t="s">
        <v>916</v>
      </c>
      <c r="N55" s="389" t="s">
        <v>916</v>
      </c>
      <c r="O55" s="406">
        <v>25</v>
      </c>
    </row>
    <row r="56" spans="1:15" ht="15.6">
      <c r="C56" s="342" t="str">
        <f>H56</f>
        <v>Tenant Liability</v>
      </c>
      <c r="D56" s="283"/>
      <c r="E56" s="337" t="e">
        <f>IF($E$5="Yes",INDEX($H$48:$K$57,MATCH($C56,$H$48:$H$57,0),MATCH($I$21,$H$48:$K$48,0)),"excluded")</f>
        <v>#N/A</v>
      </c>
      <c r="F56" s="337">
        <v>2500</v>
      </c>
      <c r="G56" s="337" t="e">
        <f>IF($E$5="Yes",INDEX($L$48:$O$57,MATCH($C56,$L$48:$L$57,0),MATCH($I$21,$L$48:$O$48,0)),"excluded")</f>
        <v>#N/A</v>
      </c>
      <c r="H56" s="407" t="s">
        <v>917</v>
      </c>
      <c r="I56" s="389">
        <v>250000</v>
      </c>
      <c r="J56" s="389">
        <v>250000</v>
      </c>
      <c r="K56" s="389">
        <v>250000</v>
      </c>
      <c r="L56" s="407" t="s">
        <v>917</v>
      </c>
      <c r="M56" s="405" t="s">
        <v>444</v>
      </c>
      <c r="N56" s="405" t="s">
        <v>1007</v>
      </c>
      <c r="O56" s="406" t="s">
        <v>1007</v>
      </c>
    </row>
    <row r="57" spans="1:15" ht="15.6">
      <c r="C57" s="342" t="s">
        <v>1015</v>
      </c>
      <c r="D57" s="342"/>
      <c r="E57" s="337" t="str">
        <f>IF(Inputs!C110=TRUE,50000,"excluded")</f>
        <v>excluded</v>
      </c>
      <c r="F57" s="337" t="str">
        <f>IF(Inputs!C110=TRUE,VLOOKUP(Paramètres!C42,Paramètres!B69:G75,6,TRUE),"excluded")</f>
        <v>excluded</v>
      </c>
      <c r="G57" s="338" t="str">
        <f>IF(Inputs!C110=TRUE,VLOOKUP(Paramètres!C42,Paramètres!B69:G75,3,TRUE),"excluded")</f>
        <v>excluded</v>
      </c>
      <c r="H57" s="386" t="s">
        <v>914</v>
      </c>
      <c r="I57" s="389">
        <v>0</v>
      </c>
      <c r="J57" s="389">
        <v>10000</v>
      </c>
      <c r="K57" s="389">
        <v>20000</v>
      </c>
      <c r="L57" s="386" t="s">
        <v>914</v>
      </c>
      <c r="M57" s="405"/>
      <c r="N57" s="405">
        <v>50</v>
      </c>
      <c r="O57" s="406">
        <v>125</v>
      </c>
    </row>
    <row r="58" spans="1:15" ht="17.399999999999999">
      <c r="C58" s="342" t="s">
        <v>1016</v>
      </c>
      <c r="D58" s="342" t="s">
        <v>1017</v>
      </c>
      <c r="E58" s="337" t="str">
        <f>IF(Inputs!C108=TRUE,"included","excluded")</f>
        <v>excluded</v>
      </c>
      <c r="F58" s="337" t="str">
        <f>IF(Inputs!C108=TRUE,500,"excluded")</f>
        <v>excluded</v>
      </c>
      <c r="G58" s="338" t="str">
        <f>IF(Inputs!C108=TRUE,75,"excluded")</f>
        <v>excluded</v>
      </c>
      <c r="H58" s="408" t="s">
        <v>918</v>
      </c>
      <c r="I58" s="409">
        <v>0</v>
      </c>
      <c r="J58" s="409">
        <v>275</v>
      </c>
      <c r="K58" s="409">
        <v>400</v>
      </c>
      <c r="M58" s="410">
        <v>0</v>
      </c>
      <c r="N58" s="410">
        <f>SUM(N49:N57)</f>
        <v>275</v>
      </c>
      <c r="O58" s="411">
        <f>SUM(O49:O57)</f>
        <v>400</v>
      </c>
    </row>
    <row r="59" spans="1:15">
      <c r="C59" s="342"/>
      <c r="D59" s="342"/>
      <c r="E59" s="337"/>
      <c r="F59" s="337"/>
      <c r="G59" s="338"/>
      <c r="H59" s="281"/>
      <c r="N59" s="412" t="e">
        <f>N58-N49-N57-SUM(G50:G56)</f>
        <v>#N/A</v>
      </c>
      <c r="O59" s="412" t="e">
        <f>O58-O49-O57-SUM(G50:G56)</f>
        <v>#N/A</v>
      </c>
    </row>
    <row r="60" spans="1:15" ht="15.6">
      <c r="C60" s="268"/>
      <c r="D60" s="268"/>
      <c r="E60" s="268"/>
      <c r="F60" s="284" t="s">
        <v>936</v>
      </c>
      <c r="G60" s="285" t="e">
        <f>IF(AND(H$21="Quote",SUM(E28:E31)+E36+E37&lt;=I39),(SUM(G40:G59)+SUM(G28:G31)+SUM(G36:G37)),0)</f>
        <v>#N/A</v>
      </c>
      <c r="H60" s="344" t="s">
        <v>687</v>
      </c>
      <c r="I60" s="413"/>
      <c r="J60" s="413" t="s">
        <v>990</v>
      </c>
      <c r="K60" s="413" t="s">
        <v>991</v>
      </c>
    </row>
    <row r="61" spans="1:15" ht="15.6">
      <c r="C61" s="268"/>
      <c r="D61" s="268"/>
      <c r="E61" s="268"/>
      <c r="F61" s="284" t="s">
        <v>937</v>
      </c>
      <c r="G61" s="285" t="e">
        <f>IF(H$21="Quote",(VLOOKUP(G60,H65:I68,2,TRUE)+K62),0)</f>
        <v>#N/A</v>
      </c>
      <c r="H61" s="347" t="s">
        <v>987</v>
      </c>
      <c r="I61" s="414" t="e">
        <f>G60*0.15</f>
        <v>#N/A</v>
      </c>
      <c r="J61" s="415"/>
      <c r="K61" s="413"/>
    </row>
    <row r="62" spans="1:15" ht="17.399999999999999">
      <c r="C62" s="287"/>
      <c r="D62" s="287"/>
      <c r="E62" s="287"/>
      <c r="F62" s="286" t="s">
        <v>938</v>
      </c>
      <c r="G62" s="288" t="e">
        <f>G60+G61</f>
        <v>#N/A</v>
      </c>
      <c r="H62" s="347" t="s">
        <v>988</v>
      </c>
      <c r="I62" s="414" t="e">
        <f>G60*0.175</f>
        <v>#N/A</v>
      </c>
      <c r="J62" s="415" t="e">
        <f>I62-I61</f>
        <v>#N/A</v>
      </c>
      <c r="K62" s="413" t="e">
        <f>IF(I63=17.5%,ROUNDUP(J62/100,1)*100,0)</f>
        <v>#N/A</v>
      </c>
    </row>
    <row r="63" spans="1:15" ht="20.399999999999999">
      <c r="C63" s="268"/>
      <c r="D63" s="268"/>
      <c r="E63" s="268"/>
      <c r="F63" s="289" t="s">
        <v>939</v>
      </c>
      <c r="G63" s="343" t="e">
        <f>I63</f>
        <v>#N/A</v>
      </c>
      <c r="H63" s="346" t="s">
        <v>992</v>
      </c>
      <c r="I63" s="416" t="e">
        <f>IF(Paramètres!C35="New_standard",15%,17.5%)</f>
        <v>#N/A</v>
      </c>
      <c r="J63" s="413"/>
      <c r="K63" s="413"/>
    </row>
    <row r="64" spans="1:15">
      <c r="C64" s="268"/>
      <c r="D64" s="268"/>
      <c r="E64" s="268"/>
      <c r="F64" s="268"/>
      <c r="G64" s="268"/>
      <c r="H64" s="413" t="s">
        <v>953</v>
      </c>
      <c r="I64" s="413" t="s">
        <v>989</v>
      </c>
      <c r="J64" s="413"/>
      <c r="K64" s="413"/>
    </row>
    <row r="65" spans="3:11">
      <c r="C65" s="268"/>
      <c r="D65" s="268"/>
      <c r="E65" s="268"/>
      <c r="F65" s="268"/>
      <c r="G65" s="268"/>
      <c r="H65" s="413">
        <v>0</v>
      </c>
      <c r="I65" s="417">
        <v>125</v>
      </c>
      <c r="J65" s="413"/>
      <c r="K65" s="413"/>
    </row>
    <row r="66" spans="3:11">
      <c r="C66" s="339" t="s">
        <v>940</v>
      </c>
      <c r="D66" s="339"/>
      <c r="E66" s="291"/>
      <c r="F66" s="291"/>
      <c r="G66" s="339"/>
      <c r="H66" s="413">
        <v>1000</v>
      </c>
      <c r="I66" s="417">
        <v>150</v>
      </c>
      <c r="J66" s="345"/>
      <c r="K66" s="413"/>
    </row>
    <row r="67" spans="3:11">
      <c r="C67" s="339"/>
      <c r="D67" s="339"/>
      <c r="E67" s="291"/>
      <c r="F67" s="291"/>
      <c r="G67" s="339"/>
      <c r="H67" s="413">
        <v>1501</v>
      </c>
      <c r="I67" s="417">
        <v>175</v>
      </c>
      <c r="J67" s="345"/>
      <c r="K67" s="413"/>
    </row>
    <row r="68" spans="3:11">
      <c r="C68" s="339"/>
      <c r="D68" s="339"/>
      <c r="E68" s="291"/>
      <c r="F68" s="291"/>
      <c r="G68" s="339"/>
      <c r="H68" s="413">
        <v>2001</v>
      </c>
      <c r="I68" s="417">
        <v>200</v>
      </c>
      <c r="J68" s="345"/>
      <c r="K68" s="413"/>
    </row>
    <row r="69" spans="3:11">
      <c r="C69" s="339"/>
      <c r="D69" s="339"/>
      <c r="E69" s="291"/>
      <c r="F69" s="291"/>
      <c r="G69" s="339"/>
      <c r="H69" s="339"/>
      <c r="I69" s="339"/>
      <c r="J69" s="340"/>
    </row>
    <row r="70" spans="3:11" ht="17.399999999999999">
      <c r="C70" s="290" t="s">
        <v>941</v>
      </c>
      <c r="D70" s="339"/>
      <c r="E70" s="291"/>
      <c r="F70" s="291"/>
      <c r="G70" s="339"/>
      <c r="H70" s="339"/>
      <c r="I70" s="339"/>
      <c r="J70" s="340"/>
    </row>
    <row r="71" spans="3:11">
      <c r="C71" s="341" t="s">
        <v>978</v>
      </c>
      <c r="D71" s="341"/>
      <c r="E71" s="341"/>
      <c r="F71" s="341"/>
      <c r="G71" s="341"/>
      <c r="H71" s="339"/>
      <c r="I71" s="339"/>
      <c r="J71" s="340"/>
    </row>
    <row r="72" spans="3:11">
      <c r="C72" s="341" t="e">
        <f>IF(Paramètres!C35="Electrician","CM16Qa Specified Operation Exclusion:Plumbing, roofing work done by the insured himself","CM16Q Specified Operation Exclusion:Plumbing, electricity, roofing work done by the insured himself")</f>
        <v>#N/A</v>
      </c>
      <c r="D72" s="341"/>
      <c r="E72" s="341"/>
      <c r="F72" s="341"/>
      <c r="G72" s="341"/>
      <c r="H72" s="339"/>
      <c r="I72" s="339"/>
      <c r="J72" s="340"/>
    </row>
    <row r="73" spans="3:11">
      <c r="C73" s="341" t="s">
        <v>738</v>
      </c>
      <c r="D73" s="341"/>
      <c r="E73" s="341"/>
      <c r="F73" s="341"/>
      <c r="G73" s="341"/>
      <c r="H73" s="339"/>
      <c r="I73" s="339"/>
      <c r="J73" s="340"/>
    </row>
    <row r="74" spans="3:11">
      <c r="C74" s="348" t="s">
        <v>994</v>
      </c>
      <c r="D74" s="341"/>
      <c r="E74" s="341"/>
      <c r="F74" s="341"/>
      <c r="G74" s="341"/>
      <c r="H74" s="339"/>
      <c r="I74" s="339"/>
      <c r="J74" s="340"/>
    </row>
    <row r="75" spans="3:11">
      <c r="C75" s="341" t="s">
        <v>979</v>
      </c>
      <c r="D75" s="341"/>
      <c r="E75" s="341"/>
      <c r="F75" s="341"/>
      <c r="G75" s="341"/>
      <c r="H75" s="339"/>
      <c r="I75" s="339"/>
      <c r="J75" s="340"/>
    </row>
    <row r="76" spans="3:11">
      <c r="C76" s="341" t="s">
        <v>980</v>
      </c>
      <c r="D76" s="341"/>
      <c r="E76" s="341"/>
      <c r="F76" s="341"/>
      <c r="G76" s="341"/>
      <c r="H76" s="339"/>
      <c r="I76" s="339"/>
      <c r="J76" s="340"/>
    </row>
    <row r="77" spans="3:11">
      <c r="C77" s="341" t="s">
        <v>942</v>
      </c>
      <c r="D77" s="341"/>
      <c r="E77" s="341"/>
      <c r="F77" s="341"/>
      <c r="G77" s="341"/>
      <c r="H77" s="339"/>
      <c r="I77" s="339"/>
      <c r="J77" s="340"/>
    </row>
    <row r="78" spans="3:11">
      <c r="C78" s="341" t="s">
        <v>983</v>
      </c>
      <c r="D78" s="341"/>
      <c r="E78" s="341"/>
      <c r="F78" s="341"/>
      <c r="G78" s="341"/>
      <c r="H78" s="339"/>
      <c r="I78" s="339"/>
      <c r="J78" s="340"/>
    </row>
    <row r="79" spans="3:11">
      <c r="C79" s="341" t="s">
        <v>981</v>
      </c>
      <c r="D79" s="341"/>
      <c r="E79" s="341"/>
      <c r="F79" s="341"/>
      <c r="G79" s="341"/>
      <c r="H79" s="339"/>
      <c r="I79" s="339"/>
      <c r="J79" s="340"/>
    </row>
    <row r="80" spans="3:11">
      <c r="C80" s="341" t="s">
        <v>982</v>
      </c>
      <c r="D80" s="341"/>
      <c r="E80" s="341"/>
      <c r="F80" s="341"/>
      <c r="G80" s="341"/>
      <c r="H80" s="339"/>
      <c r="I80" s="339"/>
      <c r="J80" s="340"/>
    </row>
    <row r="81" spans="1:10">
      <c r="C81" s="341" t="s">
        <v>771</v>
      </c>
      <c r="D81" s="341"/>
      <c r="E81" s="341"/>
      <c r="F81" s="341"/>
      <c r="G81" s="341"/>
      <c r="H81" s="339"/>
      <c r="I81" s="339"/>
      <c r="J81" s="340"/>
    </row>
    <row r="82" spans="1:10">
      <c r="A82" s="368" t="s">
        <v>755</v>
      </c>
      <c r="C82" s="341" t="e">
        <f>INDEX('Conditions (june 2020)'!$B$2:$AK$93,MATCH('April Output'!$E$3,'Conditions (june 2020)'!$B$2:$B$93,0),MATCH('April Output'!$A82,'Conditions (june 2020)'!$B$2:$AK$2,0))</f>
        <v>#N/A</v>
      </c>
      <c r="D82" s="341"/>
      <c r="E82" s="341"/>
      <c r="F82" s="341"/>
      <c r="G82" s="341"/>
      <c r="H82" s="339"/>
      <c r="I82" s="339"/>
      <c r="J82" s="340"/>
    </row>
    <row r="83" spans="1:10">
      <c r="A83" s="368" t="s">
        <v>756</v>
      </c>
      <c r="C83" s="341" t="e">
        <f>INDEX('Conditions (june 2020)'!$B$2:$AK$93,MATCH('April Output'!$E$3,'Conditions (june 2020)'!$B$2:$B$93,0),MATCH('April Output'!$A83,'Conditions (june 2020)'!$B$2:$AK$2,0))</f>
        <v>#N/A</v>
      </c>
      <c r="D83" s="341"/>
      <c r="E83" s="341"/>
      <c r="F83" s="341"/>
      <c r="G83" s="341"/>
      <c r="H83" s="339"/>
      <c r="I83" s="339"/>
      <c r="J83" s="340"/>
    </row>
    <row r="84" spans="1:10">
      <c r="A84" s="368" t="s">
        <v>757</v>
      </c>
      <c r="C84" s="341" t="e">
        <f>INDEX('Conditions (june 2020)'!$B$2:$AK$93,MATCH('April Output'!$E$3,'Conditions (june 2020)'!$B$2:$B$93,0),MATCH('April Output'!$A84,'Conditions (june 2020)'!$B$2:$AK$2,0))</f>
        <v>#N/A</v>
      </c>
      <c r="D84" s="341"/>
      <c r="E84" s="341"/>
      <c r="F84" s="341"/>
      <c r="G84" s="341"/>
      <c r="H84" s="339"/>
      <c r="I84" s="339"/>
      <c r="J84" s="340"/>
    </row>
    <row r="85" spans="1:10">
      <c r="A85" s="368" t="s">
        <v>758</v>
      </c>
      <c r="C85" s="341" t="e">
        <f>INDEX('Conditions (june 2020)'!$B$2:$AK$93,MATCH('April Output'!$E$3,'Conditions (june 2020)'!$B$2:$B$93,0),MATCH('April Output'!$A85,'Conditions (june 2020)'!$B$2:$AK$2,0))</f>
        <v>#N/A</v>
      </c>
      <c r="D85" s="341"/>
      <c r="E85" s="341"/>
      <c r="F85" s="341"/>
      <c r="G85" s="341"/>
    </row>
    <row r="86" spans="1:10">
      <c r="A86" s="368" t="s">
        <v>761</v>
      </c>
      <c r="C86" s="341" t="e">
        <f>IF(INDEX('Conditions (june 2020)'!$B$2:$AK$93,MATCH('April Output'!$E$3,'Conditions (june 2020)'!$B$2:$B$93,0),MATCH('April Output'!$A86,'Conditions (june 2020)'!$B$2:$AK$2,0))="Yes","LX26 Errors and Omissions Exclusion","")</f>
        <v>#N/A</v>
      </c>
      <c r="D86" s="341"/>
      <c r="E86" s="341"/>
      <c r="F86" s="341"/>
      <c r="G86" s="341"/>
    </row>
    <row r="87" spans="1:10">
      <c r="A87" s="368" t="s">
        <v>993</v>
      </c>
      <c r="C87" s="341" t="e">
        <f>IF(SUM(E28:E37)&gt;0,"PW1 – Locked Vehicle Warranty","")</f>
        <v>#N/A</v>
      </c>
      <c r="D87" s="341"/>
      <c r="E87" s="341"/>
      <c r="F87" s="341"/>
      <c r="G87" s="341"/>
    </row>
    <row r="88" spans="1:10">
      <c r="C88" s="341" t="e">
        <f>IF(SUM(E$29:E$30)&gt;0,"PE24 – Replacement Cost Extension (Contractors Equipment)","")</f>
        <v>#N/A</v>
      </c>
      <c r="D88" s="341"/>
      <c r="E88" s="341"/>
      <c r="F88" s="341"/>
      <c r="G88" s="341"/>
    </row>
    <row r="89" spans="1:10">
      <c r="C89" s="341" t="e">
        <f>IF(SUM(E$29:E$30)&gt;0,"CW202 Anti-Theft Exclusion - mandatory for any item with value of  $60,000 and over","")</f>
        <v>#N/A</v>
      </c>
      <c r="D89" s="341"/>
      <c r="E89" s="341"/>
      <c r="F89" s="341"/>
      <c r="G89" s="341"/>
      <c r="H89" s="341"/>
    </row>
    <row r="90" spans="1:10">
      <c r="C90" s="341" t="e">
        <f>IF(SUM(E$29:E$30)&gt;0,"*Amendment to PA11 coverage:  amends new acquisitions","")</f>
        <v>#N/A</v>
      </c>
      <c r="D90" s="341"/>
      <c r="E90" s="341"/>
      <c r="F90" s="341"/>
      <c r="G90" s="341"/>
      <c r="H90" s="341"/>
    </row>
    <row r="91" spans="1:10">
      <c r="C91" s="341" t="str">
        <f>IF(E30&gt;0,"CW182 – Rental Equipment Reimbursement ","")</f>
        <v/>
      </c>
      <c r="D91" s="341"/>
      <c r="E91" s="341"/>
      <c r="F91" s="341"/>
      <c r="G91" s="341"/>
      <c r="H91" s="341"/>
    </row>
  </sheetData>
  <sheetProtection password="93C0" sheet="1" objects="1" scenarios="1"/>
  <mergeCells count="25">
    <mergeCell ref="I47:K47"/>
    <mergeCell ref="C3:D3"/>
    <mergeCell ref="C5:D5"/>
    <mergeCell ref="C6:D6"/>
    <mergeCell ref="C7:D7"/>
    <mergeCell ref="F13:G13"/>
    <mergeCell ref="C9:D9"/>
    <mergeCell ref="C11:D11"/>
    <mergeCell ref="F11:G11"/>
    <mergeCell ref="C12:D12"/>
    <mergeCell ref="C13:D13"/>
    <mergeCell ref="C15:D15"/>
    <mergeCell ref="F15:G15"/>
    <mergeCell ref="C16:D16"/>
    <mergeCell ref="C17:D17"/>
    <mergeCell ref="F14:G14"/>
    <mergeCell ref="F17:G17"/>
    <mergeCell ref="C23:G23"/>
    <mergeCell ref="C14:D14"/>
    <mergeCell ref="C2:D2"/>
    <mergeCell ref="C8:D8"/>
    <mergeCell ref="F8:G8"/>
    <mergeCell ref="C10:D10"/>
    <mergeCell ref="F2:G2"/>
    <mergeCell ref="F10:G10"/>
  </mergeCells>
  <conditionalFormatting sqref="F8:H8 H9:H11 H13:H18 H20 H4">
    <cfRule type="containsText" dxfId="42" priority="186" operator="containsText" text="Le % de Chiffre d'Affaires Électricien indiqué est inférieur à 90%">
      <formula>NOT(ISERROR(SEARCH("Le % de Chiffre d'Affaires Électricien indiqué est inférieur à 90%",F4)))</formula>
    </cfRule>
  </conditionalFormatting>
  <conditionalFormatting sqref="E11">
    <cfRule type="cellIs" dxfId="41" priority="184" operator="lessThanOrEqual">
      <formula>#REF!</formula>
    </cfRule>
    <cfRule type="cellIs" dxfId="40" priority="185" operator="greaterThan">
      <formula>#REF!</formula>
    </cfRule>
  </conditionalFormatting>
  <conditionalFormatting sqref="F11:H11 F14:H14 H13 H15:H18 H20 H4">
    <cfRule type="containsText" dxfId="39" priority="182" operator="containsText" text="Merci de mettre le % de sous-traitance">
      <formula>NOT(ISERROR(SEARCH("Merci de mettre le % de sous-traitance",F4)))</formula>
    </cfRule>
    <cfRule type="containsText" dxfId="38" priority="183" operator="containsText" text="% Sous-traitance maximum 25%">
      <formula>NOT(ISERROR(SEARCH("% Sous-traitance maximum 25%",F4)))</formula>
    </cfRule>
  </conditionalFormatting>
  <conditionalFormatting sqref="F10:H10 H11 H13:H18 H20 H4">
    <cfRule type="containsText" dxfId="37" priority="181" operator="containsText" text="Merci de cocher la case pour valider aucune exposition Etats Unis">
      <formula>NOT(ISERROR(SEARCH("Merci de cocher la case pour valider aucune exposition Etats Unis",F4)))</formula>
    </cfRule>
  </conditionalFormatting>
  <conditionalFormatting sqref="F12:F13 H12:H13 G12 H17:H18 H20 H4">
    <cfRule type="containsText" dxfId="36" priority="179" operator="containsText" text="Merci de confirmer 3 ans d’expérience ou bien 3 ans en affaires minimum">
      <formula>NOT(ISERROR(SEARCH("Merci de confirmer 3 ans d’expérience ou bien 3 ans en affaires minimum",F4)))</formula>
    </cfRule>
    <cfRule type="containsText" dxfId="35" priority="180" operator="containsText" text="3 ans d’expérience minimum">
      <formula>NOT(ISERROR(SEARCH("3 ans d’expérience minimum",F4)))</formula>
    </cfRule>
  </conditionalFormatting>
  <conditionalFormatting sqref="F14:H14 H15:H18 H20">
    <cfRule type="containsText" dxfId="34" priority="175" operator="containsText" text="Le nombre d'années sans réclamations ne peut pas dépasser le nombre d'années en affaires">
      <formula>NOT(ISERROR(SEARCH("Le nombre d'années sans réclamations ne peut pas dépasser le nombre d'années en affaires",F14)))</formula>
    </cfRule>
    <cfRule type="containsText" dxfId="33" priority="176" operator="containsText" text="Dossier avec réclamations à nous réferer">
      <formula>NOT(ISERROR(SEARCH("Dossier avec réclamations à nous réferer",F14)))</formula>
    </cfRule>
    <cfRule type="containsText" dxfId="32" priority="177" operator="containsText" text="Historique de réclamations non authorisé">
      <formula>NOT(ISERROR(SEARCH("Historique de réclamations non authorisé",F14)))</formula>
    </cfRule>
    <cfRule type="containsText" dxfId="31" priority="178" operator="containsText" text="Merci de mettre le nombre d'années sans réclamation">
      <formula>NOT(ISERROR(SEARCH("Merci de mettre le nombre d'années sans réclamation",F14)))</formula>
    </cfRule>
  </conditionalFormatting>
  <conditionalFormatting sqref="F15:H16 F3:H7">
    <cfRule type="containsText" dxfId="30" priority="173" operator="containsText" text="Maximum 10% des revenus en services d’évaluation, aucun service d’ingénierie">
      <formula>NOT(ISERROR(SEARCH("Maximum 10% des revenus en services d’évaluation, aucun service d’ingénierie",F3)))</formula>
    </cfRule>
    <cfRule type="containsText" dxfId="29" priority="174" operator="containsText" text="Merci de cocher la case pour valider aucune exposition Etats Unis">
      <formula>NOT(ISERROR(SEARCH("Merci de cocher la case pour valider aucune exposition Etats Unis",F3)))</formula>
    </cfRule>
  </conditionalFormatting>
  <conditionalFormatting sqref="F17:H17 H18 H20">
    <cfRule type="containsText" dxfId="28" priority="172" operator="containsText" text="Merci de mettre le montant du Chiffre d'Affaires">
      <formula>NOT(ISERROR(SEARCH("Merci de mettre le montant du Chiffre d'Affaires",F17)))</formula>
    </cfRule>
  </conditionalFormatting>
  <conditionalFormatting sqref="G18:H18">
    <cfRule type="cellIs" dxfId="27" priority="169" operator="lessThan">
      <formula>0</formula>
    </cfRule>
    <cfRule type="cellIs" dxfId="26" priority="170" operator="equal">
      <formula>0</formula>
    </cfRule>
    <cfRule type="cellIs" dxfId="25" priority="171" operator="between">
      <formula>0.0001</formula>
      <formula>0.9999</formula>
    </cfRule>
  </conditionalFormatting>
  <conditionalFormatting sqref="F16 F5:F7">
    <cfRule type="containsText" dxfId="24" priority="167" operator="containsText" text="Max 10% revenues from Evaluation services and Engineering">
      <formula>NOT(ISERROR(SEARCH("Max 10% revenues from Evaluation services and Engineering",F5)))</formula>
    </cfRule>
    <cfRule type="expression" dxfId="23" priority="168">
      <formula>AND($G$10="False",E9="True")</formula>
    </cfRule>
  </conditionalFormatting>
  <conditionalFormatting sqref="E50:E52">
    <cfRule type="expression" dxfId="22" priority="142">
      <formula>AND(G69&gt;0,E50&lt;10000)</formula>
    </cfRule>
  </conditionalFormatting>
  <conditionalFormatting sqref="C71:G91 E37:F37 E50:E57 H89:H91 E28:F28 F29:F31">
    <cfRule type="cellIs" dxfId="21" priority="140" operator="equal">
      <formula>0</formula>
    </cfRule>
  </conditionalFormatting>
  <conditionalFormatting sqref="F50:F57 F36">
    <cfRule type="expression" dxfId="20" priority="236">
      <formula>#REF!&gt;0</formula>
    </cfRule>
  </conditionalFormatting>
  <conditionalFormatting sqref="E51:E60">
    <cfRule type="expression" dxfId="19" priority="237">
      <formula>#REF!&gt;0</formula>
    </cfRule>
  </conditionalFormatting>
  <conditionalFormatting sqref="F3:F4">
    <cfRule type="containsText" dxfId="18" priority="238" operator="containsText" text="Max 10% revenues from Evaluation services and Engineering">
      <formula>NOT(ISERROR(SEARCH("Max 10% revenues from Evaluation services and Engineering",F3)))</formula>
    </cfRule>
    <cfRule type="expression" dxfId="17" priority="239">
      <formula>AND($G$10="False",E8="True")</formula>
    </cfRule>
  </conditionalFormatting>
  <conditionalFormatting sqref="E57">
    <cfRule type="expression" dxfId="16" priority="49">
      <formula>AND(G80&gt;0,E57&lt;10000)</formula>
    </cfRule>
  </conditionalFormatting>
  <conditionalFormatting sqref="F28">
    <cfRule type="expression" dxfId="15" priority="437">
      <formula>AND(#REF!&gt;0,E28&lt;=10000)</formula>
    </cfRule>
  </conditionalFormatting>
  <conditionalFormatting sqref="F29">
    <cfRule type="expression" dxfId="14" priority="45">
      <formula>AND(#REF!&gt;0,E29&lt;=10000)</formula>
    </cfRule>
  </conditionalFormatting>
  <conditionalFormatting sqref="F30">
    <cfRule type="expression" dxfId="13" priority="44">
      <formula>AND(#REF!&gt;0,E30&lt;=10000)</formula>
    </cfRule>
  </conditionalFormatting>
  <conditionalFormatting sqref="E53:E56">
    <cfRule type="expression" dxfId="12" priority="439">
      <formula>AND(G77&gt;0,E53&lt;10000)</formula>
    </cfRule>
  </conditionalFormatting>
  <conditionalFormatting sqref="E53">
    <cfRule type="expression" dxfId="11" priority="18">
      <formula>AND(G72&gt;0,E53&lt;10000)</formula>
    </cfRule>
  </conditionalFormatting>
  <conditionalFormatting sqref="E54">
    <cfRule type="expression" dxfId="10" priority="17">
      <formula>AND(G73&gt;0,E54&lt;10000)</formula>
    </cfRule>
  </conditionalFormatting>
  <conditionalFormatting sqref="E55">
    <cfRule type="expression" dxfId="9" priority="16">
      <formula>AND(G75&gt;0,E55&lt;10000)</formula>
    </cfRule>
  </conditionalFormatting>
  <conditionalFormatting sqref="E56">
    <cfRule type="expression" dxfId="8" priority="15">
      <formula>AND(G76&gt;0,E56&lt;10000)</formula>
    </cfRule>
  </conditionalFormatting>
  <conditionalFormatting sqref="E58">
    <cfRule type="cellIs" dxfId="7" priority="8" operator="equal">
      <formula>0</formula>
    </cfRule>
  </conditionalFormatting>
  <conditionalFormatting sqref="F58">
    <cfRule type="expression" dxfId="6" priority="7">
      <formula>#REF!&gt;0</formula>
    </cfRule>
  </conditionalFormatting>
  <conditionalFormatting sqref="E58">
    <cfRule type="expression" dxfId="5" priority="6">
      <formula>AND(G81&gt;0,E58&lt;10000)</formula>
    </cfRule>
  </conditionalFormatting>
  <conditionalFormatting sqref="E59">
    <cfRule type="cellIs" dxfId="4" priority="5" operator="equal">
      <formula>0</formula>
    </cfRule>
  </conditionalFormatting>
  <conditionalFormatting sqref="F59">
    <cfRule type="expression" dxfId="3" priority="4">
      <formula>#REF!&gt;0</formula>
    </cfRule>
  </conditionalFormatting>
  <conditionalFormatting sqref="E59">
    <cfRule type="expression" dxfId="2" priority="3">
      <formula>AND(G82&gt;0,E59&lt;10000)</formula>
    </cfRule>
  </conditionalFormatting>
  <conditionalFormatting sqref="G28:G31 G36:G37">
    <cfRule type="cellIs" dxfId="1" priority="2" operator="equal">
      <formula>0</formula>
    </cfRule>
  </conditionalFormatting>
  <conditionalFormatting sqref="E28:E31 E36:E37">
    <cfRule type="cellIs" dxfId="0" priority="1" operator="equal">
      <formula>0</formula>
    </cfRule>
  </conditionalFormatting>
  <pageMargins left="0.7" right="0.7" top="0.75" bottom="0.75" header="0.3" footer="0.3"/>
  <pageSetup scale="60" orientation="portrait" horizontalDpi="90" verticalDpi="90" r:id="rId1"/>
  <ignoredErrors>
    <ignoredError sqref="E34"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70C0"/>
  </sheetPr>
  <dimension ref="A1:L85"/>
  <sheetViews>
    <sheetView showGridLines="0" topLeftCell="B26" zoomScale="80" zoomScaleNormal="80" workbookViewId="0">
      <selection activeCell="G51" sqref="G51"/>
    </sheetView>
  </sheetViews>
  <sheetFormatPr defaultColWidth="9.109375" defaultRowHeight="14.4"/>
  <cols>
    <col min="1" max="1" width="14.5546875" style="100" customWidth="1"/>
    <col min="2" max="2" width="29.6640625" style="100" customWidth="1"/>
    <col min="3" max="3" width="37.44140625" style="100" customWidth="1"/>
    <col min="4" max="4" width="36.44140625" style="100" customWidth="1"/>
    <col min="5" max="5" width="26.6640625" style="100" customWidth="1"/>
    <col min="6" max="6" width="25.109375" style="100" customWidth="1"/>
    <col min="7" max="7" width="23" style="100" customWidth="1"/>
    <col min="8" max="8" width="32" style="100" customWidth="1"/>
    <col min="9" max="9" width="23.33203125" style="100" customWidth="1"/>
    <col min="10" max="10" width="26.5546875" style="100" customWidth="1"/>
    <col min="11" max="11" width="9.109375" style="100"/>
    <col min="12" max="12" width="15.88671875" style="100" customWidth="1"/>
    <col min="13" max="13" width="12.44140625" style="100" bestFit="1" customWidth="1"/>
    <col min="14" max="16384" width="9.109375" style="100"/>
  </cols>
  <sheetData>
    <row r="1" spans="2:10">
      <c r="D1" s="101" t="s">
        <v>589</v>
      </c>
      <c r="G1" s="323"/>
      <c r="H1" s="323"/>
      <c r="I1" s="323"/>
      <c r="J1" s="323"/>
    </row>
    <row r="2" spans="2:10">
      <c r="B2" s="101" t="s">
        <v>589</v>
      </c>
      <c r="D2" s="103" t="s">
        <v>590</v>
      </c>
      <c r="E2" s="103" t="s">
        <v>591</v>
      </c>
      <c r="F2" s="323"/>
    </row>
    <row r="3" spans="2:10">
      <c r="B3" s="100" t="s">
        <v>592</v>
      </c>
      <c r="D3" s="104">
        <v>0</v>
      </c>
      <c r="E3" s="105">
        <v>1000</v>
      </c>
      <c r="F3" s="323"/>
    </row>
    <row r="4" spans="2:10">
      <c r="B4" s="100" t="s">
        <v>593</v>
      </c>
      <c r="D4" s="106">
        <v>25000</v>
      </c>
      <c r="E4" s="107">
        <v>2500</v>
      </c>
      <c r="F4" s="323"/>
    </row>
    <row r="5" spans="2:10">
      <c r="F5" s="323"/>
    </row>
    <row r="6" spans="2:10">
      <c r="D6" s="101" t="s">
        <v>594</v>
      </c>
      <c r="F6" s="323"/>
    </row>
    <row r="7" spans="2:10">
      <c r="D7" s="325" t="s">
        <v>404</v>
      </c>
      <c r="E7" s="103" t="s">
        <v>591</v>
      </c>
      <c r="F7" s="323"/>
    </row>
    <row r="8" spans="2:10">
      <c r="D8" s="328">
        <v>0</v>
      </c>
      <c r="E8" s="105">
        <v>1000</v>
      </c>
      <c r="F8" s="323"/>
    </row>
    <row r="9" spans="2:10">
      <c r="D9" s="328">
        <v>750001</v>
      </c>
      <c r="E9" s="107">
        <v>2500</v>
      </c>
      <c r="F9" s="323"/>
    </row>
    <row r="10" spans="2:10">
      <c r="B10" s="101" t="s">
        <v>595</v>
      </c>
      <c r="D10" s="101" t="s">
        <v>595</v>
      </c>
      <c r="F10" s="323"/>
    </row>
    <row r="11" spans="2:10">
      <c r="F11" s="323"/>
    </row>
    <row r="12" spans="2:10">
      <c r="B12" s="100" t="s">
        <v>596</v>
      </c>
      <c r="D12" s="102" t="s">
        <v>590</v>
      </c>
      <c r="E12" s="102" t="s">
        <v>591</v>
      </c>
      <c r="F12" s="323"/>
    </row>
    <row r="13" spans="2:10">
      <c r="B13" s="100" t="s">
        <v>597</v>
      </c>
      <c r="D13" s="108">
        <v>0</v>
      </c>
      <c r="E13" s="105">
        <v>2500</v>
      </c>
      <c r="F13" s="323"/>
    </row>
    <row r="14" spans="2:10">
      <c r="B14" s="100" t="s">
        <v>598</v>
      </c>
      <c r="D14" s="106">
        <v>100000</v>
      </c>
      <c r="E14" s="107" t="s">
        <v>599</v>
      </c>
      <c r="F14" s="323"/>
    </row>
    <row r="15" spans="2:10">
      <c r="B15" s="100" t="s">
        <v>600</v>
      </c>
      <c r="D15" s="109">
        <v>59999</v>
      </c>
      <c r="E15" s="103" t="s">
        <v>601</v>
      </c>
      <c r="F15" s="323"/>
    </row>
    <row r="16" spans="2:10">
      <c r="D16" s="110"/>
      <c r="E16" s="111"/>
      <c r="F16" s="323"/>
    </row>
    <row r="17" spans="2:9">
      <c r="B17" s="101" t="s">
        <v>602</v>
      </c>
      <c r="D17" s="101" t="s">
        <v>603</v>
      </c>
      <c r="F17" s="323"/>
    </row>
    <row r="18" spans="2:9">
      <c r="D18" s="102" t="s">
        <v>590</v>
      </c>
      <c r="E18" s="102" t="s">
        <v>591</v>
      </c>
      <c r="F18" s="323"/>
    </row>
    <row r="19" spans="2:9">
      <c r="D19" s="104">
        <v>0</v>
      </c>
      <c r="E19" s="105">
        <v>1000</v>
      </c>
      <c r="F19" s="323"/>
    </row>
    <row r="20" spans="2:9">
      <c r="B20" s="100" t="s">
        <v>604</v>
      </c>
      <c r="D20" s="106">
        <v>25000</v>
      </c>
      <c r="E20" s="107">
        <v>2500</v>
      </c>
    </row>
    <row r="21" spans="2:9">
      <c r="D21" s="100" t="s">
        <v>605</v>
      </c>
      <c r="E21" s="100">
        <v>0</v>
      </c>
    </row>
    <row r="22" spans="2:9">
      <c r="B22" s="101" t="s">
        <v>606</v>
      </c>
    </row>
    <row r="24" spans="2:9">
      <c r="B24" s="100" t="s">
        <v>607</v>
      </c>
      <c r="E24" s="112" t="s">
        <v>608</v>
      </c>
      <c r="F24" s="113">
        <f>'April Output'!E11/100</f>
        <v>0</v>
      </c>
      <c r="G24" s="101" t="s">
        <v>609</v>
      </c>
    </row>
    <row r="25" spans="2:9">
      <c r="E25" s="114" t="s">
        <v>610</v>
      </c>
      <c r="F25" s="115">
        <v>0.71</v>
      </c>
    </row>
    <row r="26" spans="2:9">
      <c r="B26" s="100" t="s">
        <v>611</v>
      </c>
      <c r="E26" s="116" t="s">
        <v>612</v>
      </c>
      <c r="F26" s="117">
        <v>0.35</v>
      </c>
      <c r="G26" s="118">
        <f>IF(F24&lt;$F$25,0%,F26)</f>
        <v>0</v>
      </c>
    </row>
    <row r="27" spans="2:9">
      <c r="B27" s="100" t="s">
        <v>613</v>
      </c>
    </row>
    <row r="28" spans="2:9">
      <c r="B28" s="100" t="s">
        <v>614</v>
      </c>
      <c r="E28" s="119" t="s">
        <v>404</v>
      </c>
      <c r="F28" s="120" t="s">
        <v>163</v>
      </c>
      <c r="G28" s="120" t="s">
        <v>615</v>
      </c>
      <c r="H28" s="121" t="s">
        <v>616</v>
      </c>
      <c r="I28" s="120" t="s">
        <v>617</v>
      </c>
    </row>
    <row r="29" spans="2:9">
      <c r="B29" s="100" t="s">
        <v>618</v>
      </c>
      <c r="E29" s="122">
        <v>0</v>
      </c>
      <c r="F29" s="122">
        <v>1000</v>
      </c>
      <c r="G29" s="122">
        <v>2500</v>
      </c>
      <c r="H29" s="122">
        <f>IFERROR(VLOOKUP('April Output'!E3,'Conditions (june 2020)'!B:V,21,FALSE),0)</f>
        <v>0</v>
      </c>
      <c r="I29" s="122">
        <f>IF($F$24&lt;$F$25,MAX(F29,H29),MAX(G29:H29))</f>
        <v>1000</v>
      </c>
    </row>
    <row r="30" spans="2:9">
      <c r="B30" s="100" t="s">
        <v>619</v>
      </c>
      <c r="E30" s="122">
        <v>750001</v>
      </c>
      <c r="F30" s="122">
        <v>2500</v>
      </c>
      <c r="G30" s="122">
        <v>5000</v>
      </c>
      <c r="I30" s="122">
        <f>IF($F$24&lt;$F$25,F30,G30)</f>
        <v>2500</v>
      </c>
    </row>
    <row r="31" spans="2:9">
      <c r="B31" s="100" t="s">
        <v>620</v>
      </c>
      <c r="G31" s="112" t="s">
        <v>621</v>
      </c>
      <c r="I31" s="123">
        <f>MAX($H$29,VLOOKUP($C$42,$E$29:$I$30,5,TRUE))</f>
        <v>1000</v>
      </c>
    </row>
    <row r="32" spans="2:9">
      <c r="B32" s="100" t="s">
        <v>622</v>
      </c>
    </row>
    <row r="33" spans="1:12">
      <c r="B33" s="100" t="s">
        <v>623</v>
      </c>
    </row>
    <row r="35" spans="1:12">
      <c r="B35" s="121" t="s">
        <v>624</v>
      </c>
      <c r="C35" s="124" t="e">
        <f>VLOOKUP('April Output'!E3,'Conditions (june 2020)'!B:I,8,FALSE)</f>
        <v>#N/A</v>
      </c>
      <c r="E35" s="125"/>
      <c r="F35" s="125"/>
      <c r="G35" s="125"/>
      <c r="H35" s="125"/>
      <c r="I35" s="125" t="s">
        <v>1035</v>
      </c>
      <c r="J35" s="125" t="e">
        <f>VLOOKUP('April Output'!E3,'Conditions (june 2020)'!B:AL,37,FALSE)</f>
        <v>#N/A</v>
      </c>
      <c r="K35" s="125"/>
      <c r="L35" s="125"/>
    </row>
    <row r="36" spans="1:12">
      <c r="B36" s="102" t="s">
        <v>625</v>
      </c>
      <c r="C36" s="126">
        <f ca="1">'April Output'!E12</f>
        <v>2021</v>
      </c>
      <c r="D36" s="355">
        <f ca="1">C36</f>
        <v>2021</v>
      </c>
      <c r="E36" s="125"/>
      <c r="F36" s="112" t="s">
        <v>626</v>
      </c>
      <c r="G36" s="524"/>
      <c r="I36" s="529" t="s">
        <v>1029</v>
      </c>
      <c r="J36" s="530" t="s">
        <v>1030</v>
      </c>
      <c r="K36" s="125"/>
      <c r="L36" s="125"/>
    </row>
    <row r="37" spans="1:12">
      <c r="B37" s="102" t="s">
        <v>627</v>
      </c>
      <c r="C37" s="126">
        <f>'April Output'!E13</f>
        <v>0</v>
      </c>
      <c r="E37" s="127"/>
      <c r="F37" s="128">
        <v>0</v>
      </c>
      <c r="G37" s="116" t="s">
        <v>628</v>
      </c>
      <c r="I37" s="526">
        <v>0</v>
      </c>
      <c r="J37" s="525">
        <v>0</v>
      </c>
      <c r="K37" s="125"/>
      <c r="L37" s="127"/>
    </row>
    <row r="38" spans="1:12" ht="21.75" customHeight="1">
      <c r="B38" s="129" t="s">
        <v>629</v>
      </c>
      <c r="C38" s="130" t="str">
        <f ca="1">VLOOKUP(D36,$F$37:$G$38,2,TRUE)</f>
        <v xml:space="preserve">&gt;3 </v>
      </c>
      <c r="E38" s="131"/>
      <c r="F38" s="102">
        <v>3</v>
      </c>
      <c r="G38" s="112" t="s">
        <v>630</v>
      </c>
      <c r="I38" s="526">
        <v>0.1</v>
      </c>
      <c r="J38" s="525">
        <v>0.2</v>
      </c>
      <c r="K38" s="125"/>
      <c r="L38" s="131"/>
    </row>
    <row r="39" spans="1:12" ht="15" customHeight="1">
      <c r="B39" s="132" t="s">
        <v>631</v>
      </c>
      <c r="C39" s="320">
        <f>VLOOKUP(C42,'CGL pricing '!A20:A36,1,TRUE)</f>
        <v>0</v>
      </c>
      <c r="E39" s="133"/>
      <c r="I39" s="526">
        <v>0.26</v>
      </c>
      <c r="J39" s="525">
        <v>0.35</v>
      </c>
      <c r="K39" s="127"/>
      <c r="L39" s="134"/>
    </row>
    <row r="40" spans="1:12">
      <c r="B40" s="102" t="s">
        <v>632</v>
      </c>
      <c r="C40" s="130" t="str">
        <f ca="1">C38</f>
        <v xml:space="preserve">&gt;3 </v>
      </c>
      <c r="E40" s="135"/>
      <c r="F40" s="112" t="s">
        <v>404</v>
      </c>
      <c r="G40" s="524" t="s">
        <v>633</v>
      </c>
      <c r="I40" s="527">
        <v>0.41</v>
      </c>
      <c r="J40" s="528">
        <v>0.5</v>
      </c>
      <c r="K40" s="127"/>
      <c r="L40" s="135"/>
    </row>
    <row r="41" spans="1:12" ht="15.6">
      <c r="B41" s="136" t="s">
        <v>634</v>
      </c>
      <c r="C41" s="137">
        <f>'April Output'!E40</f>
        <v>0</v>
      </c>
      <c r="E41" s="138"/>
      <c r="F41" s="139">
        <v>0</v>
      </c>
      <c r="G41" s="140" t="s">
        <v>583</v>
      </c>
      <c r="H41" s="531"/>
      <c r="I41" s="532">
        <f>'April Output'!E20</f>
        <v>0</v>
      </c>
      <c r="J41" s="533" t="e">
        <f>IF(J35="Yes",VLOOKUP(I41,I37:J40,2),0)</f>
        <v>#N/A</v>
      </c>
      <c r="K41" s="127"/>
      <c r="L41" s="138"/>
    </row>
    <row r="42" spans="1:12" ht="15.6">
      <c r="B42" s="136" t="s">
        <v>404</v>
      </c>
      <c r="C42" s="137">
        <f>'April Output'!E17</f>
        <v>0</v>
      </c>
      <c r="E42" s="141"/>
      <c r="F42" s="139">
        <v>1</v>
      </c>
      <c r="G42" s="142" t="s">
        <v>635</v>
      </c>
      <c r="H42" s="131"/>
      <c r="I42" s="141"/>
      <c r="J42" s="125"/>
      <c r="K42" s="127"/>
      <c r="L42" s="141"/>
    </row>
    <row r="43" spans="1:12" ht="15.6">
      <c r="E43" s="141"/>
      <c r="F43" s="139">
        <v>500001</v>
      </c>
      <c r="G43" s="142" t="s">
        <v>636</v>
      </c>
      <c r="H43" s="131"/>
      <c r="I43" s="141"/>
      <c r="J43" s="125"/>
      <c r="K43" s="127"/>
      <c r="L43" s="141"/>
    </row>
    <row r="44" spans="1:12" ht="15.6">
      <c r="B44" s="143" t="s">
        <v>637</v>
      </c>
      <c r="C44" s="144" t="e">
        <f ca="1">CONCATENATE($C$40,"-",$C$35)</f>
        <v>#N/A</v>
      </c>
      <c r="D44" s="510" t="e">
        <f ca="1">C44='CGL pricing '!H20</f>
        <v>#N/A</v>
      </c>
      <c r="E44" s="141"/>
      <c r="F44" s="145">
        <v>750001</v>
      </c>
      <c r="G44" s="146" t="s">
        <v>638</v>
      </c>
      <c r="H44" s="131"/>
      <c r="I44" s="141"/>
      <c r="J44" s="125"/>
      <c r="K44" s="127"/>
      <c r="L44" s="141"/>
    </row>
    <row r="45" spans="1:12" ht="16.2" thickBot="1">
      <c r="B45" s="100" t="s">
        <v>639</v>
      </c>
      <c r="E45" s="141"/>
      <c r="F45" s="145">
        <v>1000001</v>
      </c>
      <c r="G45" s="146" t="s">
        <v>640</v>
      </c>
      <c r="H45" s="131"/>
      <c r="I45" s="141"/>
      <c r="J45" s="125"/>
      <c r="K45" s="127"/>
      <c r="L45" s="141"/>
    </row>
    <row r="46" spans="1:12">
      <c r="B46" s="147" t="s">
        <v>641</v>
      </c>
      <c r="C46" s="317" t="e">
        <f>INDEX($B$50:$G$54,MATCH(C41,B50:B54,0),6)</f>
        <v>#N/A</v>
      </c>
      <c r="E46" s="141"/>
      <c r="H46" s="141"/>
      <c r="I46" s="141"/>
      <c r="J46" s="125"/>
      <c r="K46" s="127"/>
      <c r="L46" s="141"/>
    </row>
    <row r="47" spans="1:12">
      <c r="D47" s="100" t="e">
        <f ca="1">MATCH(Paramètres!C44,'CGL pricing '!$A$20:$K$20,0)</f>
        <v>#N/A</v>
      </c>
      <c r="E47" s="141"/>
      <c r="F47" s="125"/>
      <c r="G47" s="125"/>
      <c r="H47" s="141"/>
      <c r="I47" s="141"/>
      <c r="J47" s="125"/>
      <c r="K47" s="127"/>
      <c r="L47" s="141"/>
    </row>
    <row r="48" spans="1:12">
      <c r="A48" s="148" t="s">
        <v>645</v>
      </c>
      <c r="B48" s="101" t="s">
        <v>646</v>
      </c>
      <c r="C48" s="100" t="s">
        <v>647</v>
      </c>
      <c r="D48" s="149" t="s">
        <v>639</v>
      </c>
      <c r="E48" s="149" t="s">
        <v>648</v>
      </c>
      <c r="F48" s="323" t="s">
        <v>984</v>
      </c>
      <c r="G48" s="100" t="s">
        <v>641</v>
      </c>
      <c r="K48" s="150"/>
    </row>
    <row r="49" spans="1:11" s="323" customFormat="1">
      <c r="A49" s="329"/>
      <c r="B49" s="324"/>
      <c r="C49" s="321">
        <v>1300001</v>
      </c>
      <c r="D49" s="330"/>
      <c r="E49" s="330"/>
      <c r="K49" s="331"/>
    </row>
    <row r="50" spans="1:11">
      <c r="A50" s="148" t="s">
        <v>642</v>
      </c>
      <c r="B50" s="148">
        <v>1000000</v>
      </c>
      <c r="C50" s="319" t="e">
        <f ca="1">C51/H51</f>
        <v>#N/A</v>
      </c>
      <c r="D50" s="151">
        <f>D51/H51</f>
        <v>0</v>
      </c>
      <c r="E50" s="152" t="e">
        <f>E51</f>
        <v>#N/A</v>
      </c>
      <c r="F50" s="153"/>
      <c r="G50" s="334" t="e">
        <f ca="1">IF(D50=0,C50,$C$42*D50/1000)*(1+E50)*(1-10%)</f>
        <v>#N/A</v>
      </c>
      <c r="H50" s="327">
        <v>1</v>
      </c>
      <c r="K50" s="150"/>
    </row>
    <row r="51" spans="1:11">
      <c r="A51" s="148" t="s">
        <v>643</v>
      </c>
      <c r="B51" s="148">
        <v>2000000</v>
      </c>
      <c r="C51" s="316" t="e">
        <f ca="1">IF(C42&lt;$C$49,INDEX('CGL pricing '!$A$20:$K$35,MATCH(Paramètres!C$39,'CGL pricing '!$A$20:$A$35,0),MATCH(Paramètres!C44,'CGL pricing '!$A$20:$K$20,0)),0)</f>
        <v>#N/A</v>
      </c>
      <c r="D51" s="151">
        <f>IF(C42&gt;=$C$49,INDEX('CGL pricing '!$A$20:$K$36,MATCH(Paramètres!C$39,'CGL pricing '!$A$20:$A$36,0),MATCH(Paramètres!C44,'CGL pricing '!$A$20:$K$20,0)),0)</f>
        <v>0</v>
      </c>
      <c r="E51" s="318" t="e">
        <f>$G$26+VLOOKUP('April Output'!E3,'Conditions (june 2020)'!B:Q,16,FALSE)+I41</f>
        <v>#N/A</v>
      </c>
      <c r="F51" s="153"/>
      <c r="G51" s="334" t="e">
        <f ca="1">IF(D51=0,C51,$C$42*D51/1000)*(1+E51)*(1-10%)</f>
        <v>#N/A</v>
      </c>
      <c r="H51" s="327">
        <v>1.2</v>
      </c>
      <c r="I51" s="321" t="e">
        <f ca="1">IF(D51=0,C51,$C$42*D51/1000)*(1+E51)</f>
        <v>#N/A</v>
      </c>
    </row>
    <row r="52" spans="1:11">
      <c r="A52" s="148"/>
      <c r="B52" s="148">
        <v>3000000</v>
      </c>
      <c r="C52" s="319" t="e">
        <f ca="1">$C$50*H52</f>
        <v>#N/A</v>
      </c>
      <c r="D52" s="151">
        <f>D$50*H52</f>
        <v>0</v>
      </c>
      <c r="E52" s="152" t="e">
        <f>E$51</f>
        <v>#N/A</v>
      </c>
      <c r="F52" s="153"/>
      <c r="G52" s="334" t="e">
        <f ca="1">IF(D52=0,C52,$C$42*D52/1000)*(1+E52)*(1-10%)</f>
        <v>#N/A</v>
      </c>
      <c r="H52" s="326">
        <v>1.3</v>
      </c>
      <c r="I52" s="157"/>
    </row>
    <row r="53" spans="1:11">
      <c r="A53" s="148"/>
      <c r="B53" s="148">
        <v>4000000</v>
      </c>
      <c r="C53" s="319" t="e">
        <f ca="1">$C$50*H53</f>
        <v>#N/A</v>
      </c>
      <c r="D53" s="332">
        <f>D$50*H53</f>
        <v>0</v>
      </c>
      <c r="E53" s="333" t="e">
        <f>E$51</f>
        <v>#N/A</v>
      </c>
      <c r="F53" s="153"/>
      <c r="G53" s="334" t="e">
        <f ca="1">IF(D53=0,C53,$C$42*D53/1000)*(1+E53)*(1-10%)</f>
        <v>#N/A</v>
      </c>
      <c r="H53" s="326">
        <v>1.4</v>
      </c>
    </row>
    <row r="54" spans="1:11">
      <c r="A54" s="148" t="s">
        <v>644</v>
      </c>
      <c r="B54" s="148">
        <v>5000000</v>
      </c>
      <c r="C54" s="319" t="e">
        <f ca="1">$C$50*H54</f>
        <v>#N/A</v>
      </c>
      <c r="D54" s="332">
        <f>D$50*H54</f>
        <v>0</v>
      </c>
      <c r="E54" s="333" t="e">
        <f>E$51</f>
        <v>#N/A</v>
      </c>
      <c r="F54" s="153"/>
      <c r="G54" s="334" t="e">
        <f ca="1">IF(D54=0,C54,$C$42*D54/1000)*(1+E54)*(1-10%)</f>
        <v>#N/A</v>
      </c>
      <c r="H54" s="326">
        <v>1.5</v>
      </c>
    </row>
    <row r="55" spans="1:11" s="125" customFormat="1">
      <c r="A55" s="154"/>
      <c r="B55" s="154"/>
      <c r="C55" s="154"/>
      <c r="D55" s="155"/>
      <c r="E55" s="156"/>
    </row>
    <row r="57" spans="1:11">
      <c r="B57" s="101"/>
    </row>
    <row r="59" spans="1:11">
      <c r="C59" s="157"/>
    </row>
    <row r="62" spans="1:11">
      <c r="B62" s="101"/>
    </row>
    <row r="64" spans="1:11">
      <c r="B64" s="101" t="s">
        <v>650</v>
      </c>
      <c r="D64" s="158" t="s">
        <v>653</v>
      </c>
    </row>
    <row r="67" spans="2:7" ht="30">
      <c r="C67" s="159" t="s">
        <v>651</v>
      </c>
      <c r="D67" s="160" t="s">
        <v>652</v>
      </c>
      <c r="E67" s="161"/>
      <c r="F67" s="161"/>
      <c r="G67" s="161"/>
    </row>
    <row r="68" spans="2:7" ht="15.6">
      <c r="C68" s="162"/>
      <c r="D68" s="163">
        <v>50000</v>
      </c>
      <c r="E68" s="163">
        <v>100000</v>
      </c>
      <c r="F68" s="163">
        <v>250000</v>
      </c>
      <c r="G68" s="164" t="s">
        <v>95</v>
      </c>
    </row>
    <row r="69" spans="2:7" ht="15">
      <c r="B69" s="165">
        <v>0</v>
      </c>
      <c r="C69" s="166" t="s">
        <v>653</v>
      </c>
      <c r="D69" s="166">
        <v>75</v>
      </c>
      <c r="E69" s="167">
        <v>120</v>
      </c>
      <c r="F69" s="167">
        <v>145</v>
      </c>
      <c r="G69" s="167">
        <v>1000</v>
      </c>
    </row>
    <row r="70" spans="2:7" ht="15">
      <c r="B70" s="165">
        <v>100000</v>
      </c>
      <c r="C70" s="166" t="s">
        <v>654</v>
      </c>
      <c r="D70" s="166">
        <v>75</v>
      </c>
      <c r="E70" s="167">
        <v>165</v>
      </c>
      <c r="F70" s="167">
        <v>195</v>
      </c>
      <c r="G70" s="167">
        <v>1000</v>
      </c>
    </row>
    <row r="71" spans="2:7" ht="15">
      <c r="B71" s="165">
        <v>250000</v>
      </c>
      <c r="C71" s="166" t="s">
        <v>655</v>
      </c>
      <c r="D71" s="166">
        <v>125</v>
      </c>
      <c r="E71" s="167">
        <v>235</v>
      </c>
      <c r="F71" s="167">
        <v>280</v>
      </c>
      <c r="G71" s="167">
        <v>1000</v>
      </c>
    </row>
    <row r="72" spans="2:7" ht="15">
      <c r="B72" s="165">
        <v>500000</v>
      </c>
      <c r="C72" s="166" t="s">
        <v>656</v>
      </c>
      <c r="D72" s="166">
        <v>125</v>
      </c>
      <c r="E72" s="167">
        <v>350</v>
      </c>
      <c r="F72" s="167">
        <v>425</v>
      </c>
      <c r="G72" s="167">
        <v>1000</v>
      </c>
    </row>
    <row r="73" spans="2:7" ht="15">
      <c r="B73" s="165">
        <v>1000000</v>
      </c>
      <c r="C73" s="166" t="s">
        <v>657</v>
      </c>
      <c r="D73" s="166">
        <v>170</v>
      </c>
      <c r="E73" s="167">
        <v>460</v>
      </c>
      <c r="F73" s="167">
        <v>550</v>
      </c>
      <c r="G73" s="167">
        <v>2500</v>
      </c>
    </row>
    <row r="74" spans="2:7" ht="15">
      <c r="B74" s="165">
        <v>1500000</v>
      </c>
      <c r="C74" s="166" t="s">
        <v>658</v>
      </c>
      <c r="D74" s="166">
        <v>170</v>
      </c>
      <c r="E74" s="167">
        <v>595</v>
      </c>
      <c r="F74" s="167">
        <v>715</v>
      </c>
      <c r="G74" s="167">
        <v>2500</v>
      </c>
    </row>
    <row r="75" spans="2:7" ht="15">
      <c r="B75" s="165">
        <v>3000000</v>
      </c>
      <c r="C75" s="166" t="s">
        <v>659</v>
      </c>
      <c r="D75" s="166">
        <v>250</v>
      </c>
      <c r="E75" s="167">
        <v>810</v>
      </c>
      <c r="F75" s="167">
        <v>975</v>
      </c>
      <c r="G75" s="167">
        <v>2500</v>
      </c>
    </row>
    <row r="81" spans="2:4">
      <c r="B81" s="100" t="s">
        <v>687</v>
      </c>
    </row>
    <row r="82" spans="2:4">
      <c r="C82" s="168" t="s">
        <v>688</v>
      </c>
      <c r="D82" s="168" t="s">
        <v>689</v>
      </c>
    </row>
    <row r="83" spans="2:4" ht="15.6">
      <c r="B83" s="169" t="s">
        <v>690</v>
      </c>
      <c r="C83" s="100">
        <v>0</v>
      </c>
      <c r="D83" s="100">
        <v>100</v>
      </c>
    </row>
    <row r="84" spans="2:4" ht="15.6">
      <c r="B84" s="169" t="s">
        <v>691</v>
      </c>
      <c r="C84" s="100">
        <v>1001</v>
      </c>
      <c r="D84" s="100">
        <v>125</v>
      </c>
    </row>
    <row r="85" spans="2:4" ht="15.6">
      <c r="B85" s="169" t="s">
        <v>692</v>
      </c>
      <c r="C85" s="100">
        <v>2001</v>
      </c>
      <c r="D85" s="100">
        <v>150</v>
      </c>
    </row>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9" filterMode="1">
    <tabColor rgb="FF00B0F0"/>
  </sheetPr>
  <dimension ref="A1:AQ102"/>
  <sheetViews>
    <sheetView showGridLines="0" view="pageBreakPreview" zoomScale="60" zoomScaleNormal="85" workbookViewId="0">
      <selection activeCell="B2" sqref="B2:AL2"/>
    </sheetView>
  </sheetViews>
  <sheetFormatPr defaultColWidth="9.109375" defaultRowHeight="18" outlineLevelCol="1"/>
  <cols>
    <col min="1" max="1" width="6.33203125" style="172" customWidth="1" collapsed="1"/>
    <col min="2" max="2" width="8.44140625" style="173" customWidth="1"/>
    <col min="3" max="4" width="23.5546875" style="174" hidden="1" customWidth="1" outlineLevel="1"/>
    <col min="5" max="5" width="28" style="175" customWidth="1" collapsed="1"/>
    <col min="6" max="6" width="13.109375" style="172" customWidth="1"/>
    <col min="7" max="7" width="14.5546875" style="176" customWidth="1"/>
    <col min="8" max="8" width="11.109375" style="177" customWidth="1"/>
    <col min="9" max="9" width="19.5546875" style="176" customWidth="1"/>
    <col min="10" max="10" width="17.33203125" style="178" customWidth="1"/>
    <col min="11" max="12" width="10" style="176" customWidth="1"/>
    <col min="13" max="14" width="10" style="177" customWidth="1"/>
    <col min="15" max="15" width="10" style="176" customWidth="1"/>
    <col min="16" max="16" width="10" style="176" hidden="1" customWidth="1"/>
    <col min="17" max="18" width="10" style="184" customWidth="1"/>
    <col min="19" max="20" width="10" style="184" hidden="1" customWidth="1"/>
    <col min="21" max="21" width="12" style="176" hidden="1" customWidth="1" outlineLevel="1"/>
    <col min="22" max="22" width="12.109375" style="185" hidden="1" customWidth="1" outlineLevel="1"/>
    <col min="23" max="23" width="11.109375" style="176" hidden="1" customWidth="1" outlineLevel="1"/>
    <col min="24" max="24" width="12.109375" style="176" hidden="1" customWidth="1" outlineLevel="1"/>
    <col min="25" max="25" width="10" style="176" hidden="1" customWidth="1" outlineLevel="1"/>
    <col min="26" max="26" width="13.88671875" style="178" hidden="1" customWidth="1" outlineLevel="1"/>
    <col min="27" max="27" width="11.88671875" style="185" hidden="1" customWidth="1" outlineLevel="1"/>
    <col min="28" max="28" width="14.33203125" style="186" hidden="1" customWidth="1" outlineLevel="1"/>
    <col min="29" max="29" width="19.6640625" style="242" hidden="1" customWidth="1" outlineLevel="1"/>
    <col min="30" max="30" width="25.88671875" style="242" hidden="1" customWidth="1" outlineLevel="1"/>
    <col min="31" max="32" width="19.6640625" style="243" hidden="1" customWidth="1" outlineLevel="1"/>
    <col min="33" max="34" width="30" style="243" hidden="1" customWidth="1" outlineLevel="1"/>
    <col min="35" max="37" width="13.33203125" style="176" hidden="1" customWidth="1" outlineLevel="1"/>
    <col min="38" max="38" width="9.109375" style="192" collapsed="1"/>
    <col min="39" max="43" width="9.109375" style="192"/>
    <col min="44" max="16384" width="9.109375" style="193"/>
  </cols>
  <sheetData>
    <row r="1" spans="1:43">
      <c r="K1" s="179"/>
      <c r="L1" s="180"/>
      <c r="M1" s="181" t="s">
        <v>736</v>
      </c>
      <c r="N1" s="182"/>
      <c r="O1" s="183"/>
      <c r="AC1" s="187"/>
      <c r="AD1" s="188" t="s">
        <v>737</v>
      </c>
      <c r="AE1" s="189" t="s">
        <v>738</v>
      </c>
      <c r="AF1" s="190"/>
      <c r="AG1" s="191"/>
      <c r="AH1" s="191"/>
    </row>
    <row r="2" spans="1:43" s="264" customFormat="1" ht="69" customHeight="1" thickBot="1">
      <c r="A2" s="244"/>
      <c r="B2" s="244" t="s">
        <v>739</v>
      </c>
      <c r="C2" s="245" t="s">
        <v>740</v>
      </c>
      <c r="D2" s="245" t="s">
        <v>740</v>
      </c>
      <c r="E2" s="246" t="s">
        <v>741</v>
      </c>
      <c r="F2" s="245" t="s">
        <v>742</v>
      </c>
      <c r="G2" s="247" t="s">
        <v>921</v>
      </c>
      <c r="H2" s="248" t="s">
        <v>584</v>
      </c>
      <c r="I2" s="249" t="s">
        <v>624</v>
      </c>
      <c r="J2" s="250" t="s">
        <v>743</v>
      </c>
      <c r="K2" s="251" t="s">
        <v>744</v>
      </c>
      <c r="L2" s="252" t="s">
        <v>745</v>
      </c>
      <c r="M2" s="253" t="s">
        <v>588</v>
      </c>
      <c r="N2" s="253" t="s">
        <v>587</v>
      </c>
      <c r="O2" s="254" t="s">
        <v>586</v>
      </c>
      <c r="P2" s="255" t="s">
        <v>746</v>
      </c>
      <c r="Q2" s="256" t="s">
        <v>648</v>
      </c>
      <c r="R2" s="256" t="s">
        <v>747</v>
      </c>
      <c r="S2" s="256" t="s">
        <v>748</v>
      </c>
      <c r="T2" s="256" t="s">
        <v>749</v>
      </c>
      <c r="U2" s="247" t="s">
        <v>750</v>
      </c>
      <c r="V2" s="257" t="s">
        <v>616</v>
      </c>
      <c r="W2" s="247" t="s">
        <v>751</v>
      </c>
      <c r="X2" s="247" t="s">
        <v>746</v>
      </c>
      <c r="Y2" s="247" t="s">
        <v>752</v>
      </c>
      <c r="Z2" s="258" t="s">
        <v>753</v>
      </c>
      <c r="AA2" s="259" t="s">
        <v>754</v>
      </c>
      <c r="AB2" s="260" t="s">
        <v>585</v>
      </c>
      <c r="AC2" s="261" t="s">
        <v>755</v>
      </c>
      <c r="AD2" s="261" t="s">
        <v>756</v>
      </c>
      <c r="AE2" s="261" t="s">
        <v>757</v>
      </c>
      <c r="AF2" s="261" t="s">
        <v>758</v>
      </c>
      <c r="AG2" s="261" t="s">
        <v>759</v>
      </c>
      <c r="AH2" s="261" t="s">
        <v>760</v>
      </c>
      <c r="AI2" s="262" t="s">
        <v>761</v>
      </c>
      <c r="AJ2" s="262" t="s">
        <v>762</v>
      </c>
      <c r="AK2" s="262" t="s">
        <v>763</v>
      </c>
      <c r="AL2" s="263" t="s">
        <v>1031</v>
      </c>
      <c r="AM2" s="263"/>
      <c r="AN2" s="263"/>
      <c r="AO2" s="263"/>
      <c r="AP2" s="263"/>
      <c r="AQ2" s="263"/>
    </row>
    <row r="3" spans="1:43" ht="90" customHeight="1">
      <c r="A3" s="194">
        <v>1</v>
      </c>
      <c r="B3" s="195">
        <v>735</v>
      </c>
      <c r="C3" s="196" t="s">
        <v>161</v>
      </c>
      <c r="D3" s="196" t="s">
        <v>161</v>
      </c>
      <c r="E3" s="197" t="s">
        <v>764</v>
      </c>
      <c r="F3" s="195" t="s">
        <v>765</v>
      </c>
      <c r="G3" s="198" t="s">
        <v>765</v>
      </c>
      <c r="H3" s="199">
        <v>0.35</v>
      </c>
      <c r="I3" s="335" t="s">
        <v>766</v>
      </c>
      <c r="J3" s="201"/>
      <c r="K3" s="202"/>
      <c r="L3" s="203"/>
      <c r="M3" s="204">
        <v>0.5</v>
      </c>
      <c r="N3" s="204">
        <v>0.5</v>
      </c>
      <c r="O3" s="202">
        <v>0</v>
      </c>
      <c r="P3" s="199"/>
      <c r="Q3" s="205">
        <v>0</v>
      </c>
      <c r="R3" s="205"/>
      <c r="S3" s="205"/>
      <c r="T3" s="205"/>
      <c r="U3" s="206" t="s">
        <v>58</v>
      </c>
      <c r="V3" s="206">
        <v>0</v>
      </c>
      <c r="W3" s="206" t="s">
        <v>58</v>
      </c>
      <c r="X3" s="207"/>
      <c r="Y3" s="208" t="s">
        <v>765</v>
      </c>
      <c r="Z3" s="209" t="s">
        <v>583</v>
      </c>
      <c r="AA3" s="210">
        <v>2500</v>
      </c>
      <c r="AB3" s="211">
        <v>2000000</v>
      </c>
      <c r="AC3" s="212" t="s">
        <v>767</v>
      </c>
      <c r="AD3" s="213" t="s">
        <v>768</v>
      </c>
      <c r="AE3" s="214" t="s">
        <v>769</v>
      </c>
      <c r="AF3" s="212"/>
      <c r="AG3" s="215" t="s">
        <v>770</v>
      </c>
      <c r="AH3" s="215" t="s">
        <v>771</v>
      </c>
      <c r="AI3" s="194" t="s">
        <v>90</v>
      </c>
      <c r="AJ3" s="194" t="s">
        <v>90</v>
      </c>
      <c r="AK3" s="194" t="s">
        <v>90</v>
      </c>
      <c r="AL3" s="192" t="s">
        <v>58</v>
      </c>
    </row>
    <row r="4" spans="1:43" ht="90" customHeight="1">
      <c r="A4" s="216">
        <v>2</v>
      </c>
      <c r="B4" s="217">
        <v>736</v>
      </c>
      <c r="C4" s="218" t="s">
        <v>353</v>
      </c>
      <c r="D4" s="218" t="s">
        <v>353</v>
      </c>
      <c r="E4" s="219" t="s">
        <v>662</v>
      </c>
      <c r="F4" s="216" t="s">
        <v>765</v>
      </c>
      <c r="G4" s="198" t="s">
        <v>765</v>
      </c>
      <c r="H4" s="199">
        <v>0.35</v>
      </c>
      <c r="I4" s="200" t="s">
        <v>766</v>
      </c>
      <c r="J4" s="220"/>
      <c r="K4" s="198"/>
      <c r="L4" s="198"/>
      <c r="M4" s="221">
        <v>0.5</v>
      </c>
      <c r="N4" s="221">
        <v>0.5</v>
      </c>
      <c r="O4" s="222">
        <v>0</v>
      </c>
      <c r="P4" s="198"/>
      <c r="Q4" s="223">
        <v>0.25</v>
      </c>
      <c r="R4" s="223"/>
      <c r="S4" s="223"/>
      <c r="T4" s="223"/>
      <c r="U4" s="198" t="s">
        <v>58</v>
      </c>
      <c r="V4" s="224">
        <v>0</v>
      </c>
      <c r="W4" s="198" t="s">
        <v>58</v>
      </c>
      <c r="X4" s="224"/>
      <c r="Y4" s="198" t="s">
        <v>765</v>
      </c>
      <c r="Z4" s="225" t="s">
        <v>583</v>
      </c>
      <c r="AA4" s="210">
        <v>2500</v>
      </c>
      <c r="AB4" s="226">
        <v>2000000</v>
      </c>
      <c r="AC4" s="213" t="s">
        <v>768</v>
      </c>
      <c r="AD4" s="213"/>
      <c r="AE4" s="214"/>
      <c r="AF4" s="214"/>
      <c r="AG4" s="215" t="s">
        <v>770</v>
      </c>
      <c r="AH4" s="215" t="s">
        <v>771</v>
      </c>
      <c r="AI4" s="194" t="s">
        <v>90</v>
      </c>
      <c r="AJ4" s="194" t="s">
        <v>90</v>
      </c>
      <c r="AK4" s="194" t="s">
        <v>90</v>
      </c>
      <c r="AL4" s="192" t="s">
        <v>58</v>
      </c>
      <c r="AM4" s="227"/>
    </row>
    <row r="5" spans="1:43" ht="90" hidden="1" customHeight="1">
      <c r="A5" s="194">
        <v>3</v>
      </c>
      <c r="B5" s="195">
        <v>1511</v>
      </c>
      <c r="C5" s="196" t="s">
        <v>772</v>
      </c>
      <c r="D5" s="196" t="s">
        <v>772</v>
      </c>
      <c r="E5" s="197" t="s">
        <v>773</v>
      </c>
      <c r="F5" s="228" t="s">
        <v>774</v>
      </c>
      <c r="G5" s="198" t="s">
        <v>793</v>
      </c>
      <c r="H5" s="199">
        <v>0</v>
      </c>
      <c r="I5" s="207" t="str">
        <f>G5</f>
        <v>Decline</v>
      </c>
      <c r="J5" s="201"/>
      <c r="K5" s="207"/>
      <c r="L5" s="229"/>
      <c r="M5" s="230">
        <v>0</v>
      </c>
      <c r="N5" s="230"/>
      <c r="O5" s="207"/>
      <c r="P5" s="199"/>
      <c r="Q5" s="205"/>
      <c r="R5" s="205"/>
      <c r="S5" s="205"/>
      <c r="T5" s="205"/>
      <c r="U5" s="206"/>
      <c r="V5" s="206"/>
      <c r="W5" s="206"/>
      <c r="X5" s="207"/>
      <c r="Y5" s="208"/>
      <c r="Z5" s="209"/>
      <c r="AA5" s="210">
        <v>2500</v>
      </c>
      <c r="AB5" s="211"/>
      <c r="AC5" s="212"/>
      <c r="AD5" s="212"/>
      <c r="AE5" s="212"/>
      <c r="AF5" s="212"/>
      <c r="AG5" s="215"/>
      <c r="AH5" s="215" t="s">
        <v>771</v>
      </c>
      <c r="AI5" s="194"/>
      <c r="AJ5" s="194"/>
      <c r="AK5" s="232" t="s">
        <v>58</v>
      </c>
    </row>
    <row r="6" spans="1:43" ht="90" hidden="1" customHeight="1">
      <c r="A6" s="216">
        <v>4</v>
      </c>
      <c r="B6" s="217">
        <v>1512</v>
      </c>
      <c r="C6" s="218" t="s">
        <v>775</v>
      </c>
      <c r="D6" s="218" t="s">
        <v>775</v>
      </c>
      <c r="E6" s="219" t="s">
        <v>776</v>
      </c>
      <c r="F6" s="216" t="s">
        <v>765</v>
      </c>
      <c r="G6" s="198" t="s">
        <v>793</v>
      </c>
      <c r="H6" s="199">
        <v>0.35</v>
      </c>
      <c r="I6" s="265" t="s">
        <v>649</v>
      </c>
      <c r="J6" s="220" t="s">
        <v>777</v>
      </c>
      <c r="K6" s="198">
        <v>1</v>
      </c>
      <c r="L6" s="198">
        <v>0</v>
      </c>
      <c r="M6" s="221">
        <v>0</v>
      </c>
      <c r="N6" s="221">
        <v>0</v>
      </c>
      <c r="O6" s="222">
        <v>0</v>
      </c>
      <c r="P6" s="198"/>
      <c r="Q6" s="223">
        <v>0</v>
      </c>
      <c r="R6" s="223"/>
      <c r="S6" s="223"/>
      <c r="T6" s="223"/>
      <c r="U6" s="198" t="s">
        <v>90</v>
      </c>
      <c r="V6" s="231">
        <v>2500</v>
      </c>
      <c r="W6" s="198" t="s">
        <v>58</v>
      </c>
      <c r="X6" s="224"/>
      <c r="Y6" s="198"/>
      <c r="Z6" s="225"/>
      <c r="AA6" s="210">
        <v>2500</v>
      </c>
      <c r="AB6" s="226">
        <v>400000</v>
      </c>
      <c r="AC6" s="214"/>
      <c r="AD6" s="214"/>
      <c r="AE6" s="214"/>
      <c r="AF6" s="214"/>
      <c r="AG6" s="215" t="s">
        <v>770</v>
      </c>
      <c r="AH6" s="215" t="s">
        <v>771</v>
      </c>
      <c r="AI6" s="194" t="s">
        <v>90</v>
      </c>
      <c r="AJ6" s="194" t="s">
        <v>90</v>
      </c>
      <c r="AK6" s="232" t="s">
        <v>58</v>
      </c>
    </row>
    <row r="7" spans="1:43" ht="90" hidden="1" customHeight="1">
      <c r="A7" s="194">
        <v>5</v>
      </c>
      <c r="B7" s="195">
        <v>1513</v>
      </c>
      <c r="C7" s="196" t="s">
        <v>778</v>
      </c>
      <c r="D7" s="196" t="s">
        <v>778</v>
      </c>
      <c r="E7" s="197" t="s">
        <v>779</v>
      </c>
      <c r="F7" s="228" t="s">
        <v>774</v>
      </c>
      <c r="G7" s="198" t="s">
        <v>793</v>
      </c>
      <c r="H7" s="199">
        <v>0</v>
      </c>
      <c r="I7" s="336" t="str">
        <f t="shared" ref="I7:I9" si="0">G7</f>
        <v>Decline</v>
      </c>
      <c r="J7" s="201"/>
      <c r="K7" s="207"/>
      <c r="L7" s="229"/>
      <c r="M7" s="230">
        <v>0</v>
      </c>
      <c r="N7" s="230"/>
      <c r="O7" s="207"/>
      <c r="P7" s="199"/>
      <c r="Q7" s="205"/>
      <c r="R7" s="205"/>
      <c r="S7" s="205"/>
      <c r="T7" s="205"/>
      <c r="U7" s="206"/>
      <c r="V7" s="206"/>
      <c r="W7" s="206"/>
      <c r="X7" s="207"/>
      <c r="Y7" s="208"/>
      <c r="Z7" s="209"/>
      <c r="AA7" s="210">
        <v>2500</v>
      </c>
      <c r="AB7" s="211"/>
      <c r="AC7" s="212"/>
      <c r="AD7" s="212"/>
      <c r="AE7" s="212"/>
      <c r="AF7" s="212"/>
      <c r="AG7" s="215"/>
      <c r="AH7" s="215" t="s">
        <v>771</v>
      </c>
      <c r="AI7" s="194"/>
      <c r="AJ7" s="194"/>
      <c r="AK7" s="232" t="s">
        <v>58</v>
      </c>
    </row>
    <row r="8" spans="1:43" ht="90" hidden="1" customHeight="1">
      <c r="A8" s="216">
        <v>6</v>
      </c>
      <c r="B8" s="217">
        <v>1514</v>
      </c>
      <c r="C8" s="218" t="s">
        <v>780</v>
      </c>
      <c r="D8" s="218" t="s">
        <v>780</v>
      </c>
      <c r="E8" s="219" t="s">
        <v>781</v>
      </c>
      <c r="F8" s="228" t="s">
        <v>774</v>
      </c>
      <c r="G8" s="198" t="s">
        <v>793</v>
      </c>
      <c r="H8" s="199">
        <v>0</v>
      </c>
      <c r="I8" s="336" t="str">
        <f t="shared" si="0"/>
        <v>Decline</v>
      </c>
      <c r="J8" s="220"/>
      <c r="K8" s="198"/>
      <c r="L8" s="198"/>
      <c r="M8" s="230">
        <v>0</v>
      </c>
      <c r="N8" s="221"/>
      <c r="O8" s="222"/>
      <c r="P8" s="198"/>
      <c r="Q8" s="223"/>
      <c r="R8" s="223"/>
      <c r="S8" s="223"/>
      <c r="T8" s="223"/>
      <c r="U8" s="198"/>
      <c r="V8" s="224"/>
      <c r="W8" s="198"/>
      <c r="X8" s="224"/>
      <c r="Y8" s="198"/>
      <c r="Z8" s="225"/>
      <c r="AA8" s="210">
        <v>2500</v>
      </c>
      <c r="AB8" s="226"/>
      <c r="AC8" s="214"/>
      <c r="AD8" s="214"/>
      <c r="AE8" s="214"/>
      <c r="AF8" s="214"/>
      <c r="AG8" s="215"/>
      <c r="AH8" s="215" t="s">
        <v>771</v>
      </c>
      <c r="AI8" s="232"/>
      <c r="AJ8" s="232"/>
      <c r="AK8" s="232" t="s">
        <v>58</v>
      </c>
    </row>
    <row r="9" spans="1:43" ht="90" hidden="1" customHeight="1">
      <c r="A9" s="194">
        <v>7</v>
      </c>
      <c r="B9" s="195">
        <v>1515</v>
      </c>
      <c r="C9" s="196" t="s">
        <v>782</v>
      </c>
      <c r="D9" s="196" t="s">
        <v>782</v>
      </c>
      <c r="E9" s="197" t="s">
        <v>783</v>
      </c>
      <c r="F9" s="228" t="s">
        <v>774</v>
      </c>
      <c r="G9" s="198" t="s">
        <v>793</v>
      </c>
      <c r="H9" s="199">
        <v>0</v>
      </c>
      <c r="I9" s="336" t="str">
        <f t="shared" si="0"/>
        <v>Decline</v>
      </c>
      <c r="J9" s="201"/>
      <c r="K9" s="207"/>
      <c r="L9" s="229"/>
      <c r="M9" s="230">
        <v>0</v>
      </c>
      <c r="N9" s="230"/>
      <c r="O9" s="207"/>
      <c r="P9" s="199"/>
      <c r="Q9" s="205"/>
      <c r="R9" s="205"/>
      <c r="S9" s="205"/>
      <c r="T9" s="205"/>
      <c r="U9" s="206"/>
      <c r="V9" s="206"/>
      <c r="W9" s="206"/>
      <c r="X9" s="207"/>
      <c r="Y9" s="208"/>
      <c r="Z9" s="209"/>
      <c r="AA9" s="210">
        <v>2500</v>
      </c>
      <c r="AB9" s="211"/>
      <c r="AC9" s="212"/>
      <c r="AD9" s="212"/>
      <c r="AE9" s="212"/>
      <c r="AF9" s="212"/>
      <c r="AG9" s="215"/>
      <c r="AH9" s="215" t="s">
        <v>771</v>
      </c>
      <c r="AI9" s="194"/>
      <c r="AJ9" s="194"/>
      <c r="AK9" s="232" t="s">
        <v>58</v>
      </c>
    </row>
    <row r="10" spans="1:43" ht="90" customHeight="1">
      <c r="A10" s="216">
        <v>8</v>
      </c>
      <c r="B10" s="217">
        <v>1521</v>
      </c>
      <c r="C10" s="218" t="s">
        <v>82</v>
      </c>
      <c r="D10" s="218" t="s">
        <v>82</v>
      </c>
      <c r="E10" s="219" t="s">
        <v>784</v>
      </c>
      <c r="F10" s="216" t="s">
        <v>765</v>
      </c>
      <c r="G10" s="198" t="s">
        <v>765</v>
      </c>
      <c r="H10" s="199">
        <v>0.35</v>
      </c>
      <c r="I10" s="220" t="s">
        <v>919</v>
      </c>
      <c r="J10" s="220"/>
      <c r="K10" s="198"/>
      <c r="L10" s="198"/>
      <c r="M10" s="221">
        <v>0.3</v>
      </c>
      <c r="N10" s="221">
        <v>0.3</v>
      </c>
      <c r="O10" s="222">
        <v>0</v>
      </c>
      <c r="P10" s="198"/>
      <c r="Q10" s="233">
        <v>0.25</v>
      </c>
      <c r="R10" s="233"/>
      <c r="S10" s="233"/>
      <c r="T10" s="233"/>
      <c r="U10" s="198" t="s">
        <v>58</v>
      </c>
      <c r="V10" s="224">
        <v>0</v>
      </c>
      <c r="W10" s="198" t="s">
        <v>58</v>
      </c>
      <c r="X10" s="224"/>
      <c r="Y10" s="198" t="s">
        <v>765</v>
      </c>
      <c r="Z10" s="225" t="s">
        <v>583</v>
      </c>
      <c r="AA10" s="210">
        <v>2500</v>
      </c>
      <c r="AB10" s="226">
        <v>2000000</v>
      </c>
      <c r="AC10" s="214" t="s">
        <v>785</v>
      </c>
      <c r="AD10" s="214" t="s">
        <v>769</v>
      </c>
      <c r="AE10" s="266" t="s">
        <v>857</v>
      </c>
      <c r="AF10" s="214" t="s">
        <v>787</v>
      </c>
      <c r="AG10" s="215" t="s">
        <v>770</v>
      </c>
      <c r="AH10" s="215" t="s">
        <v>771</v>
      </c>
      <c r="AI10" s="232" t="s">
        <v>90</v>
      </c>
      <c r="AJ10" s="232" t="s">
        <v>90</v>
      </c>
      <c r="AK10" s="232" t="s">
        <v>90</v>
      </c>
      <c r="AL10" s="192" t="s">
        <v>58</v>
      </c>
    </row>
    <row r="11" spans="1:43" ht="90" customHeight="1">
      <c r="A11" s="194">
        <v>9</v>
      </c>
      <c r="B11" s="195">
        <v>1522</v>
      </c>
      <c r="C11" s="196" t="s">
        <v>126</v>
      </c>
      <c r="D11" s="196" t="s">
        <v>126</v>
      </c>
      <c r="E11" s="197" t="s">
        <v>788</v>
      </c>
      <c r="F11" s="195" t="s">
        <v>765</v>
      </c>
      <c r="G11" s="198" t="s">
        <v>765</v>
      </c>
      <c r="H11" s="199">
        <v>0.35</v>
      </c>
      <c r="I11" s="200" t="s">
        <v>766</v>
      </c>
      <c r="J11" s="201"/>
      <c r="K11" s="207"/>
      <c r="L11" s="229"/>
      <c r="M11" s="230">
        <v>0.3</v>
      </c>
      <c r="N11" s="230">
        <v>0.3</v>
      </c>
      <c r="O11" s="207">
        <v>0</v>
      </c>
      <c r="P11" s="199"/>
      <c r="Q11" s="205">
        <v>0</v>
      </c>
      <c r="R11" s="205"/>
      <c r="S11" s="205"/>
      <c r="T11" s="205"/>
      <c r="U11" s="206" t="s">
        <v>58</v>
      </c>
      <c r="V11" s="206">
        <v>0</v>
      </c>
      <c r="W11" s="206" t="s">
        <v>58</v>
      </c>
      <c r="X11" s="207"/>
      <c r="Y11" s="208" t="s">
        <v>765</v>
      </c>
      <c r="Z11" s="209" t="s">
        <v>583</v>
      </c>
      <c r="AA11" s="210">
        <v>2500</v>
      </c>
      <c r="AB11" s="211">
        <v>2000000</v>
      </c>
      <c r="AC11" s="212" t="s">
        <v>785</v>
      </c>
      <c r="AD11" s="212" t="s">
        <v>789</v>
      </c>
      <c r="AE11" s="212" t="s">
        <v>769</v>
      </c>
      <c r="AF11" s="212"/>
      <c r="AG11" s="215" t="s">
        <v>770</v>
      </c>
      <c r="AH11" s="215" t="s">
        <v>771</v>
      </c>
      <c r="AI11" s="194" t="s">
        <v>58</v>
      </c>
      <c r="AJ11" s="194" t="s">
        <v>58</v>
      </c>
      <c r="AK11" s="194" t="s">
        <v>90</v>
      </c>
      <c r="AL11" s="192" t="s">
        <v>58</v>
      </c>
    </row>
    <row r="12" spans="1:43" ht="90" customHeight="1">
      <c r="A12" s="216">
        <v>10</v>
      </c>
      <c r="B12" s="217">
        <v>1523</v>
      </c>
      <c r="C12" s="218" t="s">
        <v>327</v>
      </c>
      <c r="D12" s="218" t="s">
        <v>327</v>
      </c>
      <c r="E12" s="219" t="s">
        <v>790</v>
      </c>
      <c r="F12" s="216" t="s">
        <v>765</v>
      </c>
      <c r="G12" s="198" t="s">
        <v>765</v>
      </c>
      <c r="H12" s="199">
        <v>0.35</v>
      </c>
      <c r="I12" s="220" t="s">
        <v>919</v>
      </c>
      <c r="J12" s="220"/>
      <c r="K12" s="198"/>
      <c r="L12" s="198"/>
      <c r="M12" s="221">
        <v>0.3</v>
      </c>
      <c r="N12" s="221">
        <v>0.3</v>
      </c>
      <c r="O12" s="222">
        <v>0</v>
      </c>
      <c r="P12" s="198"/>
      <c r="Q12" s="233">
        <v>0.5</v>
      </c>
      <c r="R12" s="233"/>
      <c r="S12" s="233"/>
      <c r="T12" s="233"/>
      <c r="U12" s="198" t="s">
        <v>58</v>
      </c>
      <c r="V12" s="224">
        <v>0</v>
      </c>
      <c r="W12" s="198" t="s">
        <v>58</v>
      </c>
      <c r="X12" s="224"/>
      <c r="Y12" s="198" t="s">
        <v>765</v>
      </c>
      <c r="Z12" s="225" t="s">
        <v>583</v>
      </c>
      <c r="AA12" s="210">
        <v>2500</v>
      </c>
      <c r="AB12" s="226">
        <v>2000000</v>
      </c>
      <c r="AC12" s="214"/>
      <c r="AD12" s="214"/>
      <c r="AE12" s="266" t="s">
        <v>857</v>
      </c>
      <c r="AF12" s="214" t="s">
        <v>787</v>
      </c>
      <c r="AG12" s="215" t="s">
        <v>770</v>
      </c>
      <c r="AH12" s="215" t="s">
        <v>771</v>
      </c>
      <c r="AI12" s="232" t="s">
        <v>90</v>
      </c>
      <c r="AJ12" s="232" t="s">
        <v>90</v>
      </c>
      <c r="AK12" s="232" t="s">
        <v>90</v>
      </c>
      <c r="AL12" s="192" t="s">
        <v>58</v>
      </c>
    </row>
    <row r="13" spans="1:43" ht="90" hidden="1" customHeight="1">
      <c r="A13" s="194">
        <v>11</v>
      </c>
      <c r="B13" s="195">
        <v>1524</v>
      </c>
      <c r="C13" s="196" t="s">
        <v>236</v>
      </c>
      <c r="D13" s="196" t="s">
        <v>236</v>
      </c>
      <c r="E13" s="197" t="s">
        <v>791</v>
      </c>
      <c r="F13" s="195" t="s">
        <v>765</v>
      </c>
      <c r="G13" s="295" t="s">
        <v>793</v>
      </c>
      <c r="H13" s="199">
        <v>0.35</v>
      </c>
      <c r="I13" s="296" t="s">
        <v>793</v>
      </c>
      <c r="J13" s="201"/>
      <c r="K13" s="207"/>
      <c r="L13" s="229"/>
      <c r="M13" s="230">
        <v>0</v>
      </c>
      <c r="N13" s="230">
        <v>0</v>
      </c>
      <c r="O13" s="207">
        <v>0</v>
      </c>
      <c r="P13" s="199"/>
      <c r="Q13" s="233">
        <v>0.25</v>
      </c>
      <c r="R13" s="233"/>
      <c r="S13" s="233"/>
      <c r="T13" s="233"/>
      <c r="U13" s="206" t="s">
        <v>58</v>
      </c>
      <c r="V13" s="206">
        <v>0</v>
      </c>
      <c r="W13" s="206" t="s">
        <v>58</v>
      </c>
      <c r="X13" s="207"/>
      <c r="Y13" s="208" t="s">
        <v>765</v>
      </c>
      <c r="Z13" s="209" t="s">
        <v>583</v>
      </c>
      <c r="AA13" s="210">
        <v>2500</v>
      </c>
      <c r="AB13" s="211">
        <v>2000000</v>
      </c>
      <c r="AC13" s="212" t="s">
        <v>785</v>
      </c>
      <c r="AD13" s="212" t="s">
        <v>769</v>
      </c>
      <c r="AE13" s="212" t="s">
        <v>767</v>
      </c>
      <c r="AF13" s="214" t="s">
        <v>786</v>
      </c>
      <c r="AG13" s="215" t="s">
        <v>770</v>
      </c>
      <c r="AH13" s="215" t="s">
        <v>771</v>
      </c>
      <c r="AI13" s="232" t="s">
        <v>90</v>
      </c>
      <c r="AJ13" s="232" t="s">
        <v>90</v>
      </c>
      <c r="AK13" s="232" t="s">
        <v>90</v>
      </c>
    </row>
    <row r="14" spans="1:43" ht="90" hidden="1" customHeight="1">
      <c r="A14" s="216">
        <v>12</v>
      </c>
      <c r="B14" s="217">
        <v>1525</v>
      </c>
      <c r="C14" s="218" t="s">
        <v>792</v>
      </c>
      <c r="D14" s="218" t="s">
        <v>792</v>
      </c>
      <c r="E14" s="219" t="s">
        <v>792</v>
      </c>
      <c r="F14" s="228" t="s">
        <v>793</v>
      </c>
      <c r="G14" s="198" t="s">
        <v>793</v>
      </c>
      <c r="H14" s="199">
        <v>0</v>
      </c>
      <c r="I14" s="198" t="s">
        <v>793</v>
      </c>
      <c r="J14" s="220"/>
      <c r="K14" s="198"/>
      <c r="L14" s="198"/>
      <c r="M14" s="230">
        <v>0</v>
      </c>
      <c r="N14" s="221"/>
      <c r="O14" s="222"/>
      <c r="P14" s="198"/>
      <c r="Q14" s="223"/>
      <c r="R14" s="223"/>
      <c r="S14" s="223"/>
      <c r="T14" s="223"/>
      <c r="U14" s="198"/>
      <c r="V14" s="224"/>
      <c r="W14" s="198"/>
      <c r="X14" s="224"/>
      <c r="Y14" s="198"/>
      <c r="Z14" s="225"/>
      <c r="AA14" s="234"/>
      <c r="AB14" s="226"/>
      <c r="AC14" s="214"/>
      <c r="AD14" s="214"/>
      <c r="AE14" s="214"/>
      <c r="AF14" s="214"/>
      <c r="AG14" s="215"/>
      <c r="AH14" s="215"/>
      <c r="AI14" s="232"/>
      <c r="AJ14" s="232"/>
      <c r="AK14" s="232" t="s">
        <v>58</v>
      </c>
    </row>
    <row r="15" spans="1:43" ht="90" hidden="1" customHeight="1">
      <c r="A15" s="194">
        <v>13</v>
      </c>
      <c r="B15" s="195">
        <v>1526</v>
      </c>
      <c r="C15" s="196" t="s">
        <v>189</v>
      </c>
      <c r="D15" s="196" t="s">
        <v>189</v>
      </c>
      <c r="E15" s="197" t="s">
        <v>794</v>
      </c>
      <c r="F15" s="195" t="s">
        <v>765</v>
      </c>
      <c r="G15" s="295" t="s">
        <v>793</v>
      </c>
      <c r="H15" s="199">
        <v>0.35</v>
      </c>
      <c r="I15" s="295" t="s">
        <v>793</v>
      </c>
      <c r="J15" s="201"/>
      <c r="K15" s="207"/>
      <c r="L15" s="229"/>
      <c r="M15" s="230">
        <v>0.3</v>
      </c>
      <c r="N15" s="230">
        <v>0.3</v>
      </c>
      <c r="O15" s="207">
        <v>0</v>
      </c>
      <c r="P15" s="199"/>
      <c r="Q15" s="233">
        <v>0.25</v>
      </c>
      <c r="R15" s="233"/>
      <c r="S15" s="233"/>
      <c r="T15" s="233"/>
      <c r="U15" s="206" t="s">
        <v>58</v>
      </c>
      <c r="V15" s="206">
        <v>0</v>
      </c>
      <c r="W15" s="206" t="s">
        <v>58</v>
      </c>
      <c r="X15" s="207"/>
      <c r="Y15" s="208" t="s">
        <v>765</v>
      </c>
      <c r="Z15" s="209" t="s">
        <v>583</v>
      </c>
      <c r="AA15" s="210">
        <v>2500</v>
      </c>
      <c r="AB15" s="211">
        <v>2000000</v>
      </c>
      <c r="AC15" s="212" t="s">
        <v>785</v>
      </c>
      <c r="AD15" s="212" t="s">
        <v>769</v>
      </c>
      <c r="AE15" s="266" t="s">
        <v>857</v>
      </c>
      <c r="AF15" s="214" t="s">
        <v>787</v>
      </c>
      <c r="AG15" s="215" t="s">
        <v>770</v>
      </c>
      <c r="AH15" s="215" t="s">
        <v>771</v>
      </c>
      <c r="AI15" s="194" t="s">
        <v>90</v>
      </c>
      <c r="AJ15" s="194" t="s">
        <v>90</v>
      </c>
      <c r="AK15" s="194" t="s">
        <v>90</v>
      </c>
    </row>
    <row r="16" spans="1:43" ht="90" hidden="1" customHeight="1">
      <c r="A16" s="216">
        <v>14</v>
      </c>
      <c r="B16" s="217">
        <v>1527</v>
      </c>
      <c r="C16" s="218" t="s">
        <v>51</v>
      </c>
      <c r="D16" s="218" t="s">
        <v>51</v>
      </c>
      <c r="E16" s="219" t="s">
        <v>795</v>
      </c>
      <c r="F16" s="216" t="s">
        <v>765</v>
      </c>
      <c r="G16" s="295" t="s">
        <v>793</v>
      </c>
      <c r="H16" s="199">
        <v>0.35</v>
      </c>
      <c r="I16" s="295" t="s">
        <v>793</v>
      </c>
      <c r="J16" s="220"/>
      <c r="K16" s="198"/>
      <c r="L16" s="198"/>
      <c r="M16" s="221">
        <v>0.3</v>
      </c>
      <c r="N16" s="221">
        <v>0.3</v>
      </c>
      <c r="O16" s="222">
        <v>0</v>
      </c>
      <c r="P16" s="198"/>
      <c r="Q16" s="233">
        <v>0.35</v>
      </c>
      <c r="R16" s="233"/>
      <c r="S16" s="233"/>
      <c r="T16" s="233"/>
      <c r="U16" s="198" t="s">
        <v>58</v>
      </c>
      <c r="V16" s="224">
        <v>0</v>
      </c>
      <c r="W16" s="235" t="s">
        <v>90</v>
      </c>
      <c r="X16" s="224"/>
      <c r="Y16" s="198" t="s">
        <v>765</v>
      </c>
      <c r="Z16" s="236" t="s">
        <v>796</v>
      </c>
      <c r="AA16" s="237">
        <v>2500</v>
      </c>
      <c r="AB16" s="226">
        <v>2000000</v>
      </c>
      <c r="AC16" s="214"/>
      <c r="AD16" s="214"/>
      <c r="AE16" s="214"/>
      <c r="AF16" s="214"/>
      <c r="AG16" s="215" t="s">
        <v>770</v>
      </c>
      <c r="AH16" s="215" t="s">
        <v>771</v>
      </c>
      <c r="AI16" s="232" t="s">
        <v>58</v>
      </c>
      <c r="AJ16" s="232" t="s">
        <v>58</v>
      </c>
      <c r="AK16" s="232" t="s">
        <v>90</v>
      </c>
    </row>
    <row r="17" spans="1:43" ht="90" customHeight="1">
      <c r="A17" s="194">
        <v>15</v>
      </c>
      <c r="B17" s="195">
        <v>1528</v>
      </c>
      <c r="C17" s="196" t="s">
        <v>60</v>
      </c>
      <c r="D17" s="196" t="s">
        <v>60</v>
      </c>
      <c r="E17" s="197" t="s">
        <v>797</v>
      </c>
      <c r="F17" s="195" t="s">
        <v>765</v>
      </c>
      <c r="G17" s="198" t="s">
        <v>765</v>
      </c>
      <c r="H17" s="199">
        <v>0.35</v>
      </c>
      <c r="I17" s="220" t="s">
        <v>919</v>
      </c>
      <c r="J17" s="201"/>
      <c r="K17" s="207"/>
      <c r="L17" s="229"/>
      <c r="M17" s="230">
        <v>0.3</v>
      </c>
      <c r="N17" s="230">
        <v>0.3</v>
      </c>
      <c r="O17" s="207">
        <v>0</v>
      </c>
      <c r="P17" s="199"/>
      <c r="Q17" s="233">
        <v>0.3</v>
      </c>
      <c r="R17" s="233"/>
      <c r="S17" s="233"/>
      <c r="T17" s="233"/>
      <c r="U17" s="206" t="s">
        <v>58</v>
      </c>
      <c r="V17" s="206">
        <v>0</v>
      </c>
      <c r="W17" s="206" t="s">
        <v>58</v>
      </c>
      <c r="X17" s="207"/>
      <c r="Y17" s="208" t="s">
        <v>765</v>
      </c>
      <c r="Z17" s="209" t="s">
        <v>583</v>
      </c>
      <c r="AA17" s="210">
        <v>2500</v>
      </c>
      <c r="AB17" s="211">
        <v>2000000</v>
      </c>
      <c r="AC17" s="212" t="s">
        <v>767</v>
      </c>
      <c r="AD17" s="212"/>
      <c r="AE17" s="212"/>
      <c r="AF17" s="212"/>
      <c r="AG17" s="215" t="s">
        <v>770</v>
      </c>
      <c r="AH17" s="215" t="s">
        <v>771</v>
      </c>
      <c r="AI17" s="232" t="s">
        <v>58</v>
      </c>
      <c r="AJ17" s="232" t="s">
        <v>58</v>
      </c>
      <c r="AK17" s="232" t="s">
        <v>90</v>
      </c>
      <c r="AL17" s="192" t="s">
        <v>58</v>
      </c>
      <c r="AM17" s="193"/>
      <c r="AN17" s="193"/>
      <c r="AO17" s="193"/>
      <c r="AP17" s="193"/>
      <c r="AQ17" s="193"/>
    </row>
    <row r="18" spans="1:43" ht="90" hidden="1" customHeight="1">
      <c r="A18" s="216">
        <v>16</v>
      </c>
      <c r="B18" s="217">
        <v>1531</v>
      </c>
      <c r="C18" s="218" t="s">
        <v>67</v>
      </c>
      <c r="D18" s="218" t="s">
        <v>67</v>
      </c>
      <c r="E18" s="219" t="s">
        <v>798</v>
      </c>
      <c r="F18" s="216" t="s">
        <v>765</v>
      </c>
      <c r="G18" s="295" t="s">
        <v>793</v>
      </c>
      <c r="H18" s="199">
        <v>0.35</v>
      </c>
      <c r="I18" s="295" t="s">
        <v>793</v>
      </c>
      <c r="J18" s="220" t="s">
        <v>799</v>
      </c>
      <c r="K18" s="198"/>
      <c r="L18" s="198"/>
      <c r="M18" s="221">
        <v>0.3</v>
      </c>
      <c r="N18" s="221">
        <v>0.3</v>
      </c>
      <c r="O18" s="222">
        <v>0</v>
      </c>
      <c r="P18" s="198"/>
      <c r="Q18" s="233">
        <v>0.75</v>
      </c>
      <c r="R18" s="233"/>
      <c r="S18" s="233"/>
      <c r="T18" s="233"/>
      <c r="U18" s="198" t="s">
        <v>90</v>
      </c>
      <c r="V18" s="231">
        <v>2500</v>
      </c>
      <c r="W18" s="198" t="s">
        <v>58</v>
      </c>
      <c r="X18" s="224"/>
      <c r="Y18" s="198" t="s">
        <v>765</v>
      </c>
      <c r="Z18" s="225" t="s">
        <v>583</v>
      </c>
      <c r="AA18" s="210">
        <v>2500</v>
      </c>
      <c r="AB18" s="226">
        <v>2000000</v>
      </c>
      <c r="AC18" s="214" t="s">
        <v>789</v>
      </c>
      <c r="AD18" s="214"/>
      <c r="AE18" s="214"/>
      <c r="AF18" s="214"/>
      <c r="AG18" s="215" t="s">
        <v>770</v>
      </c>
      <c r="AH18" s="215" t="s">
        <v>771</v>
      </c>
      <c r="AI18" s="232" t="s">
        <v>58</v>
      </c>
      <c r="AJ18" s="232" t="s">
        <v>58</v>
      </c>
      <c r="AK18" s="232" t="s">
        <v>90</v>
      </c>
      <c r="AM18" s="193"/>
      <c r="AN18" s="193"/>
      <c r="AO18" s="193"/>
      <c r="AP18" s="193"/>
      <c r="AQ18" s="193"/>
    </row>
    <row r="19" spans="1:43" ht="90" customHeight="1">
      <c r="A19" s="194">
        <v>17</v>
      </c>
      <c r="B19" s="195">
        <v>1532</v>
      </c>
      <c r="C19" s="196" t="s">
        <v>332</v>
      </c>
      <c r="D19" s="196" t="s">
        <v>332</v>
      </c>
      <c r="E19" s="197" t="s">
        <v>664</v>
      </c>
      <c r="F19" s="195" t="s">
        <v>765</v>
      </c>
      <c r="G19" s="198" t="s">
        <v>765</v>
      </c>
      <c r="H19" s="199">
        <v>0.35</v>
      </c>
      <c r="I19" s="200" t="s">
        <v>766</v>
      </c>
      <c r="J19" s="201"/>
      <c r="K19" s="207"/>
      <c r="L19" s="229"/>
      <c r="M19" s="230">
        <v>0.3</v>
      </c>
      <c r="N19" s="230">
        <v>0.3</v>
      </c>
      <c r="O19" s="207">
        <v>0</v>
      </c>
      <c r="P19" s="199"/>
      <c r="Q19" s="205">
        <v>0</v>
      </c>
      <c r="R19" s="205"/>
      <c r="S19" s="205"/>
      <c r="T19" s="205"/>
      <c r="U19" s="206" t="s">
        <v>58</v>
      </c>
      <c r="V19" s="206">
        <v>0</v>
      </c>
      <c r="W19" s="206" t="s">
        <v>58</v>
      </c>
      <c r="X19" s="207"/>
      <c r="Y19" s="208" t="s">
        <v>765</v>
      </c>
      <c r="Z19" s="209" t="s">
        <v>583</v>
      </c>
      <c r="AA19" s="210">
        <v>2500</v>
      </c>
      <c r="AB19" s="211">
        <v>2000000</v>
      </c>
      <c r="AC19" s="212"/>
      <c r="AD19" s="212"/>
      <c r="AE19" s="212"/>
      <c r="AF19" s="212"/>
      <c r="AG19" s="215" t="s">
        <v>770</v>
      </c>
      <c r="AH19" s="215" t="s">
        <v>771</v>
      </c>
      <c r="AI19" s="232" t="s">
        <v>58</v>
      </c>
      <c r="AJ19" s="232" t="s">
        <v>58</v>
      </c>
      <c r="AK19" s="232" t="s">
        <v>90</v>
      </c>
      <c r="AL19" s="192" t="s">
        <v>90</v>
      </c>
      <c r="AM19" s="193"/>
      <c r="AN19" s="193"/>
      <c r="AO19" s="193"/>
      <c r="AP19" s="193"/>
      <c r="AQ19" s="193"/>
    </row>
    <row r="20" spans="1:43" ht="90" hidden="1" customHeight="1">
      <c r="A20" s="216">
        <v>18</v>
      </c>
      <c r="B20" s="217">
        <v>1533</v>
      </c>
      <c r="C20" s="218" t="s">
        <v>800</v>
      </c>
      <c r="D20" s="218" t="s">
        <v>800</v>
      </c>
      <c r="E20" s="219" t="s">
        <v>801</v>
      </c>
      <c r="F20" s="216" t="s">
        <v>765</v>
      </c>
      <c r="G20" s="198" t="s">
        <v>793</v>
      </c>
      <c r="H20" s="199">
        <v>0.35</v>
      </c>
      <c r="I20" s="220" t="s">
        <v>919</v>
      </c>
      <c r="J20" s="220"/>
      <c r="K20" s="198"/>
      <c r="L20" s="198"/>
      <c r="M20" s="230">
        <v>0</v>
      </c>
      <c r="N20" s="221"/>
      <c r="O20" s="222"/>
      <c r="P20" s="198"/>
      <c r="Q20" s="233">
        <v>0.5</v>
      </c>
      <c r="R20" s="233"/>
      <c r="S20" s="233"/>
      <c r="T20" s="233"/>
      <c r="U20" s="198" t="s">
        <v>58</v>
      </c>
      <c r="V20" s="224">
        <v>0</v>
      </c>
      <c r="W20" s="198" t="s">
        <v>58</v>
      </c>
      <c r="X20" s="224"/>
      <c r="Y20" s="198"/>
      <c r="Z20" s="225"/>
      <c r="AA20" s="210">
        <v>2500</v>
      </c>
      <c r="AB20" s="212" t="s">
        <v>785</v>
      </c>
      <c r="AC20" s="212" t="s">
        <v>769</v>
      </c>
      <c r="AD20" s="214"/>
      <c r="AE20" s="214"/>
      <c r="AF20" s="214"/>
      <c r="AG20" s="215" t="s">
        <v>770</v>
      </c>
      <c r="AH20" s="215" t="s">
        <v>771</v>
      </c>
      <c r="AI20" s="232" t="s">
        <v>58</v>
      </c>
      <c r="AJ20" s="232" t="s">
        <v>58</v>
      </c>
      <c r="AK20" s="232" t="s">
        <v>90</v>
      </c>
      <c r="AM20" s="193"/>
      <c r="AN20" s="193"/>
      <c r="AO20" s="193"/>
      <c r="AP20" s="193"/>
      <c r="AQ20" s="193"/>
    </row>
    <row r="21" spans="1:43" ht="90" customHeight="1">
      <c r="A21" s="194">
        <v>19</v>
      </c>
      <c r="B21" s="195">
        <v>1534</v>
      </c>
      <c r="C21" s="196" t="s">
        <v>341</v>
      </c>
      <c r="D21" s="196" t="s">
        <v>341</v>
      </c>
      <c r="E21" s="197" t="s">
        <v>665</v>
      </c>
      <c r="F21" s="195" t="s">
        <v>765</v>
      </c>
      <c r="G21" s="198" t="s">
        <v>765</v>
      </c>
      <c r="H21" s="199">
        <v>0.35</v>
      </c>
      <c r="I21" s="200" t="s">
        <v>766</v>
      </c>
      <c r="J21" s="201"/>
      <c r="K21" s="207"/>
      <c r="L21" s="229"/>
      <c r="M21" s="230">
        <v>0.3</v>
      </c>
      <c r="N21" s="230">
        <v>0.3</v>
      </c>
      <c r="O21" s="207">
        <v>0</v>
      </c>
      <c r="P21" s="199"/>
      <c r="Q21" s="205">
        <v>0</v>
      </c>
      <c r="R21" s="205"/>
      <c r="S21" s="205"/>
      <c r="T21" s="205"/>
      <c r="U21" s="206" t="s">
        <v>58</v>
      </c>
      <c r="V21" s="206">
        <v>0</v>
      </c>
      <c r="W21" s="206" t="s">
        <v>58</v>
      </c>
      <c r="X21" s="207"/>
      <c r="Y21" s="208" t="s">
        <v>765</v>
      </c>
      <c r="Z21" s="209" t="s">
        <v>583</v>
      </c>
      <c r="AA21" s="210">
        <v>2500</v>
      </c>
      <c r="AB21" s="211">
        <v>2000000</v>
      </c>
      <c r="AC21" s="212"/>
      <c r="AD21" s="212"/>
      <c r="AE21" s="212"/>
      <c r="AF21" s="212"/>
      <c r="AG21" s="215" t="s">
        <v>770</v>
      </c>
      <c r="AH21" s="215" t="s">
        <v>771</v>
      </c>
      <c r="AI21" s="232" t="s">
        <v>58</v>
      </c>
      <c r="AJ21" s="232" t="s">
        <v>58</v>
      </c>
      <c r="AK21" s="232" t="s">
        <v>90</v>
      </c>
      <c r="AL21" s="192" t="s">
        <v>58</v>
      </c>
      <c r="AM21" s="193"/>
      <c r="AN21" s="193"/>
      <c r="AO21" s="193"/>
      <c r="AP21" s="193"/>
      <c r="AQ21" s="193"/>
    </row>
    <row r="22" spans="1:43" ht="90" customHeight="1">
      <c r="A22" s="216">
        <v>20</v>
      </c>
      <c r="B22" s="217">
        <v>1535</v>
      </c>
      <c r="C22" s="218" t="s">
        <v>179</v>
      </c>
      <c r="D22" s="218" t="s">
        <v>179</v>
      </c>
      <c r="E22" s="219" t="s">
        <v>802</v>
      </c>
      <c r="F22" s="216" t="s">
        <v>765</v>
      </c>
      <c r="G22" s="198" t="s">
        <v>765</v>
      </c>
      <c r="H22" s="199">
        <v>0.35</v>
      </c>
      <c r="I22" s="220" t="s">
        <v>919</v>
      </c>
      <c r="J22" s="220"/>
      <c r="K22" s="198"/>
      <c r="L22" s="198"/>
      <c r="M22" s="221">
        <v>0.3</v>
      </c>
      <c r="N22" s="221">
        <v>0.3</v>
      </c>
      <c r="O22" s="222">
        <v>0</v>
      </c>
      <c r="P22" s="198"/>
      <c r="Q22" s="223">
        <v>0</v>
      </c>
      <c r="R22" s="223"/>
      <c r="S22" s="223"/>
      <c r="T22" s="223"/>
      <c r="U22" s="198" t="s">
        <v>58</v>
      </c>
      <c r="V22" s="224">
        <v>0</v>
      </c>
      <c r="W22" s="198" t="s">
        <v>58</v>
      </c>
      <c r="X22" s="224"/>
      <c r="Y22" s="198" t="s">
        <v>765</v>
      </c>
      <c r="Z22" s="225" t="s">
        <v>583</v>
      </c>
      <c r="AA22" s="210">
        <v>2500</v>
      </c>
      <c r="AB22" s="226">
        <v>2000000</v>
      </c>
      <c r="AC22" s="214" t="s">
        <v>803</v>
      </c>
      <c r="AD22" s="214"/>
      <c r="AE22" s="214"/>
      <c r="AF22" s="214"/>
      <c r="AG22" s="215" t="s">
        <v>770</v>
      </c>
      <c r="AH22" s="215" t="s">
        <v>771</v>
      </c>
      <c r="AI22" s="232" t="s">
        <v>58</v>
      </c>
      <c r="AJ22" s="232" t="s">
        <v>58</v>
      </c>
      <c r="AK22" s="232" t="s">
        <v>90</v>
      </c>
      <c r="AL22" s="192" t="s">
        <v>90</v>
      </c>
      <c r="AM22" s="193"/>
      <c r="AN22" s="193"/>
      <c r="AO22" s="193"/>
      <c r="AP22" s="193"/>
      <c r="AQ22" s="193"/>
    </row>
    <row r="23" spans="1:43" ht="90" hidden="1" customHeight="1">
      <c r="A23" s="194">
        <v>21</v>
      </c>
      <c r="B23" s="195">
        <v>1536</v>
      </c>
      <c r="C23" s="196" t="s">
        <v>257</v>
      </c>
      <c r="D23" s="196" t="s">
        <v>257</v>
      </c>
      <c r="E23" s="197" t="s">
        <v>804</v>
      </c>
      <c r="F23" s="228" t="s">
        <v>774</v>
      </c>
      <c r="G23" s="298" t="s">
        <v>793</v>
      </c>
      <c r="H23" s="199">
        <v>0.35</v>
      </c>
      <c r="I23" s="298" t="s">
        <v>793</v>
      </c>
      <c r="J23" s="201" t="s">
        <v>799</v>
      </c>
      <c r="K23" s="207"/>
      <c r="L23" s="229"/>
      <c r="M23" s="230">
        <v>0.3</v>
      </c>
      <c r="N23" s="230">
        <v>0.3</v>
      </c>
      <c r="O23" s="207">
        <v>0</v>
      </c>
      <c r="P23" s="199"/>
      <c r="Q23" s="233">
        <v>0.75</v>
      </c>
      <c r="R23" s="233"/>
      <c r="S23" s="233"/>
      <c r="T23" s="233"/>
      <c r="U23" s="206" t="s">
        <v>90</v>
      </c>
      <c r="V23" s="231">
        <v>2500</v>
      </c>
      <c r="W23" s="206" t="s">
        <v>58</v>
      </c>
      <c r="X23" s="207"/>
      <c r="Y23" s="208" t="s">
        <v>765</v>
      </c>
      <c r="Z23" s="209" t="s">
        <v>583</v>
      </c>
      <c r="AA23" s="210">
        <v>2500</v>
      </c>
      <c r="AB23" s="211">
        <v>400000</v>
      </c>
      <c r="AC23" s="212" t="s">
        <v>789</v>
      </c>
      <c r="AD23" s="212"/>
      <c r="AE23" s="212"/>
      <c r="AF23" s="212"/>
      <c r="AG23" s="215" t="s">
        <v>770</v>
      </c>
      <c r="AH23" s="215" t="s">
        <v>771</v>
      </c>
      <c r="AI23" s="232" t="s">
        <v>58</v>
      </c>
      <c r="AJ23" s="232" t="s">
        <v>58</v>
      </c>
      <c r="AK23" s="232" t="s">
        <v>90</v>
      </c>
      <c r="AM23" s="193"/>
      <c r="AN23" s="193"/>
      <c r="AO23" s="193"/>
      <c r="AP23" s="193"/>
      <c r="AQ23" s="193"/>
    </row>
    <row r="24" spans="1:43" ht="90" hidden="1" customHeight="1">
      <c r="A24" s="216">
        <v>22</v>
      </c>
      <c r="B24" s="217">
        <v>1537</v>
      </c>
      <c r="C24" s="218" t="s">
        <v>253</v>
      </c>
      <c r="D24" s="218" t="s">
        <v>253</v>
      </c>
      <c r="E24" s="219" t="s">
        <v>805</v>
      </c>
      <c r="F24" s="216" t="s">
        <v>765</v>
      </c>
      <c r="G24" s="295" t="s">
        <v>793</v>
      </c>
      <c r="H24" s="199">
        <v>0.35</v>
      </c>
      <c r="I24" s="295" t="s">
        <v>793</v>
      </c>
      <c r="J24" s="220" t="s">
        <v>799</v>
      </c>
      <c r="K24" s="198"/>
      <c r="L24" s="198"/>
      <c r="M24" s="221">
        <v>0.3</v>
      </c>
      <c r="N24" s="221">
        <v>0.3</v>
      </c>
      <c r="O24" s="222">
        <v>0</v>
      </c>
      <c r="P24" s="198"/>
      <c r="Q24" s="233">
        <v>0.75</v>
      </c>
      <c r="R24" s="233"/>
      <c r="S24" s="233"/>
      <c r="T24" s="233"/>
      <c r="U24" s="198" t="s">
        <v>90</v>
      </c>
      <c r="V24" s="231">
        <v>2500</v>
      </c>
      <c r="W24" s="198" t="s">
        <v>58</v>
      </c>
      <c r="X24" s="224"/>
      <c r="Y24" s="198" t="s">
        <v>765</v>
      </c>
      <c r="Z24" s="225" t="s">
        <v>583</v>
      </c>
      <c r="AA24" s="210">
        <v>2500</v>
      </c>
      <c r="AB24" s="226">
        <v>400000</v>
      </c>
      <c r="AC24" s="214" t="s">
        <v>789</v>
      </c>
      <c r="AD24" s="214"/>
      <c r="AE24" s="214"/>
      <c r="AF24" s="214"/>
      <c r="AG24" s="215" t="s">
        <v>770</v>
      </c>
      <c r="AH24" s="215" t="s">
        <v>771</v>
      </c>
      <c r="AI24" s="232"/>
      <c r="AJ24" s="232"/>
      <c r="AK24" s="232" t="s">
        <v>58</v>
      </c>
      <c r="AM24" s="193"/>
      <c r="AN24" s="193"/>
      <c r="AO24" s="193"/>
      <c r="AP24" s="193"/>
      <c r="AQ24" s="193"/>
    </row>
    <row r="25" spans="1:43" ht="90" hidden="1" customHeight="1">
      <c r="A25" s="194">
        <v>23</v>
      </c>
      <c r="B25" s="195">
        <v>1621</v>
      </c>
      <c r="C25" s="196" t="s">
        <v>806</v>
      </c>
      <c r="D25" s="196" t="s">
        <v>806</v>
      </c>
      <c r="E25" s="197" t="s">
        <v>807</v>
      </c>
      <c r="F25" s="228" t="s">
        <v>774</v>
      </c>
      <c r="G25" s="198" t="s">
        <v>793</v>
      </c>
      <c r="H25" s="199">
        <v>0</v>
      </c>
      <c r="I25" s="336" t="str">
        <f t="shared" ref="I25:I29" si="1">G25</f>
        <v>Decline</v>
      </c>
      <c r="J25" s="201"/>
      <c r="K25" s="207"/>
      <c r="L25" s="229"/>
      <c r="M25" s="230">
        <v>0</v>
      </c>
      <c r="N25" s="230"/>
      <c r="O25" s="207"/>
      <c r="P25" s="199"/>
      <c r="Q25" s="205"/>
      <c r="R25" s="205"/>
      <c r="S25" s="205"/>
      <c r="T25" s="205"/>
      <c r="U25" s="206"/>
      <c r="V25" s="206"/>
      <c r="W25" s="206"/>
      <c r="X25" s="207"/>
      <c r="Y25" s="208"/>
      <c r="Z25" s="209"/>
      <c r="AA25" s="210">
        <v>2500</v>
      </c>
      <c r="AB25" s="211"/>
      <c r="AC25" s="212"/>
      <c r="AD25" s="212"/>
      <c r="AE25" s="212"/>
      <c r="AF25" s="212"/>
      <c r="AG25" s="215"/>
      <c r="AH25" s="215" t="s">
        <v>771</v>
      </c>
      <c r="AI25" s="194"/>
      <c r="AJ25" s="194"/>
      <c r="AK25" s="232" t="s">
        <v>58</v>
      </c>
      <c r="AM25" s="193"/>
      <c r="AN25" s="193"/>
      <c r="AO25" s="193"/>
      <c r="AP25" s="193"/>
      <c r="AQ25" s="193"/>
    </row>
    <row r="26" spans="1:43" ht="90" hidden="1" customHeight="1">
      <c r="A26" s="216">
        <v>24</v>
      </c>
      <c r="B26" s="217">
        <v>1622</v>
      </c>
      <c r="C26" s="218" t="s">
        <v>808</v>
      </c>
      <c r="D26" s="218" t="s">
        <v>808</v>
      </c>
      <c r="E26" s="219" t="s">
        <v>809</v>
      </c>
      <c r="F26" s="228" t="s">
        <v>774</v>
      </c>
      <c r="G26" s="198" t="s">
        <v>793</v>
      </c>
      <c r="H26" s="199">
        <v>0</v>
      </c>
      <c r="I26" s="336" t="str">
        <f t="shared" si="1"/>
        <v>Decline</v>
      </c>
      <c r="J26" s="220"/>
      <c r="K26" s="198"/>
      <c r="L26" s="198"/>
      <c r="M26" s="230">
        <v>0</v>
      </c>
      <c r="N26" s="221"/>
      <c r="O26" s="222"/>
      <c r="P26" s="198"/>
      <c r="Q26" s="223"/>
      <c r="R26" s="223"/>
      <c r="S26" s="223"/>
      <c r="T26" s="223"/>
      <c r="U26" s="198"/>
      <c r="V26" s="224"/>
      <c r="W26" s="198"/>
      <c r="X26" s="224"/>
      <c r="Y26" s="198"/>
      <c r="Z26" s="225"/>
      <c r="AA26" s="210">
        <v>2500</v>
      </c>
      <c r="AB26" s="226"/>
      <c r="AC26" s="214"/>
      <c r="AD26" s="214"/>
      <c r="AE26" s="214"/>
      <c r="AF26" s="214"/>
      <c r="AG26" s="215"/>
      <c r="AH26" s="215" t="s">
        <v>771</v>
      </c>
      <c r="AI26" s="232"/>
      <c r="AJ26" s="232"/>
      <c r="AK26" s="232" t="s">
        <v>58</v>
      </c>
      <c r="AM26" s="193"/>
      <c r="AN26" s="193"/>
      <c r="AO26" s="193"/>
      <c r="AP26" s="193"/>
      <c r="AQ26" s="193"/>
    </row>
    <row r="27" spans="1:43" ht="90" hidden="1" customHeight="1">
      <c r="A27" s="194">
        <v>25</v>
      </c>
      <c r="B27" s="195">
        <v>1623</v>
      </c>
      <c r="C27" s="196" t="s">
        <v>810</v>
      </c>
      <c r="D27" s="196" t="s">
        <v>810</v>
      </c>
      <c r="E27" s="197" t="s">
        <v>811</v>
      </c>
      <c r="F27" s="228" t="s">
        <v>774</v>
      </c>
      <c r="G27" s="198" t="s">
        <v>793</v>
      </c>
      <c r="H27" s="199">
        <v>0</v>
      </c>
      <c r="I27" s="336" t="str">
        <f t="shared" si="1"/>
        <v>Decline</v>
      </c>
      <c r="J27" s="201"/>
      <c r="K27" s="207"/>
      <c r="L27" s="229"/>
      <c r="M27" s="230">
        <v>0</v>
      </c>
      <c r="N27" s="230"/>
      <c r="O27" s="207"/>
      <c r="P27" s="199"/>
      <c r="Q27" s="205"/>
      <c r="R27" s="205"/>
      <c r="S27" s="205"/>
      <c r="T27" s="205"/>
      <c r="U27" s="206"/>
      <c r="V27" s="206"/>
      <c r="W27" s="206"/>
      <c r="X27" s="207"/>
      <c r="Y27" s="208"/>
      <c r="Z27" s="209"/>
      <c r="AA27" s="210">
        <v>2500</v>
      </c>
      <c r="AB27" s="211"/>
      <c r="AC27" s="212"/>
      <c r="AD27" s="212"/>
      <c r="AE27" s="212"/>
      <c r="AF27" s="212"/>
      <c r="AG27" s="215"/>
      <c r="AH27" s="215" t="s">
        <v>771</v>
      </c>
      <c r="AI27" s="194"/>
      <c r="AJ27" s="194"/>
      <c r="AK27" s="232" t="s">
        <v>58</v>
      </c>
      <c r="AM27" s="193"/>
      <c r="AN27" s="193"/>
      <c r="AO27" s="193"/>
      <c r="AP27" s="193"/>
      <c r="AQ27" s="193"/>
    </row>
    <row r="28" spans="1:43" ht="90" hidden="1" customHeight="1">
      <c r="A28" s="216">
        <v>26</v>
      </c>
      <c r="B28" s="217">
        <v>1624</v>
      </c>
      <c r="C28" s="218" t="s">
        <v>812</v>
      </c>
      <c r="D28" s="218" t="s">
        <v>812</v>
      </c>
      <c r="E28" s="219" t="s">
        <v>813</v>
      </c>
      <c r="F28" s="228" t="s">
        <v>774</v>
      </c>
      <c r="G28" s="198" t="s">
        <v>793</v>
      </c>
      <c r="H28" s="199">
        <v>0</v>
      </c>
      <c r="I28" s="336" t="str">
        <f t="shared" si="1"/>
        <v>Decline</v>
      </c>
      <c r="J28" s="220"/>
      <c r="K28" s="198"/>
      <c r="L28" s="198"/>
      <c r="M28" s="230">
        <v>0</v>
      </c>
      <c r="N28" s="221"/>
      <c r="O28" s="222"/>
      <c r="P28" s="198"/>
      <c r="Q28" s="223"/>
      <c r="R28" s="223"/>
      <c r="S28" s="223"/>
      <c r="T28" s="223"/>
      <c r="U28" s="198"/>
      <c r="V28" s="224"/>
      <c r="W28" s="198"/>
      <c r="X28" s="224"/>
      <c r="Y28" s="198"/>
      <c r="Z28" s="225"/>
      <c r="AA28" s="210">
        <v>2500</v>
      </c>
      <c r="AB28" s="226"/>
      <c r="AC28" s="214"/>
      <c r="AD28" s="214"/>
      <c r="AE28" s="214"/>
      <c r="AF28" s="214"/>
      <c r="AG28" s="215"/>
      <c r="AH28" s="215" t="s">
        <v>771</v>
      </c>
      <c r="AI28" s="232"/>
      <c r="AJ28" s="232"/>
      <c r="AK28" s="232" t="s">
        <v>58</v>
      </c>
      <c r="AM28" s="193"/>
      <c r="AN28" s="193"/>
      <c r="AO28" s="193"/>
      <c r="AP28" s="193"/>
      <c r="AQ28" s="193"/>
    </row>
    <row r="29" spans="1:43" ht="90" hidden="1" customHeight="1">
      <c r="A29" s="194">
        <v>27</v>
      </c>
      <c r="B29" s="195">
        <v>1625</v>
      </c>
      <c r="C29" s="196" t="s">
        <v>814</v>
      </c>
      <c r="D29" s="196" t="s">
        <v>814</v>
      </c>
      <c r="E29" s="197" t="s">
        <v>815</v>
      </c>
      <c r="F29" s="228" t="s">
        <v>774</v>
      </c>
      <c r="G29" s="198" t="s">
        <v>793</v>
      </c>
      <c r="H29" s="199">
        <v>0</v>
      </c>
      <c r="I29" s="336" t="str">
        <f t="shared" si="1"/>
        <v>Decline</v>
      </c>
      <c r="J29" s="201"/>
      <c r="K29" s="207"/>
      <c r="L29" s="229"/>
      <c r="M29" s="230">
        <v>0</v>
      </c>
      <c r="N29" s="230"/>
      <c r="O29" s="207"/>
      <c r="P29" s="199"/>
      <c r="Q29" s="205"/>
      <c r="R29" s="205"/>
      <c r="S29" s="205"/>
      <c r="T29" s="205"/>
      <c r="U29" s="206"/>
      <c r="V29" s="206"/>
      <c r="W29" s="206"/>
      <c r="X29" s="207"/>
      <c r="Y29" s="208"/>
      <c r="Z29" s="209"/>
      <c r="AA29" s="210">
        <v>2500</v>
      </c>
      <c r="AB29" s="211"/>
      <c r="AC29" s="212"/>
      <c r="AD29" s="212"/>
      <c r="AE29" s="212"/>
      <c r="AF29" s="212" t="s">
        <v>786</v>
      </c>
      <c r="AG29" s="215"/>
      <c r="AH29" s="215" t="s">
        <v>771</v>
      </c>
      <c r="AI29" s="194"/>
      <c r="AJ29" s="194"/>
      <c r="AK29" s="232" t="s">
        <v>58</v>
      </c>
      <c r="AM29" s="193"/>
      <c r="AN29" s="193"/>
      <c r="AO29" s="193"/>
      <c r="AP29" s="193"/>
      <c r="AQ29" s="193"/>
    </row>
    <row r="30" spans="1:43" ht="90" hidden="1" customHeight="1">
      <c r="A30" s="216">
        <v>28</v>
      </c>
      <c r="B30" s="217">
        <v>1631</v>
      </c>
      <c r="C30" s="218" t="s">
        <v>198</v>
      </c>
      <c r="D30" s="218" t="s">
        <v>198</v>
      </c>
      <c r="E30" s="219" t="s">
        <v>816</v>
      </c>
      <c r="F30" s="216" t="s">
        <v>765</v>
      </c>
      <c r="G30" s="295" t="s">
        <v>793</v>
      </c>
      <c r="H30" s="199">
        <v>0.35</v>
      </c>
      <c r="I30" s="295" t="s">
        <v>793</v>
      </c>
      <c r="J30" s="220"/>
      <c r="K30" s="198"/>
      <c r="L30" s="198"/>
      <c r="M30" s="221">
        <v>0.3</v>
      </c>
      <c r="N30" s="221">
        <v>0.3</v>
      </c>
      <c r="O30" s="222">
        <v>0</v>
      </c>
      <c r="P30" s="198"/>
      <c r="Q30" s="233">
        <v>0.5</v>
      </c>
      <c r="R30" s="233"/>
      <c r="S30" s="233"/>
      <c r="T30" s="233"/>
      <c r="U30" s="198" t="s">
        <v>58</v>
      </c>
      <c r="V30" s="224">
        <v>0</v>
      </c>
      <c r="W30" s="198" t="s">
        <v>58</v>
      </c>
      <c r="X30" s="224"/>
      <c r="Y30" s="198" t="s">
        <v>765</v>
      </c>
      <c r="Z30" s="225" t="s">
        <v>583</v>
      </c>
      <c r="AA30" s="210">
        <v>2500</v>
      </c>
      <c r="AB30" s="226">
        <v>2000000</v>
      </c>
      <c r="AC30" s="214" t="s">
        <v>785</v>
      </c>
      <c r="AD30" s="214" t="s">
        <v>769</v>
      </c>
      <c r="AE30" s="214"/>
      <c r="AF30" s="214" t="s">
        <v>786</v>
      </c>
      <c r="AG30" s="215" t="s">
        <v>770</v>
      </c>
      <c r="AH30" s="215" t="s">
        <v>771</v>
      </c>
      <c r="AI30" s="232" t="s">
        <v>90</v>
      </c>
      <c r="AJ30" s="232" t="s">
        <v>90</v>
      </c>
      <c r="AK30" s="232" t="s">
        <v>90</v>
      </c>
      <c r="AM30" s="193"/>
      <c r="AN30" s="193"/>
      <c r="AO30" s="193"/>
      <c r="AP30" s="193"/>
      <c r="AQ30" s="193"/>
    </row>
    <row r="31" spans="1:43" ht="90" hidden="1" customHeight="1">
      <c r="A31" s="194">
        <v>29</v>
      </c>
      <c r="B31" s="195">
        <v>1632</v>
      </c>
      <c r="C31" s="196" t="s">
        <v>817</v>
      </c>
      <c r="D31" s="196" t="s">
        <v>817</v>
      </c>
      <c r="E31" s="197" t="s">
        <v>818</v>
      </c>
      <c r="F31" s="195" t="s">
        <v>774</v>
      </c>
      <c r="G31" s="198" t="s">
        <v>793</v>
      </c>
      <c r="H31" s="199">
        <v>0</v>
      </c>
      <c r="I31" s="220" t="s">
        <v>919</v>
      </c>
      <c r="J31" s="201"/>
      <c r="K31" s="207"/>
      <c r="L31" s="229"/>
      <c r="M31" s="230">
        <v>0</v>
      </c>
      <c r="N31" s="230"/>
      <c r="O31" s="207"/>
      <c r="P31" s="199"/>
      <c r="Q31" s="233">
        <v>0.5</v>
      </c>
      <c r="R31" s="233"/>
      <c r="S31" s="233"/>
      <c r="T31" s="233"/>
      <c r="U31" s="206" t="s">
        <v>58</v>
      </c>
      <c r="V31" s="206">
        <v>0</v>
      </c>
      <c r="W31" s="206" t="s">
        <v>58</v>
      </c>
      <c r="X31" s="207"/>
      <c r="Y31" s="208"/>
      <c r="Z31" s="209"/>
      <c r="AA31" s="210">
        <v>2500</v>
      </c>
      <c r="AB31" s="211"/>
      <c r="AC31" s="212"/>
      <c r="AD31" s="212"/>
      <c r="AE31" s="212"/>
      <c r="AF31" s="212" t="s">
        <v>786</v>
      </c>
      <c r="AG31" s="215" t="s">
        <v>770</v>
      </c>
      <c r="AH31" s="215" t="s">
        <v>771</v>
      </c>
      <c r="AI31" s="194"/>
      <c r="AJ31" s="194"/>
      <c r="AK31" s="232" t="s">
        <v>58</v>
      </c>
      <c r="AM31" s="193"/>
      <c r="AN31" s="193"/>
      <c r="AO31" s="193"/>
      <c r="AP31" s="193"/>
      <c r="AQ31" s="193"/>
    </row>
    <row r="32" spans="1:43" ht="90" hidden="1" customHeight="1">
      <c r="A32" s="216">
        <v>30</v>
      </c>
      <c r="B32" s="217">
        <v>1633</v>
      </c>
      <c r="C32" s="218" t="s">
        <v>819</v>
      </c>
      <c r="D32" s="218" t="s">
        <v>819</v>
      </c>
      <c r="E32" s="219" t="s">
        <v>819</v>
      </c>
      <c r="F32" s="228" t="s">
        <v>774</v>
      </c>
      <c r="G32" s="198" t="s">
        <v>793</v>
      </c>
      <c r="H32" s="199">
        <v>0</v>
      </c>
      <c r="I32" s="336" t="str">
        <f t="shared" ref="I32:I35" si="2">G32</f>
        <v>Decline</v>
      </c>
      <c r="J32" s="220"/>
      <c r="K32" s="198"/>
      <c r="L32" s="198"/>
      <c r="M32" s="230">
        <v>0</v>
      </c>
      <c r="N32" s="221"/>
      <c r="O32" s="222"/>
      <c r="P32" s="198"/>
      <c r="Q32" s="223"/>
      <c r="R32" s="223"/>
      <c r="S32" s="223"/>
      <c r="T32" s="223"/>
      <c r="U32" s="198"/>
      <c r="V32" s="224"/>
      <c r="W32" s="198"/>
      <c r="X32" s="224"/>
      <c r="Y32" s="198"/>
      <c r="Z32" s="225"/>
      <c r="AA32" s="210">
        <v>2500</v>
      </c>
      <c r="AB32" s="226"/>
      <c r="AC32" s="214"/>
      <c r="AD32" s="214"/>
      <c r="AE32" s="214"/>
      <c r="AF32" s="214"/>
      <c r="AG32" s="215"/>
      <c r="AH32" s="215" t="s">
        <v>771</v>
      </c>
      <c r="AI32" s="232"/>
      <c r="AJ32" s="232"/>
      <c r="AK32" s="232" t="s">
        <v>58</v>
      </c>
      <c r="AM32" s="193"/>
      <c r="AN32" s="193"/>
      <c r="AO32" s="193"/>
      <c r="AP32" s="193"/>
      <c r="AQ32" s="193"/>
    </row>
    <row r="33" spans="1:43" ht="90" hidden="1" customHeight="1">
      <c r="A33" s="194">
        <v>31</v>
      </c>
      <c r="B33" s="195">
        <v>1634</v>
      </c>
      <c r="C33" s="196" t="s">
        <v>820</v>
      </c>
      <c r="D33" s="196" t="s">
        <v>820</v>
      </c>
      <c r="E33" s="197" t="s">
        <v>821</v>
      </c>
      <c r="F33" s="228" t="s">
        <v>774</v>
      </c>
      <c r="G33" s="198" t="s">
        <v>793</v>
      </c>
      <c r="H33" s="199">
        <v>0</v>
      </c>
      <c r="I33" s="336" t="str">
        <f t="shared" si="2"/>
        <v>Decline</v>
      </c>
      <c r="J33" s="201"/>
      <c r="K33" s="207"/>
      <c r="L33" s="229"/>
      <c r="M33" s="230">
        <v>0</v>
      </c>
      <c r="N33" s="230"/>
      <c r="O33" s="207"/>
      <c r="P33" s="199"/>
      <c r="Q33" s="205"/>
      <c r="R33" s="205"/>
      <c r="S33" s="205"/>
      <c r="T33" s="205"/>
      <c r="U33" s="206"/>
      <c r="V33" s="206"/>
      <c r="W33" s="206"/>
      <c r="X33" s="207"/>
      <c r="Y33" s="208"/>
      <c r="Z33" s="209"/>
      <c r="AA33" s="210">
        <v>2500</v>
      </c>
      <c r="AB33" s="211"/>
      <c r="AC33" s="212"/>
      <c r="AD33" s="212"/>
      <c r="AE33" s="212"/>
      <c r="AF33" s="212"/>
      <c r="AG33" s="215"/>
      <c r="AH33" s="215" t="s">
        <v>771</v>
      </c>
      <c r="AI33" s="194"/>
      <c r="AJ33" s="194"/>
      <c r="AK33" s="232" t="s">
        <v>58</v>
      </c>
      <c r="AM33" s="193"/>
      <c r="AN33" s="193"/>
      <c r="AO33" s="193"/>
      <c r="AP33" s="193"/>
      <c r="AQ33" s="193"/>
    </row>
    <row r="34" spans="1:43" ht="90" hidden="1" customHeight="1">
      <c r="A34" s="216">
        <v>32</v>
      </c>
      <c r="B34" s="217">
        <v>1635</v>
      </c>
      <c r="C34" s="218" t="s">
        <v>822</v>
      </c>
      <c r="D34" s="218" t="s">
        <v>822</v>
      </c>
      <c r="E34" s="219" t="s">
        <v>823</v>
      </c>
      <c r="F34" s="228" t="s">
        <v>774</v>
      </c>
      <c r="G34" s="198" t="s">
        <v>793</v>
      </c>
      <c r="H34" s="199">
        <v>0</v>
      </c>
      <c r="I34" s="336" t="str">
        <f t="shared" si="2"/>
        <v>Decline</v>
      </c>
      <c r="J34" s="220"/>
      <c r="K34" s="198"/>
      <c r="L34" s="198"/>
      <c r="M34" s="230">
        <v>0</v>
      </c>
      <c r="N34" s="221"/>
      <c r="O34" s="222"/>
      <c r="P34" s="198"/>
      <c r="Q34" s="223"/>
      <c r="R34" s="223"/>
      <c r="S34" s="223"/>
      <c r="T34" s="223"/>
      <c r="U34" s="198"/>
      <c r="V34" s="224"/>
      <c r="W34" s="198"/>
      <c r="X34" s="224"/>
      <c r="Y34" s="198"/>
      <c r="Z34" s="225"/>
      <c r="AA34" s="210">
        <v>2500</v>
      </c>
      <c r="AB34" s="226"/>
      <c r="AC34" s="214"/>
      <c r="AD34" s="214"/>
      <c r="AE34" s="214"/>
      <c r="AF34" s="214" t="s">
        <v>786</v>
      </c>
      <c r="AG34" s="215"/>
      <c r="AH34" s="215" t="s">
        <v>771</v>
      </c>
      <c r="AI34" s="232"/>
      <c r="AJ34" s="232"/>
      <c r="AK34" s="232" t="s">
        <v>58</v>
      </c>
      <c r="AM34" s="193"/>
      <c r="AN34" s="193"/>
      <c r="AO34" s="193"/>
      <c r="AP34" s="193"/>
      <c r="AQ34" s="193"/>
    </row>
    <row r="35" spans="1:43" ht="90" hidden="1" customHeight="1">
      <c r="A35" s="194">
        <v>33</v>
      </c>
      <c r="B35" s="195">
        <v>1636</v>
      </c>
      <c r="C35" s="196" t="s">
        <v>824</v>
      </c>
      <c r="D35" s="196" t="s">
        <v>824</v>
      </c>
      <c r="E35" s="197" t="s">
        <v>825</v>
      </c>
      <c r="F35" s="228" t="s">
        <v>774</v>
      </c>
      <c r="G35" s="198" t="s">
        <v>793</v>
      </c>
      <c r="H35" s="199">
        <v>0</v>
      </c>
      <c r="I35" s="336" t="str">
        <f t="shared" si="2"/>
        <v>Decline</v>
      </c>
      <c r="J35" s="201"/>
      <c r="K35" s="207"/>
      <c r="L35" s="229"/>
      <c r="M35" s="230">
        <v>0</v>
      </c>
      <c r="N35" s="230"/>
      <c r="O35" s="207"/>
      <c r="P35" s="199"/>
      <c r="Q35" s="205"/>
      <c r="R35" s="205"/>
      <c r="S35" s="205"/>
      <c r="T35" s="205"/>
      <c r="U35" s="206"/>
      <c r="V35" s="206"/>
      <c r="W35" s="206"/>
      <c r="X35" s="207"/>
      <c r="Y35" s="208"/>
      <c r="Z35" s="209"/>
      <c r="AA35" s="210">
        <v>2500</v>
      </c>
      <c r="AB35" s="211"/>
      <c r="AC35" s="212"/>
      <c r="AD35" s="212"/>
      <c r="AE35" s="212"/>
      <c r="AF35" s="212"/>
      <c r="AG35" s="215"/>
      <c r="AH35" s="215" t="s">
        <v>771</v>
      </c>
      <c r="AI35" s="194"/>
      <c r="AJ35" s="194"/>
      <c r="AK35" s="232" t="s">
        <v>58</v>
      </c>
      <c r="AM35" s="193"/>
      <c r="AN35" s="193"/>
      <c r="AO35" s="193"/>
      <c r="AP35" s="193"/>
      <c r="AQ35" s="193"/>
    </row>
    <row r="36" spans="1:43" ht="90" hidden="1" customHeight="1">
      <c r="A36" s="216">
        <v>34</v>
      </c>
      <c r="B36" s="217">
        <v>1637</v>
      </c>
      <c r="C36" s="218" t="s">
        <v>826</v>
      </c>
      <c r="D36" s="218" t="s">
        <v>826</v>
      </c>
      <c r="E36" s="219" t="s">
        <v>827</v>
      </c>
      <c r="F36" s="216" t="s">
        <v>774</v>
      </c>
      <c r="G36" s="198" t="s">
        <v>793</v>
      </c>
      <c r="H36" s="199">
        <v>0</v>
      </c>
      <c r="I36" s="220" t="s">
        <v>919</v>
      </c>
      <c r="J36" s="220"/>
      <c r="K36" s="198"/>
      <c r="L36" s="198"/>
      <c r="M36" s="230">
        <v>0</v>
      </c>
      <c r="N36" s="221"/>
      <c r="O36" s="222"/>
      <c r="P36" s="198"/>
      <c r="Q36" s="233">
        <v>0.5</v>
      </c>
      <c r="R36" s="233"/>
      <c r="S36" s="233"/>
      <c r="T36" s="233"/>
      <c r="U36" s="198" t="s">
        <v>58</v>
      </c>
      <c r="V36" s="224">
        <v>0</v>
      </c>
      <c r="W36" s="198" t="s">
        <v>58</v>
      </c>
      <c r="X36" s="224"/>
      <c r="Y36" s="198"/>
      <c r="Z36" s="225"/>
      <c r="AA36" s="210">
        <v>2500</v>
      </c>
      <c r="AB36" s="226"/>
      <c r="AC36" s="214"/>
      <c r="AD36" s="214"/>
      <c r="AE36" s="214"/>
      <c r="AF36" s="214"/>
      <c r="AG36" s="215" t="s">
        <v>770</v>
      </c>
      <c r="AH36" s="215" t="s">
        <v>771</v>
      </c>
      <c r="AI36" s="232"/>
      <c r="AJ36" s="232"/>
      <c r="AK36" s="232" t="s">
        <v>58</v>
      </c>
      <c r="AM36" s="193"/>
      <c r="AN36" s="193"/>
      <c r="AO36" s="193"/>
      <c r="AP36" s="193"/>
      <c r="AQ36" s="193"/>
    </row>
    <row r="37" spans="1:43" ht="90" hidden="1" customHeight="1">
      <c r="A37" s="194">
        <v>35</v>
      </c>
      <c r="B37" s="195">
        <v>1638</v>
      </c>
      <c r="C37" s="196" t="s">
        <v>312</v>
      </c>
      <c r="D37" s="196" t="s">
        <v>312</v>
      </c>
      <c r="E37" s="197" t="s">
        <v>828</v>
      </c>
      <c r="F37" s="195" t="s">
        <v>765</v>
      </c>
      <c r="G37" s="295" t="s">
        <v>793</v>
      </c>
      <c r="H37" s="199">
        <v>0.35</v>
      </c>
      <c r="I37" s="295" t="s">
        <v>793</v>
      </c>
      <c r="J37" s="201"/>
      <c r="K37" s="207"/>
      <c r="L37" s="229"/>
      <c r="M37" s="230">
        <v>0.3</v>
      </c>
      <c r="N37" s="230">
        <v>0.3</v>
      </c>
      <c r="O37" s="207">
        <v>0</v>
      </c>
      <c r="P37" s="199"/>
      <c r="Q37" s="233">
        <v>0.5</v>
      </c>
      <c r="R37" s="233"/>
      <c r="S37" s="233"/>
      <c r="T37" s="233"/>
      <c r="U37" s="206" t="s">
        <v>58</v>
      </c>
      <c r="V37" s="206">
        <v>0</v>
      </c>
      <c r="W37" s="206" t="s">
        <v>58</v>
      </c>
      <c r="X37" s="207"/>
      <c r="Y37" s="208" t="s">
        <v>765</v>
      </c>
      <c r="Z37" s="209" t="s">
        <v>583</v>
      </c>
      <c r="AA37" s="210">
        <v>2500</v>
      </c>
      <c r="AB37" s="211">
        <v>2000000</v>
      </c>
      <c r="AC37" s="212" t="s">
        <v>829</v>
      </c>
      <c r="AD37" s="212" t="s">
        <v>769</v>
      </c>
      <c r="AE37" s="212"/>
      <c r="AF37" s="212"/>
      <c r="AG37" s="215" t="s">
        <v>770</v>
      </c>
      <c r="AH37" s="215" t="s">
        <v>771</v>
      </c>
      <c r="AI37" s="194" t="s">
        <v>90</v>
      </c>
      <c r="AJ37" s="194" t="s">
        <v>90</v>
      </c>
      <c r="AK37" s="194" t="s">
        <v>90</v>
      </c>
      <c r="AM37" s="193"/>
      <c r="AN37" s="193"/>
      <c r="AO37" s="193"/>
      <c r="AP37" s="193"/>
      <c r="AQ37" s="193"/>
    </row>
    <row r="38" spans="1:43" ht="90" hidden="1" customHeight="1">
      <c r="A38" s="216">
        <v>36</v>
      </c>
      <c r="B38" s="217">
        <v>1711</v>
      </c>
      <c r="C38" s="218" t="s">
        <v>830</v>
      </c>
      <c r="D38" s="218" t="s">
        <v>830</v>
      </c>
      <c r="E38" s="219" t="s">
        <v>831</v>
      </c>
      <c r="F38" s="216" t="s">
        <v>774</v>
      </c>
      <c r="G38" s="198" t="s">
        <v>793</v>
      </c>
      <c r="H38" s="199">
        <v>0</v>
      </c>
      <c r="I38" s="220" t="s">
        <v>919</v>
      </c>
      <c r="J38" s="220"/>
      <c r="K38" s="198"/>
      <c r="L38" s="198"/>
      <c r="M38" s="230">
        <v>0</v>
      </c>
      <c r="N38" s="221"/>
      <c r="O38" s="222"/>
      <c r="P38" s="198"/>
      <c r="Q38" s="223"/>
      <c r="R38" s="223"/>
      <c r="S38" s="223"/>
      <c r="T38" s="223"/>
      <c r="U38" s="198"/>
      <c r="V38" s="224"/>
      <c r="W38" s="198" t="s">
        <v>90</v>
      </c>
      <c r="X38" s="224"/>
      <c r="Y38" s="198"/>
      <c r="Z38" s="225"/>
      <c r="AA38" s="238">
        <v>10000</v>
      </c>
      <c r="AB38" s="226"/>
      <c r="AC38" s="214"/>
      <c r="AD38" s="214"/>
      <c r="AE38" s="214"/>
      <c r="AF38" s="214"/>
      <c r="AG38" s="215" t="s">
        <v>770</v>
      </c>
      <c r="AH38" s="215" t="s">
        <v>771</v>
      </c>
      <c r="AI38" s="232"/>
      <c r="AJ38" s="232"/>
      <c r="AK38" s="232" t="s">
        <v>58</v>
      </c>
      <c r="AM38" s="193"/>
      <c r="AN38" s="193"/>
      <c r="AO38" s="193"/>
      <c r="AP38" s="193"/>
      <c r="AQ38" s="193"/>
    </row>
    <row r="39" spans="1:43" ht="90" hidden="1" customHeight="1">
      <c r="A39" s="194">
        <v>37</v>
      </c>
      <c r="B39" s="195">
        <v>1712</v>
      </c>
      <c r="C39" s="196" t="s">
        <v>832</v>
      </c>
      <c r="D39" s="196" t="s">
        <v>832</v>
      </c>
      <c r="E39" s="197" t="s">
        <v>833</v>
      </c>
      <c r="F39" s="228" t="s">
        <v>774</v>
      </c>
      <c r="G39" s="198" t="s">
        <v>793</v>
      </c>
      <c r="H39" s="199">
        <v>0</v>
      </c>
      <c r="I39" s="336" t="str">
        <f>G39</f>
        <v>Decline</v>
      </c>
      <c r="J39" s="201"/>
      <c r="K39" s="207"/>
      <c r="L39" s="229"/>
      <c r="M39" s="230">
        <v>0</v>
      </c>
      <c r="N39" s="230"/>
      <c r="O39" s="207"/>
      <c r="P39" s="199"/>
      <c r="Q39" s="205"/>
      <c r="R39" s="205"/>
      <c r="S39" s="205"/>
      <c r="T39" s="205"/>
      <c r="U39" s="206"/>
      <c r="V39" s="206"/>
      <c r="W39" s="198" t="s">
        <v>90</v>
      </c>
      <c r="X39" s="207"/>
      <c r="Y39" s="208"/>
      <c r="Z39" s="209"/>
      <c r="AA39" s="238">
        <v>10000</v>
      </c>
      <c r="AB39" s="211"/>
      <c r="AC39" s="212"/>
      <c r="AD39" s="212"/>
      <c r="AE39" s="212"/>
      <c r="AF39" s="212"/>
      <c r="AG39" s="215"/>
      <c r="AH39" s="215" t="s">
        <v>771</v>
      </c>
      <c r="AI39" s="194"/>
      <c r="AJ39" s="194"/>
      <c r="AK39" s="232" t="s">
        <v>58</v>
      </c>
      <c r="AM39" s="193"/>
      <c r="AN39" s="193"/>
      <c r="AO39" s="193"/>
      <c r="AP39" s="193"/>
      <c r="AQ39" s="193"/>
    </row>
    <row r="40" spans="1:43" ht="90" hidden="1" customHeight="1">
      <c r="A40" s="216">
        <v>38</v>
      </c>
      <c r="B40" s="217">
        <v>1713</v>
      </c>
      <c r="C40" s="218" t="s">
        <v>834</v>
      </c>
      <c r="D40" s="218" t="s">
        <v>834</v>
      </c>
      <c r="E40" s="219" t="s">
        <v>835</v>
      </c>
      <c r="F40" s="216" t="s">
        <v>774</v>
      </c>
      <c r="G40" s="198" t="s">
        <v>793</v>
      </c>
      <c r="H40" s="199">
        <v>0</v>
      </c>
      <c r="I40" s="220" t="s">
        <v>919</v>
      </c>
      <c r="J40" s="220"/>
      <c r="K40" s="198"/>
      <c r="L40" s="198"/>
      <c r="M40" s="230">
        <v>0</v>
      </c>
      <c r="N40" s="221"/>
      <c r="O40" s="222"/>
      <c r="P40" s="198"/>
      <c r="Q40" s="233">
        <v>0.5</v>
      </c>
      <c r="R40" s="233"/>
      <c r="S40" s="233"/>
      <c r="T40" s="233"/>
      <c r="U40" s="198" t="s">
        <v>58</v>
      </c>
      <c r="V40" s="224">
        <v>0</v>
      </c>
      <c r="W40" s="198" t="s">
        <v>90</v>
      </c>
      <c r="X40" s="224"/>
      <c r="Y40" s="198"/>
      <c r="Z40" s="225"/>
      <c r="AA40" s="238">
        <v>10000</v>
      </c>
      <c r="AB40" s="226"/>
      <c r="AC40" s="214"/>
      <c r="AD40" s="214"/>
      <c r="AE40" s="214"/>
      <c r="AF40" s="214"/>
      <c r="AG40" s="215" t="s">
        <v>770</v>
      </c>
      <c r="AH40" s="215" t="s">
        <v>771</v>
      </c>
      <c r="AI40" s="232"/>
      <c r="AJ40" s="232"/>
      <c r="AK40" s="232" t="s">
        <v>58</v>
      </c>
      <c r="AM40" s="193"/>
      <c r="AN40" s="193"/>
      <c r="AO40" s="193"/>
      <c r="AP40" s="193"/>
      <c r="AQ40" s="193"/>
    </row>
    <row r="41" spans="1:43" ht="90" hidden="1" customHeight="1">
      <c r="A41" s="194">
        <v>39</v>
      </c>
      <c r="B41" s="195">
        <v>1714</v>
      </c>
      <c r="C41" s="196" t="s">
        <v>836</v>
      </c>
      <c r="D41" s="196" t="s">
        <v>836</v>
      </c>
      <c r="E41" s="197" t="s">
        <v>837</v>
      </c>
      <c r="F41" s="195" t="s">
        <v>774</v>
      </c>
      <c r="G41" s="198" t="s">
        <v>793</v>
      </c>
      <c r="H41" s="199">
        <v>0</v>
      </c>
      <c r="I41" s="220" t="s">
        <v>919</v>
      </c>
      <c r="J41" s="201"/>
      <c r="K41" s="207"/>
      <c r="L41" s="229"/>
      <c r="M41" s="230">
        <v>0</v>
      </c>
      <c r="N41" s="230"/>
      <c r="O41" s="207"/>
      <c r="P41" s="199"/>
      <c r="Q41" s="205"/>
      <c r="R41" s="205"/>
      <c r="S41" s="205"/>
      <c r="T41" s="205"/>
      <c r="U41" s="206"/>
      <c r="V41" s="206"/>
      <c r="W41" s="198" t="s">
        <v>90</v>
      </c>
      <c r="X41" s="207"/>
      <c r="Y41" s="208"/>
      <c r="Z41" s="209"/>
      <c r="AA41" s="238">
        <v>10000</v>
      </c>
      <c r="AB41" s="211"/>
      <c r="AC41" s="212"/>
      <c r="AD41" s="212"/>
      <c r="AE41" s="212"/>
      <c r="AF41" s="212"/>
      <c r="AG41" s="215" t="s">
        <v>770</v>
      </c>
      <c r="AH41" s="215" t="s">
        <v>771</v>
      </c>
      <c r="AI41" s="194"/>
      <c r="AJ41" s="194"/>
      <c r="AK41" s="232" t="s">
        <v>58</v>
      </c>
      <c r="AM41" s="193"/>
      <c r="AN41" s="193"/>
      <c r="AO41" s="193"/>
      <c r="AP41" s="193"/>
      <c r="AQ41" s="193"/>
    </row>
    <row r="42" spans="1:43" ht="90" hidden="1" customHeight="1">
      <c r="A42" s="216">
        <v>40</v>
      </c>
      <c r="B42" s="217">
        <v>1715</v>
      </c>
      <c r="C42" s="218" t="s">
        <v>838</v>
      </c>
      <c r="D42" s="218" t="s">
        <v>838</v>
      </c>
      <c r="E42" s="219" t="s">
        <v>839</v>
      </c>
      <c r="F42" s="216" t="s">
        <v>774</v>
      </c>
      <c r="G42" s="198" t="s">
        <v>793</v>
      </c>
      <c r="H42" s="199">
        <v>0</v>
      </c>
      <c r="I42" s="220" t="s">
        <v>919</v>
      </c>
      <c r="J42" s="220"/>
      <c r="K42" s="198"/>
      <c r="L42" s="198"/>
      <c r="M42" s="230">
        <v>0</v>
      </c>
      <c r="N42" s="221"/>
      <c r="O42" s="222"/>
      <c r="P42" s="198"/>
      <c r="Q42" s="223"/>
      <c r="R42" s="223"/>
      <c r="S42" s="223"/>
      <c r="T42" s="223"/>
      <c r="U42" s="198"/>
      <c r="V42" s="224"/>
      <c r="W42" s="198" t="s">
        <v>90</v>
      </c>
      <c r="X42" s="224"/>
      <c r="Y42" s="198"/>
      <c r="Z42" s="225"/>
      <c r="AA42" s="238">
        <v>10000</v>
      </c>
      <c r="AB42" s="226"/>
      <c r="AC42" s="214"/>
      <c r="AD42" s="214"/>
      <c r="AE42" s="214"/>
      <c r="AF42" s="214"/>
      <c r="AG42" s="215" t="s">
        <v>770</v>
      </c>
      <c r="AH42" s="215" t="s">
        <v>771</v>
      </c>
      <c r="AI42" s="232"/>
      <c r="AJ42" s="232"/>
      <c r="AK42" s="232" t="s">
        <v>58</v>
      </c>
      <c r="AM42" s="193"/>
      <c r="AN42" s="193"/>
      <c r="AO42" s="193"/>
      <c r="AP42" s="193"/>
      <c r="AQ42" s="193"/>
    </row>
    <row r="43" spans="1:43" ht="90" hidden="1" customHeight="1">
      <c r="A43" s="194">
        <v>41</v>
      </c>
      <c r="B43" s="195">
        <v>1716</v>
      </c>
      <c r="C43" s="196" t="s">
        <v>840</v>
      </c>
      <c r="D43" s="196" t="s">
        <v>840</v>
      </c>
      <c r="E43" s="197" t="s">
        <v>841</v>
      </c>
      <c r="F43" s="195" t="s">
        <v>774</v>
      </c>
      <c r="G43" s="198" t="s">
        <v>793</v>
      </c>
      <c r="H43" s="199">
        <v>0</v>
      </c>
      <c r="I43" s="220" t="s">
        <v>919</v>
      </c>
      <c r="J43" s="201"/>
      <c r="K43" s="207"/>
      <c r="L43" s="229"/>
      <c r="M43" s="230">
        <v>0</v>
      </c>
      <c r="N43" s="230"/>
      <c r="O43" s="207"/>
      <c r="P43" s="199"/>
      <c r="Q43" s="205"/>
      <c r="R43" s="205"/>
      <c r="S43" s="205"/>
      <c r="T43" s="205"/>
      <c r="U43" s="206"/>
      <c r="V43" s="206"/>
      <c r="W43" s="198" t="s">
        <v>90</v>
      </c>
      <c r="X43" s="207"/>
      <c r="Y43" s="208"/>
      <c r="Z43" s="209"/>
      <c r="AA43" s="238">
        <v>10000</v>
      </c>
      <c r="AB43" s="211"/>
      <c r="AC43" s="212"/>
      <c r="AD43" s="212"/>
      <c r="AE43" s="212"/>
      <c r="AF43" s="212"/>
      <c r="AG43" s="215" t="s">
        <v>770</v>
      </c>
      <c r="AH43" s="215" t="s">
        <v>771</v>
      </c>
      <c r="AI43" s="194"/>
      <c r="AJ43" s="194"/>
      <c r="AK43" s="232" t="s">
        <v>58</v>
      </c>
      <c r="AM43" s="193"/>
      <c r="AN43" s="193"/>
      <c r="AO43" s="193"/>
      <c r="AP43" s="193"/>
      <c r="AQ43" s="193"/>
    </row>
    <row r="44" spans="1:43" ht="90" hidden="1" customHeight="1">
      <c r="A44" s="216">
        <v>42</v>
      </c>
      <c r="B44" s="217">
        <v>1717</v>
      </c>
      <c r="C44" s="218" t="s">
        <v>842</v>
      </c>
      <c r="D44" s="218" t="s">
        <v>842</v>
      </c>
      <c r="E44" s="219" t="s">
        <v>843</v>
      </c>
      <c r="F44" s="216" t="s">
        <v>774</v>
      </c>
      <c r="G44" s="198" t="s">
        <v>793</v>
      </c>
      <c r="H44" s="199">
        <v>0</v>
      </c>
      <c r="I44" s="220" t="s">
        <v>919</v>
      </c>
      <c r="J44" s="220"/>
      <c r="K44" s="198"/>
      <c r="L44" s="198"/>
      <c r="M44" s="230">
        <v>0</v>
      </c>
      <c r="N44" s="221"/>
      <c r="O44" s="222"/>
      <c r="P44" s="198"/>
      <c r="Q44" s="223"/>
      <c r="R44" s="223"/>
      <c r="S44" s="223"/>
      <c r="T44" s="223"/>
      <c r="U44" s="198"/>
      <c r="V44" s="224"/>
      <c r="W44" s="198"/>
      <c r="X44" s="224"/>
      <c r="Y44" s="198"/>
      <c r="Z44" s="225"/>
      <c r="AA44" s="210">
        <v>2500</v>
      </c>
      <c r="AB44" s="226"/>
      <c r="AC44" s="214"/>
      <c r="AD44" s="214"/>
      <c r="AE44" s="214"/>
      <c r="AF44" s="214"/>
      <c r="AG44" s="215" t="s">
        <v>770</v>
      </c>
      <c r="AH44" s="215" t="s">
        <v>771</v>
      </c>
      <c r="AI44" s="232"/>
      <c r="AJ44" s="232"/>
      <c r="AK44" s="232" t="s">
        <v>58</v>
      </c>
      <c r="AM44" s="193"/>
      <c r="AN44" s="193"/>
      <c r="AO44" s="193"/>
      <c r="AP44" s="193"/>
      <c r="AQ44" s="193"/>
    </row>
    <row r="45" spans="1:43" ht="90" hidden="1" customHeight="1">
      <c r="A45" s="194">
        <v>43</v>
      </c>
      <c r="B45" s="195">
        <v>1718</v>
      </c>
      <c r="C45" s="196" t="s">
        <v>844</v>
      </c>
      <c r="D45" s="196" t="s">
        <v>844</v>
      </c>
      <c r="E45" s="197" t="s">
        <v>845</v>
      </c>
      <c r="F45" s="195" t="s">
        <v>774</v>
      </c>
      <c r="G45" s="198" t="s">
        <v>793</v>
      </c>
      <c r="H45" s="199">
        <v>0</v>
      </c>
      <c r="I45" s="220" t="s">
        <v>919</v>
      </c>
      <c r="J45" s="201"/>
      <c r="K45" s="207"/>
      <c r="L45" s="229"/>
      <c r="M45" s="230">
        <v>0</v>
      </c>
      <c r="N45" s="230"/>
      <c r="O45" s="207"/>
      <c r="P45" s="199"/>
      <c r="Q45" s="233">
        <v>2.5</v>
      </c>
      <c r="R45" s="233"/>
      <c r="S45" s="233"/>
      <c r="T45" s="233"/>
      <c r="U45" s="206" t="s">
        <v>58</v>
      </c>
      <c r="V45" s="206">
        <v>0</v>
      </c>
      <c r="W45" s="231" t="s">
        <v>90</v>
      </c>
      <c r="X45" s="207"/>
      <c r="Y45" s="208"/>
      <c r="Z45" s="236" t="s">
        <v>796</v>
      </c>
      <c r="AA45" s="239">
        <v>5000</v>
      </c>
      <c r="AB45" s="211"/>
      <c r="AC45" s="212"/>
      <c r="AD45" s="212"/>
      <c r="AE45" s="212"/>
      <c r="AF45" s="212"/>
      <c r="AG45" s="215" t="s">
        <v>770</v>
      </c>
      <c r="AH45" s="215" t="s">
        <v>771</v>
      </c>
      <c r="AI45" s="194"/>
      <c r="AJ45" s="194"/>
      <c r="AK45" s="232" t="s">
        <v>58</v>
      </c>
      <c r="AM45" s="193"/>
      <c r="AN45" s="193"/>
      <c r="AO45" s="193"/>
      <c r="AP45" s="193"/>
      <c r="AQ45" s="193"/>
    </row>
    <row r="46" spans="1:43" ht="90" hidden="1" customHeight="1">
      <c r="A46" s="216">
        <v>44</v>
      </c>
      <c r="B46" s="217">
        <v>1719</v>
      </c>
      <c r="C46" s="218" t="s">
        <v>846</v>
      </c>
      <c r="D46" s="218" t="s">
        <v>846</v>
      </c>
      <c r="E46" s="219" t="s">
        <v>847</v>
      </c>
      <c r="F46" s="216" t="s">
        <v>774</v>
      </c>
      <c r="G46" s="198" t="s">
        <v>793</v>
      </c>
      <c r="H46" s="199">
        <v>0</v>
      </c>
      <c r="I46" s="220" t="s">
        <v>919</v>
      </c>
      <c r="J46" s="220"/>
      <c r="K46" s="198"/>
      <c r="L46" s="198"/>
      <c r="M46" s="230">
        <v>0</v>
      </c>
      <c r="N46" s="221"/>
      <c r="O46" s="222"/>
      <c r="P46" s="198"/>
      <c r="Q46" s="233">
        <v>2.5</v>
      </c>
      <c r="R46" s="233"/>
      <c r="S46" s="233"/>
      <c r="T46" s="233"/>
      <c r="U46" s="198" t="s">
        <v>58</v>
      </c>
      <c r="V46" s="224">
        <v>0</v>
      </c>
      <c r="W46" s="235" t="s">
        <v>90</v>
      </c>
      <c r="X46" s="224"/>
      <c r="Y46" s="198"/>
      <c r="Z46" s="236" t="s">
        <v>796</v>
      </c>
      <c r="AA46" s="237">
        <v>5000</v>
      </c>
      <c r="AB46" s="226"/>
      <c r="AC46" s="214"/>
      <c r="AD46" s="214"/>
      <c r="AE46" s="214"/>
      <c r="AF46" s="214"/>
      <c r="AG46" s="215" t="s">
        <v>770</v>
      </c>
      <c r="AH46" s="215" t="s">
        <v>771</v>
      </c>
      <c r="AI46" s="232"/>
      <c r="AJ46" s="232"/>
      <c r="AK46" s="232" t="s">
        <v>58</v>
      </c>
      <c r="AM46" s="193"/>
      <c r="AN46" s="193"/>
      <c r="AO46" s="193"/>
      <c r="AP46" s="193"/>
      <c r="AQ46" s="193"/>
    </row>
    <row r="47" spans="1:43" ht="90" hidden="1" customHeight="1">
      <c r="A47" s="194">
        <v>45</v>
      </c>
      <c r="B47" s="195">
        <v>1720</v>
      </c>
      <c r="C47" s="196" t="s">
        <v>363</v>
      </c>
      <c r="D47" s="196" t="s">
        <v>363</v>
      </c>
      <c r="E47" s="197" t="s">
        <v>848</v>
      </c>
      <c r="F47" s="195" t="s">
        <v>774</v>
      </c>
      <c r="G47" s="295" t="s">
        <v>793</v>
      </c>
      <c r="H47" s="199">
        <v>0.7</v>
      </c>
      <c r="I47" s="295" t="s">
        <v>793</v>
      </c>
      <c r="J47" s="201"/>
      <c r="K47" s="207"/>
      <c r="L47" s="229"/>
      <c r="M47" s="230">
        <v>0.3</v>
      </c>
      <c r="N47" s="230">
        <v>0.3</v>
      </c>
      <c r="O47" s="207">
        <v>0</v>
      </c>
      <c r="P47" s="199"/>
      <c r="Q47" s="233">
        <v>2.5</v>
      </c>
      <c r="R47" s="233"/>
      <c r="S47" s="233"/>
      <c r="T47" s="233"/>
      <c r="U47" s="206" t="s">
        <v>58</v>
      </c>
      <c r="V47" s="206">
        <v>0</v>
      </c>
      <c r="W47" s="231" t="s">
        <v>90</v>
      </c>
      <c r="X47" s="207"/>
      <c r="Y47" s="208" t="s">
        <v>765</v>
      </c>
      <c r="Z47" s="236" t="s">
        <v>796</v>
      </c>
      <c r="AA47" s="239">
        <v>5000</v>
      </c>
      <c r="AB47" s="211">
        <v>2000000</v>
      </c>
      <c r="AC47" s="212"/>
      <c r="AD47" s="212"/>
      <c r="AE47" s="212"/>
      <c r="AF47" s="212"/>
      <c r="AG47" s="215" t="s">
        <v>770</v>
      </c>
      <c r="AH47" s="215" t="s">
        <v>771</v>
      </c>
      <c r="AI47" s="194"/>
      <c r="AJ47" s="194"/>
      <c r="AK47" s="232" t="s">
        <v>58</v>
      </c>
      <c r="AM47" s="193"/>
      <c r="AN47" s="193"/>
      <c r="AO47" s="193"/>
      <c r="AP47" s="193"/>
      <c r="AQ47" s="193"/>
    </row>
    <row r="48" spans="1:43" ht="90" customHeight="1">
      <c r="A48" s="216">
        <v>46</v>
      </c>
      <c r="B48" s="217">
        <v>1731</v>
      </c>
      <c r="C48" s="218" t="s">
        <v>379</v>
      </c>
      <c r="D48" s="218" t="s">
        <v>379</v>
      </c>
      <c r="E48" s="219" t="s">
        <v>666</v>
      </c>
      <c r="F48" s="216" t="s">
        <v>765</v>
      </c>
      <c r="G48" s="198" t="s">
        <v>765</v>
      </c>
      <c r="H48" s="199">
        <v>0.35</v>
      </c>
      <c r="I48" s="171" t="s">
        <v>718</v>
      </c>
      <c r="J48" s="220" t="s">
        <v>849</v>
      </c>
      <c r="K48" s="198"/>
      <c r="L48" s="198"/>
      <c r="M48" s="240">
        <v>0.3</v>
      </c>
      <c r="N48" s="240">
        <v>0.3</v>
      </c>
      <c r="O48" s="222">
        <v>0</v>
      </c>
      <c r="P48" s="198">
        <v>0.1</v>
      </c>
      <c r="Q48" s="223">
        <v>0</v>
      </c>
      <c r="R48" s="223"/>
      <c r="S48" s="223"/>
      <c r="T48" s="223"/>
      <c r="U48" s="198" t="s">
        <v>58</v>
      </c>
      <c r="V48" s="224">
        <v>0</v>
      </c>
      <c r="W48" s="198" t="s">
        <v>58</v>
      </c>
      <c r="X48" s="224"/>
      <c r="Y48" s="198" t="s">
        <v>765</v>
      </c>
      <c r="Z48" s="225" t="s">
        <v>583</v>
      </c>
      <c r="AA48" s="210">
        <v>2500</v>
      </c>
      <c r="AB48" s="226">
        <v>2000000</v>
      </c>
      <c r="AC48" s="214" t="s">
        <v>850</v>
      </c>
      <c r="AD48" s="214"/>
      <c r="AE48" s="214"/>
      <c r="AF48" s="214"/>
      <c r="AG48" s="215"/>
      <c r="AH48" s="215" t="s">
        <v>771</v>
      </c>
      <c r="AI48" s="232" t="s">
        <v>58</v>
      </c>
      <c r="AJ48" s="232" t="s">
        <v>58</v>
      </c>
      <c r="AK48" s="232" t="s">
        <v>90</v>
      </c>
      <c r="AL48" s="192" t="s">
        <v>90</v>
      </c>
      <c r="AM48" s="193"/>
      <c r="AN48" s="193"/>
      <c r="AO48" s="193"/>
      <c r="AP48" s="193"/>
      <c r="AQ48" s="193"/>
    </row>
    <row r="49" spans="1:43" ht="90" customHeight="1">
      <c r="A49" s="194">
        <v>47</v>
      </c>
      <c r="B49" s="195">
        <v>1732</v>
      </c>
      <c r="C49" s="196" t="s">
        <v>668</v>
      </c>
      <c r="D49" s="196" t="s">
        <v>668</v>
      </c>
      <c r="E49" s="197" t="s">
        <v>667</v>
      </c>
      <c r="F49" s="195" t="s">
        <v>765</v>
      </c>
      <c r="G49" s="198" t="s">
        <v>765</v>
      </c>
      <c r="H49" s="199">
        <v>0.35</v>
      </c>
      <c r="I49" s="200" t="s">
        <v>766</v>
      </c>
      <c r="J49" s="201" t="s">
        <v>851</v>
      </c>
      <c r="K49" s="207"/>
      <c r="L49" s="229"/>
      <c r="M49" s="230">
        <v>0.3</v>
      </c>
      <c r="N49" s="230">
        <v>0.3</v>
      </c>
      <c r="O49" s="207">
        <v>0</v>
      </c>
      <c r="P49" s="199"/>
      <c r="Q49" s="205">
        <v>0</v>
      </c>
      <c r="R49" s="205"/>
      <c r="S49" s="205"/>
      <c r="T49" s="205"/>
      <c r="U49" s="206" t="s">
        <v>58</v>
      </c>
      <c r="V49" s="206">
        <v>0</v>
      </c>
      <c r="W49" s="206" t="s">
        <v>58</v>
      </c>
      <c r="X49" s="207"/>
      <c r="Y49" s="208" t="s">
        <v>765</v>
      </c>
      <c r="Z49" s="209" t="s">
        <v>583</v>
      </c>
      <c r="AA49" s="210">
        <v>2500</v>
      </c>
      <c r="AB49" s="211">
        <v>2000000</v>
      </c>
      <c r="AC49" s="212" t="s">
        <v>850</v>
      </c>
      <c r="AD49" s="212"/>
      <c r="AE49" s="212"/>
      <c r="AF49" s="212"/>
      <c r="AG49" s="215" t="s">
        <v>770</v>
      </c>
      <c r="AH49" s="215" t="s">
        <v>771</v>
      </c>
      <c r="AI49" s="232" t="s">
        <v>58</v>
      </c>
      <c r="AJ49" s="232" t="s">
        <v>58</v>
      </c>
      <c r="AK49" s="232" t="s">
        <v>90</v>
      </c>
      <c r="AL49" s="192" t="s">
        <v>90</v>
      </c>
      <c r="AM49" s="193"/>
      <c r="AN49" s="193"/>
      <c r="AO49" s="193"/>
      <c r="AP49" s="193"/>
      <c r="AQ49" s="193"/>
    </row>
    <row r="50" spans="1:43" ht="90" hidden="1" customHeight="1">
      <c r="A50" s="216">
        <v>48</v>
      </c>
      <c r="B50" s="217">
        <v>1733</v>
      </c>
      <c r="C50" s="218" t="s">
        <v>360</v>
      </c>
      <c r="D50" s="218" t="s">
        <v>360</v>
      </c>
      <c r="E50" s="219" t="s">
        <v>852</v>
      </c>
      <c r="F50" s="216" t="s">
        <v>765</v>
      </c>
      <c r="G50" s="295" t="s">
        <v>793</v>
      </c>
      <c r="H50" s="199">
        <v>0.35</v>
      </c>
      <c r="I50" s="295" t="s">
        <v>793</v>
      </c>
      <c r="J50" s="220"/>
      <c r="K50" s="198"/>
      <c r="L50" s="198"/>
      <c r="M50" s="221">
        <v>0.3</v>
      </c>
      <c r="N50" s="221">
        <v>0.3</v>
      </c>
      <c r="O50" s="222">
        <v>0</v>
      </c>
      <c r="P50" s="198"/>
      <c r="Q50" s="233">
        <v>2</v>
      </c>
      <c r="R50" s="233"/>
      <c r="S50" s="233"/>
      <c r="T50" s="233"/>
      <c r="U50" s="198" t="s">
        <v>90</v>
      </c>
      <c r="V50" s="231">
        <v>2500</v>
      </c>
      <c r="W50" s="198" t="s">
        <v>58</v>
      </c>
      <c r="X50" s="224"/>
      <c r="Y50" s="198" t="s">
        <v>765</v>
      </c>
      <c r="Z50" s="225" t="s">
        <v>583</v>
      </c>
      <c r="AA50" s="210">
        <v>2500</v>
      </c>
      <c r="AB50" s="226">
        <v>2000000</v>
      </c>
      <c r="AC50" s="212" t="s">
        <v>769</v>
      </c>
      <c r="AD50" s="214"/>
      <c r="AE50" s="214"/>
      <c r="AF50" s="214"/>
      <c r="AG50" s="215" t="s">
        <v>770</v>
      </c>
      <c r="AH50" s="215" t="s">
        <v>771</v>
      </c>
      <c r="AI50" s="232" t="s">
        <v>58</v>
      </c>
      <c r="AJ50" s="232" t="s">
        <v>58</v>
      </c>
      <c r="AK50" s="232" t="s">
        <v>90</v>
      </c>
      <c r="AM50" s="193"/>
      <c r="AN50" s="193"/>
      <c r="AO50" s="193"/>
      <c r="AP50" s="193"/>
      <c r="AQ50" s="193"/>
    </row>
    <row r="51" spans="1:43" ht="90" hidden="1" customHeight="1">
      <c r="A51" s="194">
        <v>49</v>
      </c>
      <c r="B51" s="195">
        <v>1734</v>
      </c>
      <c r="C51" s="196" t="s">
        <v>357</v>
      </c>
      <c r="D51" s="196" t="s">
        <v>357</v>
      </c>
      <c r="E51" s="197" t="s">
        <v>853</v>
      </c>
      <c r="F51" s="195" t="s">
        <v>765</v>
      </c>
      <c r="G51" s="295" t="s">
        <v>793</v>
      </c>
      <c r="H51" s="199">
        <v>0.35</v>
      </c>
      <c r="I51" s="295" t="s">
        <v>793</v>
      </c>
      <c r="J51" s="201"/>
      <c r="K51" s="207"/>
      <c r="L51" s="229"/>
      <c r="M51" s="230">
        <v>0.3</v>
      </c>
      <c r="N51" s="230">
        <v>0.3</v>
      </c>
      <c r="O51" s="207">
        <v>0</v>
      </c>
      <c r="P51" s="199"/>
      <c r="Q51" s="205">
        <v>0</v>
      </c>
      <c r="R51" s="205"/>
      <c r="S51" s="205"/>
      <c r="T51" s="205"/>
      <c r="U51" s="206" t="s">
        <v>58</v>
      </c>
      <c r="V51" s="206">
        <v>0</v>
      </c>
      <c r="W51" s="206" t="s">
        <v>58</v>
      </c>
      <c r="X51" s="207"/>
      <c r="Y51" s="208" t="s">
        <v>765</v>
      </c>
      <c r="Z51" s="209" t="s">
        <v>583</v>
      </c>
      <c r="AA51" s="210">
        <v>2500</v>
      </c>
      <c r="AB51" s="211">
        <v>2000000</v>
      </c>
      <c r="AC51" s="212"/>
      <c r="AD51" s="212"/>
      <c r="AE51" s="212"/>
      <c r="AF51" s="212"/>
      <c r="AG51" s="215" t="s">
        <v>770</v>
      </c>
      <c r="AH51" s="215" t="s">
        <v>771</v>
      </c>
      <c r="AI51" s="232" t="s">
        <v>58</v>
      </c>
      <c r="AJ51" s="232" t="s">
        <v>58</v>
      </c>
      <c r="AK51" s="232" t="s">
        <v>90</v>
      </c>
      <c r="AM51" s="193"/>
      <c r="AN51" s="193"/>
      <c r="AO51" s="193"/>
      <c r="AP51" s="193"/>
      <c r="AQ51" s="193"/>
    </row>
    <row r="52" spans="1:43" ht="90" hidden="1" customHeight="1">
      <c r="A52" s="216">
        <v>50</v>
      </c>
      <c r="B52" s="217">
        <v>1735</v>
      </c>
      <c r="C52" s="218" t="s">
        <v>854</v>
      </c>
      <c r="D52" s="218" t="s">
        <v>854</v>
      </c>
      <c r="E52" s="219" t="s">
        <v>855</v>
      </c>
      <c r="F52" s="228" t="s">
        <v>774</v>
      </c>
      <c r="G52" s="198" t="s">
        <v>793</v>
      </c>
      <c r="H52" s="199">
        <v>0</v>
      </c>
      <c r="I52" s="336" t="str">
        <f t="shared" ref="I52:I53" si="3">G52</f>
        <v>Decline</v>
      </c>
      <c r="J52" s="220"/>
      <c r="K52" s="198"/>
      <c r="L52" s="198"/>
      <c r="M52" s="230">
        <v>0</v>
      </c>
      <c r="N52" s="221"/>
      <c r="O52" s="222"/>
      <c r="P52" s="198"/>
      <c r="Q52" s="223"/>
      <c r="R52" s="223"/>
      <c r="S52" s="223"/>
      <c r="T52" s="223"/>
      <c r="U52" s="198"/>
      <c r="V52" s="224"/>
      <c r="W52" s="198"/>
      <c r="X52" s="224"/>
      <c r="Y52" s="198"/>
      <c r="Z52" s="225"/>
      <c r="AA52" s="210">
        <v>2500</v>
      </c>
      <c r="AB52" s="226"/>
      <c r="AC52" s="214"/>
      <c r="AD52" s="214"/>
      <c r="AE52" s="214"/>
      <c r="AF52" s="214"/>
      <c r="AG52" s="215"/>
      <c r="AH52" s="215" t="s">
        <v>771</v>
      </c>
      <c r="AI52" s="232"/>
      <c r="AJ52" s="232"/>
      <c r="AK52" s="232" t="s">
        <v>58</v>
      </c>
      <c r="AM52" s="193"/>
      <c r="AN52" s="193"/>
      <c r="AO52" s="193"/>
      <c r="AP52" s="193"/>
      <c r="AQ52" s="193"/>
    </row>
    <row r="53" spans="1:43" ht="90" hidden="1" customHeight="1">
      <c r="A53" s="194">
        <v>51</v>
      </c>
      <c r="B53" s="195">
        <v>1735</v>
      </c>
      <c r="C53" s="196" t="s">
        <v>854</v>
      </c>
      <c r="D53" s="196" t="s">
        <v>854</v>
      </c>
      <c r="E53" s="197" t="s">
        <v>855</v>
      </c>
      <c r="F53" s="228" t="s">
        <v>774</v>
      </c>
      <c r="G53" s="198" t="s">
        <v>793</v>
      </c>
      <c r="H53" s="199">
        <v>0</v>
      </c>
      <c r="I53" s="336" t="str">
        <f t="shared" si="3"/>
        <v>Decline</v>
      </c>
      <c r="J53" s="201"/>
      <c r="K53" s="207"/>
      <c r="L53" s="229"/>
      <c r="M53" s="230">
        <v>0</v>
      </c>
      <c r="N53" s="230"/>
      <c r="O53" s="207"/>
      <c r="P53" s="199"/>
      <c r="Q53" s="205"/>
      <c r="R53" s="205"/>
      <c r="S53" s="205"/>
      <c r="T53" s="205"/>
      <c r="U53" s="206"/>
      <c r="V53" s="206"/>
      <c r="W53" s="206"/>
      <c r="X53" s="207"/>
      <c r="Y53" s="208"/>
      <c r="Z53" s="209"/>
      <c r="AA53" s="210">
        <v>2500</v>
      </c>
      <c r="AB53" s="211"/>
      <c r="AC53" s="212"/>
      <c r="AD53" s="212"/>
      <c r="AE53" s="212"/>
      <c r="AF53" s="212"/>
      <c r="AG53" s="215"/>
      <c r="AH53" s="215" t="s">
        <v>771</v>
      </c>
      <c r="AI53" s="194"/>
      <c r="AJ53" s="194"/>
      <c r="AK53" s="232" t="s">
        <v>58</v>
      </c>
      <c r="AM53" s="193"/>
      <c r="AN53" s="193"/>
      <c r="AO53" s="193"/>
      <c r="AP53" s="193"/>
      <c r="AQ53" s="193"/>
    </row>
    <row r="54" spans="1:43" ht="90" customHeight="1">
      <c r="A54" s="216">
        <v>52</v>
      </c>
      <c r="B54" s="217">
        <v>1736</v>
      </c>
      <c r="C54" s="218" t="s">
        <v>92</v>
      </c>
      <c r="D54" s="218" t="s">
        <v>92</v>
      </c>
      <c r="E54" s="219" t="s">
        <v>669</v>
      </c>
      <c r="F54" s="216" t="s">
        <v>765</v>
      </c>
      <c r="G54" s="198" t="s">
        <v>765</v>
      </c>
      <c r="H54" s="199">
        <v>0.35</v>
      </c>
      <c r="I54" s="171" t="s">
        <v>718</v>
      </c>
      <c r="J54" s="220" t="s">
        <v>851</v>
      </c>
      <c r="K54" s="198"/>
      <c r="L54" s="198"/>
      <c r="M54" s="240">
        <v>0.3</v>
      </c>
      <c r="N54" s="240">
        <v>0.3</v>
      </c>
      <c r="O54" s="222">
        <v>0</v>
      </c>
      <c r="P54" s="198"/>
      <c r="Q54" s="223">
        <v>0</v>
      </c>
      <c r="R54" s="223"/>
      <c r="S54" s="223"/>
      <c r="T54" s="223"/>
      <c r="U54" s="198" t="s">
        <v>58</v>
      </c>
      <c r="V54" s="224">
        <v>0</v>
      </c>
      <c r="W54" s="198" t="s">
        <v>58</v>
      </c>
      <c r="X54" s="224"/>
      <c r="Y54" s="198" t="s">
        <v>765</v>
      </c>
      <c r="Z54" s="225" t="s">
        <v>583</v>
      </c>
      <c r="AA54" s="210">
        <v>2500</v>
      </c>
      <c r="AB54" s="226">
        <v>2000000</v>
      </c>
      <c r="AC54" s="214" t="s">
        <v>850</v>
      </c>
      <c r="AD54" s="214"/>
      <c r="AE54" s="214"/>
      <c r="AF54" s="214"/>
      <c r="AG54" s="215"/>
      <c r="AH54" s="215" t="s">
        <v>771</v>
      </c>
      <c r="AI54" s="232" t="s">
        <v>58</v>
      </c>
      <c r="AJ54" s="232" t="s">
        <v>58</v>
      </c>
      <c r="AK54" s="232" t="s">
        <v>90</v>
      </c>
      <c r="AL54" s="192" t="s">
        <v>90</v>
      </c>
      <c r="AM54" s="193"/>
      <c r="AN54" s="193"/>
      <c r="AO54" s="193"/>
      <c r="AP54" s="193"/>
      <c r="AQ54" s="193"/>
    </row>
    <row r="55" spans="1:43" ht="90" customHeight="1">
      <c r="A55" s="194">
        <v>53</v>
      </c>
      <c r="B55" s="195">
        <v>1741</v>
      </c>
      <c r="C55" s="196" t="s">
        <v>37</v>
      </c>
      <c r="D55" s="196" t="s">
        <v>37</v>
      </c>
      <c r="E55" s="197" t="s">
        <v>856</v>
      </c>
      <c r="F55" s="195" t="s">
        <v>765</v>
      </c>
      <c r="G55" s="198" t="s">
        <v>765</v>
      </c>
      <c r="H55" s="199">
        <v>0.35</v>
      </c>
      <c r="I55" s="220" t="s">
        <v>919</v>
      </c>
      <c r="J55" s="201"/>
      <c r="K55" s="207"/>
      <c r="L55" s="229"/>
      <c r="M55" s="230">
        <v>0.3</v>
      </c>
      <c r="N55" s="230">
        <v>0.3</v>
      </c>
      <c r="O55" s="207">
        <v>0</v>
      </c>
      <c r="P55" s="199"/>
      <c r="Q55" s="233">
        <v>0.3</v>
      </c>
      <c r="R55" s="233"/>
      <c r="S55" s="233"/>
      <c r="T55" s="233"/>
      <c r="U55" s="206" t="s">
        <v>58</v>
      </c>
      <c r="V55" s="206">
        <v>0</v>
      </c>
      <c r="W55" s="231" t="s">
        <v>90</v>
      </c>
      <c r="X55" s="207"/>
      <c r="Y55" s="208" t="s">
        <v>765</v>
      </c>
      <c r="Z55" s="236" t="s">
        <v>796</v>
      </c>
      <c r="AA55" s="239">
        <v>2500</v>
      </c>
      <c r="AB55" s="211">
        <v>2000000</v>
      </c>
      <c r="AC55" s="212" t="s">
        <v>857</v>
      </c>
      <c r="AD55" s="212" t="s">
        <v>858</v>
      </c>
      <c r="AE55" s="212"/>
      <c r="AF55" s="212"/>
      <c r="AG55" s="215" t="s">
        <v>770</v>
      </c>
      <c r="AH55" s="215" t="s">
        <v>771</v>
      </c>
      <c r="AI55" s="194" t="s">
        <v>859</v>
      </c>
      <c r="AJ55" s="194" t="s">
        <v>859</v>
      </c>
      <c r="AK55" s="194" t="s">
        <v>90</v>
      </c>
      <c r="AL55" s="192" t="s">
        <v>90</v>
      </c>
      <c r="AM55" s="193"/>
      <c r="AN55" s="193"/>
      <c r="AO55" s="193"/>
      <c r="AP55" s="193"/>
      <c r="AQ55" s="193"/>
    </row>
    <row r="56" spans="1:43" ht="90" hidden="1" customHeight="1">
      <c r="A56" s="216">
        <v>54</v>
      </c>
      <c r="B56" s="217">
        <v>1742</v>
      </c>
      <c r="C56" s="218" t="s">
        <v>301</v>
      </c>
      <c r="D56" s="218" t="s">
        <v>301</v>
      </c>
      <c r="E56" s="219" t="s">
        <v>860</v>
      </c>
      <c r="F56" s="216" t="s">
        <v>765</v>
      </c>
      <c r="G56" s="295" t="s">
        <v>793</v>
      </c>
      <c r="H56" s="199">
        <v>0.35</v>
      </c>
      <c r="I56" s="295" t="s">
        <v>793</v>
      </c>
      <c r="J56" s="220"/>
      <c r="K56" s="198"/>
      <c r="L56" s="198"/>
      <c r="M56" s="221">
        <v>0.3</v>
      </c>
      <c r="N56" s="221">
        <v>0.3</v>
      </c>
      <c r="O56" s="222">
        <v>0</v>
      </c>
      <c r="P56" s="198"/>
      <c r="Q56" s="233">
        <v>0.5</v>
      </c>
      <c r="R56" s="233"/>
      <c r="S56" s="233"/>
      <c r="T56" s="233"/>
      <c r="U56" s="198" t="s">
        <v>58</v>
      </c>
      <c r="V56" s="224">
        <v>0</v>
      </c>
      <c r="W56" s="198" t="s">
        <v>58</v>
      </c>
      <c r="X56" s="224"/>
      <c r="Y56" s="198" t="s">
        <v>765</v>
      </c>
      <c r="Z56" s="225" t="s">
        <v>583</v>
      </c>
      <c r="AA56" s="210">
        <v>2500</v>
      </c>
      <c r="AB56" s="226">
        <v>2000000</v>
      </c>
      <c r="AC56" s="214"/>
      <c r="AD56" s="214"/>
      <c r="AE56" s="214"/>
      <c r="AF56" s="214" t="s">
        <v>786</v>
      </c>
      <c r="AG56" s="215" t="s">
        <v>770</v>
      </c>
      <c r="AH56" s="215" t="s">
        <v>771</v>
      </c>
      <c r="AI56" s="232" t="s">
        <v>58</v>
      </c>
      <c r="AJ56" s="232" t="s">
        <v>58</v>
      </c>
      <c r="AK56" s="232" t="s">
        <v>90</v>
      </c>
      <c r="AM56" s="193"/>
      <c r="AN56" s="193"/>
      <c r="AO56" s="193"/>
      <c r="AP56" s="193"/>
      <c r="AQ56" s="193"/>
    </row>
    <row r="57" spans="1:43" ht="90" customHeight="1">
      <c r="A57" s="194">
        <v>55</v>
      </c>
      <c r="B57" s="195">
        <v>1743</v>
      </c>
      <c r="C57" s="196" t="s">
        <v>264</v>
      </c>
      <c r="D57" s="196" t="s">
        <v>264</v>
      </c>
      <c r="E57" s="197" t="s">
        <v>663</v>
      </c>
      <c r="F57" s="195" t="s">
        <v>765</v>
      </c>
      <c r="G57" s="198" t="s">
        <v>765</v>
      </c>
      <c r="H57" s="199">
        <v>0.35</v>
      </c>
      <c r="I57" s="200" t="s">
        <v>766</v>
      </c>
      <c r="J57" s="201"/>
      <c r="K57" s="207"/>
      <c r="L57" s="229"/>
      <c r="M57" s="230">
        <v>0.3</v>
      </c>
      <c r="N57" s="230">
        <v>0.3</v>
      </c>
      <c r="O57" s="207">
        <v>0</v>
      </c>
      <c r="P57" s="199"/>
      <c r="Q57" s="223">
        <v>0.25</v>
      </c>
      <c r="R57" s="205"/>
      <c r="S57" s="205"/>
      <c r="T57" s="205"/>
      <c r="U57" s="206" t="s">
        <v>58</v>
      </c>
      <c r="V57" s="206">
        <v>0</v>
      </c>
      <c r="W57" s="206" t="s">
        <v>58</v>
      </c>
      <c r="X57" s="207"/>
      <c r="Y57" s="208" t="s">
        <v>765</v>
      </c>
      <c r="Z57" s="209" t="s">
        <v>583</v>
      </c>
      <c r="AA57" s="210">
        <v>2500</v>
      </c>
      <c r="AB57" s="211">
        <v>2000000</v>
      </c>
      <c r="AC57" s="212"/>
      <c r="AD57" s="212"/>
      <c r="AE57" s="212"/>
      <c r="AF57" s="214" t="s">
        <v>786</v>
      </c>
      <c r="AG57" s="215" t="s">
        <v>770</v>
      </c>
      <c r="AH57" s="215" t="s">
        <v>771</v>
      </c>
      <c r="AI57" s="194" t="s">
        <v>859</v>
      </c>
      <c r="AJ57" s="194" t="s">
        <v>859</v>
      </c>
      <c r="AK57" s="194" t="s">
        <v>90</v>
      </c>
      <c r="AL57" s="192" t="s">
        <v>90</v>
      </c>
      <c r="AM57" s="227"/>
      <c r="AN57" s="193"/>
      <c r="AO57" s="193"/>
      <c r="AP57" s="193"/>
      <c r="AQ57" s="193"/>
    </row>
    <row r="58" spans="1:43" ht="90" customHeight="1">
      <c r="A58" s="216">
        <v>56</v>
      </c>
      <c r="B58" s="217">
        <v>1744</v>
      </c>
      <c r="C58" s="218" t="s">
        <v>297</v>
      </c>
      <c r="D58" s="218" t="s">
        <v>297</v>
      </c>
      <c r="E58" s="219" t="s">
        <v>861</v>
      </c>
      <c r="F58" s="216" t="s">
        <v>765</v>
      </c>
      <c r="G58" s="198" t="s">
        <v>765</v>
      </c>
      <c r="H58" s="199">
        <v>0.35</v>
      </c>
      <c r="I58" s="200" t="s">
        <v>766</v>
      </c>
      <c r="J58" s="220"/>
      <c r="K58" s="198"/>
      <c r="L58" s="198"/>
      <c r="M58" s="221">
        <v>0.3</v>
      </c>
      <c r="N58" s="221">
        <v>0.3</v>
      </c>
      <c r="O58" s="222">
        <v>0</v>
      </c>
      <c r="P58" s="198"/>
      <c r="Q58" s="223">
        <v>0</v>
      </c>
      <c r="R58" s="223"/>
      <c r="S58" s="223"/>
      <c r="T58" s="223"/>
      <c r="U58" s="198" t="s">
        <v>58</v>
      </c>
      <c r="V58" s="224">
        <v>0</v>
      </c>
      <c r="W58" s="198" t="s">
        <v>58</v>
      </c>
      <c r="X58" s="224"/>
      <c r="Y58" s="198" t="s">
        <v>765</v>
      </c>
      <c r="Z58" s="225" t="s">
        <v>583</v>
      </c>
      <c r="AA58" s="210">
        <v>2500</v>
      </c>
      <c r="AB58" s="226">
        <v>2000000</v>
      </c>
      <c r="AC58" s="214"/>
      <c r="AD58" s="214"/>
      <c r="AE58" s="214"/>
      <c r="AF58" s="214"/>
      <c r="AG58" s="215" t="s">
        <v>770</v>
      </c>
      <c r="AH58" s="215" t="s">
        <v>771</v>
      </c>
      <c r="AI58" s="232" t="s">
        <v>58</v>
      </c>
      <c r="AJ58" s="232" t="s">
        <v>58</v>
      </c>
      <c r="AK58" s="232" t="s">
        <v>90</v>
      </c>
      <c r="AL58" s="192" t="s">
        <v>90</v>
      </c>
      <c r="AM58" s="193"/>
      <c r="AN58" s="193"/>
      <c r="AO58" s="193"/>
      <c r="AP58" s="193"/>
      <c r="AQ58" s="193"/>
    </row>
    <row r="59" spans="1:43" ht="90" customHeight="1">
      <c r="A59" s="194">
        <v>57</v>
      </c>
      <c r="B59" s="195">
        <v>1745</v>
      </c>
      <c r="C59" s="196" t="s">
        <v>349</v>
      </c>
      <c r="D59" s="196" t="s">
        <v>349</v>
      </c>
      <c r="E59" s="197" t="s">
        <v>862</v>
      </c>
      <c r="F59" s="195" t="s">
        <v>765</v>
      </c>
      <c r="G59" s="198" t="s">
        <v>765</v>
      </c>
      <c r="H59" s="199">
        <v>0.35</v>
      </c>
      <c r="I59" s="200" t="s">
        <v>766</v>
      </c>
      <c r="J59" s="201"/>
      <c r="K59" s="207"/>
      <c r="L59" s="229"/>
      <c r="M59" s="230">
        <v>0.3</v>
      </c>
      <c r="N59" s="230">
        <v>0.3</v>
      </c>
      <c r="O59" s="207">
        <v>0</v>
      </c>
      <c r="P59" s="199"/>
      <c r="Q59" s="205">
        <v>0</v>
      </c>
      <c r="R59" s="205"/>
      <c r="S59" s="205"/>
      <c r="T59" s="205"/>
      <c r="U59" s="206" t="s">
        <v>58</v>
      </c>
      <c r="V59" s="206">
        <v>0</v>
      </c>
      <c r="W59" s="206" t="s">
        <v>58</v>
      </c>
      <c r="X59" s="207"/>
      <c r="Y59" s="208" t="s">
        <v>765</v>
      </c>
      <c r="Z59" s="209" t="s">
        <v>583</v>
      </c>
      <c r="AA59" s="210">
        <v>2500</v>
      </c>
      <c r="AB59" s="211">
        <v>2000000</v>
      </c>
      <c r="AC59" s="212"/>
      <c r="AD59" s="212"/>
      <c r="AE59" s="212"/>
      <c r="AF59" s="212"/>
      <c r="AG59" s="215" t="s">
        <v>770</v>
      </c>
      <c r="AH59" s="215" t="s">
        <v>771</v>
      </c>
      <c r="AI59" s="232" t="s">
        <v>58</v>
      </c>
      <c r="AJ59" s="232" t="s">
        <v>58</v>
      </c>
      <c r="AK59" s="232" t="s">
        <v>90</v>
      </c>
      <c r="AL59" s="192" t="s">
        <v>90</v>
      </c>
      <c r="AM59" s="193"/>
      <c r="AN59" s="193"/>
      <c r="AO59" s="193"/>
      <c r="AP59" s="193"/>
      <c r="AQ59" s="193"/>
    </row>
    <row r="60" spans="1:43" ht="90" hidden="1" customHeight="1">
      <c r="A60" s="216">
        <v>58</v>
      </c>
      <c r="B60" s="217">
        <v>1751</v>
      </c>
      <c r="C60" s="218" t="s">
        <v>671</v>
      </c>
      <c r="D60" s="218" t="s">
        <v>671</v>
      </c>
      <c r="E60" s="219" t="s">
        <v>670</v>
      </c>
      <c r="F60" s="216" t="s">
        <v>765</v>
      </c>
      <c r="G60" s="198" t="s">
        <v>793</v>
      </c>
      <c r="H60" s="199">
        <v>0.35</v>
      </c>
      <c r="I60" s="220" t="s">
        <v>919</v>
      </c>
      <c r="J60" s="220"/>
      <c r="K60" s="198"/>
      <c r="L60" s="198"/>
      <c r="M60" s="230">
        <v>0</v>
      </c>
      <c r="N60" s="221"/>
      <c r="O60" s="222"/>
      <c r="P60" s="198"/>
      <c r="Q60" s="223">
        <v>0</v>
      </c>
      <c r="R60" s="223"/>
      <c r="S60" s="223"/>
      <c r="T60" s="223"/>
      <c r="U60" s="198" t="s">
        <v>58</v>
      </c>
      <c r="V60" s="224">
        <v>0</v>
      </c>
      <c r="W60" s="198" t="s">
        <v>58</v>
      </c>
      <c r="X60" s="224"/>
      <c r="Y60" s="198"/>
      <c r="Z60" s="225"/>
      <c r="AA60" s="210">
        <v>2500</v>
      </c>
      <c r="AB60" s="226"/>
      <c r="AC60" s="214"/>
      <c r="AD60" s="214"/>
      <c r="AE60" s="214"/>
      <c r="AF60" s="214"/>
      <c r="AG60" s="215" t="s">
        <v>770</v>
      </c>
      <c r="AH60" s="215" t="s">
        <v>771</v>
      </c>
      <c r="AI60" s="232" t="s">
        <v>58</v>
      </c>
      <c r="AJ60" s="232" t="s">
        <v>58</v>
      </c>
      <c r="AK60" s="232" t="s">
        <v>90</v>
      </c>
      <c r="AM60" s="193"/>
      <c r="AN60" s="193"/>
      <c r="AO60" s="193"/>
      <c r="AP60" s="193"/>
      <c r="AQ60" s="193"/>
    </row>
    <row r="61" spans="1:43" ht="90" customHeight="1">
      <c r="A61" s="194">
        <v>59</v>
      </c>
      <c r="B61" s="195">
        <v>1752</v>
      </c>
      <c r="C61" s="196" t="s">
        <v>31</v>
      </c>
      <c r="D61" s="196" t="s">
        <v>31</v>
      </c>
      <c r="E61" s="197" t="s">
        <v>863</v>
      </c>
      <c r="F61" s="195" t="s">
        <v>765</v>
      </c>
      <c r="G61" s="198" t="s">
        <v>765</v>
      </c>
      <c r="H61" s="199">
        <v>0.35</v>
      </c>
      <c r="I61" s="200" t="s">
        <v>766</v>
      </c>
      <c r="J61" s="201"/>
      <c r="K61" s="207"/>
      <c r="L61" s="229"/>
      <c r="M61" s="230">
        <v>0.3</v>
      </c>
      <c r="N61" s="230">
        <v>0.3</v>
      </c>
      <c r="O61" s="207">
        <v>0</v>
      </c>
      <c r="P61" s="199"/>
      <c r="Q61" s="205">
        <v>0</v>
      </c>
      <c r="R61" s="205"/>
      <c r="S61" s="205"/>
      <c r="T61" s="205"/>
      <c r="U61" s="206" t="s">
        <v>58</v>
      </c>
      <c r="V61" s="206">
        <v>0</v>
      </c>
      <c r="W61" s="206" t="s">
        <v>58</v>
      </c>
      <c r="X61" s="207"/>
      <c r="Y61" s="208" t="s">
        <v>765</v>
      </c>
      <c r="Z61" s="209" t="s">
        <v>583</v>
      </c>
      <c r="AA61" s="210">
        <v>2500</v>
      </c>
      <c r="AB61" s="211">
        <v>2000000</v>
      </c>
      <c r="AC61" s="212"/>
      <c r="AD61" s="212"/>
      <c r="AE61" s="212"/>
      <c r="AF61" s="212"/>
      <c r="AG61" s="215" t="s">
        <v>770</v>
      </c>
      <c r="AH61" s="215" t="s">
        <v>771</v>
      </c>
      <c r="AI61" s="232" t="s">
        <v>58</v>
      </c>
      <c r="AJ61" s="232" t="s">
        <v>58</v>
      </c>
      <c r="AK61" s="232" t="s">
        <v>90</v>
      </c>
      <c r="AL61" s="192" t="s">
        <v>90</v>
      </c>
      <c r="AM61" s="193"/>
      <c r="AN61" s="193"/>
      <c r="AO61" s="193"/>
      <c r="AP61" s="193"/>
      <c r="AQ61" s="193"/>
    </row>
    <row r="62" spans="1:43" ht="90" customHeight="1">
      <c r="A62" s="216">
        <v>60</v>
      </c>
      <c r="B62" s="217">
        <v>1753</v>
      </c>
      <c r="C62" s="218" t="s">
        <v>228</v>
      </c>
      <c r="D62" s="218" t="s">
        <v>228</v>
      </c>
      <c r="E62" s="219" t="s">
        <v>864</v>
      </c>
      <c r="F62" s="216" t="s">
        <v>765</v>
      </c>
      <c r="G62" s="198" t="s">
        <v>765</v>
      </c>
      <c r="H62" s="199">
        <v>0.35</v>
      </c>
      <c r="I62" s="220" t="s">
        <v>919</v>
      </c>
      <c r="J62" s="220"/>
      <c r="K62" s="198"/>
      <c r="L62" s="198"/>
      <c r="M62" s="221">
        <v>0.3</v>
      </c>
      <c r="N62" s="221">
        <v>0.3</v>
      </c>
      <c r="O62" s="222">
        <v>0</v>
      </c>
      <c r="P62" s="198"/>
      <c r="Q62" s="233">
        <v>1</v>
      </c>
      <c r="R62" s="233"/>
      <c r="S62" s="233"/>
      <c r="T62" s="233"/>
      <c r="U62" s="198" t="s">
        <v>58</v>
      </c>
      <c r="V62" s="224">
        <v>0</v>
      </c>
      <c r="W62" s="198" t="s">
        <v>58</v>
      </c>
      <c r="X62" s="224"/>
      <c r="Y62" s="198" t="s">
        <v>765</v>
      </c>
      <c r="Z62" s="225" t="s">
        <v>583</v>
      </c>
      <c r="AA62" s="210">
        <v>2500</v>
      </c>
      <c r="AB62" s="226">
        <v>2000000</v>
      </c>
      <c r="AC62" s="214" t="s">
        <v>858</v>
      </c>
      <c r="AD62" s="214"/>
      <c r="AE62" s="214"/>
      <c r="AF62" s="214"/>
      <c r="AG62" s="215" t="s">
        <v>770</v>
      </c>
      <c r="AH62" s="215" t="s">
        <v>771</v>
      </c>
      <c r="AI62" s="232" t="s">
        <v>58</v>
      </c>
      <c r="AJ62" s="232" t="s">
        <v>58</v>
      </c>
      <c r="AK62" s="232" t="s">
        <v>90</v>
      </c>
      <c r="AL62" s="192" t="s">
        <v>90</v>
      </c>
      <c r="AM62" s="193"/>
      <c r="AN62" s="193"/>
      <c r="AO62" s="193"/>
      <c r="AP62" s="193"/>
      <c r="AQ62" s="193"/>
    </row>
    <row r="63" spans="1:43" ht="90" customHeight="1">
      <c r="A63" s="194">
        <v>61</v>
      </c>
      <c r="B63" s="195">
        <v>1754</v>
      </c>
      <c r="C63" s="196" t="s">
        <v>287</v>
      </c>
      <c r="D63" s="196" t="s">
        <v>287</v>
      </c>
      <c r="E63" s="197" t="s">
        <v>865</v>
      </c>
      <c r="F63" s="195" t="s">
        <v>765</v>
      </c>
      <c r="G63" s="198" t="s">
        <v>765</v>
      </c>
      <c r="H63" s="199">
        <v>0.35</v>
      </c>
      <c r="I63" s="200" t="s">
        <v>766</v>
      </c>
      <c r="J63" s="201"/>
      <c r="K63" s="207"/>
      <c r="L63" s="229"/>
      <c r="M63" s="230">
        <v>0.3</v>
      </c>
      <c r="N63" s="230">
        <v>0.3</v>
      </c>
      <c r="O63" s="207">
        <v>0</v>
      </c>
      <c r="P63" s="199"/>
      <c r="Q63" s="205">
        <v>0</v>
      </c>
      <c r="R63" s="205"/>
      <c r="S63" s="205"/>
      <c r="T63" s="205"/>
      <c r="U63" s="206" t="s">
        <v>58</v>
      </c>
      <c r="V63" s="206">
        <v>0</v>
      </c>
      <c r="W63" s="206" t="s">
        <v>58</v>
      </c>
      <c r="X63" s="207"/>
      <c r="Y63" s="208" t="s">
        <v>765</v>
      </c>
      <c r="Z63" s="209" t="s">
        <v>583</v>
      </c>
      <c r="AA63" s="210">
        <v>2500</v>
      </c>
      <c r="AB63" s="211">
        <v>2000000</v>
      </c>
      <c r="AC63" s="212"/>
      <c r="AD63" s="212"/>
      <c r="AE63" s="212"/>
      <c r="AF63" s="212"/>
      <c r="AG63" s="215" t="s">
        <v>770</v>
      </c>
      <c r="AH63" s="215" t="s">
        <v>771</v>
      </c>
      <c r="AI63" s="194" t="s">
        <v>90</v>
      </c>
      <c r="AJ63" s="194" t="s">
        <v>90</v>
      </c>
      <c r="AK63" s="194" t="s">
        <v>90</v>
      </c>
      <c r="AL63" s="192" t="s">
        <v>90</v>
      </c>
      <c r="AM63" s="193"/>
      <c r="AN63" s="193"/>
      <c r="AO63" s="193"/>
      <c r="AP63" s="193"/>
      <c r="AQ63" s="193"/>
    </row>
    <row r="64" spans="1:43" ht="90" customHeight="1">
      <c r="A64" s="216">
        <v>62</v>
      </c>
      <c r="B64" s="217">
        <v>1755</v>
      </c>
      <c r="C64" s="218" t="s">
        <v>292</v>
      </c>
      <c r="D64" s="218" t="s">
        <v>292</v>
      </c>
      <c r="E64" s="219" t="s">
        <v>672</v>
      </c>
      <c r="F64" s="216" t="s">
        <v>765</v>
      </c>
      <c r="G64" s="198" t="s">
        <v>765</v>
      </c>
      <c r="H64" s="199">
        <v>0.35</v>
      </c>
      <c r="I64" s="200" t="s">
        <v>766</v>
      </c>
      <c r="J64" s="220"/>
      <c r="K64" s="198"/>
      <c r="L64" s="198"/>
      <c r="M64" s="221">
        <v>0.3</v>
      </c>
      <c r="N64" s="221">
        <v>0.3</v>
      </c>
      <c r="O64" s="222">
        <v>0</v>
      </c>
      <c r="P64" s="198"/>
      <c r="Q64" s="223">
        <v>0.35</v>
      </c>
      <c r="R64" s="223"/>
      <c r="S64" s="223"/>
      <c r="T64" s="223"/>
      <c r="U64" s="198" t="s">
        <v>58</v>
      </c>
      <c r="V64" s="224">
        <v>0</v>
      </c>
      <c r="W64" s="198" t="s">
        <v>58</v>
      </c>
      <c r="X64" s="224"/>
      <c r="Y64" s="198" t="s">
        <v>765</v>
      </c>
      <c r="Z64" s="225" t="s">
        <v>583</v>
      </c>
      <c r="AA64" s="210">
        <v>2500</v>
      </c>
      <c r="AB64" s="226">
        <v>2000000</v>
      </c>
      <c r="AC64" s="214" t="s">
        <v>866</v>
      </c>
      <c r="AD64" s="214"/>
      <c r="AE64" s="214"/>
      <c r="AF64" s="214"/>
      <c r="AG64" s="215" t="s">
        <v>770</v>
      </c>
      <c r="AH64" s="215" t="s">
        <v>771</v>
      </c>
      <c r="AI64" s="232" t="s">
        <v>58</v>
      </c>
      <c r="AJ64" s="232" t="s">
        <v>58</v>
      </c>
      <c r="AK64" s="232" t="s">
        <v>90</v>
      </c>
      <c r="AL64" s="192" t="s">
        <v>90</v>
      </c>
      <c r="AM64" s="227"/>
      <c r="AN64" s="193"/>
      <c r="AO64" s="193"/>
      <c r="AP64" s="193"/>
      <c r="AQ64" s="193"/>
    </row>
    <row r="65" spans="1:43" ht="90" customHeight="1">
      <c r="A65" s="194">
        <v>63</v>
      </c>
      <c r="B65" s="195">
        <v>1756</v>
      </c>
      <c r="C65" s="196" t="s">
        <v>206</v>
      </c>
      <c r="D65" s="196" t="s">
        <v>206</v>
      </c>
      <c r="E65" s="197" t="s">
        <v>867</v>
      </c>
      <c r="F65" s="195" t="s">
        <v>765</v>
      </c>
      <c r="G65" s="198" t="s">
        <v>765</v>
      </c>
      <c r="H65" s="199">
        <v>0.35</v>
      </c>
      <c r="I65" s="200" t="s">
        <v>766</v>
      </c>
      <c r="J65" s="201"/>
      <c r="K65" s="207"/>
      <c r="L65" s="229"/>
      <c r="M65" s="230">
        <v>0.3</v>
      </c>
      <c r="N65" s="230">
        <v>0.3</v>
      </c>
      <c r="O65" s="207">
        <v>0</v>
      </c>
      <c r="P65" s="199"/>
      <c r="Q65" s="205">
        <v>0</v>
      </c>
      <c r="R65" s="205"/>
      <c r="S65" s="205"/>
      <c r="T65" s="205"/>
      <c r="U65" s="206" t="s">
        <v>58</v>
      </c>
      <c r="V65" s="206">
        <v>0</v>
      </c>
      <c r="W65" s="206" t="s">
        <v>58</v>
      </c>
      <c r="X65" s="207"/>
      <c r="Y65" s="208" t="s">
        <v>765</v>
      </c>
      <c r="Z65" s="209" t="s">
        <v>583</v>
      </c>
      <c r="AA65" s="210">
        <v>2500</v>
      </c>
      <c r="AB65" s="211">
        <v>2000000</v>
      </c>
      <c r="AC65" s="212"/>
      <c r="AD65" s="212"/>
      <c r="AE65" s="212"/>
      <c r="AF65" s="212"/>
      <c r="AG65" s="215" t="s">
        <v>770</v>
      </c>
      <c r="AH65" s="215" t="s">
        <v>771</v>
      </c>
      <c r="AI65" s="232" t="s">
        <v>58</v>
      </c>
      <c r="AJ65" s="232" t="s">
        <v>58</v>
      </c>
      <c r="AK65" s="232" t="s">
        <v>90</v>
      </c>
      <c r="AL65" s="192" t="s">
        <v>90</v>
      </c>
      <c r="AM65" s="193"/>
      <c r="AN65" s="193"/>
      <c r="AO65" s="193"/>
      <c r="AP65" s="193"/>
      <c r="AQ65" s="193"/>
    </row>
    <row r="66" spans="1:43" ht="90" customHeight="1">
      <c r="A66" s="216">
        <v>64</v>
      </c>
      <c r="B66" s="217">
        <v>1757</v>
      </c>
      <c r="C66" s="218" t="s">
        <v>232</v>
      </c>
      <c r="D66" s="218" t="s">
        <v>232</v>
      </c>
      <c r="E66" s="219" t="s">
        <v>673</v>
      </c>
      <c r="F66" s="216" t="s">
        <v>765</v>
      </c>
      <c r="G66" s="198" t="s">
        <v>765</v>
      </c>
      <c r="H66" s="199">
        <v>0.35</v>
      </c>
      <c r="I66" s="200" t="s">
        <v>766</v>
      </c>
      <c r="J66" s="220"/>
      <c r="K66" s="198"/>
      <c r="L66" s="198"/>
      <c r="M66" s="221">
        <v>0.3</v>
      </c>
      <c r="N66" s="221">
        <v>0.3</v>
      </c>
      <c r="O66" s="222">
        <v>0</v>
      </c>
      <c r="P66" s="198"/>
      <c r="Q66" s="223">
        <v>0</v>
      </c>
      <c r="R66" s="223"/>
      <c r="S66" s="223"/>
      <c r="T66" s="223"/>
      <c r="U66" s="198" t="s">
        <v>58</v>
      </c>
      <c r="V66" s="224">
        <v>0</v>
      </c>
      <c r="W66" s="198" t="s">
        <v>58</v>
      </c>
      <c r="X66" s="224"/>
      <c r="Y66" s="198" t="s">
        <v>765</v>
      </c>
      <c r="Z66" s="225" t="s">
        <v>583</v>
      </c>
      <c r="AA66" s="210">
        <v>2500</v>
      </c>
      <c r="AB66" s="226">
        <v>2000000</v>
      </c>
      <c r="AC66" s="214"/>
      <c r="AD66" s="214"/>
      <c r="AE66" s="214"/>
      <c r="AF66" s="214"/>
      <c r="AG66" s="215" t="s">
        <v>770</v>
      </c>
      <c r="AH66" s="215" t="s">
        <v>771</v>
      </c>
      <c r="AI66" s="232" t="s">
        <v>90</v>
      </c>
      <c r="AJ66" s="232" t="s">
        <v>90</v>
      </c>
      <c r="AK66" s="232" t="s">
        <v>90</v>
      </c>
      <c r="AL66" s="192" t="s">
        <v>90</v>
      </c>
      <c r="AM66" s="193"/>
      <c r="AN66" s="193"/>
      <c r="AO66" s="193"/>
      <c r="AP66" s="193"/>
      <c r="AQ66" s="193"/>
    </row>
    <row r="67" spans="1:43" ht="90" customHeight="1">
      <c r="A67" s="194">
        <v>65</v>
      </c>
      <c r="B67" s="195">
        <v>1761</v>
      </c>
      <c r="C67" s="196" t="s">
        <v>322</v>
      </c>
      <c r="D67" s="196" t="s">
        <v>322</v>
      </c>
      <c r="E67" s="197" t="s">
        <v>674</v>
      </c>
      <c r="F67" s="195" t="s">
        <v>765</v>
      </c>
      <c r="G67" s="198" t="s">
        <v>765</v>
      </c>
      <c r="H67" s="199">
        <v>0.35</v>
      </c>
      <c r="I67" s="200" t="s">
        <v>766</v>
      </c>
      <c r="J67" s="201"/>
      <c r="K67" s="207"/>
      <c r="L67" s="229"/>
      <c r="M67" s="230">
        <v>0.3</v>
      </c>
      <c r="N67" s="230">
        <v>0.3</v>
      </c>
      <c r="O67" s="207">
        <v>0</v>
      </c>
      <c r="P67" s="199"/>
      <c r="Q67" s="205">
        <v>0</v>
      </c>
      <c r="R67" s="205"/>
      <c r="S67" s="205"/>
      <c r="T67" s="205"/>
      <c r="U67" s="206" t="s">
        <v>58</v>
      </c>
      <c r="V67" s="206">
        <v>0</v>
      </c>
      <c r="W67" s="206" t="s">
        <v>58</v>
      </c>
      <c r="X67" s="207"/>
      <c r="Y67" s="208" t="s">
        <v>765</v>
      </c>
      <c r="Z67" s="209" t="s">
        <v>583</v>
      </c>
      <c r="AA67" s="210">
        <v>2500</v>
      </c>
      <c r="AB67" s="211">
        <v>2000000</v>
      </c>
      <c r="AC67" s="212"/>
      <c r="AD67" s="212"/>
      <c r="AE67" s="212"/>
      <c r="AF67" s="212"/>
      <c r="AG67" s="215" t="s">
        <v>770</v>
      </c>
      <c r="AH67" s="215" t="s">
        <v>771</v>
      </c>
      <c r="AI67" s="232" t="s">
        <v>58</v>
      </c>
      <c r="AJ67" s="232" t="s">
        <v>58</v>
      </c>
      <c r="AK67" s="232" t="s">
        <v>90</v>
      </c>
      <c r="AL67" s="192" t="s">
        <v>90</v>
      </c>
      <c r="AM67" s="193"/>
      <c r="AN67" s="193"/>
      <c r="AO67" s="193"/>
      <c r="AP67" s="193"/>
      <c r="AQ67" s="193"/>
    </row>
    <row r="68" spans="1:43" ht="90" customHeight="1">
      <c r="A68" s="216">
        <v>66</v>
      </c>
      <c r="B68" s="217">
        <v>1762</v>
      </c>
      <c r="C68" s="218" t="s">
        <v>317</v>
      </c>
      <c r="D68" s="218" t="s">
        <v>317</v>
      </c>
      <c r="E68" s="219" t="s">
        <v>675</v>
      </c>
      <c r="F68" s="216" t="s">
        <v>765</v>
      </c>
      <c r="G68" s="198" t="s">
        <v>765</v>
      </c>
      <c r="H68" s="199">
        <v>0.35</v>
      </c>
      <c r="I68" s="200" t="s">
        <v>766</v>
      </c>
      <c r="J68" s="220"/>
      <c r="K68" s="198"/>
      <c r="L68" s="198"/>
      <c r="M68" s="221">
        <v>0.3</v>
      </c>
      <c r="N68" s="221">
        <v>0.3</v>
      </c>
      <c r="O68" s="222">
        <v>0</v>
      </c>
      <c r="P68" s="198"/>
      <c r="Q68" s="223">
        <v>0</v>
      </c>
      <c r="R68" s="223"/>
      <c r="S68" s="223"/>
      <c r="T68" s="223"/>
      <c r="U68" s="198" t="s">
        <v>58</v>
      </c>
      <c r="V68" s="224">
        <v>0</v>
      </c>
      <c r="W68" s="198" t="s">
        <v>58</v>
      </c>
      <c r="X68" s="224"/>
      <c r="Y68" s="198" t="s">
        <v>765</v>
      </c>
      <c r="Z68" s="225" t="s">
        <v>583</v>
      </c>
      <c r="AA68" s="210">
        <v>2500</v>
      </c>
      <c r="AB68" s="226">
        <v>2000000</v>
      </c>
      <c r="AC68" s="214"/>
      <c r="AD68" s="214"/>
      <c r="AE68" s="214"/>
      <c r="AF68" s="214"/>
      <c r="AG68" s="215" t="s">
        <v>770</v>
      </c>
      <c r="AH68" s="215" t="s">
        <v>771</v>
      </c>
      <c r="AI68" s="232" t="s">
        <v>58</v>
      </c>
      <c r="AJ68" s="232" t="s">
        <v>58</v>
      </c>
      <c r="AK68" s="232" t="s">
        <v>90</v>
      </c>
      <c r="AL68" s="192" t="s">
        <v>90</v>
      </c>
      <c r="AM68" s="193"/>
      <c r="AN68" s="193"/>
      <c r="AO68" s="193"/>
      <c r="AP68" s="193"/>
      <c r="AQ68" s="193"/>
    </row>
    <row r="69" spans="1:43" ht="90" hidden="1" customHeight="1">
      <c r="A69" s="194">
        <v>67</v>
      </c>
      <c r="B69" s="195">
        <v>1763</v>
      </c>
      <c r="C69" s="196" t="s">
        <v>370</v>
      </c>
      <c r="D69" s="196" t="s">
        <v>370</v>
      </c>
      <c r="E69" s="197" t="s">
        <v>868</v>
      </c>
      <c r="F69" s="195" t="s">
        <v>765</v>
      </c>
      <c r="G69" s="295" t="s">
        <v>793</v>
      </c>
      <c r="H69" s="199">
        <v>0.35</v>
      </c>
      <c r="I69" s="295" t="s">
        <v>793</v>
      </c>
      <c r="J69" s="201"/>
      <c r="K69" s="207"/>
      <c r="L69" s="229"/>
      <c r="M69" s="230">
        <v>1</v>
      </c>
      <c r="N69" s="230">
        <v>1</v>
      </c>
      <c r="O69" s="207">
        <v>0</v>
      </c>
      <c r="P69" s="199"/>
      <c r="Q69" s="205">
        <v>0</v>
      </c>
      <c r="R69" s="205"/>
      <c r="S69" s="205"/>
      <c r="T69" s="205"/>
      <c r="U69" s="206" t="s">
        <v>58</v>
      </c>
      <c r="V69" s="206">
        <v>0</v>
      </c>
      <c r="W69" s="206" t="s">
        <v>58</v>
      </c>
      <c r="X69" s="207"/>
      <c r="Y69" s="208" t="s">
        <v>765</v>
      </c>
      <c r="Z69" s="209" t="s">
        <v>583</v>
      </c>
      <c r="AA69" s="210">
        <v>2500</v>
      </c>
      <c r="AB69" s="211">
        <v>400000</v>
      </c>
      <c r="AC69" s="212" t="s">
        <v>789</v>
      </c>
      <c r="AD69" s="212" t="s">
        <v>869</v>
      </c>
      <c r="AE69" s="212" t="s">
        <v>870</v>
      </c>
      <c r="AF69" s="212"/>
      <c r="AG69" s="215" t="s">
        <v>770</v>
      </c>
      <c r="AH69" s="215" t="s">
        <v>771</v>
      </c>
      <c r="AI69" s="232" t="s">
        <v>58</v>
      </c>
      <c r="AJ69" s="232" t="s">
        <v>58</v>
      </c>
      <c r="AK69" s="232" t="s">
        <v>90</v>
      </c>
      <c r="AM69" s="193"/>
      <c r="AN69" s="193"/>
      <c r="AO69" s="193"/>
      <c r="AP69" s="193"/>
      <c r="AQ69" s="193"/>
    </row>
    <row r="70" spans="1:43" ht="90" hidden="1" customHeight="1">
      <c r="A70" s="216">
        <v>68</v>
      </c>
      <c r="B70" s="217">
        <v>1764</v>
      </c>
      <c r="C70" s="218" t="s">
        <v>109</v>
      </c>
      <c r="D70" s="218" t="s">
        <v>109</v>
      </c>
      <c r="E70" s="219" t="s">
        <v>871</v>
      </c>
      <c r="F70" s="216" t="s">
        <v>774</v>
      </c>
      <c r="G70" s="295" t="s">
        <v>793</v>
      </c>
      <c r="H70" s="221">
        <v>0.7</v>
      </c>
      <c r="I70" s="295" t="s">
        <v>793</v>
      </c>
      <c r="J70" s="241" t="s">
        <v>872</v>
      </c>
      <c r="K70" s="198"/>
      <c r="L70" s="198"/>
      <c r="M70" s="221">
        <v>0.3</v>
      </c>
      <c r="N70" s="221">
        <v>0.3</v>
      </c>
      <c r="O70" s="222">
        <v>0</v>
      </c>
      <c r="P70" s="198"/>
      <c r="Q70" s="233">
        <v>1</v>
      </c>
      <c r="R70" s="233"/>
      <c r="S70" s="233"/>
      <c r="T70" s="233"/>
      <c r="U70" s="198" t="s">
        <v>90</v>
      </c>
      <c r="V70" s="231">
        <v>2500</v>
      </c>
      <c r="W70" s="198" t="s">
        <v>58</v>
      </c>
      <c r="X70" s="224"/>
      <c r="Y70" s="198" t="s">
        <v>765</v>
      </c>
      <c r="Z70" s="225" t="s">
        <v>583</v>
      </c>
      <c r="AA70" s="210">
        <v>2500</v>
      </c>
      <c r="AB70" s="226">
        <v>2000000</v>
      </c>
      <c r="AC70" s="214" t="s">
        <v>803</v>
      </c>
      <c r="AD70" s="214" t="s">
        <v>789</v>
      </c>
      <c r="AE70" s="214"/>
      <c r="AF70" s="214"/>
      <c r="AG70" s="215" t="s">
        <v>770</v>
      </c>
      <c r="AH70" s="215" t="s">
        <v>771</v>
      </c>
      <c r="AI70" s="232"/>
      <c r="AJ70" s="232"/>
      <c r="AK70" s="232" t="s">
        <v>58</v>
      </c>
      <c r="AM70" s="193"/>
      <c r="AN70" s="193"/>
      <c r="AO70" s="193"/>
      <c r="AP70" s="193"/>
      <c r="AQ70" s="193"/>
    </row>
    <row r="71" spans="1:43" ht="90" hidden="1" customHeight="1">
      <c r="A71" s="194">
        <v>69</v>
      </c>
      <c r="B71" s="195">
        <v>1765</v>
      </c>
      <c r="C71" s="196" t="s">
        <v>100</v>
      </c>
      <c r="D71" s="196" t="s">
        <v>100</v>
      </c>
      <c r="E71" s="197" t="s">
        <v>873</v>
      </c>
      <c r="F71" s="195" t="s">
        <v>774</v>
      </c>
      <c r="G71" s="295" t="s">
        <v>793</v>
      </c>
      <c r="H71" s="199">
        <v>0.7</v>
      </c>
      <c r="I71" s="295" t="s">
        <v>793</v>
      </c>
      <c r="J71" s="241" t="s">
        <v>872</v>
      </c>
      <c r="K71" s="207"/>
      <c r="L71" s="229"/>
      <c r="M71" s="230">
        <v>0.3</v>
      </c>
      <c r="N71" s="230">
        <v>0.3</v>
      </c>
      <c r="O71" s="207">
        <v>0</v>
      </c>
      <c r="P71" s="199"/>
      <c r="Q71" s="233">
        <v>1</v>
      </c>
      <c r="R71" s="233"/>
      <c r="S71" s="233"/>
      <c r="T71" s="233"/>
      <c r="U71" s="206" t="s">
        <v>90</v>
      </c>
      <c r="V71" s="231">
        <v>2500</v>
      </c>
      <c r="W71" s="206" t="s">
        <v>58</v>
      </c>
      <c r="X71" s="207"/>
      <c r="Y71" s="208" t="s">
        <v>765</v>
      </c>
      <c r="Z71" s="209" t="s">
        <v>583</v>
      </c>
      <c r="AA71" s="210">
        <v>2500</v>
      </c>
      <c r="AB71" s="211">
        <v>2000000</v>
      </c>
      <c r="AC71" s="212" t="s">
        <v>803</v>
      </c>
      <c r="AD71" s="212" t="s">
        <v>789</v>
      </c>
      <c r="AE71" s="212"/>
      <c r="AF71" s="212"/>
      <c r="AG71" s="215" t="s">
        <v>770</v>
      </c>
      <c r="AH71" s="215" t="s">
        <v>771</v>
      </c>
      <c r="AI71" s="194"/>
      <c r="AJ71" s="194"/>
      <c r="AK71" s="232" t="s">
        <v>58</v>
      </c>
      <c r="AM71" s="193"/>
      <c r="AN71" s="193"/>
      <c r="AO71" s="193"/>
      <c r="AP71" s="193"/>
      <c r="AQ71" s="193"/>
    </row>
    <row r="72" spans="1:43" ht="90" customHeight="1">
      <c r="A72" s="216">
        <v>70</v>
      </c>
      <c r="B72" s="217">
        <v>1766</v>
      </c>
      <c r="C72" s="218" t="s">
        <v>269</v>
      </c>
      <c r="D72" s="218" t="s">
        <v>269</v>
      </c>
      <c r="E72" s="219" t="s">
        <v>660</v>
      </c>
      <c r="F72" s="216" t="s">
        <v>765</v>
      </c>
      <c r="G72" s="198" t="s">
        <v>765</v>
      </c>
      <c r="H72" s="199">
        <v>0.35</v>
      </c>
      <c r="I72" s="200" t="s">
        <v>766</v>
      </c>
      <c r="J72" s="220"/>
      <c r="K72" s="198"/>
      <c r="L72" s="198"/>
      <c r="M72" s="221">
        <v>0.3</v>
      </c>
      <c r="N72" s="221">
        <v>0.3</v>
      </c>
      <c r="O72" s="222">
        <v>0</v>
      </c>
      <c r="P72" s="198"/>
      <c r="Q72" s="223">
        <v>0</v>
      </c>
      <c r="R72" s="223"/>
      <c r="S72" s="223"/>
      <c r="T72" s="223"/>
      <c r="U72" s="198" t="s">
        <v>58</v>
      </c>
      <c r="V72" s="224">
        <v>0</v>
      </c>
      <c r="W72" s="198" t="s">
        <v>58</v>
      </c>
      <c r="X72" s="224"/>
      <c r="Y72" s="198" t="s">
        <v>765</v>
      </c>
      <c r="Z72" s="225" t="s">
        <v>583</v>
      </c>
      <c r="AA72" s="210">
        <v>2500</v>
      </c>
      <c r="AB72" s="226">
        <v>2000000</v>
      </c>
      <c r="AC72" s="214" t="s">
        <v>789</v>
      </c>
      <c r="AD72" s="214"/>
      <c r="AE72" s="214"/>
      <c r="AF72" s="214"/>
      <c r="AG72" s="215" t="s">
        <v>770</v>
      </c>
      <c r="AH72" s="215" t="s">
        <v>771</v>
      </c>
      <c r="AI72" s="232" t="s">
        <v>58</v>
      </c>
      <c r="AJ72" s="232" t="s">
        <v>58</v>
      </c>
      <c r="AK72" s="232" t="s">
        <v>90</v>
      </c>
      <c r="AL72" s="192" t="s">
        <v>90</v>
      </c>
      <c r="AM72" s="193"/>
      <c r="AN72" s="193"/>
      <c r="AO72" s="193"/>
      <c r="AP72" s="193"/>
      <c r="AQ72" s="193"/>
    </row>
    <row r="73" spans="1:43" ht="90" hidden="1" customHeight="1">
      <c r="A73" s="194">
        <v>71</v>
      </c>
      <c r="B73" s="195">
        <v>1770</v>
      </c>
      <c r="C73" s="196" t="s">
        <v>75</v>
      </c>
      <c r="D73" s="196" t="s">
        <v>75</v>
      </c>
      <c r="E73" s="197" t="s">
        <v>874</v>
      </c>
      <c r="F73" s="195" t="s">
        <v>765</v>
      </c>
      <c r="G73" s="295" t="s">
        <v>793</v>
      </c>
      <c r="H73" s="199">
        <v>0.35</v>
      </c>
      <c r="I73" s="295" t="s">
        <v>793</v>
      </c>
      <c r="J73" s="241" t="s">
        <v>872</v>
      </c>
      <c r="K73" s="207"/>
      <c r="L73" s="229"/>
      <c r="M73" s="230">
        <v>0.3</v>
      </c>
      <c r="N73" s="230">
        <v>0.3</v>
      </c>
      <c r="O73" s="207">
        <v>0</v>
      </c>
      <c r="P73" s="199"/>
      <c r="Q73" s="233">
        <v>0.1</v>
      </c>
      <c r="R73" s="233"/>
      <c r="S73" s="233"/>
      <c r="T73" s="233"/>
      <c r="U73" s="206" t="s">
        <v>90</v>
      </c>
      <c r="V73" s="231">
        <v>2500</v>
      </c>
      <c r="W73" s="206" t="s">
        <v>58</v>
      </c>
      <c r="X73" s="207"/>
      <c r="Y73" s="208" t="s">
        <v>765</v>
      </c>
      <c r="Z73" s="209" t="s">
        <v>583</v>
      </c>
      <c r="AA73" s="210">
        <v>2500</v>
      </c>
      <c r="AB73" s="211">
        <v>2000000</v>
      </c>
      <c r="AC73" s="212" t="s">
        <v>785</v>
      </c>
      <c r="AD73" s="212" t="s">
        <v>769</v>
      </c>
      <c r="AE73" s="212"/>
      <c r="AF73" s="212"/>
      <c r="AG73" s="215" t="s">
        <v>770</v>
      </c>
      <c r="AH73" s="215" t="s">
        <v>771</v>
      </c>
      <c r="AI73" s="194"/>
      <c r="AJ73" s="194"/>
      <c r="AK73" s="232" t="s">
        <v>58</v>
      </c>
      <c r="AM73" s="193"/>
      <c r="AN73" s="193"/>
      <c r="AO73" s="193"/>
      <c r="AP73" s="193"/>
      <c r="AQ73" s="193"/>
    </row>
    <row r="74" spans="1:43" ht="90" customHeight="1">
      <c r="A74" s="216">
        <v>72</v>
      </c>
      <c r="B74" s="217">
        <v>1774</v>
      </c>
      <c r="C74" s="218" t="s">
        <v>118</v>
      </c>
      <c r="D74" s="218" t="s">
        <v>118</v>
      </c>
      <c r="E74" s="219" t="s">
        <v>118</v>
      </c>
      <c r="F74" s="216" t="s">
        <v>765</v>
      </c>
      <c r="G74" s="198" t="s">
        <v>765</v>
      </c>
      <c r="H74" s="199">
        <v>0.35</v>
      </c>
      <c r="I74" s="220" t="s">
        <v>919</v>
      </c>
      <c r="J74" s="297" t="s">
        <v>957</v>
      </c>
      <c r="K74" s="299">
        <v>1</v>
      </c>
      <c r="L74" s="198"/>
      <c r="M74" s="221">
        <v>0</v>
      </c>
      <c r="N74" s="221">
        <v>0</v>
      </c>
      <c r="O74" s="222">
        <v>0</v>
      </c>
      <c r="P74" s="198"/>
      <c r="Q74" s="233">
        <v>0.4</v>
      </c>
      <c r="R74" s="233"/>
      <c r="S74" s="233"/>
      <c r="T74" s="233"/>
      <c r="U74" s="198" t="s">
        <v>58</v>
      </c>
      <c r="V74" s="224">
        <v>0</v>
      </c>
      <c r="W74" s="198" t="s">
        <v>58</v>
      </c>
      <c r="X74" s="224"/>
      <c r="Y74" s="198" t="s">
        <v>765</v>
      </c>
      <c r="Z74" s="225" t="s">
        <v>583</v>
      </c>
      <c r="AA74" s="210">
        <v>2500</v>
      </c>
      <c r="AB74" s="226">
        <v>2000000</v>
      </c>
      <c r="AC74" s="214" t="s">
        <v>785</v>
      </c>
      <c r="AD74" s="214" t="s">
        <v>769</v>
      </c>
      <c r="AE74" s="214" t="s">
        <v>767</v>
      </c>
      <c r="AF74" s="214"/>
      <c r="AG74" s="215" t="s">
        <v>770</v>
      </c>
      <c r="AH74" s="215" t="s">
        <v>771</v>
      </c>
      <c r="AI74" s="232" t="s">
        <v>90</v>
      </c>
      <c r="AJ74" s="232" t="s">
        <v>90</v>
      </c>
      <c r="AK74" s="232" t="s">
        <v>90</v>
      </c>
      <c r="AL74" s="192" t="s">
        <v>90</v>
      </c>
      <c r="AM74" s="193"/>
      <c r="AN74" s="193"/>
      <c r="AO74" s="193"/>
      <c r="AP74" s="193"/>
      <c r="AQ74" s="193"/>
    </row>
    <row r="75" spans="1:43" ht="90" hidden="1" customHeight="1">
      <c r="A75" s="194">
        <v>73</v>
      </c>
      <c r="B75" s="195">
        <v>1775</v>
      </c>
      <c r="C75" s="196" t="s">
        <v>875</v>
      </c>
      <c r="D75" s="196" t="s">
        <v>875</v>
      </c>
      <c r="E75" s="197" t="s">
        <v>875</v>
      </c>
      <c r="F75" s="228" t="s">
        <v>793</v>
      </c>
      <c r="G75" s="198" t="s">
        <v>793</v>
      </c>
      <c r="H75" s="199">
        <v>0</v>
      </c>
      <c r="I75" s="198" t="s">
        <v>793</v>
      </c>
      <c r="J75" s="201"/>
      <c r="K75" s="207"/>
      <c r="L75" s="229"/>
      <c r="M75" s="230">
        <v>0</v>
      </c>
      <c r="N75" s="230"/>
      <c r="O75" s="207"/>
      <c r="P75" s="199"/>
      <c r="Q75" s="205"/>
      <c r="R75" s="205"/>
      <c r="S75" s="205"/>
      <c r="T75" s="205"/>
      <c r="U75" s="206"/>
      <c r="V75" s="206"/>
      <c r="W75" s="206"/>
      <c r="X75" s="207"/>
      <c r="Y75" s="208"/>
      <c r="Z75" s="209"/>
      <c r="AA75" s="210"/>
      <c r="AB75" s="211"/>
      <c r="AC75" s="212"/>
      <c r="AD75" s="212"/>
      <c r="AE75" s="212"/>
      <c r="AF75" s="212"/>
      <c r="AG75" s="215"/>
      <c r="AH75" s="215"/>
      <c r="AI75" s="194"/>
      <c r="AJ75" s="194"/>
      <c r="AK75" s="232" t="s">
        <v>58</v>
      </c>
      <c r="AM75" s="193"/>
      <c r="AN75" s="193"/>
      <c r="AO75" s="193"/>
      <c r="AP75" s="193"/>
      <c r="AQ75" s="193"/>
    </row>
    <row r="76" spans="1:43" ht="90" hidden="1" customHeight="1">
      <c r="A76" s="216">
        <v>74</v>
      </c>
      <c r="B76" s="217">
        <v>1776</v>
      </c>
      <c r="C76" s="218" t="s">
        <v>876</v>
      </c>
      <c r="D76" s="218" t="s">
        <v>876</v>
      </c>
      <c r="E76" s="219" t="s">
        <v>876</v>
      </c>
      <c r="F76" s="228" t="s">
        <v>793</v>
      </c>
      <c r="G76" s="198" t="s">
        <v>793</v>
      </c>
      <c r="H76" s="199">
        <v>0</v>
      </c>
      <c r="I76" s="198" t="s">
        <v>793</v>
      </c>
      <c r="J76" s="220"/>
      <c r="K76" s="198"/>
      <c r="L76" s="198"/>
      <c r="M76" s="230">
        <v>0</v>
      </c>
      <c r="N76" s="221"/>
      <c r="O76" s="222"/>
      <c r="P76" s="198"/>
      <c r="Q76" s="223"/>
      <c r="R76" s="223"/>
      <c r="S76" s="223"/>
      <c r="T76" s="223"/>
      <c r="U76" s="198"/>
      <c r="V76" s="224"/>
      <c r="W76" s="198"/>
      <c r="X76" s="224"/>
      <c r="Y76" s="198"/>
      <c r="Z76" s="225"/>
      <c r="AA76" s="234"/>
      <c r="AB76" s="226"/>
      <c r="AC76" s="214"/>
      <c r="AD76" s="214"/>
      <c r="AE76" s="214"/>
      <c r="AF76" s="214"/>
      <c r="AG76" s="215"/>
      <c r="AH76" s="215"/>
      <c r="AI76" s="232"/>
      <c r="AJ76" s="232"/>
      <c r="AK76" s="232" t="s">
        <v>58</v>
      </c>
      <c r="AM76" s="193"/>
      <c r="AN76" s="193"/>
      <c r="AO76" s="193"/>
      <c r="AP76" s="193"/>
      <c r="AQ76" s="193"/>
    </row>
    <row r="77" spans="1:43" ht="90" hidden="1" customHeight="1">
      <c r="A77" s="194">
        <v>75</v>
      </c>
      <c r="B77" s="195">
        <v>1777</v>
      </c>
      <c r="C77" s="196" t="s">
        <v>366</v>
      </c>
      <c r="D77" s="196" t="s">
        <v>366</v>
      </c>
      <c r="E77" s="197" t="s">
        <v>877</v>
      </c>
      <c r="F77" s="195" t="s">
        <v>765</v>
      </c>
      <c r="G77" s="295" t="s">
        <v>793</v>
      </c>
      <c r="H77" s="199">
        <v>0.35</v>
      </c>
      <c r="I77" s="295" t="s">
        <v>793</v>
      </c>
      <c r="J77" s="201"/>
      <c r="K77" s="207"/>
      <c r="L77" s="229"/>
      <c r="M77" s="230">
        <v>0.3</v>
      </c>
      <c r="N77" s="230">
        <v>0.3</v>
      </c>
      <c r="O77" s="207">
        <v>0</v>
      </c>
      <c r="P77" s="199"/>
      <c r="Q77" s="205">
        <v>0</v>
      </c>
      <c r="R77" s="205"/>
      <c r="S77" s="205"/>
      <c r="T77" s="205"/>
      <c r="U77" s="206" t="s">
        <v>90</v>
      </c>
      <c r="V77" s="231">
        <v>5000</v>
      </c>
      <c r="W77" s="231" t="s">
        <v>90</v>
      </c>
      <c r="X77" s="207"/>
      <c r="Y77" s="208" t="s">
        <v>765</v>
      </c>
      <c r="Z77" s="236" t="s">
        <v>796</v>
      </c>
      <c r="AA77" s="239">
        <v>5000</v>
      </c>
      <c r="AB77" s="211">
        <v>2000000</v>
      </c>
      <c r="AC77" s="214" t="s">
        <v>878</v>
      </c>
      <c r="AD77" s="212"/>
      <c r="AE77" s="212"/>
      <c r="AF77" s="212"/>
      <c r="AG77" s="215" t="s">
        <v>770</v>
      </c>
      <c r="AH77" s="215" t="s">
        <v>771</v>
      </c>
      <c r="AI77" s="232" t="s">
        <v>58</v>
      </c>
      <c r="AJ77" s="232" t="s">
        <v>58</v>
      </c>
      <c r="AK77" s="232" t="s">
        <v>58</v>
      </c>
      <c r="AM77" s="193"/>
      <c r="AN77" s="193"/>
      <c r="AO77" s="193"/>
      <c r="AP77" s="193"/>
      <c r="AQ77" s="193"/>
    </row>
    <row r="78" spans="1:43" ht="90" hidden="1" customHeight="1">
      <c r="A78" s="216">
        <v>76</v>
      </c>
      <c r="B78" s="217">
        <v>1778</v>
      </c>
      <c r="C78" s="218" t="s">
        <v>308</v>
      </c>
      <c r="D78" s="218" t="s">
        <v>308</v>
      </c>
      <c r="E78" s="219" t="s">
        <v>879</v>
      </c>
      <c r="F78" s="216" t="s">
        <v>765</v>
      </c>
      <c r="G78" s="295" t="s">
        <v>793</v>
      </c>
      <c r="H78" s="199">
        <v>0.35</v>
      </c>
      <c r="I78" s="295" t="s">
        <v>793</v>
      </c>
      <c r="J78" s="220"/>
      <c r="K78" s="198"/>
      <c r="L78" s="198"/>
      <c r="M78" s="221">
        <v>0.3</v>
      </c>
      <c r="N78" s="221">
        <v>0.3</v>
      </c>
      <c r="O78" s="222">
        <v>0</v>
      </c>
      <c r="P78" s="198"/>
      <c r="Q78" s="223">
        <v>0</v>
      </c>
      <c r="R78" s="223"/>
      <c r="S78" s="223"/>
      <c r="T78" s="223"/>
      <c r="U78" s="198" t="s">
        <v>90</v>
      </c>
      <c r="V78" s="231">
        <v>5000</v>
      </c>
      <c r="W78" s="235" t="s">
        <v>90</v>
      </c>
      <c r="X78" s="224"/>
      <c r="Y78" s="198" t="s">
        <v>765</v>
      </c>
      <c r="Z78" s="236" t="s">
        <v>796</v>
      </c>
      <c r="AA78" s="237">
        <v>2500</v>
      </c>
      <c r="AB78" s="226">
        <v>2000000</v>
      </c>
      <c r="AC78" s="214" t="s">
        <v>785</v>
      </c>
      <c r="AD78" s="214" t="s">
        <v>769</v>
      </c>
      <c r="AE78" s="214" t="s">
        <v>767</v>
      </c>
      <c r="AF78" s="214"/>
      <c r="AG78" s="215" t="s">
        <v>770</v>
      </c>
      <c r="AH78" s="215" t="s">
        <v>771</v>
      </c>
      <c r="AI78" s="232" t="s">
        <v>90</v>
      </c>
      <c r="AJ78" s="232" t="s">
        <v>90</v>
      </c>
      <c r="AK78" s="232" t="s">
        <v>58</v>
      </c>
      <c r="AM78" s="193"/>
      <c r="AN78" s="193"/>
      <c r="AO78" s="193"/>
      <c r="AP78" s="193"/>
      <c r="AQ78" s="193"/>
    </row>
    <row r="79" spans="1:43" ht="90" hidden="1" customHeight="1">
      <c r="A79" s="194">
        <v>77</v>
      </c>
      <c r="B79" s="195">
        <v>1779</v>
      </c>
      <c r="C79" s="196" t="s">
        <v>880</v>
      </c>
      <c r="D79" s="196" t="s">
        <v>880</v>
      </c>
      <c r="E79" s="197" t="s">
        <v>881</v>
      </c>
      <c r="F79" s="195" t="s">
        <v>774</v>
      </c>
      <c r="G79" s="198" t="s">
        <v>793</v>
      </c>
      <c r="H79" s="199">
        <v>0</v>
      </c>
      <c r="I79" s="220" t="s">
        <v>919</v>
      </c>
      <c r="J79" s="201"/>
      <c r="K79" s="207"/>
      <c r="L79" s="229"/>
      <c r="M79" s="230">
        <v>0</v>
      </c>
      <c r="N79" s="230"/>
      <c r="O79" s="207"/>
      <c r="P79" s="199"/>
      <c r="Q79" s="205"/>
      <c r="R79" s="205"/>
      <c r="S79" s="205"/>
      <c r="T79" s="205"/>
      <c r="U79" s="206"/>
      <c r="V79" s="206"/>
      <c r="W79" s="206"/>
      <c r="X79" s="207"/>
      <c r="Y79" s="208"/>
      <c r="Z79" s="209"/>
      <c r="AA79" s="210">
        <v>2500</v>
      </c>
      <c r="AB79" s="211"/>
      <c r="AC79" s="212"/>
      <c r="AD79" s="212"/>
      <c r="AE79" s="212"/>
      <c r="AF79" s="212"/>
      <c r="AG79" s="215" t="s">
        <v>770</v>
      </c>
      <c r="AH79" s="215" t="s">
        <v>771</v>
      </c>
      <c r="AI79" s="194"/>
      <c r="AJ79" s="194"/>
      <c r="AK79" s="232" t="s">
        <v>58</v>
      </c>
      <c r="AM79" s="193"/>
      <c r="AN79" s="193"/>
      <c r="AO79" s="193"/>
      <c r="AP79" s="193"/>
      <c r="AQ79" s="193"/>
    </row>
    <row r="80" spans="1:43" ht="90" hidden="1" customHeight="1">
      <c r="A80" s="216">
        <v>78</v>
      </c>
      <c r="B80" s="217">
        <v>1780</v>
      </c>
      <c r="C80" s="218" t="s">
        <v>136</v>
      </c>
      <c r="D80" s="218" t="s">
        <v>136</v>
      </c>
      <c r="E80" s="219" t="s">
        <v>882</v>
      </c>
      <c r="F80" s="216" t="s">
        <v>765</v>
      </c>
      <c r="G80" s="295" t="s">
        <v>793</v>
      </c>
      <c r="H80" s="199">
        <v>0.35</v>
      </c>
      <c r="I80" s="295" t="s">
        <v>793</v>
      </c>
      <c r="J80" s="220"/>
      <c r="K80" s="198"/>
      <c r="L80" s="198"/>
      <c r="M80" s="221">
        <v>0.3</v>
      </c>
      <c r="N80" s="221">
        <v>0.3</v>
      </c>
      <c r="O80" s="222">
        <v>0</v>
      </c>
      <c r="P80" s="198"/>
      <c r="Q80" s="233">
        <v>1</v>
      </c>
      <c r="R80" s="233"/>
      <c r="S80" s="233"/>
      <c r="T80" s="233"/>
      <c r="U80" s="198" t="s">
        <v>90</v>
      </c>
      <c r="V80" s="231">
        <v>2500</v>
      </c>
      <c r="W80" s="198" t="s">
        <v>58</v>
      </c>
      <c r="X80" s="224"/>
      <c r="Y80" s="198" t="s">
        <v>765</v>
      </c>
      <c r="Z80" s="225" t="s">
        <v>583</v>
      </c>
      <c r="AA80" s="210">
        <v>2500</v>
      </c>
      <c r="AB80" s="226">
        <v>2000000</v>
      </c>
      <c r="AC80" s="214" t="s">
        <v>878</v>
      </c>
      <c r="AD80" s="214"/>
      <c r="AE80" s="214"/>
      <c r="AF80" s="214"/>
      <c r="AG80" s="215" t="s">
        <v>770</v>
      </c>
      <c r="AH80" s="215" t="s">
        <v>771</v>
      </c>
      <c r="AI80" s="232" t="s">
        <v>58</v>
      </c>
      <c r="AJ80" s="232" t="s">
        <v>58</v>
      </c>
      <c r="AK80" s="232" t="s">
        <v>90</v>
      </c>
      <c r="AM80" s="193"/>
      <c r="AN80" s="193"/>
      <c r="AO80" s="193"/>
      <c r="AP80" s="193"/>
      <c r="AQ80" s="193"/>
    </row>
    <row r="81" spans="1:43" ht="90" hidden="1" customHeight="1">
      <c r="A81" s="194">
        <v>79</v>
      </c>
      <c r="B81" s="195">
        <v>1781</v>
      </c>
      <c r="C81" s="196" t="s">
        <v>883</v>
      </c>
      <c r="D81" s="196" t="s">
        <v>883</v>
      </c>
      <c r="E81" s="197" t="s">
        <v>884</v>
      </c>
      <c r="F81" s="195" t="s">
        <v>885</v>
      </c>
      <c r="G81" s="198" t="s">
        <v>793</v>
      </c>
      <c r="H81" s="199">
        <v>0.35</v>
      </c>
      <c r="I81" s="220" t="s">
        <v>919</v>
      </c>
      <c r="J81" s="201"/>
      <c r="K81" s="207"/>
      <c r="L81" s="229"/>
      <c r="M81" s="230">
        <v>0</v>
      </c>
      <c r="N81" s="230"/>
      <c r="O81" s="207"/>
      <c r="P81" s="199"/>
      <c r="Q81" s="205">
        <v>0</v>
      </c>
      <c r="R81" s="205"/>
      <c r="S81" s="205"/>
      <c r="T81" s="205"/>
      <c r="U81" s="206" t="s">
        <v>58</v>
      </c>
      <c r="V81" s="206">
        <v>0</v>
      </c>
      <c r="W81" s="206" t="s">
        <v>58</v>
      </c>
      <c r="X81" s="207"/>
      <c r="Y81" s="208"/>
      <c r="Z81" s="209"/>
      <c r="AA81" s="210">
        <v>2500</v>
      </c>
      <c r="AB81" s="211"/>
      <c r="AC81" s="212"/>
      <c r="AD81" s="212"/>
      <c r="AE81" s="212"/>
      <c r="AF81" s="212"/>
      <c r="AG81" s="215" t="s">
        <v>770</v>
      </c>
      <c r="AH81" s="215" t="s">
        <v>771</v>
      </c>
      <c r="AI81" s="194"/>
      <c r="AJ81" s="194"/>
      <c r="AK81" s="232" t="s">
        <v>58</v>
      </c>
      <c r="AM81" s="193"/>
      <c r="AN81" s="193"/>
      <c r="AO81" s="193"/>
      <c r="AP81" s="193"/>
      <c r="AQ81" s="193"/>
    </row>
    <row r="82" spans="1:43" ht="90" hidden="1" customHeight="1">
      <c r="A82" s="216">
        <v>80</v>
      </c>
      <c r="B82" s="217">
        <v>1783</v>
      </c>
      <c r="C82" s="218" t="s">
        <v>282</v>
      </c>
      <c r="D82" s="218" t="s">
        <v>282</v>
      </c>
      <c r="E82" s="219" t="s">
        <v>676</v>
      </c>
      <c r="F82" s="216" t="s">
        <v>774</v>
      </c>
      <c r="G82" s="198" t="s">
        <v>793</v>
      </c>
      <c r="H82" s="221">
        <v>0.35</v>
      </c>
      <c r="I82" s="200" t="s">
        <v>766</v>
      </c>
      <c r="J82" s="220"/>
      <c r="K82" s="198"/>
      <c r="L82" s="198"/>
      <c r="M82" s="221">
        <v>0.3</v>
      </c>
      <c r="N82" s="221">
        <v>0.3</v>
      </c>
      <c r="O82" s="222">
        <v>0.05</v>
      </c>
      <c r="P82" s="198"/>
      <c r="Q82" s="223">
        <v>0</v>
      </c>
      <c r="R82" s="223"/>
      <c r="S82" s="223"/>
      <c r="T82" s="223"/>
      <c r="U82" s="198" t="s">
        <v>58</v>
      </c>
      <c r="V82" s="224">
        <v>0</v>
      </c>
      <c r="W82" s="198" t="s">
        <v>58</v>
      </c>
      <c r="X82" s="224"/>
      <c r="Y82" s="198" t="s">
        <v>765</v>
      </c>
      <c r="Z82" s="225" t="s">
        <v>583</v>
      </c>
      <c r="AA82" s="234" t="s">
        <v>583</v>
      </c>
      <c r="AB82" s="226">
        <v>2000000</v>
      </c>
      <c r="AC82" s="214"/>
      <c r="AD82" s="214"/>
      <c r="AE82" s="214"/>
      <c r="AF82" s="214"/>
      <c r="AG82" s="215" t="s">
        <v>770</v>
      </c>
      <c r="AH82" s="215" t="s">
        <v>771</v>
      </c>
      <c r="AI82" s="232" t="s">
        <v>58</v>
      </c>
      <c r="AJ82" s="232" t="s">
        <v>58</v>
      </c>
      <c r="AK82" s="232" t="s">
        <v>90</v>
      </c>
      <c r="AM82" s="193"/>
      <c r="AN82" s="193"/>
      <c r="AO82" s="193"/>
      <c r="AP82" s="193"/>
      <c r="AQ82" s="193"/>
    </row>
    <row r="83" spans="1:43" ht="90" hidden="1" customHeight="1">
      <c r="A83" s="194">
        <v>81</v>
      </c>
      <c r="B83" s="195">
        <v>1811</v>
      </c>
      <c r="C83" s="196" t="s">
        <v>886</v>
      </c>
      <c r="D83" s="196" t="s">
        <v>886</v>
      </c>
      <c r="E83" s="197" t="s">
        <v>887</v>
      </c>
      <c r="F83" s="195" t="s">
        <v>765</v>
      </c>
      <c r="G83" s="198" t="s">
        <v>793</v>
      </c>
      <c r="H83" s="199">
        <v>0.35</v>
      </c>
      <c r="I83" s="267" t="s">
        <v>920</v>
      </c>
      <c r="J83" s="201"/>
      <c r="K83" s="207"/>
      <c r="L83" s="229"/>
      <c r="M83" s="221">
        <v>0.3</v>
      </c>
      <c r="N83" s="221">
        <v>0.3</v>
      </c>
      <c r="O83" s="222">
        <v>0.05</v>
      </c>
      <c r="P83" s="199"/>
      <c r="Q83" s="205">
        <v>0</v>
      </c>
      <c r="R83" s="205"/>
      <c r="S83" s="205"/>
      <c r="T83" s="205"/>
      <c r="U83" s="206" t="s">
        <v>58</v>
      </c>
      <c r="V83" s="206">
        <v>0</v>
      </c>
      <c r="W83" s="206" t="s">
        <v>58</v>
      </c>
      <c r="X83" s="207"/>
      <c r="Y83" s="208"/>
      <c r="Z83" s="209"/>
      <c r="AA83" s="210">
        <v>2500</v>
      </c>
      <c r="AB83" s="211"/>
      <c r="AC83" s="212"/>
      <c r="AD83" s="212"/>
      <c r="AE83" s="212"/>
      <c r="AF83" s="212"/>
      <c r="AG83" s="215" t="s">
        <v>770</v>
      </c>
      <c r="AH83" s="215" t="s">
        <v>771</v>
      </c>
      <c r="AI83" s="232" t="s">
        <v>58</v>
      </c>
      <c r="AJ83" s="232" t="s">
        <v>58</v>
      </c>
      <c r="AK83" s="232" t="s">
        <v>90</v>
      </c>
      <c r="AM83" s="193"/>
      <c r="AN83" s="193"/>
      <c r="AO83" s="193"/>
      <c r="AP83" s="193"/>
      <c r="AQ83" s="193"/>
    </row>
    <row r="84" spans="1:43" ht="90" customHeight="1">
      <c r="A84" s="216">
        <v>82</v>
      </c>
      <c r="B84" s="217">
        <v>1812</v>
      </c>
      <c r="C84" s="218" t="s">
        <v>169</v>
      </c>
      <c r="D84" s="218" t="s">
        <v>169</v>
      </c>
      <c r="E84" s="219" t="s">
        <v>888</v>
      </c>
      <c r="F84" s="216" t="s">
        <v>765</v>
      </c>
      <c r="G84" s="198" t="s">
        <v>765</v>
      </c>
      <c r="H84" s="221">
        <v>0.7</v>
      </c>
      <c r="I84" s="267" t="s">
        <v>920</v>
      </c>
      <c r="J84" s="220"/>
      <c r="K84" s="198"/>
      <c r="L84" s="198"/>
      <c r="M84" s="221">
        <v>0.3</v>
      </c>
      <c r="N84" s="221">
        <v>0.3</v>
      </c>
      <c r="O84" s="222">
        <v>0.05</v>
      </c>
      <c r="P84" s="198"/>
      <c r="Q84" s="223">
        <v>0</v>
      </c>
      <c r="R84" s="223"/>
      <c r="S84" s="223"/>
      <c r="T84" s="223"/>
      <c r="U84" s="198" t="s">
        <v>58</v>
      </c>
      <c r="V84" s="224">
        <v>0</v>
      </c>
      <c r="W84" s="198" t="s">
        <v>58</v>
      </c>
      <c r="X84" s="224"/>
      <c r="Y84" s="198" t="s">
        <v>765</v>
      </c>
      <c r="Z84" s="225" t="s">
        <v>583</v>
      </c>
      <c r="AA84" s="210">
        <v>2500</v>
      </c>
      <c r="AB84" s="226">
        <v>2000000</v>
      </c>
      <c r="AC84" s="214" t="s">
        <v>767</v>
      </c>
      <c r="AD84" s="214"/>
      <c r="AE84" s="214"/>
      <c r="AF84" s="214"/>
      <c r="AG84" s="215" t="s">
        <v>770</v>
      </c>
      <c r="AH84" s="215" t="s">
        <v>771</v>
      </c>
      <c r="AI84" s="232" t="s">
        <v>58</v>
      </c>
      <c r="AJ84" s="232" t="s">
        <v>58</v>
      </c>
      <c r="AK84" s="232" t="s">
        <v>90</v>
      </c>
      <c r="AL84" s="192" t="s">
        <v>90</v>
      </c>
      <c r="AM84" s="193"/>
      <c r="AN84" s="193"/>
      <c r="AO84" s="193"/>
      <c r="AP84" s="193"/>
      <c r="AQ84" s="193"/>
    </row>
    <row r="85" spans="1:43" ht="90" hidden="1" customHeight="1">
      <c r="A85" s="194">
        <v>83</v>
      </c>
      <c r="B85" s="195">
        <v>1813</v>
      </c>
      <c r="C85" s="196" t="s">
        <v>278</v>
      </c>
      <c r="D85" s="196" t="s">
        <v>278</v>
      </c>
      <c r="E85" s="197" t="s">
        <v>677</v>
      </c>
      <c r="F85" s="195" t="s">
        <v>765</v>
      </c>
      <c r="G85" s="198" t="s">
        <v>793</v>
      </c>
      <c r="H85" s="199">
        <v>0.35</v>
      </c>
      <c r="I85" s="267" t="s">
        <v>920</v>
      </c>
      <c r="J85" s="201"/>
      <c r="K85" s="207"/>
      <c r="L85" s="229"/>
      <c r="M85" s="230">
        <v>0</v>
      </c>
      <c r="N85" s="230">
        <v>0</v>
      </c>
      <c r="O85" s="207">
        <v>0</v>
      </c>
      <c r="P85" s="199"/>
      <c r="Q85" s="205">
        <v>0</v>
      </c>
      <c r="R85" s="205"/>
      <c r="S85" s="205"/>
      <c r="T85" s="205"/>
      <c r="U85" s="206" t="s">
        <v>58</v>
      </c>
      <c r="V85" s="206">
        <v>0</v>
      </c>
      <c r="W85" s="206" t="s">
        <v>58</v>
      </c>
      <c r="X85" s="207"/>
      <c r="Y85" s="208" t="s">
        <v>765</v>
      </c>
      <c r="Z85" s="209" t="s">
        <v>583</v>
      </c>
      <c r="AA85" s="210">
        <v>2500</v>
      </c>
      <c r="AB85" s="211">
        <v>2000000</v>
      </c>
      <c r="AC85" s="212"/>
      <c r="AD85" s="212"/>
      <c r="AE85" s="212"/>
      <c r="AF85" s="212"/>
      <c r="AG85" s="215" t="s">
        <v>770</v>
      </c>
      <c r="AH85" s="215" t="s">
        <v>771</v>
      </c>
      <c r="AI85" s="232" t="s">
        <v>58</v>
      </c>
      <c r="AJ85" s="232" t="s">
        <v>58</v>
      </c>
      <c r="AK85" s="232" t="s">
        <v>90</v>
      </c>
      <c r="AM85" s="193"/>
      <c r="AN85" s="193"/>
      <c r="AO85" s="193"/>
      <c r="AP85" s="193"/>
      <c r="AQ85" s="193"/>
    </row>
    <row r="86" spans="1:43" ht="90" hidden="1" customHeight="1">
      <c r="A86" s="216">
        <v>84</v>
      </c>
      <c r="B86" s="195">
        <v>1814</v>
      </c>
      <c r="C86" s="196" t="s">
        <v>274</v>
      </c>
      <c r="D86" s="196" t="s">
        <v>274</v>
      </c>
      <c r="E86" s="197" t="s">
        <v>678</v>
      </c>
      <c r="F86" s="195" t="s">
        <v>765</v>
      </c>
      <c r="G86" s="198" t="s">
        <v>793</v>
      </c>
      <c r="H86" s="199">
        <v>0.35</v>
      </c>
      <c r="I86" s="267" t="s">
        <v>920</v>
      </c>
      <c r="J86" s="201"/>
      <c r="K86" s="207"/>
      <c r="L86" s="229"/>
      <c r="M86" s="230">
        <v>0</v>
      </c>
      <c r="N86" s="230">
        <v>0</v>
      </c>
      <c r="O86" s="207">
        <v>0</v>
      </c>
      <c r="P86" s="199"/>
      <c r="Q86" s="205">
        <v>0</v>
      </c>
      <c r="R86" s="205"/>
      <c r="S86" s="205"/>
      <c r="T86" s="205"/>
      <c r="U86" s="206" t="s">
        <v>58</v>
      </c>
      <c r="V86" s="206">
        <v>0</v>
      </c>
      <c r="W86" s="206" t="s">
        <v>58</v>
      </c>
      <c r="X86" s="207"/>
      <c r="Y86" s="208" t="s">
        <v>765</v>
      </c>
      <c r="Z86" s="209" t="s">
        <v>583</v>
      </c>
      <c r="AA86" s="210">
        <v>2500</v>
      </c>
      <c r="AB86" s="211">
        <v>2000000</v>
      </c>
      <c r="AC86" s="212"/>
      <c r="AD86" s="212"/>
      <c r="AE86" s="212"/>
      <c r="AF86" s="212"/>
      <c r="AG86" s="215" t="s">
        <v>770</v>
      </c>
      <c r="AH86" s="215" t="s">
        <v>771</v>
      </c>
      <c r="AI86" s="232" t="s">
        <v>58</v>
      </c>
      <c r="AJ86" s="232" t="s">
        <v>58</v>
      </c>
      <c r="AK86" s="232" t="s">
        <v>90</v>
      </c>
      <c r="AM86" s="193"/>
      <c r="AN86" s="193"/>
      <c r="AO86" s="193"/>
      <c r="AP86" s="193"/>
      <c r="AQ86" s="193"/>
    </row>
    <row r="87" spans="1:43" ht="90" hidden="1" customHeight="1">
      <c r="A87" s="194">
        <v>85</v>
      </c>
      <c r="B87" s="217">
        <v>1830</v>
      </c>
      <c r="C87" s="218" t="s">
        <v>680</v>
      </c>
      <c r="D87" s="218" t="s">
        <v>680</v>
      </c>
      <c r="E87" s="219" t="s">
        <v>679</v>
      </c>
      <c r="F87" s="216" t="s">
        <v>889</v>
      </c>
      <c r="G87" s="198" t="s">
        <v>793</v>
      </c>
      <c r="H87" s="199">
        <v>0</v>
      </c>
      <c r="I87" s="198" t="s">
        <v>793</v>
      </c>
      <c r="J87" s="220"/>
      <c r="K87" s="198"/>
      <c r="L87" s="198"/>
      <c r="M87" s="221">
        <v>0.3</v>
      </c>
      <c r="N87" s="221">
        <v>0.3</v>
      </c>
      <c r="O87" s="222">
        <v>0.05</v>
      </c>
      <c r="P87" s="198"/>
      <c r="Q87" s="223">
        <v>0</v>
      </c>
      <c r="R87" s="223"/>
      <c r="S87" s="223"/>
      <c r="T87" s="223"/>
      <c r="U87" s="198" t="s">
        <v>58</v>
      </c>
      <c r="V87" s="224">
        <v>0</v>
      </c>
      <c r="W87" s="198" t="s">
        <v>58</v>
      </c>
      <c r="X87" s="224"/>
      <c r="Y87" s="198"/>
      <c r="Z87" s="225"/>
      <c r="AA87" s="210">
        <v>2500</v>
      </c>
      <c r="AB87" s="226"/>
      <c r="AC87" s="214"/>
      <c r="AD87" s="214"/>
      <c r="AE87" s="214"/>
      <c r="AF87" s="214"/>
      <c r="AG87" s="215" t="s">
        <v>770</v>
      </c>
      <c r="AH87" s="215" t="s">
        <v>771</v>
      </c>
      <c r="AI87" s="232" t="s">
        <v>58</v>
      </c>
      <c r="AJ87" s="232" t="s">
        <v>58</v>
      </c>
      <c r="AK87" s="232" t="s">
        <v>90</v>
      </c>
      <c r="AM87" s="193"/>
      <c r="AN87" s="193"/>
      <c r="AO87" s="193"/>
      <c r="AP87" s="193"/>
      <c r="AQ87" s="193"/>
    </row>
    <row r="88" spans="1:43" ht="90" customHeight="1">
      <c r="A88" s="216">
        <v>86</v>
      </c>
      <c r="B88" s="195">
        <v>1831</v>
      </c>
      <c r="C88" s="196" t="s">
        <v>336</v>
      </c>
      <c r="D88" s="196" t="s">
        <v>336</v>
      </c>
      <c r="E88" s="197" t="s">
        <v>661</v>
      </c>
      <c r="F88" s="195" t="s">
        <v>765</v>
      </c>
      <c r="G88" s="198" t="s">
        <v>765</v>
      </c>
      <c r="H88" s="199">
        <v>0.35</v>
      </c>
      <c r="I88" s="200" t="s">
        <v>766</v>
      </c>
      <c r="J88" s="201"/>
      <c r="K88" s="207"/>
      <c r="L88" s="229"/>
      <c r="M88" s="230">
        <v>0</v>
      </c>
      <c r="N88" s="230">
        <v>0</v>
      </c>
      <c r="O88" s="207">
        <v>0</v>
      </c>
      <c r="P88" s="199"/>
      <c r="Q88" s="223">
        <v>0.25</v>
      </c>
      <c r="R88" s="205"/>
      <c r="S88" s="205"/>
      <c r="T88" s="205"/>
      <c r="U88" s="206" t="s">
        <v>58</v>
      </c>
      <c r="V88" s="206">
        <v>0</v>
      </c>
      <c r="W88" s="206" t="s">
        <v>58</v>
      </c>
      <c r="X88" s="207"/>
      <c r="Y88" s="208" t="s">
        <v>765</v>
      </c>
      <c r="Z88" s="209" t="s">
        <v>583</v>
      </c>
      <c r="AA88" s="210">
        <v>2500</v>
      </c>
      <c r="AB88" s="211">
        <v>2000000</v>
      </c>
      <c r="AC88" s="419" t="s">
        <v>769</v>
      </c>
      <c r="AD88" s="419" t="s">
        <v>857</v>
      </c>
      <c r="AE88" s="212"/>
      <c r="AF88" s="212"/>
      <c r="AG88" s="215" t="s">
        <v>770</v>
      </c>
      <c r="AH88" s="215" t="s">
        <v>771</v>
      </c>
      <c r="AI88" s="232" t="s">
        <v>58</v>
      </c>
      <c r="AJ88" s="232" t="s">
        <v>58</v>
      </c>
      <c r="AK88" s="232" t="s">
        <v>90</v>
      </c>
      <c r="AL88" s="192" t="s">
        <v>58</v>
      </c>
      <c r="AM88" s="227"/>
      <c r="AN88" s="193"/>
      <c r="AO88" s="193"/>
      <c r="AP88" s="193"/>
      <c r="AQ88" s="193"/>
    </row>
    <row r="89" spans="1:43" ht="90" customHeight="1">
      <c r="A89" s="194">
        <v>87</v>
      </c>
      <c r="B89" s="217">
        <v>2353</v>
      </c>
      <c r="C89" s="218" t="s">
        <v>344</v>
      </c>
      <c r="D89" s="218" t="s">
        <v>344</v>
      </c>
      <c r="E89" s="219" t="s">
        <v>681</v>
      </c>
      <c r="F89" s="216" t="s">
        <v>765</v>
      </c>
      <c r="G89" s="198" t="s">
        <v>765</v>
      </c>
      <c r="H89" s="199">
        <v>0.35</v>
      </c>
      <c r="I89" s="200" t="s">
        <v>766</v>
      </c>
      <c r="J89" s="220"/>
      <c r="K89" s="198"/>
      <c r="L89" s="198"/>
      <c r="M89" s="221">
        <v>0.3</v>
      </c>
      <c r="N89" s="221">
        <v>0.3</v>
      </c>
      <c r="O89" s="222">
        <v>0</v>
      </c>
      <c r="P89" s="198"/>
      <c r="Q89" s="223">
        <v>0</v>
      </c>
      <c r="R89" s="223"/>
      <c r="S89" s="223"/>
      <c r="T89" s="223"/>
      <c r="U89" s="198" t="s">
        <v>58</v>
      </c>
      <c r="V89" s="224">
        <v>0</v>
      </c>
      <c r="W89" s="198" t="s">
        <v>58</v>
      </c>
      <c r="X89" s="224"/>
      <c r="Y89" s="198" t="s">
        <v>765</v>
      </c>
      <c r="Z89" s="225" t="s">
        <v>583</v>
      </c>
      <c r="AA89" s="210">
        <v>2500</v>
      </c>
      <c r="AB89" s="226">
        <v>2000000</v>
      </c>
      <c r="AC89" s="214"/>
      <c r="AD89" s="214"/>
      <c r="AE89" s="214"/>
      <c r="AF89" s="214"/>
      <c r="AG89" s="215" t="s">
        <v>770</v>
      </c>
      <c r="AH89" s="215" t="s">
        <v>771</v>
      </c>
      <c r="AI89" s="232" t="s">
        <v>90</v>
      </c>
      <c r="AJ89" s="232" t="s">
        <v>90</v>
      </c>
      <c r="AK89" s="232" t="s">
        <v>90</v>
      </c>
      <c r="AL89" s="192" t="s">
        <v>58</v>
      </c>
      <c r="AM89" s="193"/>
      <c r="AN89" s="193"/>
      <c r="AO89" s="193"/>
      <c r="AP89" s="193"/>
      <c r="AQ89" s="193"/>
    </row>
    <row r="90" spans="1:43" ht="90" hidden="1" customHeight="1">
      <c r="A90" s="216">
        <v>88</v>
      </c>
      <c r="B90" s="195">
        <v>7301</v>
      </c>
      <c r="C90" s="196" t="s">
        <v>890</v>
      </c>
      <c r="D90" s="196" t="s">
        <v>890</v>
      </c>
      <c r="E90" s="197" t="s">
        <v>891</v>
      </c>
      <c r="F90" s="228" t="s">
        <v>793</v>
      </c>
      <c r="G90" s="198" t="s">
        <v>793</v>
      </c>
      <c r="H90" s="199">
        <v>0</v>
      </c>
      <c r="I90" s="198" t="s">
        <v>793</v>
      </c>
      <c r="J90" s="201"/>
      <c r="K90" s="207"/>
      <c r="L90" s="229"/>
      <c r="M90" s="230">
        <v>0</v>
      </c>
      <c r="N90" s="230"/>
      <c r="O90" s="207"/>
      <c r="P90" s="199"/>
      <c r="Q90" s="205"/>
      <c r="R90" s="205"/>
      <c r="S90" s="205"/>
      <c r="T90" s="205"/>
      <c r="U90" s="206"/>
      <c r="V90" s="206"/>
      <c r="W90" s="206"/>
      <c r="X90" s="207"/>
      <c r="Y90" s="208"/>
      <c r="Z90" s="209"/>
      <c r="AA90" s="210"/>
      <c r="AB90" s="211"/>
      <c r="AC90" s="212"/>
      <c r="AD90" s="212"/>
      <c r="AE90" s="212"/>
      <c r="AF90" s="212"/>
      <c r="AG90" s="215"/>
      <c r="AH90" s="215"/>
      <c r="AI90" s="194"/>
      <c r="AJ90" s="194"/>
      <c r="AK90" s="232" t="s">
        <v>58</v>
      </c>
      <c r="AM90" s="193"/>
      <c r="AN90" s="193"/>
      <c r="AO90" s="193"/>
      <c r="AP90" s="193"/>
      <c r="AQ90" s="193"/>
    </row>
    <row r="91" spans="1:43" ht="90" hidden="1" customHeight="1">
      <c r="A91" s="194">
        <v>89</v>
      </c>
      <c r="B91" s="217">
        <v>7321</v>
      </c>
      <c r="C91" s="218" t="s">
        <v>892</v>
      </c>
      <c r="D91" s="218" t="s">
        <v>892</v>
      </c>
      <c r="E91" s="219" t="s">
        <v>893</v>
      </c>
      <c r="F91" s="228" t="s">
        <v>793</v>
      </c>
      <c r="G91" s="198" t="s">
        <v>793</v>
      </c>
      <c r="H91" s="199">
        <v>0</v>
      </c>
      <c r="I91" s="198" t="s">
        <v>793</v>
      </c>
      <c r="J91" s="220"/>
      <c r="K91" s="198"/>
      <c r="L91" s="198"/>
      <c r="M91" s="230">
        <v>0</v>
      </c>
      <c r="N91" s="221"/>
      <c r="O91" s="222"/>
      <c r="P91" s="198"/>
      <c r="Q91" s="223"/>
      <c r="R91" s="223"/>
      <c r="S91" s="223"/>
      <c r="T91" s="223"/>
      <c r="U91" s="198"/>
      <c r="V91" s="224"/>
      <c r="W91" s="198"/>
      <c r="X91" s="224"/>
      <c r="Y91" s="198"/>
      <c r="Z91" s="225"/>
      <c r="AA91" s="234"/>
      <c r="AB91" s="226"/>
      <c r="AC91" s="214"/>
      <c r="AD91" s="214"/>
      <c r="AE91" s="214"/>
      <c r="AF91" s="214"/>
      <c r="AG91" s="215"/>
      <c r="AH91" s="215"/>
      <c r="AI91" s="232"/>
      <c r="AJ91" s="232"/>
      <c r="AK91" s="232" t="s">
        <v>58</v>
      </c>
      <c r="AM91" s="193"/>
      <c r="AN91" s="193"/>
      <c r="AO91" s="193"/>
      <c r="AP91" s="193"/>
      <c r="AQ91" s="193"/>
    </row>
    <row r="92" spans="1:43" ht="90" customHeight="1">
      <c r="A92" s="216">
        <v>90</v>
      </c>
      <c r="B92" s="195">
        <v>7391</v>
      </c>
      <c r="C92" s="196" t="s">
        <v>144</v>
      </c>
      <c r="D92" s="196" t="s">
        <v>144</v>
      </c>
      <c r="E92" s="197" t="s">
        <v>682</v>
      </c>
      <c r="F92" s="195" t="s">
        <v>765</v>
      </c>
      <c r="G92" s="198" t="s">
        <v>765</v>
      </c>
      <c r="H92" s="199">
        <v>0.35</v>
      </c>
      <c r="I92" s="200" t="s">
        <v>766</v>
      </c>
      <c r="J92" s="201"/>
      <c r="K92" s="207"/>
      <c r="L92" s="229"/>
      <c r="M92" s="230">
        <v>0.3</v>
      </c>
      <c r="N92" s="230">
        <v>0.3</v>
      </c>
      <c r="O92" s="207">
        <v>0</v>
      </c>
      <c r="P92" s="199"/>
      <c r="Q92" s="205">
        <v>0.35</v>
      </c>
      <c r="R92" s="205"/>
      <c r="S92" s="205"/>
      <c r="T92" s="205"/>
      <c r="U92" s="206" t="s">
        <v>58</v>
      </c>
      <c r="V92" s="206">
        <v>0</v>
      </c>
      <c r="W92" s="206" t="s">
        <v>58</v>
      </c>
      <c r="X92" s="207"/>
      <c r="Y92" s="208" t="s">
        <v>765</v>
      </c>
      <c r="Z92" s="209" t="s">
        <v>583</v>
      </c>
      <c r="AA92" s="210">
        <v>2500</v>
      </c>
      <c r="AB92" s="211">
        <v>2000000</v>
      </c>
      <c r="AC92" s="212" t="s">
        <v>894</v>
      </c>
      <c r="AD92" s="212"/>
      <c r="AE92" s="212"/>
      <c r="AF92" s="212"/>
      <c r="AG92" s="215" t="s">
        <v>770</v>
      </c>
      <c r="AH92" s="215" t="s">
        <v>771</v>
      </c>
      <c r="AI92" s="194" t="s">
        <v>90</v>
      </c>
      <c r="AJ92" s="194" t="s">
        <v>90</v>
      </c>
      <c r="AK92" s="194" t="s">
        <v>90</v>
      </c>
      <c r="AL92" s="192" t="s">
        <v>90</v>
      </c>
      <c r="AM92" s="227"/>
      <c r="AN92" s="193"/>
      <c r="AO92" s="193"/>
      <c r="AP92" s="193"/>
      <c r="AQ92" s="193"/>
    </row>
    <row r="93" spans="1:43" ht="90" customHeight="1">
      <c r="A93" s="194">
        <v>91</v>
      </c>
      <c r="B93" s="217">
        <v>7392</v>
      </c>
      <c r="C93" s="218" t="s">
        <v>375</v>
      </c>
      <c r="D93" s="218" t="s">
        <v>375</v>
      </c>
      <c r="E93" s="219" t="s">
        <v>895</v>
      </c>
      <c r="F93" s="216" t="s">
        <v>765</v>
      </c>
      <c r="G93" s="198" t="s">
        <v>765</v>
      </c>
      <c r="H93" s="199">
        <v>0.35</v>
      </c>
      <c r="I93" s="220" t="s">
        <v>919</v>
      </c>
      <c r="J93" s="220"/>
      <c r="K93" s="198"/>
      <c r="L93" s="198"/>
      <c r="M93" s="221">
        <v>0.3</v>
      </c>
      <c r="N93" s="221">
        <v>0.3</v>
      </c>
      <c r="O93" s="222">
        <v>0</v>
      </c>
      <c r="P93" s="198"/>
      <c r="Q93" s="223">
        <v>0</v>
      </c>
      <c r="R93" s="223"/>
      <c r="S93" s="223"/>
      <c r="T93" s="223"/>
      <c r="U93" s="198" t="s">
        <v>58</v>
      </c>
      <c r="V93" s="224">
        <v>0</v>
      </c>
      <c r="W93" s="198" t="s">
        <v>58</v>
      </c>
      <c r="X93" s="224"/>
      <c r="Y93" s="198" t="s">
        <v>765</v>
      </c>
      <c r="Z93" s="225" t="s">
        <v>583</v>
      </c>
      <c r="AA93" s="210">
        <v>2500</v>
      </c>
      <c r="AB93" s="226">
        <v>2000000</v>
      </c>
      <c r="AC93" s="214" t="s">
        <v>896</v>
      </c>
      <c r="AD93" s="214"/>
      <c r="AE93" s="214"/>
      <c r="AF93" s="214"/>
      <c r="AG93" s="215" t="s">
        <v>770</v>
      </c>
      <c r="AH93" s="215" t="s">
        <v>771</v>
      </c>
      <c r="AI93" s="194" t="s">
        <v>90</v>
      </c>
      <c r="AJ93" s="194" t="s">
        <v>90</v>
      </c>
      <c r="AK93" s="194" t="s">
        <v>90</v>
      </c>
      <c r="AL93" s="192" t="s">
        <v>90</v>
      </c>
      <c r="AM93" s="193"/>
      <c r="AN93" s="193"/>
      <c r="AO93" s="193"/>
      <c r="AP93" s="193"/>
      <c r="AQ93" s="193"/>
    </row>
    <row r="94" spans="1:43" ht="90" customHeight="1">
      <c r="A94" s="216">
        <v>92</v>
      </c>
      <c r="B94" s="195">
        <v>7394</v>
      </c>
      <c r="C94" s="196" t="s">
        <v>240</v>
      </c>
      <c r="D94" s="196" t="s">
        <v>240</v>
      </c>
      <c r="E94" s="197" t="s">
        <v>897</v>
      </c>
      <c r="F94" s="195" t="s">
        <v>765</v>
      </c>
      <c r="G94" s="198" t="s">
        <v>765</v>
      </c>
      <c r="H94" s="199">
        <v>0.35</v>
      </c>
      <c r="I94" s="200" t="s">
        <v>766</v>
      </c>
      <c r="J94" s="201"/>
      <c r="K94" s="207"/>
      <c r="L94" s="229"/>
      <c r="M94" s="230">
        <v>0.3</v>
      </c>
      <c r="N94" s="230">
        <v>0.3</v>
      </c>
      <c r="O94" s="207">
        <v>0</v>
      </c>
      <c r="P94" s="199"/>
      <c r="Q94" s="205">
        <v>0</v>
      </c>
      <c r="R94" s="205"/>
      <c r="S94" s="205"/>
      <c r="T94" s="205"/>
      <c r="U94" s="206" t="s">
        <v>58</v>
      </c>
      <c r="V94" s="206">
        <v>0</v>
      </c>
      <c r="W94" s="206" t="s">
        <v>58</v>
      </c>
      <c r="X94" s="207"/>
      <c r="Y94" s="208" t="s">
        <v>765</v>
      </c>
      <c r="Z94" s="209" t="s">
        <v>583</v>
      </c>
      <c r="AA94" s="210">
        <v>2500</v>
      </c>
      <c r="AB94" s="211">
        <v>2000000</v>
      </c>
      <c r="AC94" s="212"/>
      <c r="AD94" s="212"/>
      <c r="AE94" s="212"/>
      <c r="AF94" s="212"/>
      <c r="AG94" s="215" t="s">
        <v>770</v>
      </c>
      <c r="AH94" s="215" t="s">
        <v>771</v>
      </c>
      <c r="AI94" s="194" t="s">
        <v>58</v>
      </c>
      <c r="AJ94" s="194" t="s">
        <v>58</v>
      </c>
      <c r="AK94" s="194" t="s">
        <v>90</v>
      </c>
      <c r="AL94" s="192" t="s">
        <v>90</v>
      </c>
      <c r="AM94" s="193"/>
      <c r="AN94" s="193"/>
      <c r="AO94" s="193"/>
      <c r="AP94" s="193"/>
      <c r="AQ94" s="193"/>
    </row>
    <row r="95" spans="1:43" ht="90" customHeight="1">
      <c r="A95" s="194">
        <v>93</v>
      </c>
      <c r="B95" s="217">
        <v>7395</v>
      </c>
      <c r="C95" s="218" t="s">
        <v>153</v>
      </c>
      <c r="D95" s="218" t="s">
        <v>153</v>
      </c>
      <c r="E95" s="219" t="s">
        <v>683</v>
      </c>
      <c r="F95" s="216" t="s">
        <v>765</v>
      </c>
      <c r="G95" s="198" t="s">
        <v>765</v>
      </c>
      <c r="H95" s="199">
        <v>0.35</v>
      </c>
      <c r="I95" s="200" t="s">
        <v>766</v>
      </c>
      <c r="J95" s="220"/>
      <c r="K95" s="198"/>
      <c r="L95" s="198"/>
      <c r="M95" s="221">
        <v>0.3</v>
      </c>
      <c r="N95" s="221">
        <v>0.3</v>
      </c>
      <c r="O95" s="222">
        <v>0</v>
      </c>
      <c r="P95" s="198"/>
      <c r="Q95" s="223">
        <v>0</v>
      </c>
      <c r="R95" s="223"/>
      <c r="S95" s="223"/>
      <c r="T95" s="223"/>
      <c r="U95" s="198" t="s">
        <v>58</v>
      </c>
      <c r="V95" s="224">
        <v>0</v>
      </c>
      <c r="W95" s="198" t="s">
        <v>58</v>
      </c>
      <c r="X95" s="224"/>
      <c r="Y95" s="198" t="s">
        <v>765</v>
      </c>
      <c r="Z95" s="225" t="s">
        <v>583</v>
      </c>
      <c r="AA95" s="210">
        <v>2500</v>
      </c>
      <c r="AB95" s="226">
        <v>2000000</v>
      </c>
      <c r="AC95" s="214"/>
      <c r="AD95" s="214"/>
      <c r="AE95" s="214"/>
      <c r="AF95" s="214"/>
      <c r="AG95" s="215" t="s">
        <v>770</v>
      </c>
      <c r="AH95" s="215" t="s">
        <v>771</v>
      </c>
      <c r="AI95" s="232" t="s">
        <v>90</v>
      </c>
      <c r="AJ95" s="232" t="s">
        <v>90</v>
      </c>
      <c r="AK95" s="232" t="s">
        <v>58</v>
      </c>
      <c r="AL95" s="192" t="s">
        <v>58</v>
      </c>
      <c r="AM95" s="193"/>
      <c r="AN95" s="193"/>
      <c r="AO95" s="193"/>
      <c r="AP95" s="193"/>
      <c r="AQ95" s="193"/>
    </row>
    <row r="96" spans="1:43" ht="90" hidden="1" customHeight="1">
      <c r="A96" s="216">
        <v>94</v>
      </c>
      <c r="B96" s="195">
        <v>7396</v>
      </c>
      <c r="C96" s="196" t="s">
        <v>685</v>
      </c>
      <c r="D96" s="196" t="s">
        <v>685</v>
      </c>
      <c r="E96" s="197" t="s">
        <v>684</v>
      </c>
      <c r="F96" s="216" t="s">
        <v>885</v>
      </c>
      <c r="G96" s="198" t="s">
        <v>793</v>
      </c>
      <c r="H96" s="199">
        <v>0.35</v>
      </c>
      <c r="I96" s="200" t="s">
        <v>766</v>
      </c>
      <c r="J96" s="201"/>
      <c r="K96" s="207"/>
      <c r="L96" s="229"/>
      <c r="M96" s="230">
        <v>0</v>
      </c>
      <c r="N96" s="230"/>
      <c r="O96" s="207"/>
      <c r="P96" s="199"/>
      <c r="Q96" s="205">
        <v>0.35</v>
      </c>
      <c r="R96" s="205"/>
      <c r="S96" s="205"/>
      <c r="T96" s="205"/>
      <c r="U96" s="206" t="s">
        <v>58</v>
      </c>
      <c r="V96" s="206">
        <v>0</v>
      </c>
      <c r="W96" s="206" t="s">
        <v>58</v>
      </c>
      <c r="X96" s="207"/>
      <c r="Y96" s="208"/>
      <c r="Z96" s="209"/>
      <c r="AA96" s="210">
        <v>2500</v>
      </c>
      <c r="AB96" s="211"/>
      <c r="AC96" s="212"/>
      <c r="AD96" s="212"/>
      <c r="AE96" s="212"/>
      <c r="AF96" s="212"/>
      <c r="AG96" s="215" t="s">
        <v>770</v>
      </c>
      <c r="AH96" s="215" t="s">
        <v>771</v>
      </c>
      <c r="AI96" s="194" t="s">
        <v>58</v>
      </c>
      <c r="AJ96" s="194" t="s">
        <v>58</v>
      </c>
      <c r="AK96" s="194" t="s">
        <v>90</v>
      </c>
      <c r="AM96" s="227"/>
      <c r="AN96" s="193"/>
      <c r="AO96" s="193"/>
      <c r="AP96" s="193"/>
      <c r="AQ96" s="193"/>
    </row>
    <row r="97" spans="1:43" ht="90" hidden="1" customHeight="1">
      <c r="A97" s="194">
        <v>95</v>
      </c>
      <c r="B97" s="217">
        <v>7411</v>
      </c>
      <c r="C97" s="218" t="s">
        <v>898</v>
      </c>
      <c r="D97" s="218" t="s">
        <v>898</v>
      </c>
      <c r="E97" s="219" t="s">
        <v>899</v>
      </c>
      <c r="F97" s="216" t="s">
        <v>774</v>
      </c>
      <c r="G97" s="198" t="s">
        <v>793</v>
      </c>
      <c r="H97" s="199">
        <v>0</v>
      </c>
      <c r="I97" s="220" t="s">
        <v>919</v>
      </c>
      <c r="J97" s="220"/>
      <c r="K97" s="198"/>
      <c r="L97" s="198"/>
      <c r="M97" s="230">
        <v>0</v>
      </c>
      <c r="N97" s="221"/>
      <c r="O97" s="222"/>
      <c r="P97" s="198"/>
      <c r="Q97" s="223">
        <v>0</v>
      </c>
      <c r="R97" s="223"/>
      <c r="S97" s="223"/>
      <c r="T97" s="223"/>
      <c r="U97" s="198" t="s">
        <v>58</v>
      </c>
      <c r="V97" s="224">
        <v>0</v>
      </c>
      <c r="W97" s="198" t="s">
        <v>58</v>
      </c>
      <c r="X97" s="224"/>
      <c r="Y97" s="198"/>
      <c r="Z97" s="225"/>
      <c r="AA97" s="210">
        <v>2500</v>
      </c>
      <c r="AB97" s="226"/>
      <c r="AC97" s="214"/>
      <c r="AD97" s="214"/>
      <c r="AE97" s="214"/>
      <c r="AF97" s="214"/>
      <c r="AG97" s="215" t="s">
        <v>770</v>
      </c>
      <c r="AH97" s="215" t="s">
        <v>771</v>
      </c>
      <c r="AI97" s="232" t="s">
        <v>90</v>
      </c>
      <c r="AJ97" s="232" t="s">
        <v>90</v>
      </c>
      <c r="AK97" s="232" t="s">
        <v>58</v>
      </c>
      <c r="AM97" s="193"/>
      <c r="AN97" s="193"/>
      <c r="AO97" s="193"/>
      <c r="AP97" s="193"/>
      <c r="AQ97" s="193"/>
    </row>
    <row r="98" spans="1:43" ht="90" hidden="1" customHeight="1">
      <c r="A98" s="216">
        <v>96</v>
      </c>
      <c r="B98" s="195">
        <v>7412</v>
      </c>
      <c r="C98" s="196" t="s">
        <v>900</v>
      </c>
      <c r="D98" s="196" t="s">
        <v>900</v>
      </c>
      <c r="E98" s="197" t="s">
        <v>901</v>
      </c>
      <c r="F98" s="195" t="s">
        <v>885</v>
      </c>
      <c r="G98" s="198" t="s">
        <v>793</v>
      </c>
      <c r="H98" s="199">
        <v>0.35</v>
      </c>
      <c r="I98" s="220" t="s">
        <v>919</v>
      </c>
      <c r="J98" s="201"/>
      <c r="K98" s="207"/>
      <c r="L98" s="229"/>
      <c r="M98" s="230">
        <v>0</v>
      </c>
      <c r="N98" s="230"/>
      <c r="O98" s="207"/>
      <c r="P98" s="199"/>
      <c r="Q98" s="205">
        <v>0</v>
      </c>
      <c r="R98" s="205"/>
      <c r="S98" s="205"/>
      <c r="T98" s="205"/>
      <c r="U98" s="206" t="s">
        <v>58</v>
      </c>
      <c r="V98" s="206">
        <v>0</v>
      </c>
      <c r="W98" s="206" t="s">
        <v>58</v>
      </c>
      <c r="X98" s="207"/>
      <c r="Y98" s="208"/>
      <c r="Z98" s="209"/>
      <c r="AA98" s="210">
        <v>2500</v>
      </c>
      <c r="AB98" s="211"/>
      <c r="AC98" s="212"/>
      <c r="AD98" s="212"/>
      <c r="AE98" s="212"/>
      <c r="AF98" s="212"/>
      <c r="AG98" s="215" t="s">
        <v>770</v>
      </c>
      <c r="AH98" s="215" t="s">
        <v>771</v>
      </c>
      <c r="AI98" s="232" t="s">
        <v>90</v>
      </c>
      <c r="AJ98" s="232" t="s">
        <v>90</v>
      </c>
      <c r="AK98" s="232" t="s">
        <v>58</v>
      </c>
      <c r="AM98" s="193"/>
      <c r="AN98" s="193"/>
      <c r="AO98" s="193"/>
      <c r="AP98" s="193"/>
      <c r="AQ98" s="193"/>
    </row>
    <row r="99" spans="1:43" ht="90" hidden="1" customHeight="1">
      <c r="A99" s="194">
        <v>97</v>
      </c>
      <c r="B99" s="217">
        <v>7413</v>
      </c>
      <c r="C99" s="218" t="s">
        <v>902</v>
      </c>
      <c r="D99" s="218" t="s">
        <v>902</v>
      </c>
      <c r="E99" s="219" t="s">
        <v>903</v>
      </c>
      <c r="F99" s="216" t="s">
        <v>774</v>
      </c>
      <c r="G99" s="198" t="s">
        <v>793</v>
      </c>
      <c r="H99" s="199">
        <v>0</v>
      </c>
      <c r="I99" s="220" t="s">
        <v>919</v>
      </c>
      <c r="J99" s="220"/>
      <c r="K99" s="198"/>
      <c r="L99" s="198"/>
      <c r="M99" s="230">
        <v>0</v>
      </c>
      <c r="N99" s="221"/>
      <c r="O99" s="222"/>
      <c r="P99" s="198"/>
      <c r="Q99" s="223">
        <v>0</v>
      </c>
      <c r="R99" s="223"/>
      <c r="S99" s="223"/>
      <c r="T99" s="223"/>
      <c r="U99" s="198" t="s">
        <v>58</v>
      </c>
      <c r="V99" s="224">
        <v>0</v>
      </c>
      <c r="W99" s="198" t="s">
        <v>58</v>
      </c>
      <c r="X99" s="224"/>
      <c r="Y99" s="198"/>
      <c r="Z99" s="225"/>
      <c r="AA99" s="210">
        <v>2500</v>
      </c>
      <c r="AB99" s="226"/>
      <c r="AC99" s="214"/>
      <c r="AD99" s="214"/>
      <c r="AE99" s="214"/>
      <c r="AF99" s="214"/>
      <c r="AG99" s="215" t="s">
        <v>770</v>
      </c>
      <c r="AH99" s="215" t="s">
        <v>771</v>
      </c>
      <c r="AI99" s="232" t="s">
        <v>90</v>
      </c>
      <c r="AJ99" s="232" t="s">
        <v>90</v>
      </c>
      <c r="AK99" s="232" t="s">
        <v>58</v>
      </c>
      <c r="AM99" s="193"/>
      <c r="AN99" s="193"/>
      <c r="AO99" s="193"/>
      <c r="AP99" s="193"/>
      <c r="AQ99" s="193"/>
    </row>
    <row r="100" spans="1:43" ht="90" hidden="1" customHeight="1">
      <c r="A100" s="216">
        <v>98</v>
      </c>
      <c r="B100" s="195">
        <v>7414</v>
      </c>
      <c r="C100" s="196" t="s">
        <v>904</v>
      </c>
      <c r="D100" s="196" t="s">
        <v>904</v>
      </c>
      <c r="E100" s="197" t="s">
        <v>905</v>
      </c>
      <c r="F100" s="195" t="s">
        <v>885</v>
      </c>
      <c r="G100" s="198" t="s">
        <v>793</v>
      </c>
      <c r="H100" s="199">
        <v>0.35</v>
      </c>
      <c r="I100" s="220" t="s">
        <v>919</v>
      </c>
      <c r="J100" s="201"/>
      <c r="K100" s="207"/>
      <c r="L100" s="229"/>
      <c r="M100" s="230">
        <v>0</v>
      </c>
      <c r="N100" s="230"/>
      <c r="O100" s="207"/>
      <c r="P100" s="199"/>
      <c r="Q100" s="205">
        <v>0</v>
      </c>
      <c r="R100" s="205"/>
      <c r="S100" s="205"/>
      <c r="T100" s="205"/>
      <c r="U100" s="206" t="s">
        <v>58</v>
      </c>
      <c r="V100" s="206">
        <v>0</v>
      </c>
      <c r="W100" s="206" t="s">
        <v>58</v>
      </c>
      <c r="X100" s="207"/>
      <c r="Y100" s="208"/>
      <c r="Z100" s="209"/>
      <c r="AA100" s="210">
        <v>2500</v>
      </c>
      <c r="AB100" s="211"/>
      <c r="AC100" s="212"/>
      <c r="AD100" s="212"/>
      <c r="AE100" s="212"/>
      <c r="AF100" s="212"/>
      <c r="AG100" s="215" t="s">
        <v>770</v>
      </c>
      <c r="AH100" s="215" t="s">
        <v>771</v>
      </c>
      <c r="AI100" s="232" t="s">
        <v>90</v>
      </c>
      <c r="AJ100" s="232" t="s">
        <v>90</v>
      </c>
      <c r="AK100" s="232" t="s">
        <v>58</v>
      </c>
      <c r="AM100" s="193"/>
      <c r="AN100" s="193"/>
      <c r="AO100" s="193"/>
      <c r="AP100" s="193"/>
      <c r="AQ100" s="193"/>
    </row>
    <row r="101" spans="1:43" ht="90" hidden="1" customHeight="1">
      <c r="A101" s="194">
        <v>99</v>
      </c>
      <c r="B101" s="217">
        <v>7415</v>
      </c>
      <c r="C101" s="218" t="s">
        <v>906</v>
      </c>
      <c r="D101" s="218" t="s">
        <v>906</v>
      </c>
      <c r="E101" s="219" t="s">
        <v>907</v>
      </c>
      <c r="F101" s="216" t="s">
        <v>885</v>
      </c>
      <c r="G101" s="198" t="s">
        <v>793</v>
      </c>
      <c r="H101" s="199">
        <v>0.35</v>
      </c>
      <c r="I101" s="220" t="s">
        <v>919</v>
      </c>
      <c r="J101" s="220"/>
      <c r="K101" s="198"/>
      <c r="L101" s="198"/>
      <c r="M101" s="230">
        <v>0</v>
      </c>
      <c r="N101" s="221"/>
      <c r="O101" s="222"/>
      <c r="P101" s="198"/>
      <c r="Q101" s="223">
        <v>0</v>
      </c>
      <c r="R101" s="223"/>
      <c r="S101" s="223"/>
      <c r="T101" s="223"/>
      <c r="U101" s="198" t="s">
        <v>58</v>
      </c>
      <c r="V101" s="224">
        <v>0</v>
      </c>
      <c r="W101" s="198" t="s">
        <v>58</v>
      </c>
      <c r="X101" s="224"/>
      <c r="Y101" s="198"/>
      <c r="Z101" s="225"/>
      <c r="AA101" s="210">
        <v>2500</v>
      </c>
      <c r="AB101" s="226"/>
      <c r="AC101" s="214"/>
      <c r="AD101" s="214"/>
      <c r="AE101" s="214"/>
      <c r="AF101" s="214"/>
      <c r="AG101" s="215" t="s">
        <v>770</v>
      </c>
      <c r="AH101" s="215" t="s">
        <v>771</v>
      </c>
      <c r="AI101" s="232" t="s">
        <v>90</v>
      </c>
      <c r="AJ101" s="232" t="s">
        <v>90</v>
      </c>
      <c r="AK101" s="232" t="s">
        <v>58</v>
      </c>
      <c r="AM101" s="193"/>
      <c r="AN101" s="193"/>
      <c r="AO101" s="193"/>
      <c r="AP101" s="193"/>
      <c r="AQ101" s="193"/>
    </row>
    <row r="102" spans="1:43" ht="90" customHeight="1">
      <c r="A102" s="216">
        <v>100</v>
      </c>
      <c r="B102" s="195">
        <v>7693</v>
      </c>
      <c r="C102" s="196" t="s">
        <v>304</v>
      </c>
      <c r="D102" s="196" t="s">
        <v>304</v>
      </c>
      <c r="E102" s="197" t="s">
        <v>686</v>
      </c>
      <c r="F102" s="195" t="s">
        <v>765</v>
      </c>
      <c r="G102" s="198" t="s">
        <v>765</v>
      </c>
      <c r="H102" s="199">
        <v>0.35</v>
      </c>
      <c r="I102" s="200" t="s">
        <v>766</v>
      </c>
      <c r="J102" s="201"/>
      <c r="K102" s="207"/>
      <c r="L102" s="229"/>
      <c r="M102" s="230">
        <v>0.3</v>
      </c>
      <c r="N102" s="230">
        <v>0.3</v>
      </c>
      <c r="O102" s="207">
        <v>0</v>
      </c>
      <c r="P102" s="199"/>
      <c r="Q102" s="205">
        <v>0</v>
      </c>
      <c r="R102" s="205"/>
      <c r="S102" s="205"/>
      <c r="T102" s="205"/>
      <c r="U102" s="206" t="s">
        <v>58</v>
      </c>
      <c r="V102" s="206">
        <v>0</v>
      </c>
      <c r="W102" s="206" t="s">
        <v>58</v>
      </c>
      <c r="X102" s="207"/>
      <c r="Y102" s="208" t="s">
        <v>765</v>
      </c>
      <c r="Z102" s="209" t="s">
        <v>583</v>
      </c>
      <c r="AA102" s="210">
        <v>2500</v>
      </c>
      <c r="AB102" s="211">
        <v>2000000</v>
      </c>
      <c r="AC102" s="212"/>
      <c r="AD102" s="212"/>
      <c r="AE102" s="212"/>
      <c r="AF102" s="212"/>
      <c r="AG102" s="215" t="s">
        <v>770</v>
      </c>
      <c r="AH102" s="215" t="s">
        <v>771</v>
      </c>
      <c r="AI102" s="232" t="s">
        <v>90</v>
      </c>
      <c r="AJ102" s="232" t="s">
        <v>90</v>
      </c>
      <c r="AK102" s="232" t="s">
        <v>58</v>
      </c>
      <c r="AL102" s="192" t="s">
        <v>58</v>
      </c>
      <c r="AM102" s="193"/>
      <c r="AN102" s="193"/>
      <c r="AO102" s="193"/>
      <c r="AP102" s="193"/>
      <c r="AQ102" s="193"/>
    </row>
  </sheetData>
  <autoFilter ref="A2:AK102" xr:uid="{00000000-0009-0000-0000-000003000000}">
    <filterColumn colId="5">
      <filters>
        <filter val="OK"/>
      </filters>
    </filterColumn>
    <filterColumn colId="6">
      <filters>
        <filter val="OK"/>
      </filters>
    </filterColumn>
  </autoFilter>
  <dataValidations count="1">
    <dataValidation allowBlank="1" showInputMessage="1" showErrorMessage="1" errorTitle="Chiffre d'affaires hors programm" error="Maximum 5,000,000$ de chiffre d’affaires" sqref="K2" xr:uid="{00000000-0002-0000-0300-000000000000}"/>
  </dataValidations>
  <printOptions horizontalCentered="1" verticalCentered="1"/>
  <pageMargins left="0" right="0" top="0" bottom="0" header="0.3" footer="0.3"/>
  <pageSetup paperSize="5" scale="40" fitToHeight="3" orientation="landscape" horizontalDpi="90" verticalDpi="90" r:id="rId1"/>
  <headerFooter>
    <oddHeader>&amp;L&amp;P&amp; out of &amp;N&amp;C&amp;D&amp;R&amp;Z&amp;F</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00B0F0"/>
  </sheetPr>
  <dimension ref="A1:AP75"/>
  <sheetViews>
    <sheetView showGridLines="0" topLeftCell="A13" zoomScale="90" zoomScaleNormal="90" workbookViewId="0">
      <selection activeCell="B22" sqref="B22:N36"/>
    </sheetView>
  </sheetViews>
  <sheetFormatPr defaultColWidth="9.109375" defaultRowHeight="14.4" outlineLevelRow="2"/>
  <cols>
    <col min="1" max="1" width="20.44140625" style="323" customWidth="1"/>
    <col min="2" max="2" width="12.33203125" style="323" customWidth="1"/>
    <col min="3" max="3" width="11.6640625" style="323" customWidth="1"/>
    <col min="4" max="4" width="10.5546875" style="323" customWidth="1"/>
    <col min="5" max="5" width="11.33203125" style="323" customWidth="1"/>
    <col min="6" max="7" width="10.5546875" style="321" bestFit="1" customWidth="1"/>
    <col min="8" max="8" width="10.6640625" style="323" customWidth="1"/>
    <col min="9" max="9" width="14.109375" style="323" customWidth="1"/>
    <col min="10" max="11" width="10.5546875" style="323" bestFit="1" customWidth="1"/>
    <col min="12" max="12" width="2.6640625" style="323" hidden="1" customWidth="1"/>
    <col min="13" max="13" width="9.33203125" style="323" bestFit="1" customWidth="1"/>
    <col min="14" max="14" width="10.5546875" style="323" bestFit="1" customWidth="1"/>
    <col min="15" max="15" width="11.109375" style="323" customWidth="1"/>
    <col min="16" max="20" width="9.33203125" style="323" customWidth="1"/>
    <col min="21" max="21" width="15" style="323" customWidth="1"/>
    <col min="22" max="22" width="15.33203125" style="323" customWidth="1"/>
    <col min="23" max="16384" width="9.109375" style="323"/>
  </cols>
  <sheetData>
    <row r="1" spans="1:22" s="430" customFormat="1" ht="18.75" customHeight="1">
      <c r="A1" s="429" t="s">
        <v>693</v>
      </c>
      <c r="C1" s="429" t="s">
        <v>694</v>
      </c>
      <c r="E1" s="429" t="s">
        <v>695</v>
      </c>
      <c r="F1" s="431"/>
      <c r="G1" s="431"/>
    </row>
    <row r="2" spans="1:22" s="430" customFormat="1" ht="18.75" customHeight="1">
      <c r="A2" s="429"/>
      <c r="B2" s="429"/>
      <c r="F2" s="431"/>
      <c r="G2" s="431"/>
    </row>
    <row r="3" spans="1:22" s="430" customFormat="1" ht="18.75" customHeight="1">
      <c r="A3" s="429" t="s">
        <v>696</v>
      </c>
      <c r="B3" s="429"/>
      <c r="F3" s="431"/>
      <c r="G3" s="431"/>
      <c r="H3" s="429" t="s">
        <v>697</v>
      </c>
      <c r="M3" s="429" t="s">
        <v>698</v>
      </c>
    </row>
    <row r="4" spans="1:22" ht="23.25" customHeight="1">
      <c r="A4" s="432" t="s">
        <v>699</v>
      </c>
      <c r="B4" s="433" t="s">
        <v>700</v>
      </c>
      <c r="C4" s="637" t="s">
        <v>701</v>
      </c>
      <c r="D4" s="638"/>
      <c r="E4" s="434"/>
      <c r="H4" s="639" t="s">
        <v>702</v>
      </c>
      <c r="I4" s="640"/>
      <c r="J4" s="641"/>
      <c r="M4" s="642" t="s">
        <v>703</v>
      </c>
      <c r="N4" s="643"/>
    </row>
    <row r="5" spans="1:22" ht="28.8">
      <c r="A5" s="435"/>
      <c r="B5" s="436"/>
      <c r="C5" s="437" t="s">
        <v>704</v>
      </c>
      <c r="D5" s="438" t="s">
        <v>705</v>
      </c>
      <c r="E5" s="439"/>
      <c r="H5" s="440" t="s">
        <v>706</v>
      </c>
      <c r="I5" s="440" t="s">
        <v>707</v>
      </c>
      <c r="J5" s="441" t="s">
        <v>708</v>
      </c>
      <c r="M5" s="644"/>
      <c r="N5" s="645"/>
    </row>
    <row r="6" spans="1:22" ht="30" customHeight="1">
      <c r="A6" s="442" t="s">
        <v>709</v>
      </c>
      <c r="B6" s="443" t="s">
        <v>710</v>
      </c>
      <c r="C6" s="648" t="s">
        <v>711</v>
      </c>
      <c r="D6" s="649"/>
      <c r="E6" s="444" t="s">
        <v>712</v>
      </c>
      <c r="H6" s="445" t="s">
        <v>713</v>
      </c>
      <c r="I6" s="650" t="s">
        <v>714</v>
      </c>
      <c r="J6" s="445">
        <v>0</v>
      </c>
      <c r="M6" s="644"/>
      <c r="N6" s="645"/>
    </row>
    <row r="7" spans="1:22">
      <c r="A7" s="446" t="s">
        <v>715</v>
      </c>
      <c r="B7" s="446" t="s">
        <v>716</v>
      </c>
      <c r="C7" s="447">
        <v>1.5</v>
      </c>
      <c r="D7" s="448">
        <f>C7*1.15</f>
        <v>1.7249999999999999</v>
      </c>
      <c r="E7" s="449" t="s">
        <v>712</v>
      </c>
      <c r="H7" s="450" t="s">
        <v>717</v>
      </c>
      <c r="I7" s="651"/>
      <c r="J7" s="450">
        <v>0.2</v>
      </c>
      <c r="M7" s="644"/>
      <c r="N7" s="645"/>
    </row>
    <row r="8" spans="1:22" ht="24" customHeight="1">
      <c r="A8" s="451" t="s">
        <v>718</v>
      </c>
      <c r="B8" s="451" t="s">
        <v>716</v>
      </c>
      <c r="C8" s="452">
        <v>1.65</v>
      </c>
      <c r="D8" s="453">
        <f>C8*1.15</f>
        <v>1.8974999999999997</v>
      </c>
      <c r="E8" s="454" t="s">
        <v>712</v>
      </c>
      <c r="H8" s="455" t="s">
        <v>719</v>
      </c>
      <c r="I8" s="652" t="s">
        <v>720</v>
      </c>
      <c r="J8" s="455">
        <v>0.35</v>
      </c>
      <c r="M8" s="644"/>
      <c r="N8" s="645"/>
    </row>
    <row r="9" spans="1:22" ht="24.75" customHeight="1">
      <c r="A9" s="451" t="s">
        <v>721</v>
      </c>
      <c r="B9" s="451" t="s">
        <v>716</v>
      </c>
      <c r="C9" s="452">
        <v>1.65</v>
      </c>
      <c r="D9" s="453">
        <f>C9*1.15</f>
        <v>1.8974999999999997</v>
      </c>
      <c r="E9" s="454" t="s">
        <v>712</v>
      </c>
      <c r="H9" s="450" t="s">
        <v>722</v>
      </c>
      <c r="I9" s="651"/>
      <c r="J9" s="450">
        <v>0.5</v>
      </c>
      <c r="M9" s="646"/>
      <c r="N9" s="647"/>
    </row>
    <row r="10" spans="1:22">
      <c r="A10" s="456" t="s">
        <v>723</v>
      </c>
      <c r="B10" s="456" t="s">
        <v>716</v>
      </c>
      <c r="C10" s="457">
        <f>C9*1.1</f>
        <v>1.8149999999999999</v>
      </c>
      <c r="D10" s="458">
        <f>C10*1.15</f>
        <v>2.0872499999999996</v>
      </c>
      <c r="E10" s="459" t="s">
        <v>712</v>
      </c>
    </row>
    <row r="11" spans="1:22">
      <c r="A11" s="460" t="s">
        <v>724</v>
      </c>
      <c r="B11" s="460" t="s">
        <v>725</v>
      </c>
      <c r="C11" s="461">
        <v>1.35</v>
      </c>
      <c r="D11" s="462">
        <v>1.5</v>
      </c>
      <c r="E11" s="460" t="s">
        <v>726</v>
      </c>
      <c r="H11" s="324" t="s">
        <v>727</v>
      </c>
    </row>
    <row r="12" spans="1:22">
      <c r="A12" s="463" t="s">
        <v>728</v>
      </c>
      <c r="B12" s="463" t="s">
        <v>725</v>
      </c>
      <c r="C12" s="464">
        <v>1.8</v>
      </c>
      <c r="D12" s="465">
        <v>2.1</v>
      </c>
      <c r="E12" s="463" t="s">
        <v>726</v>
      </c>
      <c r="H12" s="466" t="s">
        <v>729</v>
      </c>
      <c r="I12" s="466"/>
      <c r="J12" s="466"/>
      <c r="K12" s="467"/>
    </row>
    <row r="13" spans="1:22" s="469" customFormat="1">
      <c r="A13" s="125"/>
      <c r="B13" s="125"/>
      <c r="C13" s="468"/>
      <c r="D13" s="468"/>
      <c r="F13" s="470"/>
      <c r="G13" s="470"/>
    </row>
    <row r="14" spans="1:22" s="469" customFormat="1">
      <c r="A14" s="125"/>
      <c r="B14" s="469" t="str">
        <f>Paramètres!G38</f>
        <v xml:space="preserve">&gt;3 </v>
      </c>
      <c r="C14" s="468"/>
      <c r="D14" s="468"/>
      <c r="F14" s="470"/>
      <c r="G14" s="470"/>
      <c r="H14" s="125" t="str">
        <f ca="1">Paramètres!C40</f>
        <v xml:space="preserve">&gt;3 </v>
      </c>
    </row>
    <row r="15" spans="1:22" s="430" customFormat="1">
      <c r="A15" s="471" t="s">
        <v>730</v>
      </c>
      <c r="B15" s="472" t="s">
        <v>731</v>
      </c>
      <c r="C15" s="473"/>
      <c r="D15" s="473"/>
      <c r="E15" s="473"/>
      <c r="F15" s="474"/>
      <c r="G15" s="475"/>
      <c r="H15" s="653"/>
      <c r="I15" s="653"/>
      <c r="J15" s="653"/>
      <c r="K15" s="653"/>
      <c r="L15" s="653"/>
      <c r="M15" s="653"/>
      <c r="N15" s="654"/>
    </row>
    <row r="16" spans="1:22" s="476" customFormat="1" outlineLevel="1">
      <c r="B16" s="477"/>
      <c r="C16" s="477"/>
      <c r="D16" s="477"/>
      <c r="E16" s="477"/>
      <c r="F16" s="478"/>
      <c r="G16" s="478"/>
      <c r="H16" s="477"/>
      <c r="I16" s="477"/>
      <c r="J16" s="477"/>
      <c r="K16" s="477"/>
      <c r="L16" s="477"/>
      <c r="M16" s="477"/>
      <c r="N16" s="477"/>
      <c r="V16" s="476" t="s">
        <v>648</v>
      </c>
    </row>
    <row r="17" spans="1:42" outlineLevel="2">
      <c r="F17" s="479">
        <v>1.6</v>
      </c>
      <c r="G17" s="480">
        <v>2.15</v>
      </c>
      <c r="H17" s="481">
        <v>1.1499999999999999</v>
      </c>
      <c r="M17" s="482">
        <v>1.8</v>
      </c>
      <c r="N17" s="483">
        <v>2.5</v>
      </c>
      <c r="V17" s="565">
        <v>0.1</v>
      </c>
      <c r="W17" s="565">
        <v>0.1</v>
      </c>
      <c r="X17" s="565">
        <v>0.1</v>
      </c>
    </row>
    <row r="18" spans="1:42" s="476" customFormat="1" outlineLevel="1">
      <c r="A18" s="484"/>
      <c r="B18" s="485"/>
      <c r="C18" s="485"/>
      <c r="D18" s="485"/>
      <c r="F18" s="486"/>
      <c r="G18" s="486"/>
      <c r="H18" s="485"/>
      <c r="I18" s="485"/>
      <c r="J18" s="485"/>
      <c r="K18" s="487"/>
    </row>
    <row r="19" spans="1:42">
      <c r="B19" s="488">
        <v>1</v>
      </c>
      <c r="C19" s="489">
        <v>2</v>
      </c>
      <c r="D19" s="489">
        <v>3</v>
      </c>
      <c r="E19" s="490">
        <v>4</v>
      </c>
      <c r="F19" s="633" t="s">
        <v>732</v>
      </c>
      <c r="G19" s="634"/>
      <c r="H19" s="488">
        <v>1</v>
      </c>
      <c r="I19" s="489">
        <v>2</v>
      </c>
      <c r="J19" s="489">
        <v>3</v>
      </c>
      <c r="K19" s="490">
        <v>4</v>
      </c>
      <c r="M19" s="635" t="s">
        <v>732</v>
      </c>
      <c r="N19" s="636"/>
      <c r="P19" s="476"/>
      <c r="Q19" s="476"/>
      <c r="R19" s="476"/>
      <c r="S19" s="476"/>
      <c r="T19" s="476"/>
      <c r="U19" s="476"/>
      <c r="V19" s="488">
        <v>1</v>
      </c>
      <c r="W19" s="489">
        <v>2</v>
      </c>
      <c r="X19" s="489">
        <v>3</v>
      </c>
      <c r="Y19" s="490">
        <v>4</v>
      </c>
      <c r="Z19" s="488">
        <v>1</v>
      </c>
      <c r="AA19" s="489">
        <v>2</v>
      </c>
      <c r="AB19" s="489">
        <v>3</v>
      </c>
      <c r="AC19" s="490">
        <v>4</v>
      </c>
    </row>
    <row r="20" spans="1:42" ht="31.5" customHeight="1">
      <c r="B20" s="491" t="str">
        <f>CONCATENATE($B$14,"-",B21)</f>
        <v>&gt;3 -NEW_LOW_RISK</v>
      </c>
      <c r="C20" s="491" t="str">
        <f t="shared" ref="C20:E20" si="0">CONCATENATE($B$14,"-",C21)</f>
        <v>&gt;3 -Electrician</v>
      </c>
      <c r="D20" s="491" t="str">
        <f t="shared" si="0"/>
        <v>&gt;3 -Généraux</v>
      </c>
      <c r="E20" s="491" t="str">
        <f t="shared" si="0"/>
        <v>&gt;3 -New_standard</v>
      </c>
      <c r="F20" s="492"/>
      <c r="G20" s="493"/>
      <c r="H20" s="491" t="str">
        <f ca="1">CONCATENATE($H$14,"-",H21)</f>
        <v>&gt;3 -NEW_LOW_RISK</v>
      </c>
      <c r="I20" s="491" t="str">
        <f ca="1">CONCATENATE($H$14,"-",I21)</f>
        <v>&gt;3 -Electrician</v>
      </c>
      <c r="J20" s="491" t="str">
        <f ca="1">CONCATENATE($H$14,"-",J21)</f>
        <v>&gt;3 -Généraux</v>
      </c>
      <c r="K20" s="491" t="str">
        <f ca="1">CONCATENATE($H$14,"-",K21)</f>
        <v>&gt;3 -New_standard</v>
      </c>
      <c r="M20" s="494"/>
      <c r="N20" s="495"/>
      <c r="P20" s="476"/>
      <c r="Q20" s="476"/>
      <c r="R20" s="476"/>
      <c r="S20" s="476"/>
      <c r="T20" s="476"/>
      <c r="U20" s="476"/>
      <c r="V20" s="491" t="str">
        <f>CONCATENATE($B$14,"-",V21)</f>
        <v>&gt;3 -NEW_LOW_RISK</v>
      </c>
      <c r="W20" s="491" t="str">
        <f t="shared" ref="W20:Y20" si="1">CONCATENATE($B$14,"-",W21)</f>
        <v>&gt;3 -Electrician</v>
      </c>
      <c r="X20" s="491" t="str">
        <f t="shared" si="1"/>
        <v>&gt;3 -Généraux</v>
      </c>
      <c r="Y20" s="491" t="str">
        <f t="shared" si="1"/>
        <v>&gt;3 -New_standard</v>
      </c>
      <c r="Z20" s="491" t="str">
        <f ca="1">CONCATENATE($H$14,"-",Z21)</f>
        <v>&gt;3 -NEW_LOW_RISK</v>
      </c>
      <c r="AA20" s="491" t="str">
        <f ca="1">CONCATENATE($H$14,"-",AA21)</f>
        <v>&gt;3 -Electrician</v>
      </c>
      <c r="AB20" s="491" t="str">
        <f ca="1">CONCATENATE($H$14,"-",AB21)</f>
        <v>&gt;3 -Généraux</v>
      </c>
      <c r="AC20" s="491" t="str">
        <f ca="1">CONCATENATE($H$14,"-",AC21)</f>
        <v>&gt;3 -New_standard</v>
      </c>
    </row>
    <row r="21" spans="1:42" ht="48.75" customHeight="1">
      <c r="A21" s="496" t="s">
        <v>404</v>
      </c>
      <c r="B21" s="335" t="s">
        <v>766</v>
      </c>
      <c r="C21" s="497" t="s">
        <v>718</v>
      </c>
      <c r="D21" s="498" t="s">
        <v>920</v>
      </c>
      <c r="E21" s="499" t="s">
        <v>919</v>
      </c>
      <c r="F21" s="500" t="s">
        <v>733</v>
      </c>
      <c r="G21" s="501" t="s">
        <v>734</v>
      </c>
      <c r="H21" s="335" t="s">
        <v>766</v>
      </c>
      <c r="I21" s="497" t="s">
        <v>718</v>
      </c>
      <c r="J21" s="498" t="s">
        <v>920</v>
      </c>
      <c r="K21" s="499" t="s">
        <v>919</v>
      </c>
      <c r="L21" s="502"/>
      <c r="M21" s="503" t="s">
        <v>733</v>
      </c>
      <c r="N21" s="504" t="s">
        <v>734</v>
      </c>
      <c r="P21" s="476"/>
      <c r="Q21" s="476"/>
      <c r="R21" s="476"/>
      <c r="S21" s="476"/>
      <c r="T21" s="476"/>
      <c r="U21" s="476"/>
      <c r="V21" s="335" t="s">
        <v>766</v>
      </c>
      <c r="W21" s="497" t="s">
        <v>718</v>
      </c>
      <c r="X21" s="498" t="s">
        <v>920</v>
      </c>
      <c r="Y21" s="499" t="s">
        <v>919</v>
      </c>
      <c r="Z21" s="335" t="s">
        <v>766</v>
      </c>
      <c r="AA21" s="497" t="s">
        <v>718</v>
      </c>
      <c r="AB21" s="498" t="s">
        <v>920</v>
      </c>
      <c r="AC21" s="499" t="s">
        <v>919</v>
      </c>
      <c r="AD21" s="335" t="s">
        <v>766</v>
      </c>
      <c r="AE21" s="497" t="s">
        <v>718</v>
      </c>
      <c r="AF21" s="498" t="s">
        <v>920</v>
      </c>
      <c r="AG21" s="499" t="s">
        <v>919</v>
      </c>
      <c r="AH21" s="500" t="s">
        <v>733</v>
      </c>
      <c r="AI21" s="501" t="s">
        <v>734</v>
      </c>
      <c r="AJ21" s="335" t="s">
        <v>766</v>
      </c>
      <c r="AK21" s="497" t="s">
        <v>718</v>
      </c>
      <c r="AL21" s="498" t="s">
        <v>920</v>
      </c>
      <c r="AM21" s="499" t="s">
        <v>919</v>
      </c>
      <c r="AN21" s="502"/>
      <c r="AO21" s="503" t="s">
        <v>733</v>
      </c>
      <c r="AP21" s="504" t="s">
        <v>734</v>
      </c>
    </row>
    <row r="22" spans="1:42" s="476" customFormat="1">
      <c r="A22" s="505">
        <v>0</v>
      </c>
      <c r="B22" s="563">
        <f>V22*(1+V$17)</f>
        <v>825.00000000000011</v>
      </c>
      <c r="C22" s="506">
        <f>W22*(1+W$17)</f>
        <v>935.00000000000011</v>
      </c>
      <c r="D22" s="506">
        <f>X22*(1+X$17)</f>
        <v>935.00000000000011</v>
      </c>
      <c r="E22" s="506">
        <f t="shared" ref="E22:E32" si="2">IF((D22*1.1)&gt;G22,(D22*1.1),G22)</f>
        <v>1028.5000000000002</v>
      </c>
      <c r="F22" s="486">
        <v>720</v>
      </c>
      <c r="G22" s="487">
        <v>870</v>
      </c>
      <c r="H22" s="506">
        <f>B22*H$17</f>
        <v>948.75000000000011</v>
      </c>
      <c r="I22" s="506">
        <f>C22*H$17</f>
        <v>1075.25</v>
      </c>
      <c r="J22" s="506">
        <f>D22*H$17</f>
        <v>1075.25</v>
      </c>
      <c r="K22" s="506">
        <f>E22*H$17</f>
        <v>1182.7750000000001</v>
      </c>
      <c r="M22" s="487">
        <v>810</v>
      </c>
      <c r="N22" s="487">
        <v>1200</v>
      </c>
      <c r="O22" s="487">
        <f>0.9*B22-$F22</f>
        <v>22.500000000000114</v>
      </c>
      <c r="P22" s="487">
        <f>0.9*C22-$F22</f>
        <v>121.50000000000011</v>
      </c>
      <c r="Q22" s="487">
        <f>0.9*E22-$G22</f>
        <v>55.650000000000205</v>
      </c>
      <c r="R22" s="487"/>
      <c r="S22" s="487">
        <f>H22*0.9-M22</f>
        <v>43.875000000000114</v>
      </c>
      <c r="T22" s="487">
        <f>K22*0.9-N22</f>
        <v>-135.50249999999983</v>
      </c>
      <c r="V22" s="563">
        <v>750</v>
      </c>
      <c r="W22" s="563">
        <v>850</v>
      </c>
      <c r="X22" s="563">
        <v>850</v>
      </c>
      <c r="Y22" s="563">
        <v>935.00000000000011</v>
      </c>
      <c r="Z22" s="563"/>
      <c r="AA22" s="563"/>
      <c r="AB22" s="563"/>
      <c r="AC22" s="563"/>
      <c r="AD22" s="506">
        <v>750</v>
      </c>
      <c r="AE22" s="506">
        <f>AF22</f>
        <v>850</v>
      </c>
      <c r="AF22" s="506">
        <v>850</v>
      </c>
      <c r="AG22" s="506">
        <f t="shared" ref="AG22:AG35" si="3">IF((AF22*1.1)&gt;AI22,(AF22*1.1),AI22)</f>
        <v>935.00000000000011</v>
      </c>
      <c r="AH22" s="486">
        <v>675</v>
      </c>
      <c r="AI22" s="487">
        <v>850</v>
      </c>
      <c r="AJ22" s="506">
        <f t="shared" ref="AJ22:AJ35" si="4">AD22*AJ$17</f>
        <v>0</v>
      </c>
      <c r="AK22" s="506">
        <f t="shared" ref="AK22:AK35" si="5">AE22*AJ$17</f>
        <v>0</v>
      </c>
      <c r="AL22" s="506">
        <f t="shared" ref="AL22:AL35" si="6">AF22*AJ$17</f>
        <v>0</v>
      </c>
      <c r="AM22" s="506">
        <f t="shared" ref="AM22:AM35" si="7">AG22*AJ$17</f>
        <v>0</v>
      </c>
      <c r="AO22" s="487">
        <v>750</v>
      </c>
      <c r="AP22" s="487">
        <v>1000</v>
      </c>
    </row>
    <row r="23" spans="1:42" s="476" customFormat="1">
      <c r="A23" s="506">
        <v>100001</v>
      </c>
      <c r="B23" s="563">
        <f t="shared" ref="B23:B35" si="8">V23*(1+V$17)</f>
        <v>880.00000000000011</v>
      </c>
      <c r="C23" s="506">
        <f t="shared" ref="C23:C36" si="9">W23*(1+W$17)</f>
        <v>1072.5</v>
      </c>
      <c r="D23" s="506">
        <f t="shared" ref="D23:D36" si="10">X23*(1+X$17)</f>
        <v>1072.5</v>
      </c>
      <c r="E23" s="506">
        <f t="shared" si="2"/>
        <v>1179.75</v>
      </c>
      <c r="F23" s="486">
        <v>720</v>
      </c>
      <c r="G23" s="487">
        <v>870</v>
      </c>
      <c r="H23" s="506">
        <f t="shared" ref="H23:H35" si="11">B23*H$17</f>
        <v>1012</v>
      </c>
      <c r="I23" s="506">
        <f t="shared" ref="I23:I35" si="12">C23*H$17</f>
        <v>1233.375</v>
      </c>
      <c r="J23" s="506">
        <f t="shared" ref="J23:J35" si="13">D23*H$17</f>
        <v>1233.375</v>
      </c>
      <c r="K23" s="506">
        <f t="shared" ref="K23:K32" si="14">E23*H$17</f>
        <v>1356.7124999999999</v>
      </c>
      <c r="M23" s="487">
        <v>810</v>
      </c>
      <c r="N23" s="487">
        <v>1200</v>
      </c>
      <c r="O23" s="487">
        <f t="shared" ref="O23:O34" si="15">0.9*B23-$F23</f>
        <v>72.000000000000114</v>
      </c>
      <c r="P23" s="487">
        <f t="shared" ref="P23:P36" si="16">0.9*C23-$F23</f>
        <v>245.25</v>
      </c>
      <c r="Q23" s="487">
        <f t="shared" ref="Q23:Q36" si="17">0.9*E23-$G23</f>
        <v>191.77500000000009</v>
      </c>
      <c r="R23" s="487"/>
      <c r="S23" s="487">
        <f t="shared" ref="S23:S35" si="18">H23*0.9-M23</f>
        <v>100.80000000000007</v>
      </c>
      <c r="T23" s="487">
        <f t="shared" ref="T23:T35" si="19">K23*0.9-N23</f>
        <v>21.041249999999991</v>
      </c>
      <c r="V23" s="563">
        <v>800</v>
      </c>
      <c r="W23" s="563">
        <v>975</v>
      </c>
      <c r="X23" s="563">
        <v>975</v>
      </c>
      <c r="Y23" s="563">
        <v>1072.5</v>
      </c>
      <c r="Z23" s="563"/>
      <c r="AA23" s="563"/>
      <c r="AB23" s="563"/>
      <c r="AC23" s="563"/>
      <c r="AD23" s="506">
        <f>AD22+50</f>
        <v>800</v>
      </c>
      <c r="AE23" s="506">
        <f t="shared" ref="AE23:AE35" si="20">AF23</f>
        <v>975</v>
      </c>
      <c r="AF23" s="506">
        <v>975</v>
      </c>
      <c r="AG23" s="506">
        <f t="shared" si="3"/>
        <v>1072.5</v>
      </c>
      <c r="AH23" s="486">
        <v>675</v>
      </c>
      <c r="AI23" s="487">
        <v>850</v>
      </c>
      <c r="AJ23" s="506">
        <f t="shared" si="4"/>
        <v>0</v>
      </c>
      <c r="AK23" s="506">
        <f t="shared" si="5"/>
        <v>0</v>
      </c>
      <c r="AL23" s="506">
        <f t="shared" si="6"/>
        <v>0</v>
      </c>
      <c r="AM23" s="506">
        <f t="shared" si="7"/>
        <v>0</v>
      </c>
      <c r="AO23" s="487">
        <v>750</v>
      </c>
      <c r="AP23" s="487">
        <v>1000</v>
      </c>
    </row>
    <row r="24" spans="1:42" s="476" customFormat="1">
      <c r="A24" s="506">
        <v>200001</v>
      </c>
      <c r="B24" s="563">
        <f t="shared" si="8"/>
        <v>935.00000000000011</v>
      </c>
      <c r="C24" s="506">
        <f t="shared" si="9"/>
        <v>1155</v>
      </c>
      <c r="D24" s="506">
        <f t="shared" si="10"/>
        <v>1155</v>
      </c>
      <c r="E24" s="506">
        <f t="shared" si="2"/>
        <v>1270.5</v>
      </c>
      <c r="F24" s="486">
        <v>720</v>
      </c>
      <c r="G24" s="487">
        <v>870</v>
      </c>
      <c r="H24" s="506">
        <f t="shared" si="11"/>
        <v>1075.25</v>
      </c>
      <c r="I24" s="506">
        <f t="shared" si="12"/>
        <v>1328.25</v>
      </c>
      <c r="J24" s="506">
        <f t="shared" si="13"/>
        <v>1328.25</v>
      </c>
      <c r="K24" s="506">
        <f t="shared" si="14"/>
        <v>1461.0749999999998</v>
      </c>
      <c r="M24" s="487">
        <v>810</v>
      </c>
      <c r="N24" s="487">
        <v>1200</v>
      </c>
      <c r="O24" s="487">
        <f t="shared" si="15"/>
        <v>121.50000000000011</v>
      </c>
      <c r="P24" s="487">
        <f t="shared" si="16"/>
        <v>319.5</v>
      </c>
      <c r="Q24" s="487">
        <f t="shared" si="17"/>
        <v>273.45000000000005</v>
      </c>
      <c r="R24" s="487"/>
      <c r="S24" s="487">
        <f t="shared" si="18"/>
        <v>157.72500000000002</v>
      </c>
      <c r="T24" s="487">
        <f t="shared" si="19"/>
        <v>114.96749999999997</v>
      </c>
      <c r="V24" s="563">
        <v>850</v>
      </c>
      <c r="W24" s="563">
        <v>1050</v>
      </c>
      <c r="X24" s="563">
        <v>1050</v>
      </c>
      <c r="Y24" s="563">
        <v>1155</v>
      </c>
      <c r="Z24" s="563"/>
      <c r="AA24" s="563"/>
      <c r="AB24" s="563"/>
      <c r="AC24" s="563"/>
      <c r="AD24" s="506">
        <f t="shared" ref="AD24:AD26" si="21">AD23+50</f>
        <v>850</v>
      </c>
      <c r="AE24" s="506">
        <f t="shared" si="20"/>
        <v>1050</v>
      </c>
      <c r="AF24" s="506">
        <v>1050</v>
      </c>
      <c r="AG24" s="506">
        <f t="shared" si="3"/>
        <v>1155</v>
      </c>
      <c r="AH24" s="486">
        <v>675</v>
      </c>
      <c r="AI24" s="487">
        <v>850</v>
      </c>
      <c r="AJ24" s="506">
        <f t="shared" si="4"/>
        <v>0</v>
      </c>
      <c r="AK24" s="506">
        <f t="shared" si="5"/>
        <v>0</v>
      </c>
      <c r="AL24" s="506">
        <f t="shared" si="6"/>
        <v>0</v>
      </c>
      <c r="AM24" s="506">
        <f t="shared" si="7"/>
        <v>0</v>
      </c>
      <c r="AO24" s="487">
        <v>750</v>
      </c>
      <c r="AP24" s="487">
        <v>1000</v>
      </c>
    </row>
    <row r="25" spans="1:42" s="476" customFormat="1">
      <c r="A25" s="506">
        <v>250001</v>
      </c>
      <c r="B25" s="563">
        <f t="shared" si="8"/>
        <v>990.00000000000011</v>
      </c>
      <c r="C25" s="506">
        <f t="shared" si="9"/>
        <v>1210</v>
      </c>
      <c r="D25" s="506">
        <f t="shared" si="10"/>
        <v>1210</v>
      </c>
      <c r="E25" s="506">
        <f t="shared" si="2"/>
        <v>1331</v>
      </c>
      <c r="F25" s="486">
        <v>720</v>
      </c>
      <c r="G25" s="487">
        <v>870</v>
      </c>
      <c r="H25" s="506">
        <f t="shared" si="11"/>
        <v>1138.5</v>
      </c>
      <c r="I25" s="506">
        <f t="shared" si="12"/>
        <v>1391.5</v>
      </c>
      <c r="J25" s="506">
        <f t="shared" si="13"/>
        <v>1391.5</v>
      </c>
      <c r="K25" s="506">
        <f t="shared" si="14"/>
        <v>1530.6499999999999</v>
      </c>
      <c r="M25" s="487">
        <v>810</v>
      </c>
      <c r="N25" s="487">
        <v>1200</v>
      </c>
      <c r="O25" s="487">
        <f t="shared" si="15"/>
        <v>171.00000000000011</v>
      </c>
      <c r="P25" s="487">
        <f t="shared" si="16"/>
        <v>369</v>
      </c>
      <c r="Q25" s="487">
        <f t="shared" si="17"/>
        <v>327.90000000000009</v>
      </c>
      <c r="R25" s="487"/>
      <c r="S25" s="487">
        <f t="shared" si="18"/>
        <v>214.65000000000009</v>
      </c>
      <c r="T25" s="487">
        <f t="shared" si="19"/>
        <v>177.58499999999981</v>
      </c>
      <c r="V25" s="563">
        <v>900</v>
      </c>
      <c r="W25" s="563">
        <v>1100</v>
      </c>
      <c r="X25" s="563">
        <v>1100</v>
      </c>
      <c r="Y25" s="563">
        <v>1210</v>
      </c>
      <c r="Z25" s="563"/>
      <c r="AA25" s="563"/>
      <c r="AB25" s="563"/>
      <c r="AC25" s="563"/>
      <c r="AD25" s="506">
        <f t="shared" si="21"/>
        <v>900</v>
      </c>
      <c r="AE25" s="506">
        <f t="shared" si="20"/>
        <v>1100</v>
      </c>
      <c r="AF25" s="506">
        <v>1100</v>
      </c>
      <c r="AG25" s="506">
        <f t="shared" si="3"/>
        <v>1210</v>
      </c>
      <c r="AH25" s="486">
        <v>675</v>
      </c>
      <c r="AI25" s="487">
        <v>850</v>
      </c>
      <c r="AJ25" s="506">
        <f t="shared" si="4"/>
        <v>0</v>
      </c>
      <c r="AK25" s="506">
        <f t="shared" si="5"/>
        <v>0</v>
      </c>
      <c r="AL25" s="506">
        <f t="shared" si="6"/>
        <v>0</v>
      </c>
      <c r="AM25" s="506">
        <f t="shared" si="7"/>
        <v>0</v>
      </c>
      <c r="AO25" s="487">
        <v>750</v>
      </c>
      <c r="AP25" s="487">
        <v>1000</v>
      </c>
    </row>
    <row r="26" spans="1:42" s="476" customFormat="1">
      <c r="A26" s="506">
        <v>300001</v>
      </c>
      <c r="B26" s="563">
        <f t="shared" si="8"/>
        <v>1045</v>
      </c>
      <c r="C26" s="506">
        <f t="shared" si="9"/>
        <v>1265</v>
      </c>
      <c r="D26" s="506">
        <f t="shared" si="10"/>
        <v>1265</v>
      </c>
      <c r="E26" s="506">
        <f t="shared" si="2"/>
        <v>1391.5</v>
      </c>
      <c r="F26" s="486">
        <v>720</v>
      </c>
      <c r="G26" s="487">
        <v>870</v>
      </c>
      <c r="H26" s="506">
        <f t="shared" si="11"/>
        <v>1201.75</v>
      </c>
      <c r="I26" s="506">
        <f t="shared" si="12"/>
        <v>1454.75</v>
      </c>
      <c r="J26" s="506">
        <f t="shared" si="13"/>
        <v>1454.75</v>
      </c>
      <c r="K26" s="506">
        <f t="shared" si="14"/>
        <v>1600.2249999999999</v>
      </c>
      <c r="M26" s="487">
        <v>810</v>
      </c>
      <c r="N26" s="487">
        <v>1200</v>
      </c>
      <c r="O26" s="487">
        <f t="shared" si="15"/>
        <v>220.5</v>
      </c>
      <c r="P26" s="487">
        <f t="shared" si="16"/>
        <v>418.5</v>
      </c>
      <c r="Q26" s="487">
        <f t="shared" si="17"/>
        <v>382.35000000000014</v>
      </c>
      <c r="R26" s="487"/>
      <c r="S26" s="487">
        <f t="shared" si="18"/>
        <v>271.57500000000005</v>
      </c>
      <c r="T26" s="487">
        <f t="shared" si="19"/>
        <v>240.20249999999987</v>
      </c>
      <c r="V26" s="563">
        <v>950</v>
      </c>
      <c r="W26" s="563">
        <v>1150</v>
      </c>
      <c r="X26" s="563">
        <v>1150</v>
      </c>
      <c r="Y26" s="563">
        <v>1265</v>
      </c>
      <c r="Z26" s="563"/>
      <c r="AA26" s="563"/>
      <c r="AB26" s="563"/>
      <c r="AC26" s="563"/>
      <c r="AD26" s="506">
        <f t="shared" si="21"/>
        <v>950</v>
      </c>
      <c r="AE26" s="506">
        <f t="shared" si="20"/>
        <v>1150</v>
      </c>
      <c r="AF26" s="506">
        <v>1150</v>
      </c>
      <c r="AG26" s="506">
        <f t="shared" si="3"/>
        <v>1265</v>
      </c>
      <c r="AH26" s="486">
        <v>675</v>
      </c>
      <c r="AI26" s="487">
        <v>850</v>
      </c>
      <c r="AJ26" s="506">
        <f t="shared" si="4"/>
        <v>0</v>
      </c>
      <c r="AK26" s="506">
        <f t="shared" si="5"/>
        <v>0</v>
      </c>
      <c r="AL26" s="506">
        <f t="shared" si="6"/>
        <v>0</v>
      </c>
      <c r="AM26" s="506">
        <f t="shared" si="7"/>
        <v>0</v>
      </c>
      <c r="AO26" s="487">
        <v>750</v>
      </c>
      <c r="AP26" s="487">
        <v>1000</v>
      </c>
    </row>
    <row r="27" spans="1:42" s="476" customFormat="1">
      <c r="A27" s="507">
        <v>400001</v>
      </c>
      <c r="B27" s="563">
        <f t="shared" si="8"/>
        <v>1127.5</v>
      </c>
      <c r="C27" s="506">
        <f t="shared" si="9"/>
        <v>1375</v>
      </c>
      <c r="D27" s="506">
        <f t="shared" si="10"/>
        <v>1375</v>
      </c>
      <c r="E27" s="506">
        <f t="shared" si="2"/>
        <v>1512.5000000000002</v>
      </c>
      <c r="F27" s="486">
        <v>720</v>
      </c>
      <c r="G27" s="487">
        <v>870</v>
      </c>
      <c r="H27" s="506">
        <f t="shared" si="11"/>
        <v>1296.625</v>
      </c>
      <c r="I27" s="506">
        <f t="shared" si="12"/>
        <v>1581.2499999999998</v>
      </c>
      <c r="J27" s="506">
        <f t="shared" si="13"/>
        <v>1581.2499999999998</v>
      </c>
      <c r="K27" s="506">
        <f t="shared" si="14"/>
        <v>1739.3750000000002</v>
      </c>
      <c r="M27" s="487">
        <v>810</v>
      </c>
      <c r="N27" s="487">
        <v>1200</v>
      </c>
      <c r="O27" s="487">
        <f t="shared" si="15"/>
        <v>294.75</v>
      </c>
      <c r="P27" s="487">
        <f t="shared" si="16"/>
        <v>517.5</v>
      </c>
      <c r="Q27" s="487">
        <f t="shared" si="17"/>
        <v>491.25000000000023</v>
      </c>
      <c r="R27" s="487"/>
      <c r="S27" s="487">
        <f t="shared" si="18"/>
        <v>356.96250000000009</v>
      </c>
      <c r="T27" s="487">
        <f t="shared" si="19"/>
        <v>365.43750000000023</v>
      </c>
      <c r="V27" s="563">
        <v>1025</v>
      </c>
      <c r="W27" s="563">
        <v>1250</v>
      </c>
      <c r="X27" s="563">
        <v>1250</v>
      </c>
      <c r="Y27" s="563">
        <v>1375</v>
      </c>
      <c r="Z27" s="563"/>
      <c r="AA27" s="563"/>
      <c r="AB27" s="563"/>
      <c r="AC27" s="563"/>
      <c r="AD27" s="506">
        <f>AD26+75</f>
        <v>1025</v>
      </c>
      <c r="AE27" s="506">
        <f t="shared" si="20"/>
        <v>1250</v>
      </c>
      <c r="AF27" s="506">
        <v>1250</v>
      </c>
      <c r="AG27" s="506">
        <f t="shared" si="3"/>
        <v>1375</v>
      </c>
      <c r="AH27" s="486">
        <v>675</v>
      </c>
      <c r="AI27" s="487">
        <v>850</v>
      </c>
      <c r="AJ27" s="506">
        <f t="shared" si="4"/>
        <v>0</v>
      </c>
      <c r="AK27" s="506">
        <f t="shared" si="5"/>
        <v>0</v>
      </c>
      <c r="AL27" s="506">
        <f t="shared" si="6"/>
        <v>0</v>
      </c>
      <c r="AM27" s="506">
        <f t="shared" si="7"/>
        <v>0</v>
      </c>
      <c r="AO27" s="487">
        <v>750</v>
      </c>
      <c r="AP27" s="487">
        <v>1000</v>
      </c>
    </row>
    <row r="28" spans="1:42">
      <c r="A28" s="508">
        <v>500001</v>
      </c>
      <c r="B28" s="563">
        <f t="shared" si="8"/>
        <v>1237.5</v>
      </c>
      <c r="C28" s="506">
        <f t="shared" si="9"/>
        <v>1485.0000000000002</v>
      </c>
      <c r="D28" s="506">
        <f t="shared" si="10"/>
        <v>1485.0000000000002</v>
      </c>
      <c r="E28" s="509">
        <f t="shared" si="2"/>
        <v>1633.5000000000005</v>
      </c>
      <c r="F28" s="486">
        <v>720</v>
      </c>
      <c r="G28" s="487">
        <v>870</v>
      </c>
      <c r="H28" s="509">
        <f t="shared" si="11"/>
        <v>1423.125</v>
      </c>
      <c r="I28" s="509">
        <f t="shared" si="12"/>
        <v>1707.7500000000002</v>
      </c>
      <c r="J28" s="506">
        <f t="shared" si="13"/>
        <v>1707.7500000000002</v>
      </c>
      <c r="K28" s="506">
        <f t="shared" si="14"/>
        <v>1878.5250000000003</v>
      </c>
      <c r="M28" s="487">
        <v>810</v>
      </c>
      <c r="N28" s="487">
        <v>1200</v>
      </c>
      <c r="O28" s="487">
        <f t="shared" si="15"/>
        <v>393.75</v>
      </c>
      <c r="P28" s="487">
        <f t="shared" si="16"/>
        <v>616.50000000000023</v>
      </c>
      <c r="Q28" s="487">
        <f t="shared" si="17"/>
        <v>600.15000000000055</v>
      </c>
      <c r="R28" s="487"/>
      <c r="S28" s="487">
        <f t="shared" si="18"/>
        <v>470.8125</v>
      </c>
      <c r="T28" s="487">
        <f t="shared" si="19"/>
        <v>490.67250000000035</v>
      </c>
      <c r="U28" s="476"/>
      <c r="V28" s="563">
        <v>1125</v>
      </c>
      <c r="W28" s="563">
        <v>1350</v>
      </c>
      <c r="X28" s="563">
        <v>1350</v>
      </c>
      <c r="Y28" s="563">
        <v>1485.0000000000002</v>
      </c>
      <c r="Z28" s="563"/>
      <c r="AA28" s="563"/>
      <c r="AB28" s="563"/>
      <c r="AC28" s="563"/>
      <c r="AD28" s="509">
        <f>AD27+100</f>
        <v>1125</v>
      </c>
      <c r="AE28" s="506">
        <f t="shared" si="20"/>
        <v>1350</v>
      </c>
      <c r="AF28" s="509">
        <f>AF27+100</f>
        <v>1350</v>
      </c>
      <c r="AG28" s="509">
        <f t="shared" si="3"/>
        <v>1485.0000000000002</v>
      </c>
      <c r="AH28" s="321">
        <f>$A28*AH$17/1000</f>
        <v>0</v>
      </c>
      <c r="AI28" s="321">
        <f>$A28*AI$17/1000</f>
        <v>0</v>
      </c>
      <c r="AJ28" s="509">
        <f t="shared" si="4"/>
        <v>0</v>
      </c>
      <c r="AK28" s="509">
        <f t="shared" si="5"/>
        <v>0</v>
      </c>
      <c r="AL28" s="506">
        <f t="shared" si="6"/>
        <v>0</v>
      </c>
      <c r="AM28" s="506">
        <f t="shared" si="7"/>
        <v>0</v>
      </c>
      <c r="AO28" s="510">
        <f>$A28*AO$17/1000</f>
        <v>0</v>
      </c>
      <c r="AP28" s="510">
        <f>$A28*AP$17/1000</f>
        <v>0</v>
      </c>
    </row>
    <row r="29" spans="1:42">
      <c r="A29" s="508">
        <v>600001</v>
      </c>
      <c r="B29" s="563">
        <f t="shared" si="8"/>
        <v>1347.5</v>
      </c>
      <c r="C29" s="506">
        <f t="shared" si="9"/>
        <v>1595.0000000000002</v>
      </c>
      <c r="D29" s="506">
        <f t="shared" si="10"/>
        <v>1595.0000000000002</v>
      </c>
      <c r="E29" s="509">
        <f t="shared" si="2"/>
        <v>1754.5000000000005</v>
      </c>
      <c r="F29" s="486">
        <v>720</v>
      </c>
      <c r="G29" s="487">
        <v>870</v>
      </c>
      <c r="H29" s="509">
        <f t="shared" si="11"/>
        <v>1549.6249999999998</v>
      </c>
      <c r="I29" s="509">
        <f t="shared" si="12"/>
        <v>1834.2500000000002</v>
      </c>
      <c r="J29" s="506">
        <f t="shared" si="13"/>
        <v>1834.2500000000002</v>
      </c>
      <c r="K29" s="506">
        <f t="shared" si="14"/>
        <v>2017.6750000000004</v>
      </c>
      <c r="M29" s="487">
        <v>810</v>
      </c>
      <c r="N29" s="487">
        <v>1200</v>
      </c>
      <c r="O29" s="487">
        <f t="shared" si="15"/>
        <v>492.75</v>
      </c>
      <c r="P29" s="487">
        <f t="shared" si="16"/>
        <v>715.50000000000023</v>
      </c>
      <c r="Q29" s="487">
        <f t="shared" si="17"/>
        <v>709.05000000000041</v>
      </c>
      <c r="R29" s="487"/>
      <c r="S29" s="487">
        <f t="shared" si="18"/>
        <v>584.66249999999991</v>
      </c>
      <c r="T29" s="487">
        <f t="shared" si="19"/>
        <v>615.90750000000048</v>
      </c>
      <c r="U29" s="476"/>
      <c r="V29" s="563">
        <v>1225</v>
      </c>
      <c r="W29" s="563">
        <v>1450</v>
      </c>
      <c r="X29" s="563">
        <v>1450</v>
      </c>
      <c r="Y29" s="563">
        <v>1595.0000000000002</v>
      </c>
      <c r="Z29" s="563"/>
      <c r="AA29" s="563"/>
      <c r="AB29" s="563"/>
      <c r="AC29" s="563"/>
      <c r="AD29" s="509">
        <f t="shared" ref="AD29:AD35" si="22">AD28+100</f>
        <v>1225</v>
      </c>
      <c r="AE29" s="506">
        <f t="shared" si="20"/>
        <v>1450</v>
      </c>
      <c r="AF29" s="509">
        <f>AF28+100</f>
        <v>1450</v>
      </c>
      <c r="AG29" s="509">
        <f t="shared" si="3"/>
        <v>1595.0000000000002</v>
      </c>
      <c r="AH29" s="321">
        <f t="shared" ref="AH29:AH35" si="23">W29*AH$17/1000</f>
        <v>0</v>
      </c>
      <c r="AI29" s="321">
        <f t="shared" ref="AI29:AI35" si="24">$A29*AI$17/1000</f>
        <v>0</v>
      </c>
      <c r="AJ29" s="509">
        <f t="shared" si="4"/>
        <v>0</v>
      </c>
      <c r="AK29" s="509">
        <f t="shared" si="5"/>
        <v>0</v>
      </c>
      <c r="AL29" s="506">
        <f t="shared" si="6"/>
        <v>0</v>
      </c>
      <c r="AM29" s="506">
        <f t="shared" si="7"/>
        <v>0</v>
      </c>
      <c r="AO29" s="510">
        <f t="shared" ref="AO29:AP35" si="25">$A29*AO$17/1000</f>
        <v>0</v>
      </c>
      <c r="AP29" s="510">
        <f t="shared" si="25"/>
        <v>0</v>
      </c>
    </row>
    <row r="30" spans="1:42">
      <c r="A30" s="508">
        <v>700001</v>
      </c>
      <c r="B30" s="563">
        <f t="shared" si="8"/>
        <v>1457.5000000000002</v>
      </c>
      <c r="C30" s="506">
        <f t="shared" si="9"/>
        <v>1705.0000000000002</v>
      </c>
      <c r="D30" s="506">
        <f t="shared" si="10"/>
        <v>1705.0000000000002</v>
      </c>
      <c r="E30" s="509">
        <f t="shared" si="2"/>
        <v>1875.5000000000005</v>
      </c>
      <c r="F30" s="486">
        <v>720</v>
      </c>
      <c r="G30" s="487">
        <v>870</v>
      </c>
      <c r="H30" s="509">
        <f t="shared" si="11"/>
        <v>1676.1250000000002</v>
      </c>
      <c r="I30" s="509">
        <f t="shared" si="12"/>
        <v>1960.75</v>
      </c>
      <c r="J30" s="506">
        <f t="shared" si="13"/>
        <v>1960.75</v>
      </c>
      <c r="K30" s="506">
        <f t="shared" si="14"/>
        <v>2156.8250000000003</v>
      </c>
      <c r="M30" s="487">
        <v>810</v>
      </c>
      <c r="N30" s="487">
        <v>1200</v>
      </c>
      <c r="O30" s="487">
        <f t="shared" si="15"/>
        <v>591.75000000000023</v>
      </c>
      <c r="P30" s="487">
        <f t="shared" si="16"/>
        <v>814.50000000000023</v>
      </c>
      <c r="Q30" s="487">
        <f t="shared" si="17"/>
        <v>817.9500000000005</v>
      </c>
      <c r="R30" s="487"/>
      <c r="S30" s="487">
        <f t="shared" si="18"/>
        <v>698.51250000000027</v>
      </c>
      <c r="T30" s="487">
        <f t="shared" si="19"/>
        <v>741.14250000000038</v>
      </c>
      <c r="U30" s="476"/>
      <c r="V30" s="563">
        <v>1325</v>
      </c>
      <c r="W30" s="563">
        <v>1550</v>
      </c>
      <c r="X30" s="563">
        <v>1550</v>
      </c>
      <c r="Y30" s="563">
        <v>1705.0000000000002</v>
      </c>
      <c r="Z30" s="563"/>
      <c r="AA30" s="563"/>
      <c r="AB30" s="563"/>
      <c r="AC30" s="563"/>
      <c r="AD30" s="509">
        <f t="shared" si="22"/>
        <v>1325</v>
      </c>
      <c r="AE30" s="506">
        <f t="shared" si="20"/>
        <v>1550</v>
      </c>
      <c r="AF30" s="509">
        <f t="shared" ref="AF30:AF31" si="26">AF29+100</f>
        <v>1550</v>
      </c>
      <c r="AG30" s="509">
        <f t="shared" si="3"/>
        <v>1705.0000000000002</v>
      </c>
      <c r="AH30" s="321">
        <f t="shared" si="23"/>
        <v>0</v>
      </c>
      <c r="AI30" s="321">
        <f t="shared" si="24"/>
        <v>0</v>
      </c>
      <c r="AJ30" s="509">
        <f t="shared" si="4"/>
        <v>0</v>
      </c>
      <c r="AK30" s="509">
        <f t="shared" si="5"/>
        <v>0</v>
      </c>
      <c r="AL30" s="506">
        <f t="shared" si="6"/>
        <v>0</v>
      </c>
      <c r="AM30" s="506">
        <f t="shared" si="7"/>
        <v>0</v>
      </c>
      <c r="AO30" s="510">
        <f t="shared" si="25"/>
        <v>0</v>
      </c>
      <c r="AP30" s="510">
        <f t="shared" si="25"/>
        <v>0</v>
      </c>
    </row>
    <row r="31" spans="1:42">
      <c r="A31" s="508">
        <v>800001</v>
      </c>
      <c r="B31" s="563">
        <f t="shared" si="8"/>
        <v>1567.5000000000002</v>
      </c>
      <c r="C31" s="506">
        <f t="shared" si="9"/>
        <v>1815.0000000000002</v>
      </c>
      <c r="D31" s="506">
        <f t="shared" si="10"/>
        <v>1815.0000000000002</v>
      </c>
      <c r="E31" s="509">
        <f t="shared" si="2"/>
        <v>1996.5000000000005</v>
      </c>
      <c r="F31" s="486">
        <v>720</v>
      </c>
      <c r="G31" s="487">
        <v>870</v>
      </c>
      <c r="H31" s="509">
        <f t="shared" si="11"/>
        <v>1802.6250000000002</v>
      </c>
      <c r="I31" s="509">
        <f t="shared" si="12"/>
        <v>2087.25</v>
      </c>
      <c r="J31" s="506">
        <f t="shared" si="13"/>
        <v>2087.25</v>
      </c>
      <c r="K31" s="506">
        <f t="shared" si="14"/>
        <v>2295.9750000000004</v>
      </c>
      <c r="M31" s="487">
        <v>810</v>
      </c>
      <c r="N31" s="487">
        <v>1200</v>
      </c>
      <c r="O31" s="487">
        <f t="shared" si="15"/>
        <v>690.75000000000023</v>
      </c>
      <c r="P31" s="487">
        <f t="shared" si="16"/>
        <v>913.50000000000023</v>
      </c>
      <c r="Q31" s="487">
        <f>0.9*E31-$G31</f>
        <v>926.85000000000036</v>
      </c>
      <c r="R31" s="487"/>
      <c r="S31" s="487">
        <f t="shared" si="18"/>
        <v>812.36250000000018</v>
      </c>
      <c r="T31" s="487">
        <f t="shared" si="19"/>
        <v>866.37750000000051</v>
      </c>
      <c r="U31" s="476"/>
      <c r="V31" s="563">
        <v>1425</v>
      </c>
      <c r="W31" s="563">
        <v>1650</v>
      </c>
      <c r="X31" s="563">
        <v>1650</v>
      </c>
      <c r="Y31" s="563">
        <v>1815.0000000000002</v>
      </c>
      <c r="Z31" s="563"/>
      <c r="AA31" s="563"/>
      <c r="AB31" s="563"/>
      <c r="AC31" s="563"/>
      <c r="AD31" s="509">
        <f t="shared" si="22"/>
        <v>1425</v>
      </c>
      <c r="AE31" s="506">
        <f t="shared" si="20"/>
        <v>1650</v>
      </c>
      <c r="AF31" s="509">
        <f t="shared" si="26"/>
        <v>1650</v>
      </c>
      <c r="AG31" s="509">
        <f t="shared" si="3"/>
        <v>1815.0000000000002</v>
      </c>
      <c r="AH31" s="321">
        <f t="shared" si="23"/>
        <v>0</v>
      </c>
      <c r="AI31" s="321">
        <f t="shared" si="24"/>
        <v>0</v>
      </c>
      <c r="AJ31" s="509">
        <f t="shared" si="4"/>
        <v>0</v>
      </c>
      <c r="AK31" s="509">
        <f t="shared" si="5"/>
        <v>0</v>
      </c>
      <c r="AL31" s="506">
        <f t="shared" si="6"/>
        <v>0</v>
      </c>
      <c r="AM31" s="506">
        <f t="shared" si="7"/>
        <v>0</v>
      </c>
      <c r="AO31" s="510">
        <f t="shared" si="25"/>
        <v>0</v>
      </c>
      <c r="AP31" s="510">
        <f t="shared" si="25"/>
        <v>0</v>
      </c>
    </row>
    <row r="32" spans="1:42">
      <c r="A32" s="508">
        <v>900001</v>
      </c>
      <c r="B32" s="563">
        <f t="shared" si="8"/>
        <v>1677.5000000000002</v>
      </c>
      <c r="C32" s="506">
        <f t="shared" si="9"/>
        <v>1925.0000000000002</v>
      </c>
      <c r="D32" s="506">
        <f t="shared" si="10"/>
        <v>1925.0000000000002</v>
      </c>
      <c r="E32" s="509">
        <f t="shared" si="2"/>
        <v>2117.5000000000005</v>
      </c>
      <c r="F32" s="486">
        <v>720</v>
      </c>
      <c r="G32" s="487">
        <v>870</v>
      </c>
      <c r="H32" s="509">
        <f t="shared" si="11"/>
        <v>1929.125</v>
      </c>
      <c r="I32" s="509">
        <f t="shared" si="12"/>
        <v>2213.75</v>
      </c>
      <c r="J32" s="506">
        <f t="shared" si="13"/>
        <v>2213.75</v>
      </c>
      <c r="K32" s="506">
        <f t="shared" si="14"/>
        <v>2435.1250000000005</v>
      </c>
      <c r="M32" s="487">
        <v>810</v>
      </c>
      <c r="N32" s="487">
        <v>1200</v>
      </c>
      <c r="O32" s="487">
        <f t="shared" si="15"/>
        <v>789.75000000000023</v>
      </c>
      <c r="P32" s="487">
        <f t="shared" si="16"/>
        <v>1012.5000000000002</v>
      </c>
      <c r="Q32" s="487">
        <f t="shared" si="17"/>
        <v>1035.7500000000005</v>
      </c>
      <c r="R32" s="487"/>
      <c r="S32" s="487">
        <f t="shared" si="18"/>
        <v>926.21250000000009</v>
      </c>
      <c r="T32" s="487">
        <f t="shared" si="19"/>
        <v>991.61250000000064</v>
      </c>
      <c r="U32" s="476"/>
      <c r="V32" s="563">
        <v>1525</v>
      </c>
      <c r="W32" s="563">
        <v>1750</v>
      </c>
      <c r="X32" s="563">
        <v>1750</v>
      </c>
      <c r="Y32" s="563">
        <v>1925.0000000000002</v>
      </c>
      <c r="Z32" s="563"/>
      <c r="AA32" s="563"/>
      <c r="AB32" s="563"/>
      <c r="AC32" s="563"/>
      <c r="AD32" s="509">
        <f t="shared" si="22"/>
        <v>1525</v>
      </c>
      <c r="AE32" s="506">
        <f t="shared" si="20"/>
        <v>1750</v>
      </c>
      <c r="AF32" s="509">
        <f>AF31+100</f>
        <v>1750</v>
      </c>
      <c r="AG32" s="509">
        <f t="shared" si="3"/>
        <v>1925.0000000000002</v>
      </c>
      <c r="AH32" s="321">
        <f t="shared" si="23"/>
        <v>0</v>
      </c>
      <c r="AI32" s="321">
        <f t="shared" si="24"/>
        <v>0</v>
      </c>
      <c r="AJ32" s="509">
        <f t="shared" si="4"/>
        <v>0</v>
      </c>
      <c r="AK32" s="509">
        <f t="shared" si="5"/>
        <v>0</v>
      </c>
      <c r="AL32" s="506">
        <f t="shared" si="6"/>
        <v>0</v>
      </c>
      <c r="AM32" s="506">
        <f t="shared" si="7"/>
        <v>0</v>
      </c>
      <c r="AO32" s="510">
        <f t="shared" si="25"/>
        <v>0</v>
      </c>
      <c r="AP32" s="510">
        <f t="shared" si="25"/>
        <v>0</v>
      </c>
    </row>
    <row r="33" spans="1:42">
      <c r="A33" s="508">
        <v>1000001</v>
      </c>
      <c r="B33" s="563">
        <f t="shared" si="8"/>
        <v>1787.5000000000002</v>
      </c>
      <c r="C33" s="506">
        <f t="shared" si="9"/>
        <v>2062.5</v>
      </c>
      <c r="D33" s="506">
        <f>X33*(1+X$17)</f>
        <v>2062.5</v>
      </c>
      <c r="E33" s="582">
        <f>IF((D33*1.16)&gt;G33,(D33*1.16),G33)</f>
        <v>2392.5</v>
      </c>
      <c r="F33" s="486">
        <v>720</v>
      </c>
      <c r="G33" s="321">
        <f>$A33*G$17/1000</f>
        <v>2150.0021499999998</v>
      </c>
      <c r="H33" s="509">
        <f t="shared" si="11"/>
        <v>2055.625</v>
      </c>
      <c r="I33" s="509">
        <f t="shared" si="12"/>
        <v>2371.875</v>
      </c>
      <c r="J33" s="506">
        <f t="shared" si="13"/>
        <v>2371.875</v>
      </c>
      <c r="K33" s="582">
        <f>E33*1.17</f>
        <v>2799.2249999999999</v>
      </c>
      <c r="M33" s="487">
        <v>810</v>
      </c>
      <c r="N33" s="510">
        <f t="shared" ref="M33:N75" si="27">$A33*N$17/1000</f>
        <v>2500.0025000000001</v>
      </c>
      <c r="O33" s="487">
        <f t="shared" si="15"/>
        <v>888.75000000000023</v>
      </c>
      <c r="P33" s="487">
        <f t="shared" si="16"/>
        <v>1136.25</v>
      </c>
      <c r="Q33" s="579">
        <f>0.9*E33-$G33</f>
        <v>3.2478500000001986</v>
      </c>
      <c r="R33" s="579"/>
      <c r="S33" s="487">
        <f t="shared" si="18"/>
        <v>1040.0625</v>
      </c>
      <c r="T33" s="487">
        <f t="shared" si="19"/>
        <v>19.299999999999727</v>
      </c>
      <c r="U33" s="476"/>
      <c r="V33" s="563">
        <v>1625</v>
      </c>
      <c r="W33" s="563">
        <v>1875</v>
      </c>
      <c r="X33" s="563">
        <v>1875</v>
      </c>
      <c r="Y33" s="563">
        <v>2062.5</v>
      </c>
      <c r="Z33" s="563"/>
      <c r="AA33" s="563"/>
      <c r="AB33" s="563"/>
      <c r="AC33" s="563"/>
      <c r="AD33" s="509">
        <f>AD32+100</f>
        <v>1625</v>
      </c>
      <c r="AE33" s="506">
        <f t="shared" si="20"/>
        <v>1875</v>
      </c>
      <c r="AF33" s="509">
        <f t="shared" ref="AF33:AF35" si="28">AF32+125</f>
        <v>1875</v>
      </c>
      <c r="AG33" s="509">
        <f t="shared" si="3"/>
        <v>2062.5</v>
      </c>
      <c r="AH33" s="321">
        <f t="shared" si="23"/>
        <v>0</v>
      </c>
      <c r="AI33" s="321">
        <f t="shared" si="24"/>
        <v>0</v>
      </c>
      <c r="AJ33" s="509">
        <f t="shared" si="4"/>
        <v>0</v>
      </c>
      <c r="AK33" s="509">
        <f t="shared" si="5"/>
        <v>0</v>
      </c>
      <c r="AL33" s="506">
        <f t="shared" si="6"/>
        <v>0</v>
      </c>
      <c r="AM33" s="506">
        <f t="shared" si="7"/>
        <v>0</v>
      </c>
      <c r="AO33" s="510">
        <f t="shared" si="25"/>
        <v>0</v>
      </c>
      <c r="AP33" s="510">
        <f t="shared" si="25"/>
        <v>0</v>
      </c>
    </row>
    <row r="34" spans="1:42">
      <c r="A34" s="508">
        <v>1100001</v>
      </c>
      <c r="B34" s="563">
        <f t="shared" si="8"/>
        <v>1897.5000000000002</v>
      </c>
      <c r="C34" s="506">
        <f t="shared" si="9"/>
        <v>2200</v>
      </c>
      <c r="D34" s="506">
        <f t="shared" si="10"/>
        <v>2200</v>
      </c>
      <c r="E34" s="582">
        <f>IF((D34*1.2)&gt;G34,(D34*1.2),G34)</f>
        <v>2640</v>
      </c>
      <c r="F34" s="486">
        <v>720</v>
      </c>
      <c r="G34" s="321">
        <f t="shared" ref="G34:G75" si="29">$A34*G$17/1000</f>
        <v>2365.0021499999998</v>
      </c>
      <c r="H34" s="509">
        <f t="shared" si="11"/>
        <v>2182.125</v>
      </c>
      <c r="I34" s="509">
        <f t="shared" si="12"/>
        <v>2530</v>
      </c>
      <c r="J34" s="506">
        <f t="shared" si="13"/>
        <v>2530</v>
      </c>
      <c r="K34" s="582">
        <f t="shared" ref="K34:K35" si="30">E34*1.17</f>
        <v>3088.7999999999997</v>
      </c>
      <c r="M34" s="487">
        <v>810</v>
      </c>
      <c r="N34" s="510">
        <f t="shared" si="27"/>
        <v>2750.0025000000001</v>
      </c>
      <c r="O34" s="487">
        <f t="shared" si="15"/>
        <v>987.75000000000023</v>
      </c>
      <c r="P34" s="487">
        <f t="shared" si="16"/>
        <v>1260</v>
      </c>
      <c r="Q34" s="579">
        <f>0.9*E34-$G34</f>
        <v>10.997850000000199</v>
      </c>
      <c r="R34" s="579"/>
      <c r="S34" s="487">
        <f t="shared" si="18"/>
        <v>1153.9125000000001</v>
      </c>
      <c r="T34" s="487">
        <f t="shared" si="19"/>
        <v>29.917499999999563</v>
      </c>
      <c r="U34" s="476"/>
      <c r="V34" s="563">
        <v>1725</v>
      </c>
      <c r="W34" s="563">
        <v>2000</v>
      </c>
      <c r="X34" s="563">
        <v>2000</v>
      </c>
      <c r="Y34" s="563">
        <v>2200</v>
      </c>
      <c r="Z34" s="563"/>
      <c r="AA34" s="563"/>
      <c r="AB34" s="563"/>
      <c r="AC34" s="563"/>
      <c r="AD34" s="509">
        <f t="shared" si="22"/>
        <v>1725</v>
      </c>
      <c r="AE34" s="506">
        <f t="shared" si="20"/>
        <v>2000</v>
      </c>
      <c r="AF34" s="509">
        <f t="shared" si="28"/>
        <v>2000</v>
      </c>
      <c r="AG34" s="509">
        <f t="shared" si="3"/>
        <v>2200</v>
      </c>
      <c r="AH34" s="321">
        <f t="shared" si="23"/>
        <v>0</v>
      </c>
      <c r="AI34" s="321">
        <f t="shared" si="24"/>
        <v>0</v>
      </c>
      <c r="AJ34" s="509">
        <f t="shared" si="4"/>
        <v>0</v>
      </c>
      <c r="AK34" s="509">
        <f t="shared" si="5"/>
        <v>0</v>
      </c>
      <c r="AL34" s="506">
        <f t="shared" si="6"/>
        <v>0</v>
      </c>
      <c r="AM34" s="506">
        <f t="shared" si="7"/>
        <v>0</v>
      </c>
      <c r="AO34" s="510">
        <f t="shared" si="25"/>
        <v>0</v>
      </c>
      <c r="AP34" s="510">
        <f t="shared" si="25"/>
        <v>0</v>
      </c>
    </row>
    <row r="35" spans="1:42">
      <c r="A35" s="508">
        <v>1200001</v>
      </c>
      <c r="B35" s="563">
        <f t="shared" si="8"/>
        <v>2007.5000000000002</v>
      </c>
      <c r="C35" s="506">
        <f t="shared" si="9"/>
        <v>2337.5</v>
      </c>
      <c r="D35" s="506">
        <f t="shared" si="10"/>
        <v>2337.5</v>
      </c>
      <c r="E35" s="582">
        <f>IF((D35*1.23)&gt;G35,(D35*1.23),G35)</f>
        <v>2875.125</v>
      </c>
      <c r="F35" s="486">
        <v>720</v>
      </c>
      <c r="G35" s="321">
        <f t="shared" si="29"/>
        <v>2580.0021499999998</v>
      </c>
      <c r="H35" s="509">
        <f t="shared" si="11"/>
        <v>2308.625</v>
      </c>
      <c r="I35" s="509">
        <f t="shared" si="12"/>
        <v>2688.125</v>
      </c>
      <c r="J35" s="506">
        <f t="shared" si="13"/>
        <v>2688.125</v>
      </c>
      <c r="K35" s="582">
        <f t="shared" si="30"/>
        <v>3363.8962499999998</v>
      </c>
      <c r="M35" s="487">
        <v>810</v>
      </c>
      <c r="N35" s="510">
        <f t="shared" si="27"/>
        <v>3000.0025000000001</v>
      </c>
      <c r="O35" s="487">
        <f>0.9*B35-$F35</f>
        <v>1086.7500000000002</v>
      </c>
      <c r="P35" s="487">
        <f t="shared" si="16"/>
        <v>1383.75</v>
      </c>
      <c r="Q35" s="579">
        <f t="shared" si="17"/>
        <v>7.6103500000003805</v>
      </c>
      <c r="R35" s="579"/>
      <c r="S35" s="487">
        <f t="shared" si="18"/>
        <v>1267.7625000000003</v>
      </c>
      <c r="T35" s="487">
        <f t="shared" si="19"/>
        <v>27.504124999999931</v>
      </c>
      <c r="U35" s="476"/>
      <c r="V35" s="563">
        <v>1825</v>
      </c>
      <c r="W35" s="563">
        <v>2125</v>
      </c>
      <c r="X35" s="563">
        <v>2125</v>
      </c>
      <c r="Y35" s="563">
        <v>2337.5</v>
      </c>
      <c r="Z35" s="563"/>
      <c r="AA35" s="563"/>
      <c r="AB35" s="563"/>
      <c r="AC35" s="563"/>
      <c r="AD35" s="509">
        <f t="shared" si="22"/>
        <v>1825</v>
      </c>
      <c r="AE35" s="506">
        <f t="shared" si="20"/>
        <v>2125</v>
      </c>
      <c r="AF35" s="509">
        <f t="shared" si="28"/>
        <v>2125</v>
      </c>
      <c r="AG35" s="509">
        <f t="shared" si="3"/>
        <v>2337.5</v>
      </c>
      <c r="AH35" s="321">
        <f t="shared" si="23"/>
        <v>0</v>
      </c>
      <c r="AI35" s="321">
        <f t="shared" si="24"/>
        <v>0</v>
      </c>
      <c r="AJ35" s="509">
        <f t="shared" si="4"/>
        <v>0</v>
      </c>
      <c r="AK35" s="509">
        <f t="shared" si="5"/>
        <v>0</v>
      </c>
      <c r="AL35" s="506">
        <f t="shared" si="6"/>
        <v>0</v>
      </c>
      <c r="AM35" s="506">
        <f t="shared" si="7"/>
        <v>0</v>
      </c>
      <c r="AO35" s="510">
        <f t="shared" si="25"/>
        <v>0</v>
      </c>
      <c r="AP35" s="510">
        <f t="shared" si="25"/>
        <v>0</v>
      </c>
    </row>
    <row r="36" spans="1:42">
      <c r="A36" s="511">
        <v>1300001</v>
      </c>
      <c r="B36" s="580">
        <f>1.6/0.9</f>
        <v>1.7777777777777779</v>
      </c>
      <c r="C36" s="512">
        <f t="shared" si="9"/>
        <v>1.8149999999999999</v>
      </c>
      <c r="D36" s="566">
        <f t="shared" si="10"/>
        <v>1.8149999999999999</v>
      </c>
      <c r="E36" s="512">
        <f>G17/0.9</f>
        <v>2.3888888888888888</v>
      </c>
      <c r="F36" s="578">
        <f>F17</f>
        <v>1.6</v>
      </c>
      <c r="G36" s="578">
        <f>G17</f>
        <v>2.15</v>
      </c>
      <c r="H36" s="512">
        <f>B36*$H$17</f>
        <v>2.0444444444444443</v>
      </c>
      <c r="I36" s="512">
        <f>C36*$H$17</f>
        <v>2.0872499999999996</v>
      </c>
      <c r="J36" s="512">
        <f>D36*$H$17</f>
        <v>2.0872499999999996</v>
      </c>
      <c r="K36" s="512">
        <f>N17/0.9</f>
        <v>2.7777777777777777</v>
      </c>
      <c r="L36" s="515"/>
      <c r="M36" s="513">
        <f>M17</f>
        <v>1.8</v>
      </c>
      <c r="N36" s="583">
        <f>N17</f>
        <v>2.5</v>
      </c>
      <c r="O36" s="581">
        <f>0.9*B36-$F36</f>
        <v>0</v>
      </c>
      <c r="P36" s="487">
        <f t="shared" si="16"/>
        <v>3.3499999999999863E-2</v>
      </c>
      <c r="Q36" s="575">
        <f t="shared" si="17"/>
        <v>0</v>
      </c>
      <c r="R36" s="487"/>
      <c r="S36" s="487">
        <f>H36*0.9-M36</f>
        <v>3.9999999999999813E-2</v>
      </c>
      <c r="T36" s="574">
        <f>K36*0.9-N36</f>
        <v>0</v>
      </c>
      <c r="U36" s="476"/>
      <c r="V36" s="512">
        <v>1.5</v>
      </c>
      <c r="W36" s="564">
        <v>1.65</v>
      </c>
      <c r="X36" s="564">
        <v>1.65</v>
      </c>
      <c r="Y36" s="564">
        <f>1.1*W36</f>
        <v>1.8149999999999999</v>
      </c>
      <c r="Z36" s="564"/>
      <c r="AA36" s="564"/>
      <c r="AB36" s="564"/>
      <c r="AC36" s="564"/>
      <c r="AD36" s="512">
        <v>1.65</v>
      </c>
      <c r="AE36" s="512">
        <v>1.65</v>
      </c>
      <c r="AF36" s="512">
        <v>1.65</v>
      </c>
      <c r="AG36" s="513">
        <f>AF36*1.1</f>
        <v>1.8149999999999999</v>
      </c>
      <c r="AH36" s="514"/>
      <c r="AI36" s="514"/>
      <c r="AJ36" s="512">
        <f>AD36*$H$17</f>
        <v>1.8974999999999997</v>
      </c>
      <c r="AK36" s="512">
        <f>AE36*$H$17</f>
        <v>1.8974999999999997</v>
      </c>
      <c r="AL36" s="512">
        <f>AF36*$H$17</f>
        <v>1.8974999999999997</v>
      </c>
      <c r="AM36" s="512">
        <f>AG36*$H$17</f>
        <v>2.0872499999999996</v>
      </c>
      <c r="AN36" s="515"/>
      <c r="AO36" s="516"/>
      <c r="AP36" s="517"/>
    </row>
    <row r="37" spans="1:42">
      <c r="A37" s="508"/>
      <c r="B37" s="509"/>
      <c r="C37" s="506"/>
      <c r="D37" s="509"/>
      <c r="E37" s="509"/>
      <c r="H37" s="509"/>
      <c r="I37" s="509"/>
      <c r="J37" s="506"/>
      <c r="K37" s="506"/>
      <c r="M37" s="510"/>
      <c r="N37" s="510"/>
      <c r="O37" s="157"/>
      <c r="P37" s="476"/>
      <c r="Q37" s="476"/>
      <c r="R37" s="476"/>
      <c r="S37" s="476"/>
      <c r="T37" s="476"/>
      <c r="U37" s="476"/>
    </row>
    <row r="38" spans="1:42">
      <c r="A38" s="518">
        <v>1300001</v>
      </c>
      <c r="B38" s="519">
        <f>A38*1.5/1000</f>
        <v>1950.0015000000001</v>
      </c>
      <c r="C38" s="519">
        <f t="shared" ref="C38:C75" si="31">D38</f>
        <v>2145.0016499999997</v>
      </c>
      <c r="D38" s="519">
        <f>A38*1.65/1000</f>
        <v>2145.0016499999997</v>
      </c>
      <c r="E38" s="519">
        <f t="shared" ref="E38:E75" si="32">IF((D38*1.1)&gt;G38,(D38*1.1),G38)</f>
        <v>2795.0021499999998</v>
      </c>
      <c r="F38" s="520">
        <f t="shared" ref="F38:F75" si="33">A38*F$17/1000</f>
        <v>2080.0016000000001</v>
      </c>
      <c r="G38" s="520">
        <f t="shared" si="29"/>
        <v>2795.0021499999998</v>
      </c>
      <c r="H38" s="519">
        <f t="shared" ref="H38:H75" si="34">B38*H$17</f>
        <v>2242.5017250000001</v>
      </c>
      <c r="I38" s="519">
        <f t="shared" ref="I38:I75" si="35">C38*H$17</f>
        <v>2466.7518974999994</v>
      </c>
      <c r="J38" s="519">
        <f t="shared" ref="J38:J75" si="36">D38*H$17</f>
        <v>2466.7518974999994</v>
      </c>
      <c r="K38" s="519">
        <f t="shared" ref="K38:K75" si="37">E38*H$17</f>
        <v>3214.2524724999994</v>
      </c>
      <c r="M38" s="521">
        <f t="shared" si="27"/>
        <v>2340.0018000000005</v>
      </c>
      <c r="N38" s="521">
        <f t="shared" si="27"/>
        <v>3250.0025000000001</v>
      </c>
      <c r="P38" s="476"/>
      <c r="Q38" s="476"/>
      <c r="R38" s="476"/>
      <c r="S38" s="476"/>
      <c r="T38" s="476"/>
      <c r="U38" s="476"/>
      <c r="V38" s="522"/>
      <c r="W38" s="522"/>
      <c r="X38" s="522"/>
      <c r="Y38" s="522"/>
      <c r="Z38" s="522"/>
      <c r="AA38" s="522"/>
      <c r="AB38" s="522"/>
      <c r="AC38" s="522"/>
      <c r="AD38" s="522"/>
    </row>
    <row r="39" spans="1:42">
      <c r="A39" s="518">
        <v>1400001</v>
      </c>
      <c r="B39" s="519">
        <f t="shared" ref="B39:B75" si="38">A39*1.5/1000</f>
        <v>2100.0014999999999</v>
      </c>
      <c r="C39" s="519">
        <f t="shared" si="31"/>
        <v>2310.0016499999997</v>
      </c>
      <c r="D39" s="519">
        <f t="shared" ref="D39:D75" si="39">A39*1.65/1000</f>
        <v>2310.0016499999997</v>
      </c>
      <c r="E39" s="519">
        <f t="shared" si="32"/>
        <v>3010.0021499999998</v>
      </c>
      <c r="F39" s="520">
        <f t="shared" si="33"/>
        <v>2240.0016000000001</v>
      </c>
      <c r="G39" s="520">
        <f t="shared" si="29"/>
        <v>3010.0021499999998</v>
      </c>
      <c r="H39" s="519">
        <f t="shared" si="34"/>
        <v>2415.0017249999996</v>
      </c>
      <c r="I39" s="519">
        <f t="shared" si="35"/>
        <v>2656.5018974999994</v>
      </c>
      <c r="J39" s="519">
        <f t="shared" si="36"/>
        <v>2656.5018974999994</v>
      </c>
      <c r="K39" s="519">
        <f t="shared" si="37"/>
        <v>3461.5024724999994</v>
      </c>
      <c r="M39" s="521">
        <f t="shared" si="27"/>
        <v>2520.0018000000005</v>
      </c>
      <c r="N39" s="521">
        <f t="shared" si="27"/>
        <v>3500.0025000000001</v>
      </c>
      <c r="P39" s="476"/>
      <c r="Q39" s="476"/>
      <c r="R39" s="476"/>
      <c r="S39" s="476"/>
      <c r="T39" s="476"/>
      <c r="U39" s="476"/>
    </row>
    <row r="40" spans="1:42">
      <c r="A40" s="518">
        <v>1500001</v>
      </c>
      <c r="B40" s="519">
        <f t="shared" si="38"/>
        <v>2250.0014999999999</v>
      </c>
      <c r="C40" s="519">
        <f t="shared" si="31"/>
        <v>2475.0016499999997</v>
      </c>
      <c r="D40" s="519">
        <f t="shared" si="39"/>
        <v>2475.0016499999997</v>
      </c>
      <c r="E40" s="519">
        <f t="shared" si="32"/>
        <v>3225.0021499999998</v>
      </c>
      <c r="F40" s="520">
        <f t="shared" si="33"/>
        <v>2400.0016000000001</v>
      </c>
      <c r="G40" s="520">
        <f t="shared" si="29"/>
        <v>3225.0021499999998</v>
      </c>
      <c r="H40" s="519">
        <f t="shared" si="34"/>
        <v>2587.5017249999996</v>
      </c>
      <c r="I40" s="519">
        <f t="shared" si="35"/>
        <v>2846.2518974999994</v>
      </c>
      <c r="J40" s="519">
        <f t="shared" si="36"/>
        <v>2846.2518974999994</v>
      </c>
      <c r="K40" s="519">
        <f t="shared" si="37"/>
        <v>3708.7524724999994</v>
      </c>
      <c r="M40" s="521">
        <f t="shared" si="27"/>
        <v>2700.0018000000005</v>
      </c>
      <c r="N40" s="521">
        <f t="shared" si="27"/>
        <v>3750.0025000000001</v>
      </c>
      <c r="P40" s="476"/>
      <c r="Q40" s="476"/>
      <c r="R40" s="476"/>
      <c r="S40" s="476"/>
      <c r="T40" s="476"/>
      <c r="U40" s="476"/>
    </row>
    <row r="41" spans="1:42">
      <c r="A41" s="518">
        <v>1600001</v>
      </c>
      <c r="B41" s="519">
        <f t="shared" si="38"/>
        <v>2400.0014999999999</v>
      </c>
      <c r="C41" s="519">
        <f t="shared" si="31"/>
        <v>2640.0016499999997</v>
      </c>
      <c r="D41" s="519">
        <f t="shared" si="39"/>
        <v>2640.0016499999997</v>
      </c>
      <c r="E41" s="519">
        <f t="shared" si="32"/>
        <v>3440.0021499999998</v>
      </c>
      <c r="F41" s="520">
        <f t="shared" si="33"/>
        <v>2560.0016000000001</v>
      </c>
      <c r="G41" s="520">
        <f t="shared" si="29"/>
        <v>3440.0021499999998</v>
      </c>
      <c r="H41" s="519">
        <f t="shared" si="34"/>
        <v>2760.0017249999996</v>
      </c>
      <c r="I41" s="519">
        <f t="shared" si="35"/>
        <v>3036.0018974999994</v>
      </c>
      <c r="J41" s="519">
        <f t="shared" si="36"/>
        <v>3036.0018974999994</v>
      </c>
      <c r="K41" s="519">
        <f t="shared" si="37"/>
        <v>3956.0024724999994</v>
      </c>
      <c r="M41" s="521">
        <f t="shared" si="27"/>
        <v>2880.0018000000005</v>
      </c>
      <c r="N41" s="521">
        <f t="shared" si="27"/>
        <v>4000.0025000000001</v>
      </c>
    </row>
    <row r="42" spans="1:42">
      <c r="A42" s="518">
        <v>1700001</v>
      </c>
      <c r="B42" s="519">
        <f t="shared" si="38"/>
        <v>2550.0014999999999</v>
      </c>
      <c r="C42" s="519">
        <f t="shared" si="31"/>
        <v>2805.0016499999997</v>
      </c>
      <c r="D42" s="519">
        <f t="shared" si="39"/>
        <v>2805.0016499999997</v>
      </c>
      <c r="E42" s="519">
        <f t="shared" si="32"/>
        <v>3655.0021499999998</v>
      </c>
      <c r="F42" s="520">
        <f t="shared" si="33"/>
        <v>2720.0016000000001</v>
      </c>
      <c r="G42" s="520">
        <f t="shared" si="29"/>
        <v>3655.0021499999998</v>
      </c>
      <c r="H42" s="519">
        <f t="shared" si="34"/>
        <v>2932.5017249999996</v>
      </c>
      <c r="I42" s="519">
        <f t="shared" si="35"/>
        <v>3225.7518974999994</v>
      </c>
      <c r="J42" s="519">
        <f t="shared" si="36"/>
        <v>3225.7518974999994</v>
      </c>
      <c r="K42" s="519">
        <f t="shared" si="37"/>
        <v>4203.2524724999994</v>
      </c>
      <c r="M42" s="521">
        <f t="shared" si="27"/>
        <v>3060.0018000000005</v>
      </c>
      <c r="N42" s="521">
        <f t="shared" si="27"/>
        <v>4250.0024999999996</v>
      </c>
    </row>
    <row r="43" spans="1:42">
      <c r="A43" s="518">
        <v>1800001</v>
      </c>
      <c r="B43" s="519">
        <f t="shared" si="38"/>
        <v>2700.0014999999999</v>
      </c>
      <c r="C43" s="519">
        <f t="shared" si="31"/>
        <v>2970.0016499999997</v>
      </c>
      <c r="D43" s="519">
        <f t="shared" si="39"/>
        <v>2970.0016499999997</v>
      </c>
      <c r="E43" s="519">
        <f t="shared" si="32"/>
        <v>3870.0021499999998</v>
      </c>
      <c r="F43" s="520">
        <f t="shared" si="33"/>
        <v>2880.0016000000001</v>
      </c>
      <c r="G43" s="520">
        <f t="shared" si="29"/>
        <v>3870.0021499999998</v>
      </c>
      <c r="H43" s="519">
        <f t="shared" si="34"/>
        <v>3105.0017249999996</v>
      </c>
      <c r="I43" s="519">
        <f t="shared" si="35"/>
        <v>3415.5018974999994</v>
      </c>
      <c r="J43" s="519">
        <f t="shared" si="36"/>
        <v>3415.5018974999994</v>
      </c>
      <c r="K43" s="519">
        <f t="shared" si="37"/>
        <v>4450.5024724999994</v>
      </c>
      <c r="M43" s="521">
        <f t="shared" si="27"/>
        <v>3240.0018000000005</v>
      </c>
      <c r="N43" s="521">
        <f t="shared" si="27"/>
        <v>4500.0024999999996</v>
      </c>
    </row>
    <row r="44" spans="1:42">
      <c r="A44" s="518">
        <v>1900001</v>
      </c>
      <c r="B44" s="519">
        <f t="shared" si="38"/>
        <v>2850.0014999999999</v>
      </c>
      <c r="C44" s="519">
        <f t="shared" si="31"/>
        <v>3135.0016499999997</v>
      </c>
      <c r="D44" s="519">
        <f t="shared" si="39"/>
        <v>3135.0016499999997</v>
      </c>
      <c r="E44" s="519">
        <f t="shared" si="32"/>
        <v>4085.0021499999998</v>
      </c>
      <c r="F44" s="520">
        <f t="shared" si="33"/>
        <v>3040.0016000000001</v>
      </c>
      <c r="G44" s="520">
        <f t="shared" si="29"/>
        <v>4085.0021499999998</v>
      </c>
      <c r="H44" s="519">
        <f t="shared" si="34"/>
        <v>3277.5017249999996</v>
      </c>
      <c r="I44" s="519">
        <f t="shared" si="35"/>
        <v>3605.2518974999994</v>
      </c>
      <c r="J44" s="519">
        <f t="shared" si="36"/>
        <v>3605.2518974999994</v>
      </c>
      <c r="K44" s="519">
        <f t="shared" si="37"/>
        <v>4697.7524724999994</v>
      </c>
      <c r="M44" s="521">
        <f t="shared" si="27"/>
        <v>3420.0018000000005</v>
      </c>
      <c r="N44" s="521">
        <f t="shared" si="27"/>
        <v>4750.0024999999996</v>
      </c>
    </row>
    <row r="45" spans="1:42">
      <c r="A45" s="518">
        <v>2000001</v>
      </c>
      <c r="B45" s="519">
        <f t="shared" si="38"/>
        <v>3000.0014999999999</v>
      </c>
      <c r="C45" s="519">
        <f t="shared" si="31"/>
        <v>3300.0016499999997</v>
      </c>
      <c r="D45" s="519">
        <f t="shared" si="39"/>
        <v>3300.0016499999997</v>
      </c>
      <c r="E45" s="519">
        <f t="shared" si="32"/>
        <v>4300.0021499999993</v>
      </c>
      <c r="F45" s="520">
        <f t="shared" si="33"/>
        <v>3200.0016000000001</v>
      </c>
      <c r="G45" s="520">
        <f t="shared" si="29"/>
        <v>4300.0021499999993</v>
      </c>
      <c r="H45" s="519">
        <f t="shared" si="34"/>
        <v>3450.0017249999996</v>
      </c>
      <c r="I45" s="519">
        <f t="shared" si="35"/>
        <v>3795.0018974999994</v>
      </c>
      <c r="J45" s="519">
        <f t="shared" si="36"/>
        <v>3795.0018974999994</v>
      </c>
      <c r="K45" s="519">
        <f t="shared" si="37"/>
        <v>4945.0024724999985</v>
      </c>
      <c r="M45" s="521">
        <f t="shared" si="27"/>
        <v>3600.0018000000005</v>
      </c>
      <c r="N45" s="521">
        <f t="shared" si="27"/>
        <v>5000.0024999999996</v>
      </c>
    </row>
    <row r="46" spans="1:42">
      <c r="A46" s="518">
        <v>2100001</v>
      </c>
      <c r="B46" s="519">
        <f t="shared" si="38"/>
        <v>3150.0014999999999</v>
      </c>
      <c r="C46" s="519">
        <f t="shared" si="31"/>
        <v>3465.0016499999997</v>
      </c>
      <c r="D46" s="519">
        <f t="shared" si="39"/>
        <v>3465.0016499999997</v>
      </c>
      <c r="E46" s="519">
        <f t="shared" si="32"/>
        <v>4515.0021499999993</v>
      </c>
      <c r="F46" s="520">
        <f t="shared" si="33"/>
        <v>3360.0016000000001</v>
      </c>
      <c r="G46" s="520">
        <f t="shared" si="29"/>
        <v>4515.0021499999993</v>
      </c>
      <c r="H46" s="519">
        <f t="shared" si="34"/>
        <v>3622.5017249999996</v>
      </c>
      <c r="I46" s="519">
        <f t="shared" si="35"/>
        <v>3984.7518974999994</v>
      </c>
      <c r="J46" s="519">
        <f t="shared" si="36"/>
        <v>3984.7518974999994</v>
      </c>
      <c r="K46" s="519">
        <f t="shared" si="37"/>
        <v>5192.2524724999985</v>
      </c>
      <c r="M46" s="521">
        <f t="shared" si="27"/>
        <v>3780.0018000000005</v>
      </c>
      <c r="N46" s="521">
        <f t="shared" si="27"/>
        <v>5250.0024999999996</v>
      </c>
    </row>
    <row r="47" spans="1:42">
      <c r="A47" s="518">
        <v>2200001</v>
      </c>
      <c r="B47" s="519">
        <f t="shared" si="38"/>
        <v>3300.0014999999999</v>
      </c>
      <c r="C47" s="519">
        <f t="shared" si="31"/>
        <v>3630.0016499999997</v>
      </c>
      <c r="D47" s="519">
        <f t="shared" si="39"/>
        <v>3630.0016499999997</v>
      </c>
      <c r="E47" s="519">
        <f t="shared" si="32"/>
        <v>4730.0021499999993</v>
      </c>
      <c r="F47" s="520">
        <f t="shared" si="33"/>
        <v>3520.0016000000001</v>
      </c>
      <c r="G47" s="520">
        <f t="shared" si="29"/>
        <v>4730.0021499999993</v>
      </c>
      <c r="H47" s="519">
        <f t="shared" si="34"/>
        <v>3795.0017249999996</v>
      </c>
      <c r="I47" s="519">
        <f t="shared" si="35"/>
        <v>4174.5018974999994</v>
      </c>
      <c r="J47" s="519">
        <f t="shared" si="36"/>
        <v>4174.5018974999994</v>
      </c>
      <c r="K47" s="519">
        <f t="shared" si="37"/>
        <v>5439.5024724999985</v>
      </c>
      <c r="M47" s="521">
        <f t="shared" si="27"/>
        <v>3960.0018000000005</v>
      </c>
      <c r="N47" s="521">
        <f t="shared" si="27"/>
        <v>5500.0024999999996</v>
      </c>
    </row>
    <row r="48" spans="1:42">
      <c r="A48" s="518">
        <v>2300001</v>
      </c>
      <c r="B48" s="519">
        <f t="shared" si="38"/>
        <v>3450.0014999999999</v>
      </c>
      <c r="C48" s="519">
        <f t="shared" si="31"/>
        <v>3795.0016499999997</v>
      </c>
      <c r="D48" s="519">
        <f t="shared" si="39"/>
        <v>3795.0016499999997</v>
      </c>
      <c r="E48" s="519">
        <f t="shared" si="32"/>
        <v>4945.0021499999993</v>
      </c>
      <c r="F48" s="520">
        <f t="shared" si="33"/>
        <v>3680.0016000000001</v>
      </c>
      <c r="G48" s="520">
        <f t="shared" si="29"/>
        <v>4945.0021499999993</v>
      </c>
      <c r="H48" s="519">
        <f t="shared" si="34"/>
        <v>3967.5017249999996</v>
      </c>
      <c r="I48" s="519">
        <f t="shared" si="35"/>
        <v>4364.2518974999994</v>
      </c>
      <c r="J48" s="519">
        <f t="shared" si="36"/>
        <v>4364.2518974999994</v>
      </c>
      <c r="K48" s="519">
        <f t="shared" si="37"/>
        <v>5686.7524724999985</v>
      </c>
      <c r="M48" s="521">
        <f t="shared" si="27"/>
        <v>4140.0018</v>
      </c>
      <c r="N48" s="521">
        <f t="shared" si="27"/>
        <v>5750.0024999999996</v>
      </c>
    </row>
    <row r="49" spans="1:14">
      <c r="A49" s="518">
        <v>2400001</v>
      </c>
      <c r="B49" s="519">
        <f t="shared" si="38"/>
        <v>3600.0014999999999</v>
      </c>
      <c r="C49" s="519">
        <f t="shared" si="31"/>
        <v>3960.0016499999997</v>
      </c>
      <c r="D49" s="519">
        <f t="shared" si="39"/>
        <v>3960.0016499999997</v>
      </c>
      <c r="E49" s="519">
        <f t="shared" si="32"/>
        <v>5160.0021499999993</v>
      </c>
      <c r="F49" s="520">
        <f t="shared" si="33"/>
        <v>3840.0016000000001</v>
      </c>
      <c r="G49" s="520">
        <f t="shared" si="29"/>
        <v>5160.0021499999993</v>
      </c>
      <c r="H49" s="519">
        <f t="shared" si="34"/>
        <v>4140.0017249999992</v>
      </c>
      <c r="I49" s="519">
        <f t="shared" si="35"/>
        <v>4554.0018974999994</v>
      </c>
      <c r="J49" s="519">
        <f t="shared" si="36"/>
        <v>4554.0018974999994</v>
      </c>
      <c r="K49" s="519">
        <f t="shared" si="37"/>
        <v>5934.0024724999985</v>
      </c>
      <c r="M49" s="521">
        <f t="shared" si="27"/>
        <v>4320.0018</v>
      </c>
      <c r="N49" s="521">
        <f t="shared" si="27"/>
        <v>6000.0024999999996</v>
      </c>
    </row>
    <row r="50" spans="1:14">
      <c r="A50" s="518">
        <v>2500001</v>
      </c>
      <c r="B50" s="519">
        <f t="shared" si="38"/>
        <v>3750.0014999999999</v>
      </c>
      <c r="C50" s="519">
        <f t="shared" si="31"/>
        <v>4125.0016500000002</v>
      </c>
      <c r="D50" s="519">
        <f t="shared" si="39"/>
        <v>4125.0016500000002</v>
      </c>
      <c r="E50" s="519">
        <f t="shared" si="32"/>
        <v>5375.0021499999993</v>
      </c>
      <c r="F50" s="520">
        <f t="shared" si="33"/>
        <v>4000.0016000000001</v>
      </c>
      <c r="G50" s="520">
        <f t="shared" si="29"/>
        <v>5375.0021499999993</v>
      </c>
      <c r="H50" s="519">
        <f t="shared" si="34"/>
        <v>4312.5017249999992</v>
      </c>
      <c r="I50" s="519">
        <f t="shared" si="35"/>
        <v>4743.7518974999994</v>
      </c>
      <c r="J50" s="519">
        <f t="shared" si="36"/>
        <v>4743.7518974999994</v>
      </c>
      <c r="K50" s="519">
        <f t="shared" si="37"/>
        <v>6181.2524724999985</v>
      </c>
      <c r="M50" s="521">
        <f t="shared" si="27"/>
        <v>4500.0018</v>
      </c>
      <c r="N50" s="521">
        <f t="shared" si="27"/>
        <v>6250.0024999999996</v>
      </c>
    </row>
    <row r="51" spans="1:14">
      <c r="A51" s="518">
        <v>2600001</v>
      </c>
      <c r="B51" s="519">
        <f t="shared" si="38"/>
        <v>3900.0014999999999</v>
      </c>
      <c r="C51" s="519">
        <f t="shared" si="31"/>
        <v>4290.0016499999992</v>
      </c>
      <c r="D51" s="519">
        <f t="shared" si="39"/>
        <v>4290.0016499999992</v>
      </c>
      <c r="E51" s="519">
        <f t="shared" si="32"/>
        <v>5590.0021499999993</v>
      </c>
      <c r="F51" s="520">
        <f t="shared" si="33"/>
        <v>4160.0016000000005</v>
      </c>
      <c r="G51" s="520">
        <f t="shared" si="29"/>
        <v>5590.0021499999993</v>
      </c>
      <c r="H51" s="519">
        <f t="shared" si="34"/>
        <v>4485.0017249999992</v>
      </c>
      <c r="I51" s="519">
        <f t="shared" si="35"/>
        <v>4933.5018974999984</v>
      </c>
      <c r="J51" s="519">
        <f t="shared" si="36"/>
        <v>4933.5018974999984</v>
      </c>
      <c r="K51" s="519">
        <f t="shared" si="37"/>
        <v>6428.5024724999985</v>
      </c>
      <c r="M51" s="521">
        <f t="shared" si="27"/>
        <v>4680.0018</v>
      </c>
      <c r="N51" s="521">
        <f t="shared" si="27"/>
        <v>6500.0024999999996</v>
      </c>
    </row>
    <row r="52" spans="1:14">
      <c r="A52" s="518">
        <v>2700001</v>
      </c>
      <c r="B52" s="519">
        <f t="shared" si="38"/>
        <v>4050.0014999999999</v>
      </c>
      <c r="C52" s="519">
        <f t="shared" si="31"/>
        <v>4455.0016499999992</v>
      </c>
      <c r="D52" s="519">
        <f t="shared" si="39"/>
        <v>4455.0016499999992</v>
      </c>
      <c r="E52" s="519">
        <f t="shared" si="32"/>
        <v>5805.0021499999993</v>
      </c>
      <c r="F52" s="520">
        <f t="shared" si="33"/>
        <v>4320.0016000000005</v>
      </c>
      <c r="G52" s="520">
        <f t="shared" si="29"/>
        <v>5805.0021499999993</v>
      </c>
      <c r="H52" s="519">
        <f t="shared" si="34"/>
        <v>4657.5017249999992</v>
      </c>
      <c r="I52" s="519">
        <f t="shared" si="35"/>
        <v>5123.2518974999984</v>
      </c>
      <c r="J52" s="519">
        <f t="shared" si="36"/>
        <v>5123.2518974999984</v>
      </c>
      <c r="K52" s="519">
        <f t="shared" si="37"/>
        <v>6675.7524724999985</v>
      </c>
      <c r="M52" s="521">
        <f t="shared" si="27"/>
        <v>4860.0018</v>
      </c>
      <c r="N52" s="521">
        <f t="shared" si="27"/>
        <v>6750.0024999999996</v>
      </c>
    </row>
    <row r="53" spans="1:14">
      <c r="A53" s="518">
        <v>2800001</v>
      </c>
      <c r="B53" s="519">
        <f t="shared" si="38"/>
        <v>4200.0015000000003</v>
      </c>
      <c r="C53" s="519">
        <f t="shared" si="31"/>
        <v>4620.0016499999992</v>
      </c>
      <c r="D53" s="519">
        <f t="shared" si="39"/>
        <v>4620.0016499999992</v>
      </c>
      <c r="E53" s="519">
        <f t="shared" si="32"/>
        <v>6020.0021499999993</v>
      </c>
      <c r="F53" s="520">
        <f t="shared" si="33"/>
        <v>4480.0016000000005</v>
      </c>
      <c r="G53" s="520">
        <f t="shared" si="29"/>
        <v>6020.0021499999993</v>
      </c>
      <c r="H53" s="519">
        <f t="shared" si="34"/>
        <v>4830.0017250000001</v>
      </c>
      <c r="I53" s="519">
        <f t="shared" si="35"/>
        <v>5313.0018974999984</v>
      </c>
      <c r="J53" s="519">
        <f t="shared" si="36"/>
        <v>5313.0018974999984</v>
      </c>
      <c r="K53" s="519">
        <f t="shared" si="37"/>
        <v>6923.0024724999985</v>
      </c>
      <c r="M53" s="521">
        <f t="shared" si="27"/>
        <v>5040.0018</v>
      </c>
      <c r="N53" s="521">
        <f t="shared" si="27"/>
        <v>7000.0024999999996</v>
      </c>
    </row>
    <row r="54" spans="1:14">
      <c r="A54" s="518">
        <v>2900001</v>
      </c>
      <c r="B54" s="519">
        <f t="shared" si="38"/>
        <v>4350.0015000000003</v>
      </c>
      <c r="C54" s="519">
        <f t="shared" si="31"/>
        <v>4785.0016499999992</v>
      </c>
      <c r="D54" s="519">
        <f t="shared" si="39"/>
        <v>4785.0016499999992</v>
      </c>
      <c r="E54" s="519">
        <f t="shared" si="32"/>
        <v>6235.0021499999993</v>
      </c>
      <c r="F54" s="520">
        <f t="shared" si="33"/>
        <v>4640.0016000000005</v>
      </c>
      <c r="G54" s="520">
        <f t="shared" si="29"/>
        <v>6235.0021499999993</v>
      </c>
      <c r="H54" s="519">
        <f t="shared" si="34"/>
        <v>5002.5017250000001</v>
      </c>
      <c r="I54" s="519">
        <f t="shared" si="35"/>
        <v>5502.7518974999984</v>
      </c>
      <c r="J54" s="519">
        <f t="shared" si="36"/>
        <v>5502.7518974999984</v>
      </c>
      <c r="K54" s="519">
        <f t="shared" si="37"/>
        <v>7170.2524724999985</v>
      </c>
      <c r="M54" s="521">
        <f t="shared" si="27"/>
        <v>5220.0018</v>
      </c>
      <c r="N54" s="521">
        <f t="shared" si="27"/>
        <v>7250.0024999999996</v>
      </c>
    </row>
    <row r="55" spans="1:14">
      <c r="A55" s="518">
        <v>3000001</v>
      </c>
      <c r="B55" s="519">
        <f t="shared" si="38"/>
        <v>4500.0015000000003</v>
      </c>
      <c r="C55" s="519">
        <f t="shared" si="31"/>
        <v>4950.0016499999992</v>
      </c>
      <c r="D55" s="519">
        <f t="shared" si="39"/>
        <v>4950.0016499999992</v>
      </c>
      <c r="E55" s="519">
        <f t="shared" si="32"/>
        <v>6450.0021499999993</v>
      </c>
      <c r="F55" s="520">
        <f t="shared" si="33"/>
        <v>4800.0016000000005</v>
      </c>
      <c r="G55" s="520">
        <f t="shared" si="29"/>
        <v>6450.0021499999993</v>
      </c>
      <c r="H55" s="519">
        <f t="shared" si="34"/>
        <v>5175.0017250000001</v>
      </c>
      <c r="I55" s="519">
        <f t="shared" si="35"/>
        <v>5692.5018974999984</v>
      </c>
      <c r="J55" s="519">
        <f t="shared" si="36"/>
        <v>5692.5018974999984</v>
      </c>
      <c r="K55" s="519">
        <f t="shared" si="37"/>
        <v>7417.5024724999985</v>
      </c>
      <c r="M55" s="521">
        <f t="shared" si="27"/>
        <v>5400.0018</v>
      </c>
      <c r="N55" s="521">
        <f t="shared" si="27"/>
        <v>7500.0024999999996</v>
      </c>
    </row>
    <row r="56" spans="1:14">
      <c r="A56" s="518">
        <v>3100001</v>
      </c>
      <c r="B56" s="519">
        <f t="shared" si="38"/>
        <v>4650.0015000000003</v>
      </c>
      <c r="C56" s="519">
        <f t="shared" si="31"/>
        <v>5115.0016499999992</v>
      </c>
      <c r="D56" s="519">
        <f t="shared" si="39"/>
        <v>5115.0016499999992</v>
      </c>
      <c r="E56" s="519">
        <f t="shared" si="32"/>
        <v>6665.0021499999993</v>
      </c>
      <c r="F56" s="520">
        <f t="shared" si="33"/>
        <v>4960.0016000000005</v>
      </c>
      <c r="G56" s="520">
        <f t="shared" si="29"/>
        <v>6665.0021499999993</v>
      </c>
      <c r="H56" s="519">
        <f t="shared" si="34"/>
        <v>5347.5017250000001</v>
      </c>
      <c r="I56" s="519">
        <f t="shared" si="35"/>
        <v>5882.2518974999984</v>
      </c>
      <c r="J56" s="519">
        <f t="shared" si="36"/>
        <v>5882.2518974999984</v>
      </c>
      <c r="K56" s="519">
        <f t="shared" si="37"/>
        <v>7664.7524724999985</v>
      </c>
      <c r="M56" s="521">
        <f t="shared" si="27"/>
        <v>5580.0018</v>
      </c>
      <c r="N56" s="521">
        <f t="shared" si="27"/>
        <v>7750.0024999999996</v>
      </c>
    </row>
    <row r="57" spans="1:14">
      <c r="A57" s="518">
        <v>3200001</v>
      </c>
      <c r="B57" s="519">
        <f t="shared" si="38"/>
        <v>4800.0015000000003</v>
      </c>
      <c r="C57" s="519">
        <f t="shared" si="31"/>
        <v>5280.0016499999992</v>
      </c>
      <c r="D57" s="519">
        <f t="shared" si="39"/>
        <v>5280.0016499999992</v>
      </c>
      <c r="E57" s="519">
        <f t="shared" si="32"/>
        <v>6880.0021499999993</v>
      </c>
      <c r="F57" s="520">
        <f t="shared" si="33"/>
        <v>5120.0016000000005</v>
      </c>
      <c r="G57" s="520">
        <f t="shared" si="29"/>
        <v>6880.0021499999993</v>
      </c>
      <c r="H57" s="519">
        <f t="shared" si="34"/>
        <v>5520.0017250000001</v>
      </c>
      <c r="I57" s="519">
        <f t="shared" si="35"/>
        <v>6072.0018974999984</v>
      </c>
      <c r="J57" s="519">
        <f t="shared" si="36"/>
        <v>6072.0018974999984</v>
      </c>
      <c r="K57" s="519">
        <f t="shared" si="37"/>
        <v>7912.0024724999985</v>
      </c>
      <c r="M57" s="521">
        <f t="shared" si="27"/>
        <v>5760.0018</v>
      </c>
      <c r="N57" s="521">
        <f t="shared" si="27"/>
        <v>8000.0024999999996</v>
      </c>
    </row>
    <row r="58" spans="1:14">
      <c r="A58" s="518">
        <v>3300001</v>
      </c>
      <c r="B58" s="519">
        <f t="shared" si="38"/>
        <v>4950.0015000000003</v>
      </c>
      <c r="C58" s="519">
        <f t="shared" si="31"/>
        <v>5445.0016499999992</v>
      </c>
      <c r="D58" s="519">
        <f t="shared" si="39"/>
        <v>5445.0016499999992</v>
      </c>
      <c r="E58" s="519">
        <f t="shared" si="32"/>
        <v>7095.0021499999993</v>
      </c>
      <c r="F58" s="520">
        <f t="shared" si="33"/>
        <v>5280.0016000000005</v>
      </c>
      <c r="G58" s="520">
        <f t="shared" si="29"/>
        <v>7095.0021499999993</v>
      </c>
      <c r="H58" s="519">
        <f t="shared" si="34"/>
        <v>5692.5017250000001</v>
      </c>
      <c r="I58" s="519">
        <f t="shared" si="35"/>
        <v>6261.7518974999984</v>
      </c>
      <c r="J58" s="519">
        <f t="shared" si="36"/>
        <v>6261.7518974999984</v>
      </c>
      <c r="K58" s="519">
        <f t="shared" si="37"/>
        <v>8159.2524724999985</v>
      </c>
      <c r="M58" s="521">
        <f t="shared" si="27"/>
        <v>5940.0018</v>
      </c>
      <c r="N58" s="521">
        <f t="shared" si="27"/>
        <v>8250.0025000000005</v>
      </c>
    </row>
    <row r="59" spans="1:14">
      <c r="A59" s="518">
        <v>3400001</v>
      </c>
      <c r="B59" s="519">
        <f t="shared" si="38"/>
        <v>5100.0015000000003</v>
      </c>
      <c r="C59" s="519">
        <f t="shared" si="31"/>
        <v>5610.0016499999992</v>
      </c>
      <c r="D59" s="519">
        <f t="shared" si="39"/>
        <v>5610.0016499999992</v>
      </c>
      <c r="E59" s="519">
        <f t="shared" si="32"/>
        <v>7310.0021499999993</v>
      </c>
      <c r="F59" s="520">
        <f t="shared" si="33"/>
        <v>5440.0016000000005</v>
      </c>
      <c r="G59" s="520">
        <f t="shared" si="29"/>
        <v>7310.0021499999993</v>
      </c>
      <c r="H59" s="519">
        <f t="shared" si="34"/>
        <v>5865.0017250000001</v>
      </c>
      <c r="I59" s="519">
        <f t="shared" si="35"/>
        <v>6451.5018974999984</v>
      </c>
      <c r="J59" s="519">
        <f t="shared" si="36"/>
        <v>6451.5018974999984</v>
      </c>
      <c r="K59" s="519">
        <f t="shared" si="37"/>
        <v>8406.5024724999985</v>
      </c>
      <c r="M59" s="521">
        <f t="shared" si="27"/>
        <v>6120.0018</v>
      </c>
      <c r="N59" s="521">
        <f t="shared" si="27"/>
        <v>8500.0025000000005</v>
      </c>
    </row>
    <row r="60" spans="1:14">
      <c r="A60" s="518">
        <v>3500001</v>
      </c>
      <c r="B60" s="519">
        <f t="shared" si="38"/>
        <v>5250.0015000000003</v>
      </c>
      <c r="C60" s="519">
        <f t="shared" si="31"/>
        <v>5775.0016499999992</v>
      </c>
      <c r="D60" s="519">
        <f t="shared" si="39"/>
        <v>5775.0016499999992</v>
      </c>
      <c r="E60" s="519">
        <f t="shared" si="32"/>
        <v>7525.0021499999993</v>
      </c>
      <c r="F60" s="520">
        <f t="shared" si="33"/>
        <v>5600.0016000000005</v>
      </c>
      <c r="G60" s="520">
        <f t="shared" si="29"/>
        <v>7525.0021499999993</v>
      </c>
      <c r="H60" s="519">
        <f t="shared" si="34"/>
        <v>6037.5017250000001</v>
      </c>
      <c r="I60" s="519">
        <f t="shared" si="35"/>
        <v>6641.2518974999984</v>
      </c>
      <c r="J60" s="519">
        <f t="shared" si="36"/>
        <v>6641.2518974999984</v>
      </c>
      <c r="K60" s="519">
        <f t="shared" si="37"/>
        <v>8653.7524724999985</v>
      </c>
      <c r="M60" s="521">
        <f t="shared" si="27"/>
        <v>6300.0018</v>
      </c>
      <c r="N60" s="521">
        <f t="shared" si="27"/>
        <v>8750.0025000000005</v>
      </c>
    </row>
    <row r="61" spans="1:14">
      <c r="A61" s="518">
        <v>3600001</v>
      </c>
      <c r="B61" s="519">
        <f t="shared" si="38"/>
        <v>5400.0015000000003</v>
      </c>
      <c r="C61" s="519">
        <f t="shared" si="31"/>
        <v>5940.0016499999992</v>
      </c>
      <c r="D61" s="519">
        <f t="shared" si="39"/>
        <v>5940.0016499999992</v>
      </c>
      <c r="E61" s="519">
        <f t="shared" si="32"/>
        <v>7740.0021499999993</v>
      </c>
      <c r="F61" s="520">
        <f t="shared" si="33"/>
        <v>5760.0016000000005</v>
      </c>
      <c r="G61" s="520">
        <f t="shared" si="29"/>
        <v>7740.0021499999993</v>
      </c>
      <c r="H61" s="519">
        <f t="shared" si="34"/>
        <v>6210.0017250000001</v>
      </c>
      <c r="I61" s="519">
        <f t="shared" si="35"/>
        <v>6831.0018974999984</v>
      </c>
      <c r="J61" s="519">
        <f t="shared" si="36"/>
        <v>6831.0018974999984</v>
      </c>
      <c r="K61" s="519">
        <f t="shared" si="37"/>
        <v>8901.0024724999985</v>
      </c>
      <c r="M61" s="521">
        <f t="shared" si="27"/>
        <v>6480.0018</v>
      </c>
      <c r="N61" s="521">
        <f t="shared" si="27"/>
        <v>9000.0025000000005</v>
      </c>
    </row>
    <row r="62" spans="1:14">
      <c r="A62" s="518">
        <v>3700001</v>
      </c>
      <c r="B62" s="519">
        <f t="shared" si="38"/>
        <v>5550.0015000000003</v>
      </c>
      <c r="C62" s="519">
        <f t="shared" si="31"/>
        <v>6105.0016499999992</v>
      </c>
      <c r="D62" s="519">
        <f t="shared" si="39"/>
        <v>6105.0016499999992</v>
      </c>
      <c r="E62" s="519">
        <f t="shared" si="32"/>
        <v>7955.0021499999993</v>
      </c>
      <c r="F62" s="520">
        <f t="shared" si="33"/>
        <v>5920.0016000000005</v>
      </c>
      <c r="G62" s="520">
        <f t="shared" si="29"/>
        <v>7955.0021499999993</v>
      </c>
      <c r="H62" s="519">
        <f t="shared" si="34"/>
        <v>6382.5017250000001</v>
      </c>
      <c r="I62" s="519">
        <f t="shared" si="35"/>
        <v>7020.7518974999984</v>
      </c>
      <c r="J62" s="519">
        <f t="shared" si="36"/>
        <v>7020.7518974999984</v>
      </c>
      <c r="K62" s="519">
        <f t="shared" si="37"/>
        <v>9148.2524724999985</v>
      </c>
      <c r="M62" s="521">
        <f t="shared" si="27"/>
        <v>6660.0018</v>
      </c>
      <c r="N62" s="521">
        <f t="shared" si="27"/>
        <v>9250.0025000000005</v>
      </c>
    </row>
    <row r="63" spans="1:14">
      <c r="A63" s="518">
        <v>3800001</v>
      </c>
      <c r="B63" s="519">
        <f t="shared" si="38"/>
        <v>5700.0015000000003</v>
      </c>
      <c r="C63" s="519">
        <f t="shared" si="31"/>
        <v>6270.0016499999992</v>
      </c>
      <c r="D63" s="519">
        <f t="shared" si="39"/>
        <v>6270.0016499999992</v>
      </c>
      <c r="E63" s="519">
        <f t="shared" si="32"/>
        <v>8170.0021499999993</v>
      </c>
      <c r="F63" s="520">
        <f t="shared" si="33"/>
        <v>6080.0016000000005</v>
      </c>
      <c r="G63" s="520">
        <f t="shared" si="29"/>
        <v>8170.0021499999993</v>
      </c>
      <c r="H63" s="519">
        <f t="shared" si="34"/>
        <v>6555.0017250000001</v>
      </c>
      <c r="I63" s="519">
        <f t="shared" si="35"/>
        <v>7210.5018974999984</v>
      </c>
      <c r="J63" s="519">
        <f t="shared" si="36"/>
        <v>7210.5018974999984</v>
      </c>
      <c r="K63" s="519">
        <f t="shared" si="37"/>
        <v>9395.5024724999985</v>
      </c>
      <c r="M63" s="521">
        <f t="shared" si="27"/>
        <v>6840.0018</v>
      </c>
      <c r="N63" s="521">
        <f t="shared" si="27"/>
        <v>9500.0025000000005</v>
      </c>
    </row>
    <row r="64" spans="1:14">
      <c r="A64" s="518">
        <v>3900001</v>
      </c>
      <c r="B64" s="519">
        <f t="shared" si="38"/>
        <v>5850.0015000000003</v>
      </c>
      <c r="C64" s="519">
        <f t="shared" si="31"/>
        <v>6435.0016499999992</v>
      </c>
      <c r="D64" s="519">
        <f t="shared" si="39"/>
        <v>6435.0016499999992</v>
      </c>
      <c r="E64" s="519">
        <f t="shared" si="32"/>
        <v>8385.0021500000003</v>
      </c>
      <c r="F64" s="520">
        <f t="shared" si="33"/>
        <v>6240.0016000000005</v>
      </c>
      <c r="G64" s="520">
        <f t="shared" si="29"/>
        <v>8385.0021500000003</v>
      </c>
      <c r="H64" s="519">
        <f t="shared" si="34"/>
        <v>6727.5017250000001</v>
      </c>
      <c r="I64" s="519">
        <f t="shared" si="35"/>
        <v>7400.2518974999984</v>
      </c>
      <c r="J64" s="519">
        <f t="shared" si="36"/>
        <v>7400.2518974999984</v>
      </c>
      <c r="K64" s="519">
        <f t="shared" si="37"/>
        <v>9642.7524725000003</v>
      </c>
      <c r="M64" s="521">
        <f t="shared" si="27"/>
        <v>7020.0018</v>
      </c>
      <c r="N64" s="521">
        <f t="shared" si="27"/>
        <v>9750.0025000000005</v>
      </c>
    </row>
    <row r="65" spans="1:14">
      <c r="A65" s="518">
        <v>4000001</v>
      </c>
      <c r="B65" s="519">
        <f t="shared" si="38"/>
        <v>6000.0015000000003</v>
      </c>
      <c r="C65" s="519">
        <f t="shared" si="31"/>
        <v>6600.0016499999992</v>
      </c>
      <c r="D65" s="519">
        <f t="shared" si="39"/>
        <v>6600.0016499999992</v>
      </c>
      <c r="E65" s="519">
        <f t="shared" si="32"/>
        <v>8600.0021500000003</v>
      </c>
      <c r="F65" s="520">
        <f t="shared" si="33"/>
        <v>6400.0016000000005</v>
      </c>
      <c r="G65" s="520">
        <f t="shared" si="29"/>
        <v>8600.0021500000003</v>
      </c>
      <c r="H65" s="519">
        <f t="shared" si="34"/>
        <v>6900.0017250000001</v>
      </c>
      <c r="I65" s="519">
        <f t="shared" si="35"/>
        <v>7590.0018974999984</v>
      </c>
      <c r="J65" s="519">
        <f t="shared" si="36"/>
        <v>7590.0018974999984</v>
      </c>
      <c r="K65" s="519">
        <f t="shared" si="37"/>
        <v>9890.0024725000003</v>
      </c>
      <c r="M65" s="521">
        <f t="shared" si="27"/>
        <v>7200.0018</v>
      </c>
      <c r="N65" s="521">
        <f t="shared" si="27"/>
        <v>10000.002500000001</v>
      </c>
    </row>
    <row r="66" spans="1:14">
      <c r="A66" s="518">
        <v>4100001</v>
      </c>
      <c r="B66" s="519">
        <f t="shared" si="38"/>
        <v>6150.0015000000003</v>
      </c>
      <c r="C66" s="519">
        <f t="shared" si="31"/>
        <v>6765.0016499999992</v>
      </c>
      <c r="D66" s="519">
        <f t="shared" si="39"/>
        <v>6765.0016499999992</v>
      </c>
      <c r="E66" s="519">
        <f t="shared" si="32"/>
        <v>8815.0021500000003</v>
      </c>
      <c r="F66" s="520">
        <f t="shared" si="33"/>
        <v>6560.0016000000005</v>
      </c>
      <c r="G66" s="520">
        <f t="shared" si="29"/>
        <v>8815.0021500000003</v>
      </c>
      <c r="H66" s="519">
        <f t="shared" si="34"/>
        <v>7072.5017250000001</v>
      </c>
      <c r="I66" s="519">
        <f t="shared" si="35"/>
        <v>7779.7518974999984</v>
      </c>
      <c r="J66" s="519">
        <f t="shared" si="36"/>
        <v>7779.7518974999984</v>
      </c>
      <c r="K66" s="519">
        <f t="shared" si="37"/>
        <v>10137.2524725</v>
      </c>
      <c r="M66" s="521">
        <f t="shared" si="27"/>
        <v>7380.0018</v>
      </c>
      <c r="N66" s="521">
        <f t="shared" si="27"/>
        <v>10250.002500000001</v>
      </c>
    </row>
    <row r="67" spans="1:14">
      <c r="A67" s="518">
        <v>4200001</v>
      </c>
      <c r="B67" s="519">
        <f t="shared" si="38"/>
        <v>6300.0015000000003</v>
      </c>
      <c r="C67" s="519">
        <f t="shared" si="31"/>
        <v>6930.0016499999992</v>
      </c>
      <c r="D67" s="519">
        <f t="shared" si="39"/>
        <v>6930.0016499999992</v>
      </c>
      <c r="E67" s="519">
        <f t="shared" si="32"/>
        <v>9030.0021500000003</v>
      </c>
      <c r="F67" s="520">
        <f t="shared" si="33"/>
        <v>6720.0016000000005</v>
      </c>
      <c r="G67" s="520">
        <f t="shared" si="29"/>
        <v>9030.0021500000003</v>
      </c>
      <c r="H67" s="519">
        <f t="shared" si="34"/>
        <v>7245.0017250000001</v>
      </c>
      <c r="I67" s="519">
        <f t="shared" si="35"/>
        <v>7969.5018974999984</v>
      </c>
      <c r="J67" s="519">
        <f t="shared" si="36"/>
        <v>7969.5018974999984</v>
      </c>
      <c r="K67" s="519">
        <f t="shared" si="37"/>
        <v>10384.5024725</v>
      </c>
      <c r="M67" s="521">
        <f t="shared" si="27"/>
        <v>7560.0018</v>
      </c>
      <c r="N67" s="521">
        <f t="shared" si="27"/>
        <v>10500.002500000001</v>
      </c>
    </row>
    <row r="68" spans="1:14">
      <c r="A68" s="518">
        <v>4300001</v>
      </c>
      <c r="B68" s="519">
        <f t="shared" si="38"/>
        <v>6450.0015000000003</v>
      </c>
      <c r="C68" s="519">
        <f t="shared" si="31"/>
        <v>7095.0016499999992</v>
      </c>
      <c r="D68" s="519">
        <f t="shared" si="39"/>
        <v>7095.0016499999992</v>
      </c>
      <c r="E68" s="519">
        <f t="shared" si="32"/>
        <v>9245.0021500000003</v>
      </c>
      <c r="F68" s="520">
        <f t="shared" si="33"/>
        <v>6880.0016000000005</v>
      </c>
      <c r="G68" s="520">
        <f t="shared" si="29"/>
        <v>9245.0021500000003</v>
      </c>
      <c r="H68" s="519">
        <f t="shared" si="34"/>
        <v>7417.5017250000001</v>
      </c>
      <c r="I68" s="519">
        <f t="shared" si="35"/>
        <v>8159.2518974999984</v>
      </c>
      <c r="J68" s="519">
        <f t="shared" si="36"/>
        <v>8159.2518974999984</v>
      </c>
      <c r="K68" s="519">
        <f t="shared" si="37"/>
        <v>10631.7524725</v>
      </c>
      <c r="M68" s="521">
        <f t="shared" si="27"/>
        <v>7740.0018</v>
      </c>
      <c r="N68" s="521">
        <f t="shared" si="27"/>
        <v>10750.002500000001</v>
      </c>
    </row>
    <row r="69" spans="1:14">
      <c r="A69" s="518">
        <v>4400001</v>
      </c>
      <c r="B69" s="519">
        <f t="shared" si="38"/>
        <v>6600.0015000000003</v>
      </c>
      <c r="C69" s="519">
        <f t="shared" si="31"/>
        <v>7260.0016499999992</v>
      </c>
      <c r="D69" s="519">
        <f t="shared" si="39"/>
        <v>7260.0016499999992</v>
      </c>
      <c r="E69" s="519">
        <f t="shared" si="32"/>
        <v>9460.0021500000003</v>
      </c>
      <c r="F69" s="520">
        <f t="shared" si="33"/>
        <v>7040.0016000000005</v>
      </c>
      <c r="G69" s="520">
        <f t="shared" si="29"/>
        <v>9460.0021500000003</v>
      </c>
      <c r="H69" s="519">
        <f t="shared" si="34"/>
        <v>7590.0017250000001</v>
      </c>
      <c r="I69" s="519">
        <f t="shared" si="35"/>
        <v>8349.0018974999984</v>
      </c>
      <c r="J69" s="519">
        <f t="shared" si="36"/>
        <v>8349.0018974999984</v>
      </c>
      <c r="K69" s="519">
        <f t="shared" si="37"/>
        <v>10879.0024725</v>
      </c>
      <c r="M69" s="521">
        <f t="shared" si="27"/>
        <v>7920.0018</v>
      </c>
      <c r="N69" s="521">
        <f t="shared" si="27"/>
        <v>11000.002500000001</v>
      </c>
    </row>
    <row r="70" spans="1:14">
      <c r="A70" s="518">
        <v>4500001</v>
      </c>
      <c r="B70" s="519">
        <f t="shared" si="38"/>
        <v>6750.0015000000003</v>
      </c>
      <c r="C70" s="519">
        <f t="shared" si="31"/>
        <v>7425.0016499999992</v>
      </c>
      <c r="D70" s="519">
        <f t="shared" si="39"/>
        <v>7425.0016499999992</v>
      </c>
      <c r="E70" s="519">
        <f t="shared" si="32"/>
        <v>9675.0021500000003</v>
      </c>
      <c r="F70" s="520">
        <f t="shared" si="33"/>
        <v>7200.0016000000005</v>
      </c>
      <c r="G70" s="520">
        <f t="shared" si="29"/>
        <v>9675.0021500000003</v>
      </c>
      <c r="H70" s="519">
        <f t="shared" si="34"/>
        <v>7762.5017250000001</v>
      </c>
      <c r="I70" s="519">
        <f t="shared" si="35"/>
        <v>8538.7518974999984</v>
      </c>
      <c r="J70" s="519">
        <f t="shared" si="36"/>
        <v>8538.7518974999984</v>
      </c>
      <c r="K70" s="519">
        <f t="shared" si="37"/>
        <v>11126.2524725</v>
      </c>
      <c r="M70" s="521">
        <f t="shared" si="27"/>
        <v>8100.0018</v>
      </c>
      <c r="N70" s="521">
        <f t="shared" si="27"/>
        <v>11250.002500000001</v>
      </c>
    </row>
    <row r="71" spans="1:14">
      <c r="A71" s="518">
        <v>4600001</v>
      </c>
      <c r="B71" s="519">
        <f t="shared" si="38"/>
        <v>6900.0015000000003</v>
      </c>
      <c r="C71" s="519">
        <f t="shared" si="31"/>
        <v>7590.0016499999992</v>
      </c>
      <c r="D71" s="519">
        <f t="shared" si="39"/>
        <v>7590.0016499999992</v>
      </c>
      <c r="E71" s="519">
        <f t="shared" si="32"/>
        <v>9890.0021500000003</v>
      </c>
      <c r="F71" s="520">
        <f t="shared" si="33"/>
        <v>7360.0016000000005</v>
      </c>
      <c r="G71" s="520">
        <f t="shared" si="29"/>
        <v>9890.0021500000003</v>
      </c>
      <c r="H71" s="519">
        <f t="shared" si="34"/>
        <v>7935.0017250000001</v>
      </c>
      <c r="I71" s="519">
        <f t="shared" si="35"/>
        <v>8728.5018974999984</v>
      </c>
      <c r="J71" s="519">
        <f t="shared" si="36"/>
        <v>8728.5018974999984</v>
      </c>
      <c r="K71" s="519">
        <f t="shared" si="37"/>
        <v>11373.5024725</v>
      </c>
      <c r="M71" s="521">
        <f t="shared" si="27"/>
        <v>8280.0018</v>
      </c>
      <c r="N71" s="521">
        <f t="shared" si="27"/>
        <v>11500.002500000001</v>
      </c>
    </row>
    <row r="72" spans="1:14">
      <c r="A72" s="518">
        <v>4700001</v>
      </c>
      <c r="B72" s="519">
        <f t="shared" si="38"/>
        <v>7050.0015000000003</v>
      </c>
      <c r="C72" s="519">
        <f t="shared" si="31"/>
        <v>7755.0016499999992</v>
      </c>
      <c r="D72" s="519">
        <f t="shared" si="39"/>
        <v>7755.0016499999992</v>
      </c>
      <c r="E72" s="519">
        <f t="shared" si="32"/>
        <v>10105.00215</v>
      </c>
      <c r="F72" s="520">
        <f t="shared" si="33"/>
        <v>7520.0016000000005</v>
      </c>
      <c r="G72" s="520">
        <f t="shared" si="29"/>
        <v>10105.00215</v>
      </c>
      <c r="H72" s="519">
        <f t="shared" si="34"/>
        <v>8107.5017250000001</v>
      </c>
      <c r="I72" s="519">
        <f t="shared" si="35"/>
        <v>8918.2518974999984</v>
      </c>
      <c r="J72" s="519">
        <f t="shared" si="36"/>
        <v>8918.2518974999984</v>
      </c>
      <c r="K72" s="519">
        <f t="shared" si="37"/>
        <v>11620.7524725</v>
      </c>
      <c r="M72" s="521">
        <f t="shared" si="27"/>
        <v>8460.0018</v>
      </c>
      <c r="N72" s="521">
        <f t="shared" si="27"/>
        <v>11750.002500000001</v>
      </c>
    </row>
    <row r="73" spans="1:14">
      <c r="A73" s="518">
        <v>4800001</v>
      </c>
      <c r="B73" s="519">
        <f t="shared" si="38"/>
        <v>7200.0015000000003</v>
      </c>
      <c r="C73" s="519">
        <f t="shared" si="31"/>
        <v>7920.0016499999992</v>
      </c>
      <c r="D73" s="519">
        <f t="shared" si="39"/>
        <v>7920.0016499999992</v>
      </c>
      <c r="E73" s="519">
        <f t="shared" si="32"/>
        <v>10320.00215</v>
      </c>
      <c r="F73" s="520">
        <f t="shared" si="33"/>
        <v>7680.0016000000005</v>
      </c>
      <c r="G73" s="520">
        <f t="shared" si="29"/>
        <v>10320.00215</v>
      </c>
      <c r="H73" s="519">
        <f t="shared" si="34"/>
        <v>8280.0017250000001</v>
      </c>
      <c r="I73" s="519">
        <f t="shared" si="35"/>
        <v>9108.0018974999984</v>
      </c>
      <c r="J73" s="519">
        <f t="shared" si="36"/>
        <v>9108.0018974999984</v>
      </c>
      <c r="K73" s="519">
        <f t="shared" si="37"/>
        <v>11868.002472499998</v>
      </c>
      <c r="M73" s="521">
        <f t="shared" si="27"/>
        <v>8640.0018</v>
      </c>
      <c r="N73" s="521">
        <f t="shared" si="27"/>
        <v>12000.002500000001</v>
      </c>
    </row>
    <row r="74" spans="1:14">
      <c r="A74" s="518">
        <v>4900001</v>
      </c>
      <c r="B74" s="519">
        <f t="shared" si="38"/>
        <v>7350.0015000000003</v>
      </c>
      <c r="C74" s="519">
        <f t="shared" si="31"/>
        <v>8085.0016499999992</v>
      </c>
      <c r="D74" s="519">
        <f t="shared" si="39"/>
        <v>8085.0016499999992</v>
      </c>
      <c r="E74" s="519">
        <f t="shared" si="32"/>
        <v>10535.00215</v>
      </c>
      <c r="F74" s="520">
        <f t="shared" si="33"/>
        <v>7840.0016000000005</v>
      </c>
      <c r="G74" s="520">
        <f t="shared" si="29"/>
        <v>10535.00215</v>
      </c>
      <c r="H74" s="519">
        <f t="shared" si="34"/>
        <v>8452.5017250000001</v>
      </c>
      <c r="I74" s="519">
        <f t="shared" si="35"/>
        <v>9297.7518974999984</v>
      </c>
      <c r="J74" s="519">
        <f t="shared" si="36"/>
        <v>9297.7518974999984</v>
      </c>
      <c r="K74" s="519">
        <f t="shared" si="37"/>
        <v>12115.252472499998</v>
      </c>
      <c r="M74" s="521">
        <f t="shared" si="27"/>
        <v>8820.0018</v>
      </c>
      <c r="N74" s="521">
        <f t="shared" si="27"/>
        <v>12250.002500000001</v>
      </c>
    </row>
    <row r="75" spans="1:14">
      <c r="A75" s="518">
        <v>5000001</v>
      </c>
      <c r="B75" s="519">
        <f t="shared" si="38"/>
        <v>7500.0015000000003</v>
      </c>
      <c r="C75" s="519">
        <f t="shared" si="31"/>
        <v>8250.0016500000002</v>
      </c>
      <c r="D75" s="519">
        <f t="shared" si="39"/>
        <v>8250.0016500000002</v>
      </c>
      <c r="E75" s="519">
        <f t="shared" si="32"/>
        <v>10750.00215</v>
      </c>
      <c r="F75" s="520">
        <f t="shared" si="33"/>
        <v>8000.0016000000005</v>
      </c>
      <c r="G75" s="520">
        <f t="shared" si="29"/>
        <v>10750.00215</v>
      </c>
      <c r="H75" s="519">
        <f t="shared" si="34"/>
        <v>8625.0017250000001</v>
      </c>
      <c r="I75" s="519">
        <f t="shared" si="35"/>
        <v>9487.5018975000003</v>
      </c>
      <c r="J75" s="519">
        <f t="shared" si="36"/>
        <v>9487.5018975000003</v>
      </c>
      <c r="K75" s="519">
        <f t="shared" si="37"/>
        <v>12362.502472499998</v>
      </c>
      <c r="M75" s="521">
        <f t="shared" si="27"/>
        <v>9000.0018</v>
      </c>
      <c r="N75" s="521">
        <f t="shared" si="27"/>
        <v>12500.002500000001</v>
      </c>
    </row>
  </sheetData>
  <autoFilter ref="A21:N75" xr:uid="{00000000-0009-0000-0000-000004000000}"/>
  <mergeCells count="9">
    <mergeCell ref="F19:G19"/>
    <mergeCell ref="M19:N19"/>
    <mergeCell ref="C4:D4"/>
    <mergeCell ref="H4:J4"/>
    <mergeCell ref="M4:N9"/>
    <mergeCell ref="C6:D6"/>
    <mergeCell ref="I6:I7"/>
    <mergeCell ref="I8:I9"/>
    <mergeCell ref="H15:N15"/>
  </mergeCells>
  <pageMargins left="0.7" right="0.7" top="0.75" bottom="0.75" header="0.3" footer="0.3"/>
  <pageSetup scale="5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45"/>
  <sheetViews>
    <sheetView showGridLines="0" workbookViewId="0">
      <selection activeCell="C4" sqref="C4"/>
    </sheetView>
  </sheetViews>
  <sheetFormatPr defaultRowHeight="14.4"/>
  <cols>
    <col min="1" max="1" width="47.6640625" customWidth="1"/>
    <col min="2" max="2" width="62.6640625" customWidth="1"/>
    <col min="3" max="3" width="26.109375" style="308" customWidth="1"/>
  </cols>
  <sheetData>
    <row r="1" spans="1:3">
      <c r="A1" s="22" t="s">
        <v>1013</v>
      </c>
    </row>
    <row r="2" spans="1:3" s="322" customFormat="1">
      <c r="A2" s="22"/>
      <c r="C2" s="308"/>
    </row>
    <row r="3" spans="1:3">
      <c r="A3" s="366" t="s">
        <v>1011</v>
      </c>
      <c r="B3" s="366" t="s">
        <v>1012</v>
      </c>
      <c r="C3" s="367" t="s">
        <v>735</v>
      </c>
    </row>
    <row r="4" spans="1:3">
      <c r="A4" s="322" t="s">
        <v>104</v>
      </c>
      <c r="B4" s="322" t="s">
        <v>104</v>
      </c>
      <c r="C4" s="308">
        <v>100000</v>
      </c>
    </row>
    <row r="5" spans="1:3">
      <c r="A5" s="322" t="s">
        <v>112</v>
      </c>
      <c r="B5" s="322" t="s">
        <v>112</v>
      </c>
      <c r="C5" s="308">
        <v>10000</v>
      </c>
    </row>
    <row r="6" spans="1:3">
      <c r="A6" s="322" t="s">
        <v>131</v>
      </c>
      <c r="B6" s="322" t="s">
        <v>131</v>
      </c>
      <c r="C6" s="308">
        <v>100000</v>
      </c>
    </row>
    <row r="7" spans="1:3">
      <c r="A7" s="322" t="s">
        <v>140</v>
      </c>
      <c r="B7" s="322" t="s">
        <v>140</v>
      </c>
      <c r="C7" s="308">
        <v>100000</v>
      </c>
    </row>
    <row r="8" spans="1:3">
      <c r="A8" s="322" t="s">
        <v>148</v>
      </c>
      <c r="B8" s="322" t="s">
        <v>148</v>
      </c>
      <c r="C8" s="561">
        <v>0</v>
      </c>
    </row>
    <row r="9" spans="1:3">
      <c r="A9" s="322" t="s">
        <v>230</v>
      </c>
      <c r="B9" s="322" t="s">
        <v>230</v>
      </c>
      <c r="C9" s="308">
        <v>100000</v>
      </c>
    </row>
    <row r="10" spans="1:3">
      <c r="A10" s="322" t="s">
        <v>234</v>
      </c>
      <c r="B10" s="322" t="s">
        <v>234</v>
      </c>
      <c r="C10" s="308">
        <v>100000</v>
      </c>
    </row>
    <row r="11" spans="1:3">
      <c r="A11" s="322" t="s">
        <v>238</v>
      </c>
      <c r="B11" s="322" t="s">
        <v>238</v>
      </c>
      <c r="C11" s="308">
        <v>100000</v>
      </c>
    </row>
    <row r="12" spans="1:3">
      <c r="A12" s="322" t="s">
        <v>242</v>
      </c>
      <c r="B12" s="322" t="s">
        <v>242</v>
      </c>
      <c r="C12" s="561">
        <v>0</v>
      </c>
    </row>
    <row r="13" spans="1:3">
      <c r="A13" s="322" t="s">
        <v>259</v>
      </c>
      <c r="B13" s="322" t="s">
        <v>259</v>
      </c>
      <c r="C13" s="561">
        <v>0</v>
      </c>
    </row>
    <row r="14" spans="1:3">
      <c r="A14" s="322" t="s">
        <v>262</v>
      </c>
      <c r="B14" s="322" t="s">
        <v>262</v>
      </c>
      <c r="C14" s="561">
        <v>0</v>
      </c>
    </row>
    <row r="15" spans="1:3">
      <c r="A15" s="322" t="s">
        <v>267</v>
      </c>
      <c r="B15" s="322" t="s">
        <v>267</v>
      </c>
      <c r="C15" s="561">
        <v>0</v>
      </c>
    </row>
    <row r="16" spans="1:3">
      <c r="A16" s="322" t="s">
        <v>272</v>
      </c>
      <c r="B16" s="322" t="s">
        <v>272</v>
      </c>
      <c r="C16" s="561">
        <v>0</v>
      </c>
    </row>
    <row r="17" spans="1:3">
      <c r="A17" s="322" t="s">
        <v>276</v>
      </c>
      <c r="B17" s="322" t="s">
        <v>276</v>
      </c>
      <c r="C17" s="561">
        <v>0</v>
      </c>
    </row>
    <row r="18" spans="1:3">
      <c r="A18" s="322" t="s">
        <v>280</v>
      </c>
      <c r="B18" s="322" t="s">
        <v>280</v>
      </c>
      <c r="C18" s="561">
        <v>0</v>
      </c>
    </row>
    <row r="19" spans="1:3">
      <c r="A19" s="322" t="s">
        <v>299</v>
      </c>
      <c r="B19" s="322" t="s">
        <v>299</v>
      </c>
      <c r="C19" s="308">
        <v>25000</v>
      </c>
    </row>
    <row r="20" spans="1:3">
      <c r="A20" s="322" t="s">
        <v>302</v>
      </c>
      <c r="B20" s="322" t="s">
        <v>302</v>
      </c>
      <c r="C20" s="308">
        <v>10000</v>
      </c>
    </row>
    <row r="21" spans="1:3">
      <c r="A21" s="322" t="s">
        <v>309</v>
      </c>
      <c r="B21" s="322" t="s">
        <v>309</v>
      </c>
      <c r="C21" s="308">
        <v>100000</v>
      </c>
    </row>
    <row r="22" spans="1:3">
      <c r="A22" s="322" t="s">
        <v>313</v>
      </c>
      <c r="B22" s="322" t="s">
        <v>313</v>
      </c>
      <c r="C22" s="308">
        <v>100000</v>
      </c>
    </row>
    <row r="23" spans="1:3">
      <c r="A23" s="322" t="s">
        <v>319</v>
      </c>
      <c r="B23" s="322" t="s">
        <v>319</v>
      </c>
      <c r="C23" s="308">
        <v>100000</v>
      </c>
    </row>
    <row r="24" spans="1:3">
      <c r="A24" s="322" t="s">
        <v>324</v>
      </c>
      <c r="B24" s="322" t="s">
        <v>324</v>
      </c>
      <c r="C24" s="308">
        <v>100000</v>
      </c>
    </row>
    <row r="25" spans="1:3">
      <c r="A25" s="322" t="s">
        <v>329</v>
      </c>
      <c r="B25" s="322" t="s">
        <v>329</v>
      </c>
      <c r="C25" s="308">
        <v>100000</v>
      </c>
    </row>
    <row r="26" spans="1:3">
      <c r="A26" s="322" t="s">
        <v>334</v>
      </c>
      <c r="B26" s="322" t="s">
        <v>334</v>
      </c>
      <c r="C26" s="308">
        <v>100000</v>
      </c>
    </row>
    <row r="27" spans="1:3">
      <c r="A27" s="322" t="s">
        <v>338</v>
      </c>
      <c r="B27" s="322" t="s">
        <v>338</v>
      </c>
      <c r="C27" s="308">
        <v>250000</v>
      </c>
    </row>
    <row r="28" spans="1:3">
      <c r="A28" s="322" t="s">
        <v>342</v>
      </c>
      <c r="B28" s="322" t="s">
        <v>342</v>
      </c>
      <c r="C28" s="308">
        <v>100000</v>
      </c>
    </row>
    <row r="29" spans="1:3">
      <c r="A29" s="322" t="s">
        <v>346</v>
      </c>
      <c r="B29" s="322" t="s">
        <v>346</v>
      </c>
      <c r="C29" s="308">
        <v>100000</v>
      </c>
    </row>
    <row r="30" spans="1:3">
      <c r="A30" s="322" t="s">
        <v>354</v>
      </c>
      <c r="B30" s="322" t="s">
        <v>354</v>
      </c>
      <c r="C30" s="308">
        <v>10000</v>
      </c>
    </row>
    <row r="31" spans="1:3">
      <c r="A31" s="322" t="s">
        <v>358</v>
      </c>
      <c r="B31" s="322" t="s">
        <v>358</v>
      </c>
      <c r="C31" s="308">
        <v>10000</v>
      </c>
    </row>
    <row r="32" spans="1:3">
      <c r="A32" s="322" t="s">
        <v>361</v>
      </c>
      <c r="B32" s="322" t="s">
        <v>361</v>
      </c>
      <c r="C32" s="308">
        <v>100000</v>
      </c>
    </row>
    <row r="33" spans="1:3">
      <c r="A33" s="322" t="s">
        <v>364</v>
      </c>
      <c r="B33" s="322" t="s">
        <v>364</v>
      </c>
      <c r="C33" s="308">
        <v>20000</v>
      </c>
    </row>
    <row r="34" spans="1:3">
      <c r="A34" s="322" t="s">
        <v>367</v>
      </c>
      <c r="B34" s="322" t="s">
        <v>367</v>
      </c>
      <c r="C34" s="561">
        <v>0</v>
      </c>
    </row>
    <row r="35" spans="1:3">
      <c r="A35" s="322" t="s">
        <v>371</v>
      </c>
      <c r="B35" s="322" t="s">
        <v>371</v>
      </c>
      <c r="C35" s="308">
        <v>10000</v>
      </c>
    </row>
    <row r="36" spans="1:3">
      <c r="A36" s="322" t="s">
        <v>376</v>
      </c>
      <c r="B36" s="322" t="s">
        <v>376</v>
      </c>
      <c r="C36" s="308" t="s">
        <v>1010</v>
      </c>
    </row>
    <row r="37" spans="1:3">
      <c r="A37" s="322" t="s">
        <v>384</v>
      </c>
      <c r="B37" s="322" t="s">
        <v>384</v>
      </c>
      <c r="C37" s="561">
        <v>0</v>
      </c>
    </row>
    <row r="38" spans="1:3">
      <c r="A38" s="322" t="s">
        <v>388</v>
      </c>
      <c r="B38" s="322" t="s">
        <v>388</v>
      </c>
      <c r="C38" s="561">
        <v>0</v>
      </c>
    </row>
    <row r="39" spans="1:3">
      <c r="A39" s="322" t="s">
        <v>390</v>
      </c>
      <c r="B39" s="322" t="s">
        <v>390</v>
      </c>
      <c r="C39" s="308">
        <v>100000</v>
      </c>
    </row>
    <row r="40" spans="1:3">
      <c r="A40" s="322" t="s">
        <v>392</v>
      </c>
      <c r="B40" s="322" t="s">
        <v>392</v>
      </c>
      <c r="C40" s="561">
        <v>0</v>
      </c>
    </row>
    <row r="41" spans="1:3">
      <c r="A41" s="322" t="s">
        <v>441</v>
      </c>
      <c r="B41" s="322" t="s">
        <v>441</v>
      </c>
      <c r="C41" s="308">
        <v>100000</v>
      </c>
    </row>
    <row r="42" spans="1:3" s="322" customFormat="1">
      <c r="A42" s="322" t="s">
        <v>284</v>
      </c>
      <c r="B42" s="322" t="s">
        <v>284</v>
      </c>
      <c r="C42" s="561">
        <v>0</v>
      </c>
    </row>
    <row r="43" spans="1:3" s="322" customFormat="1">
      <c r="A43" s="322" t="s">
        <v>306</v>
      </c>
      <c r="B43" s="322" t="s">
        <v>306</v>
      </c>
      <c r="C43" s="561">
        <v>0</v>
      </c>
    </row>
    <row r="44" spans="1:3" s="322" customFormat="1">
      <c r="A44" s="322" t="s">
        <v>956</v>
      </c>
      <c r="B44" s="322" t="s">
        <v>351</v>
      </c>
      <c r="C44" s="308">
        <v>100000</v>
      </c>
    </row>
    <row r="45" spans="1:3" s="322" customFormat="1">
      <c r="A45" s="322" t="s">
        <v>381</v>
      </c>
      <c r="B45" s="322" t="s">
        <v>381</v>
      </c>
      <c r="C45" s="561">
        <v>0</v>
      </c>
    </row>
  </sheetData>
  <sheetProtection password="93C0" sheet="1" objects="1" scenarios="1"/>
  <autoFilter ref="A3:C45" xr:uid="{00000000-0009-0000-0000-000005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Inputs</vt:lpstr>
      <vt:lpstr>April Output</vt:lpstr>
      <vt:lpstr>Paramètres</vt:lpstr>
      <vt:lpstr>Conditions (june 2020)</vt:lpstr>
      <vt:lpstr>CGL pricing </vt:lpstr>
      <vt:lpstr>Extension of coverage</vt:lpstr>
      <vt:lpstr>'April Output'!Print_Area</vt:lpstr>
      <vt:lpstr>'Conditions (june 2020)'!Print_Area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msokolova</dc:creator>
  <cp:lastModifiedBy>Nick Kidd</cp:lastModifiedBy>
  <cp:lastPrinted>2020-06-23T11:16:03Z</cp:lastPrinted>
  <dcterms:created xsi:type="dcterms:W3CDTF">2020-06-19T15:37:02Z</dcterms:created>
  <dcterms:modified xsi:type="dcterms:W3CDTF">2021-09-29T02:10:30Z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cc157a9f-d4a8-463d-a7be-0d428a22c7b3</vt:lpwstr>
  </property>
</Properties>
</file>