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26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3" i="1" l="1"/>
  <c r="E843" i="1"/>
  <c r="D843" i="1"/>
  <c r="C843" i="1"/>
  <c r="B843" i="1"/>
  <c r="F841" i="1"/>
  <c r="E841" i="1"/>
  <c r="D841" i="1"/>
  <c r="C841" i="1"/>
  <c r="B839" i="1"/>
  <c r="B841" i="1"/>
  <c r="F835" i="1"/>
  <c r="E835" i="1"/>
  <c r="D835" i="1"/>
  <c r="C835" i="1"/>
  <c r="B835" i="1"/>
  <c r="F833" i="1"/>
  <c r="E831" i="1"/>
  <c r="E833" i="1"/>
  <c r="D831" i="1"/>
  <c r="D833" i="1"/>
  <c r="C831" i="1"/>
  <c r="C833" i="1"/>
  <c r="B831" i="1"/>
  <c r="B833" i="1"/>
  <c r="F827" i="1"/>
  <c r="E827" i="1"/>
  <c r="D827" i="1"/>
  <c r="C827" i="1"/>
  <c r="B827" i="1"/>
  <c r="F823" i="1"/>
  <c r="F825" i="1"/>
  <c r="E823" i="1"/>
  <c r="E825" i="1"/>
  <c r="D823" i="1"/>
  <c r="D825" i="1"/>
  <c r="C823" i="1"/>
  <c r="C825" i="1"/>
  <c r="B823" i="1"/>
  <c r="B825" i="1"/>
  <c r="G260" i="1"/>
  <c r="F260" i="1"/>
  <c r="E260" i="1"/>
  <c r="D260" i="1"/>
  <c r="C260" i="1"/>
  <c r="B260" i="1"/>
  <c r="G256" i="1"/>
  <c r="G258" i="1"/>
  <c r="F258" i="1"/>
  <c r="E258" i="1"/>
  <c r="D256" i="1"/>
  <c r="D258" i="1"/>
  <c r="C256" i="1"/>
  <c r="C258" i="1"/>
  <c r="F253" i="1"/>
  <c r="E253" i="1"/>
  <c r="D253" i="1"/>
  <c r="C253" i="1"/>
  <c r="F249" i="1"/>
  <c r="F251" i="1"/>
  <c r="E249" i="1"/>
  <c r="E251" i="1"/>
  <c r="D249" i="1"/>
  <c r="D251" i="1"/>
  <c r="E247" i="1"/>
  <c r="D247" i="1"/>
  <c r="C247" i="1"/>
  <c r="B247" i="1"/>
  <c r="E245" i="1"/>
  <c r="D245" i="1"/>
  <c r="C245" i="1"/>
  <c r="G237" i="1"/>
  <c r="F237" i="1"/>
  <c r="E237" i="1"/>
  <c r="D237" i="1"/>
  <c r="C237" i="1"/>
  <c r="B237" i="1"/>
  <c r="G233" i="1"/>
  <c r="G235" i="1"/>
  <c r="F233" i="1"/>
  <c r="F235" i="1"/>
  <c r="E235" i="1"/>
  <c r="D235" i="1"/>
  <c r="C233" i="1"/>
  <c r="C235" i="1"/>
  <c r="H230" i="1"/>
  <c r="G230" i="1"/>
  <c r="F230" i="1"/>
  <c r="E230" i="1"/>
  <c r="D230" i="1"/>
  <c r="C230" i="1"/>
  <c r="B230" i="1"/>
  <c r="H228" i="1"/>
  <c r="G228" i="1"/>
  <c r="F228" i="1"/>
  <c r="E228" i="1"/>
  <c r="D228" i="1"/>
  <c r="C228" i="1"/>
  <c r="H223" i="1"/>
  <c r="G223" i="1"/>
  <c r="F223" i="1"/>
  <c r="E223" i="1"/>
  <c r="D223" i="1"/>
  <c r="C223" i="1"/>
  <c r="B223" i="1"/>
  <c r="H219" i="1"/>
  <c r="H221" i="1"/>
  <c r="G221" i="1"/>
  <c r="F219" i="1"/>
  <c r="F221" i="1"/>
  <c r="F496" i="1"/>
  <c r="D496" i="1"/>
  <c r="C496" i="1"/>
  <c r="B496" i="1"/>
  <c r="F486" i="1"/>
  <c r="E486" i="1"/>
  <c r="D486" i="1"/>
  <c r="C486" i="1"/>
  <c r="B486" i="1"/>
  <c r="K717" i="1"/>
  <c r="J717" i="1"/>
  <c r="I717" i="1"/>
  <c r="H717" i="1"/>
  <c r="G717" i="1"/>
  <c r="K713" i="1"/>
  <c r="K715" i="1"/>
  <c r="J713" i="1"/>
  <c r="J715" i="1"/>
  <c r="I713" i="1"/>
  <c r="I715" i="1"/>
  <c r="H713" i="1"/>
  <c r="H715" i="1"/>
  <c r="G713" i="1"/>
  <c r="G715" i="1"/>
  <c r="L700" i="1"/>
  <c r="K700" i="1"/>
  <c r="J700" i="1"/>
  <c r="I700" i="1"/>
  <c r="H700" i="1"/>
  <c r="L698" i="1"/>
  <c r="K698" i="1"/>
  <c r="J698" i="1"/>
  <c r="I698" i="1"/>
  <c r="H698" i="1"/>
  <c r="U540" i="1"/>
  <c r="T540" i="1"/>
  <c r="S540" i="1"/>
  <c r="R540" i="1"/>
  <c r="Q540" i="1"/>
  <c r="U536" i="1"/>
  <c r="U538" i="1"/>
  <c r="T536" i="1"/>
  <c r="T538" i="1"/>
  <c r="S536" i="1"/>
  <c r="S538" i="1"/>
  <c r="R536" i="1"/>
  <c r="R538" i="1"/>
  <c r="Q536" i="1"/>
  <c r="Q538" i="1"/>
  <c r="V530" i="1"/>
  <c r="U530" i="1"/>
  <c r="T530" i="1"/>
  <c r="S530" i="1"/>
  <c r="R530" i="1"/>
  <c r="Q530" i="1"/>
  <c r="V528" i="1"/>
  <c r="U528" i="1"/>
  <c r="T528" i="1"/>
  <c r="S526" i="1"/>
  <c r="S528" i="1"/>
  <c r="R528" i="1"/>
  <c r="Q526" i="1"/>
  <c r="Q528" i="1"/>
  <c r="E450" i="1"/>
  <c r="D450" i="1"/>
  <c r="C450" i="1"/>
  <c r="B450" i="1"/>
  <c r="E448" i="1"/>
  <c r="D448" i="1"/>
  <c r="C448" i="1"/>
  <c r="M660" i="1"/>
  <c r="L660" i="1"/>
  <c r="K660" i="1"/>
  <c r="J660" i="1"/>
  <c r="I660" i="1"/>
  <c r="M658" i="1"/>
  <c r="L658" i="1"/>
  <c r="K658" i="1"/>
  <c r="J658" i="1"/>
  <c r="N652" i="1"/>
  <c r="M652" i="1"/>
  <c r="L652" i="1"/>
  <c r="K652" i="1"/>
  <c r="J652" i="1"/>
  <c r="N650" i="1"/>
  <c r="M650" i="1"/>
  <c r="L650" i="1"/>
  <c r="K650" i="1"/>
  <c r="E623" i="1"/>
  <c r="D623" i="1"/>
  <c r="C623" i="1"/>
  <c r="B623" i="1"/>
  <c r="E621" i="1"/>
  <c r="L570" i="1"/>
  <c r="K570" i="1"/>
  <c r="J570" i="1"/>
  <c r="L568" i="1"/>
  <c r="K568" i="1"/>
  <c r="J568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M510" i="1"/>
  <c r="L510" i="1"/>
  <c r="K510" i="1"/>
  <c r="J510" i="1"/>
  <c r="M506" i="1"/>
  <c r="M508" i="1"/>
  <c r="L506" i="1"/>
  <c r="L508" i="1"/>
  <c r="K506" i="1"/>
  <c r="K508" i="1"/>
  <c r="J506" i="1"/>
  <c r="J508" i="1"/>
  <c r="M632" i="1"/>
  <c r="L632" i="1"/>
  <c r="K632" i="1"/>
  <c r="J632" i="1"/>
  <c r="I632" i="1"/>
  <c r="F632" i="1"/>
  <c r="M630" i="1"/>
  <c r="L630" i="1"/>
  <c r="K630" i="1"/>
  <c r="J630" i="1"/>
  <c r="I630" i="1"/>
  <c r="E632" i="1"/>
  <c r="D632" i="1"/>
  <c r="C632" i="1"/>
  <c r="F630" i="1"/>
  <c r="E630" i="1"/>
  <c r="D630" i="1"/>
  <c r="C628" i="1"/>
  <c r="C630" i="1"/>
  <c r="N560" i="1"/>
  <c r="M560" i="1"/>
  <c r="L560" i="1"/>
  <c r="K560" i="1"/>
  <c r="N558" i="1"/>
  <c r="M558" i="1"/>
  <c r="L558" i="1"/>
  <c r="K558" i="1"/>
  <c r="N500" i="1"/>
  <c r="M500" i="1"/>
  <c r="L500" i="1"/>
  <c r="K500" i="1"/>
  <c r="J500" i="1"/>
  <c r="N498" i="1"/>
  <c r="M498" i="1"/>
  <c r="L498" i="1"/>
  <c r="K498" i="1"/>
  <c r="J498" i="1"/>
  <c r="N600" i="1"/>
  <c r="M600" i="1"/>
  <c r="L600" i="1"/>
  <c r="K600" i="1"/>
  <c r="J600" i="1"/>
  <c r="N598" i="1"/>
  <c r="M598" i="1"/>
  <c r="L598" i="1"/>
  <c r="K598" i="1"/>
  <c r="J598" i="1"/>
  <c r="N479" i="1"/>
  <c r="M479" i="1"/>
  <c r="L479" i="1"/>
  <c r="K479" i="1"/>
  <c r="J479" i="1"/>
  <c r="N477" i="1"/>
  <c r="M477" i="1"/>
  <c r="L477" i="1"/>
  <c r="K477" i="1"/>
  <c r="J477" i="1"/>
  <c r="N540" i="1"/>
  <c r="M540" i="1"/>
  <c r="L540" i="1"/>
  <c r="K540" i="1"/>
  <c r="J540" i="1"/>
  <c r="N536" i="1"/>
  <c r="N538" i="1"/>
  <c r="M536" i="1"/>
  <c r="M538" i="1"/>
  <c r="L536" i="1"/>
  <c r="L538" i="1"/>
  <c r="K536" i="1"/>
  <c r="K538" i="1"/>
  <c r="J536" i="1"/>
  <c r="J538" i="1"/>
  <c r="N590" i="1"/>
  <c r="M590" i="1"/>
  <c r="L590" i="1"/>
  <c r="K590" i="1"/>
  <c r="J590" i="1"/>
  <c r="N588" i="1"/>
  <c r="M588" i="1"/>
  <c r="L588" i="1"/>
  <c r="K588" i="1"/>
  <c r="J588" i="1"/>
  <c r="N580" i="1"/>
  <c r="M580" i="1"/>
  <c r="L580" i="1"/>
  <c r="K580" i="1"/>
  <c r="J580" i="1"/>
  <c r="N578" i="1"/>
  <c r="M578" i="1"/>
  <c r="L578" i="1"/>
  <c r="K578" i="1"/>
  <c r="J578" i="1"/>
  <c r="J560" i="1"/>
  <c r="J558" i="1"/>
  <c r="J548" i="1"/>
  <c r="N530" i="1"/>
  <c r="M530" i="1"/>
  <c r="L530" i="1"/>
  <c r="K530" i="1"/>
  <c r="J530" i="1"/>
  <c r="N528" i="1"/>
  <c r="M528" i="1"/>
  <c r="L528" i="1"/>
  <c r="K528" i="1"/>
  <c r="J528" i="1"/>
  <c r="N520" i="1"/>
  <c r="M520" i="1"/>
  <c r="L520" i="1"/>
  <c r="K520" i="1"/>
  <c r="J520" i="1"/>
  <c r="N518" i="1"/>
  <c r="M518" i="1"/>
  <c r="L518" i="1"/>
  <c r="K518" i="1"/>
  <c r="J518" i="1"/>
  <c r="N490" i="1"/>
  <c r="M490" i="1"/>
  <c r="L490" i="1"/>
  <c r="K490" i="1"/>
  <c r="J490" i="1"/>
  <c r="N488" i="1"/>
  <c r="M488" i="1"/>
  <c r="L488" i="1"/>
  <c r="K488" i="1"/>
  <c r="J488" i="1"/>
  <c r="N470" i="1"/>
  <c r="M470" i="1"/>
  <c r="L470" i="1"/>
  <c r="K470" i="1"/>
  <c r="J470" i="1"/>
  <c r="N468" i="1"/>
  <c r="M468" i="1"/>
  <c r="L468" i="1"/>
  <c r="K468" i="1"/>
  <c r="J468" i="1"/>
  <c r="N461" i="1"/>
  <c r="M461" i="1"/>
  <c r="L461" i="1"/>
  <c r="K461" i="1"/>
  <c r="J461" i="1"/>
  <c r="N459" i="1"/>
  <c r="M459" i="1"/>
  <c r="L459" i="1"/>
  <c r="K459" i="1"/>
  <c r="J459" i="1"/>
  <c r="N440" i="1"/>
  <c r="M440" i="1"/>
  <c r="L440" i="1"/>
  <c r="K440" i="1"/>
  <c r="J440" i="1"/>
  <c r="N438" i="1"/>
  <c r="M438" i="1"/>
  <c r="L438" i="1"/>
  <c r="K438" i="1"/>
  <c r="J438" i="1"/>
  <c r="J428" i="1"/>
  <c r="N430" i="1"/>
  <c r="M430" i="1"/>
  <c r="L430" i="1"/>
  <c r="K430" i="1"/>
  <c r="J430" i="1"/>
  <c r="K428" i="1"/>
  <c r="L428" i="1"/>
  <c r="M428" i="1"/>
  <c r="N428" i="1"/>
  <c r="G470" i="1"/>
  <c r="F470" i="1"/>
  <c r="E470" i="1"/>
  <c r="D470" i="1"/>
  <c r="C470" i="1"/>
  <c r="B470" i="1"/>
  <c r="H461" i="1"/>
  <c r="G461" i="1"/>
  <c r="F461" i="1"/>
  <c r="E461" i="1"/>
  <c r="D461" i="1"/>
  <c r="C461" i="1"/>
  <c r="B461" i="1"/>
  <c r="F600" i="1"/>
  <c r="E600" i="1"/>
  <c r="D600" i="1"/>
  <c r="C600" i="1"/>
  <c r="F598" i="1"/>
  <c r="E598" i="1"/>
  <c r="D598" i="1"/>
  <c r="C597" i="1"/>
  <c r="C598" i="1"/>
  <c r="F590" i="1"/>
  <c r="E590" i="1"/>
  <c r="D590" i="1"/>
  <c r="C590" i="1"/>
  <c r="B590" i="1"/>
  <c r="F588" i="1"/>
  <c r="E588" i="1"/>
  <c r="D588" i="1"/>
  <c r="C588" i="1"/>
  <c r="B588" i="1"/>
  <c r="F580" i="1"/>
  <c r="E580" i="1"/>
  <c r="D580" i="1"/>
  <c r="C580" i="1"/>
  <c r="B580" i="1"/>
  <c r="F578" i="1"/>
  <c r="E578" i="1"/>
  <c r="D578" i="1"/>
  <c r="C578" i="1"/>
  <c r="B578" i="1"/>
  <c r="F570" i="1"/>
  <c r="E570" i="1"/>
  <c r="D570" i="1"/>
  <c r="C570" i="1"/>
  <c r="B570" i="1"/>
  <c r="F568" i="1"/>
  <c r="E568" i="1"/>
  <c r="D568" i="1"/>
  <c r="C568" i="1"/>
  <c r="B568" i="1"/>
  <c r="G560" i="1"/>
  <c r="F560" i="1"/>
  <c r="E560" i="1"/>
  <c r="D560" i="1"/>
  <c r="C560" i="1"/>
  <c r="B560" i="1"/>
  <c r="G558" i="1"/>
  <c r="F558" i="1"/>
  <c r="E558" i="1"/>
  <c r="D558" i="1"/>
  <c r="C558" i="1"/>
  <c r="B558" i="1"/>
  <c r="F550" i="1"/>
  <c r="E550" i="1"/>
  <c r="D550" i="1"/>
  <c r="C550" i="1"/>
  <c r="B550" i="1"/>
  <c r="F548" i="1"/>
  <c r="E548" i="1"/>
  <c r="D546" i="1"/>
  <c r="D548" i="1"/>
  <c r="C548" i="1"/>
  <c r="B546" i="1"/>
  <c r="B548" i="1"/>
  <c r="F540" i="1"/>
  <c r="E540" i="1"/>
  <c r="D540" i="1"/>
  <c r="C540" i="1"/>
  <c r="B540" i="1"/>
  <c r="F536" i="1"/>
  <c r="F538" i="1"/>
  <c r="E536" i="1"/>
  <c r="E538" i="1"/>
  <c r="D536" i="1"/>
  <c r="D538" i="1"/>
  <c r="C536" i="1"/>
  <c r="C538" i="1"/>
  <c r="B536" i="1"/>
  <c r="B538" i="1"/>
  <c r="F530" i="1"/>
  <c r="E530" i="1"/>
  <c r="D530" i="1"/>
  <c r="C530" i="1"/>
  <c r="B530" i="1"/>
  <c r="F526" i="1"/>
  <c r="F528" i="1"/>
  <c r="E526" i="1"/>
  <c r="E528" i="1"/>
  <c r="D526" i="1"/>
  <c r="D528" i="1"/>
  <c r="C526" i="1"/>
  <c r="C528" i="1"/>
  <c r="B526" i="1"/>
  <c r="B528" i="1"/>
  <c r="F520" i="1"/>
  <c r="E520" i="1"/>
  <c r="D520" i="1"/>
  <c r="C520" i="1"/>
  <c r="B520" i="1"/>
  <c r="F518" i="1"/>
  <c r="E518" i="1"/>
  <c r="D516" i="1"/>
  <c r="D518" i="1"/>
  <c r="C516" i="1"/>
  <c r="C518" i="1"/>
  <c r="B516" i="1"/>
  <c r="B518" i="1"/>
  <c r="F510" i="1"/>
  <c r="E510" i="1"/>
  <c r="D510" i="1"/>
  <c r="C510" i="1"/>
  <c r="B510" i="1"/>
  <c r="F508" i="1"/>
  <c r="E506" i="1"/>
  <c r="E508" i="1"/>
  <c r="D506" i="1"/>
  <c r="D508" i="1"/>
  <c r="C506" i="1"/>
  <c r="C508" i="1"/>
  <c r="B506" i="1"/>
  <c r="B507" i="1"/>
  <c r="B508" i="1"/>
  <c r="F500" i="1"/>
  <c r="E500" i="1"/>
  <c r="D500" i="1"/>
  <c r="C500" i="1"/>
  <c r="B500" i="1"/>
  <c r="F498" i="1"/>
  <c r="E498" i="1"/>
  <c r="D498" i="1"/>
  <c r="C498" i="1"/>
  <c r="B498" i="1"/>
  <c r="F490" i="1"/>
  <c r="E490" i="1"/>
  <c r="D490" i="1"/>
  <c r="C490" i="1"/>
  <c r="B490" i="1"/>
  <c r="F488" i="1"/>
  <c r="E488" i="1"/>
  <c r="D488" i="1"/>
  <c r="C488" i="1"/>
  <c r="B488" i="1"/>
  <c r="F479" i="1"/>
  <c r="E479" i="1"/>
  <c r="D479" i="1"/>
  <c r="C479" i="1"/>
  <c r="B479" i="1"/>
  <c r="F477" i="1"/>
  <c r="E477" i="1"/>
  <c r="D477" i="1"/>
  <c r="H470" i="1"/>
  <c r="H468" i="1"/>
  <c r="G468" i="1"/>
  <c r="F468" i="1"/>
  <c r="E468" i="1"/>
  <c r="D468" i="1"/>
  <c r="H459" i="1"/>
  <c r="G459" i="1"/>
  <c r="F459" i="1"/>
  <c r="E459" i="1"/>
  <c r="D459" i="1"/>
  <c r="H440" i="1"/>
  <c r="G440" i="1"/>
  <c r="F440" i="1"/>
  <c r="E440" i="1"/>
  <c r="D440" i="1"/>
  <c r="C440" i="1"/>
  <c r="B440" i="1"/>
  <c r="H438" i="1"/>
  <c r="G438" i="1"/>
  <c r="F438" i="1"/>
  <c r="E438" i="1"/>
  <c r="D438" i="1"/>
  <c r="H430" i="1"/>
  <c r="G430" i="1"/>
  <c r="F430" i="1"/>
  <c r="E430" i="1"/>
  <c r="D430" i="1"/>
  <c r="C430" i="1"/>
  <c r="B430" i="1"/>
  <c r="D428" i="1"/>
  <c r="E428" i="1"/>
  <c r="F428" i="1"/>
  <c r="G428" i="1"/>
  <c r="H428" i="1"/>
  <c r="E401" i="1"/>
  <c r="D401" i="1"/>
  <c r="C401" i="1"/>
  <c r="B401" i="1"/>
  <c r="E221" i="1"/>
  <c r="D221" i="1"/>
  <c r="E399" i="1"/>
  <c r="D399" i="1"/>
  <c r="F737" i="1"/>
  <c r="E737" i="1"/>
  <c r="D737" i="1"/>
  <c r="C737" i="1"/>
  <c r="F735" i="1"/>
  <c r="E735" i="1"/>
  <c r="D735" i="1"/>
  <c r="C735" i="1"/>
  <c r="B676" i="1"/>
  <c r="J650" i="1"/>
  <c r="Q643" i="1"/>
  <c r="P643" i="1"/>
  <c r="O643" i="1"/>
  <c r="N643" i="1"/>
  <c r="M643" i="1"/>
  <c r="L643" i="1"/>
  <c r="Q641" i="1"/>
  <c r="P641" i="1"/>
  <c r="O641" i="1"/>
  <c r="N641" i="1"/>
  <c r="M641" i="1"/>
  <c r="L639" i="1"/>
  <c r="L641" i="1"/>
  <c r="C649" i="1"/>
  <c r="B632" i="1"/>
  <c r="B630" i="1"/>
  <c r="D621" i="1"/>
  <c r="C621" i="1"/>
  <c r="B621" i="1"/>
  <c r="G611" i="1"/>
  <c r="F611" i="1"/>
  <c r="E611" i="1"/>
  <c r="D611" i="1"/>
  <c r="C611" i="1"/>
  <c r="B611" i="1"/>
  <c r="G609" i="1"/>
  <c r="F609" i="1"/>
  <c r="E609" i="1"/>
  <c r="D609" i="1"/>
  <c r="C609" i="1"/>
  <c r="B609" i="1"/>
  <c r="C477" i="1"/>
  <c r="B477" i="1"/>
  <c r="C468" i="1"/>
  <c r="B468" i="1"/>
  <c r="C459" i="1"/>
  <c r="B459" i="1"/>
  <c r="C426" i="1"/>
  <c r="C428" i="1"/>
  <c r="B426" i="1"/>
  <c r="B428" i="1"/>
  <c r="C6" i="1"/>
  <c r="C4" i="1"/>
  <c r="C7" i="1"/>
  <c r="C5" i="1"/>
  <c r="C38" i="1"/>
  <c r="C39" i="1"/>
  <c r="C40" i="1"/>
  <c r="C44" i="1"/>
  <c r="C45" i="1"/>
  <c r="C46" i="1"/>
  <c r="C48" i="1"/>
  <c r="C50" i="1"/>
  <c r="C52" i="1"/>
  <c r="C87" i="1"/>
  <c r="C89" i="1"/>
  <c r="C93" i="1"/>
  <c r="C95" i="1"/>
  <c r="C99" i="1"/>
  <c r="C101" i="1"/>
  <c r="C129" i="1"/>
  <c r="C131" i="1"/>
  <c r="C136" i="1"/>
  <c r="C138" i="1"/>
  <c r="C141" i="1"/>
  <c r="C143" i="1"/>
  <c r="C145" i="1"/>
  <c r="C195" i="1"/>
  <c r="C197" i="1"/>
  <c r="C202" i="1"/>
  <c r="C204" i="1"/>
  <c r="C207" i="1"/>
  <c r="C209" i="1"/>
  <c r="C211" i="1"/>
  <c r="C221" i="1"/>
  <c r="C249" i="1"/>
  <c r="C251" i="1"/>
  <c r="C284" i="1"/>
  <c r="C316" i="1"/>
  <c r="C323" i="1"/>
  <c r="C338" i="1"/>
  <c r="C340" i="1"/>
  <c r="C346" i="1"/>
  <c r="C348" i="1"/>
  <c r="C351" i="1"/>
  <c r="C353" i="1"/>
  <c r="C355" i="1"/>
  <c r="C360" i="1"/>
  <c r="C362" i="1"/>
  <c r="C397" i="1"/>
  <c r="C399" i="1"/>
  <c r="C409" i="1"/>
  <c r="B408" i="1"/>
  <c r="B409" i="1"/>
  <c r="B410" i="1"/>
  <c r="C410" i="1"/>
  <c r="C418" i="1"/>
  <c r="C420" i="1"/>
  <c r="C438" i="1"/>
  <c r="C641" i="1"/>
  <c r="C643" i="1"/>
  <c r="C650" i="1"/>
  <c r="C652" i="1"/>
  <c r="C658" i="1"/>
  <c r="C660" i="1"/>
  <c r="C668" i="1"/>
  <c r="C670" i="1"/>
  <c r="C677" i="1"/>
  <c r="C679" i="1"/>
  <c r="C683" i="1"/>
  <c r="C685" i="1"/>
  <c r="C687" i="1"/>
  <c r="C698" i="1"/>
  <c r="C700" i="1"/>
  <c r="C707" i="1"/>
  <c r="C708" i="1"/>
  <c r="C709" i="1"/>
  <c r="C713" i="1"/>
  <c r="C715" i="1"/>
  <c r="C717" i="1"/>
  <c r="C726" i="1"/>
  <c r="C728" i="1"/>
  <c r="C741" i="1"/>
  <c r="C743" i="1"/>
  <c r="C745" i="1"/>
  <c r="C754" i="1"/>
  <c r="C756" i="1"/>
  <c r="C763" i="1"/>
  <c r="C765" i="1"/>
  <c r="C769" i="1"/>
  <c r="C771" i="1"/>
  <c r="C773" i="1"/>
  <c r="B245" i="1"/>
  <c r="B448" i="1"/>
  <c r="B438" i="1"/>
  <c r="B418" i="1"/>
  <c r="B419" i="1"/>
  <c r="B420" i="1"/>
  <c r="B397" i="1"/>
  <c r="B399" i="1"/>
  <c r="O204" i="1"/>
  <c r="N204" i="1"/>
  <c r="M204" i="1"/>
  <c r="L204" i="1"/>
  <c r="K204" i="1"/>
  <c r="J204" i="1"/>
  <c r="I204" i="1"/>
  <c r="O202" i="1"/>
  <c r="N200" i="1"/>
  <c r="N202" i="1"/>
  <c r="M202" i="1"/>
  <c r="L200" i="1"/>
  <c r="L202" i="1"/>
  <c r="K202" i="1"/>
  <c r="J200" i="1"/>
  <c r="J202" i="1"/>
  <c r="I202" i="1"/>
  <c r="B277" i="1"/>
  <c r="I773" i="1"/>
  <c r="H773" i="1"/>
  <c r="G773" i="1"/>
  <c r="F773" i="1"/>
  <c r="I769" i="1"/>
  <c r="I771" i="1"/>
  <c r="H769" i="1"/>
  <c r="H771" i="1"/>
  <c r="G769" i="1"/>
  <c r="G771" i="1"/>
  <c r="F771" i="1"/>
  <c r="L687" i="1"/>
  <c r="K687" i="1"/>
  <c r="J687" i="1"/>
  <c r="L685" i="1"/>
  <c r="K685" i="1"/>
  <c r="J685" i="1"/>
  <c r="I658" i="1"/>
  <c r="D773" i="1"/>
  <c r="B773" i="1"/>
  <c r="D769" i="1"/>
  <c r="D771" i="1"/>
  <c r="B769" i="1"/>
  <c r="B771" i="1"/>
  <c r="E765" i="1"/>
  <c r="D765" i="1"/>
  <c r="B765" i="1"/>
  <c r="E763" i="1"/>
  <c r="D763" i="1"/>
  <c r="B763" i="1"/>
  <c r="E756" i="1"/>
  <c r="D756" i="1"/>
  <c r="B756" i="1"/>
  <c r="E754" i="1"/>
  <c r="D752" i="1"/>
  <c r="D754" i="1"/>
  <c r="B752" i="1"/>
  <c r="B754" i="1"/>
  <c r="F745" i="1"/>
  <c r="E745" i="1"/>
  <c r="D745" i="1"/>
  <c r="B745" i="1"/>
  <c r="F743" i="1"/>
  <c r="E741" i="1"/>
  <c r="E743" i="1"/>
  <c r="D741" i="1"/>
  <c r="D743" i="1"/>
  <c r="B741" i="1"/>
  <c r="B743" i="1"/>
  <c r="B737" i="1"/>
  <c r="B735" i="1"/>
  <c r="E728" i="1"/>
  <c r="D728" i="1"/>
  <c r="B728" i="1"/>
  <c r="E726" i="1"/>
  <c r="D726" i="1"/>
  <c r="B726" i="1"/>
  <c r="D717" i="1"/>
  <c r="B717" i="1"/>
  <c r="D713" i="1"/>
  <c r="D715" i="1"/>
  <c r="B713" i="1"/>
  <c r="B715" i="1"/>
  <c r="D708" i="1"/>
  <c r="B708" i="1"/>
  <c r="D709" i="1"/>
  <c r="B709" i="1"/>
  <c r="D707" i="1"/>
  <c r="B707" i="1"/>
  <c r="E700" i="1"/>
  <c r="D700" i="1"/>
  <c r="B700" i="1"/>
  <c r="E698" i="1"/>
  <c r="D698" i="1"/>
  <c r="B698" i="1"/>
  <c r="L275" i="1"/>
  <c r="K275" i="1"/>
  <c r="J275" i="1"/>
  <c r="I275" i="1"/>
  <c r="L271" i="1"/>
  <c r="L273" i="1"/>
  <c r="K271" i="1"/>
  <c r="K273" i="1"/>
  <c r="J271" i="1"/>
  <c r="J273" i="1"/>
  <c r="G656" i="1"/>
  <c r="F656" i="1"/>
  <c r="E656" i="1"/>
  <c r="D656" i="1"/>
  <c r="B656" i="1"/>
  <c r="B683" i="1"/>
  <c r="H683" i="1"/>
  <c r="G683" i="1"/>
  <c r="F683" i="1"/>
  <c r="E683" i="1"/>
  <c r="D683" i="1"/>
  <c r="F298" i="1"/>
  <c r="E298" i="1"/>
  <c r="F294" i="1"/>
  <c r="F296" i="1"/>
  <c r="E294" i="1"/>
  <c r="E296" i="1"/>
  <c r="I271" i="1"/>
  <c r="I273" i="1"/>
  <c r="E284" i="1"/>
  <c r="D284" i="1"/>
  <c r="B284" i="1"/>
  <c r="D271" i="1"/>
  <c r="B249" i="1"/>
  <c r="D294" i="1"/>
  <c r="G271" i="1"/>
  <c r="H687" i="1"/>
  <c r="G687" i="1"/>
  <c r="F687" i="1"/>
  <c r="E687" i="1"/>
  <c r="D687" i="1"/>
  <c r="B687" i="1"/>
  <c r="H685" i="1"/>
  <c r="G685" i="1"/>
  <c r="F685" i="1"/>
  <c r="E685" i="1"/>
  <c r="D685" i="1"/>
  <c r="B685" i="1"/>
  <c r="G660" i="1"/>
  <c r="F660" i="1"/>
  <c r="E660" i="1"/>
  <c r="D660" i="1"/>
  <c r="B660" i="1"/>
  <c r="G658" i="1"/>
  <c r="F658" i="1"/>
  <c r="E658" i="1"/>
  <c r="D658" i="1"/>
  <c r="B658" i="1"/>
  <c r="B256" i="1"/>
  <c r="B258" i="1"/>
  <c r="I679" i="1"/>
  <c r="H679" i="1"/>
  <c r="G679" i="1"/>
  <c r="F679" i="1"/>
  <c r="E679" i="1"/>
  <c r="D679" i="1"/>
  <c r="B679" i="1"/>
  <c r="I677" i="1"/>
  <c r="H677" i="1"/>
  <c r="G677" i="1"/>
  <c r="F677" i="1"/>
  <c r="E677" i="1"/>
  <c r="D677" i="1"/>
  <c r="B677" i="1"/>
  <c r="D670" i="1"/>
  <c r="E670" i="1"/>
  <c r="F670" i="1"/>
  <c r="G670" i="1"/>
  <c r="B670" i="1"/>
  <c r="G668" i="1"/>
  <c r="F668" i="1"/>
  <c r="E668" i="1"/>
  <c r="D668" i="1"/>
  <c r="B668" i="1"/>
  <c r="H650" i="1"/>
  <c r="G650" i="1"/>
  <c r="F650" i="1"/>
  <c r="E650" i="1"/>
  <c r="D650" i="1"/>
  <c r="I643" i="1"/>
  <c r="H643" i="1"/>
  <c r="G643" i="1"/>
  <c r="F643" i="1"/>
  <c r="E643" i="1"/>
  <c r="B643" i="1"/>
  <c r="E641" i="1"/>
  <c r="F641" i="1"/>
  <c r="G641" i="1"/>
  <c r="H641" i="1"/>
  <c r="I641" i="1"/>
  <c r="B641" i="1"/>
  <c r="D652" i="1"/>
  <c r="E652" i="1"/>
  <c r="F652" i="1"/>
  <c r="G652" i="1"/>
  <c r="H65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S360" i="1"/>
  <c r="T360" i="1"/>
  <c r="U360" i="1"/>
  <c r="V360" i="1"/>
  <c r="W360" i="1"/>
  <c r="X360" i="1"/>
  <c r="Y360" i="1"/>
  <c r="Z360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S353" i="1"/>
  <c r="T353" i="1"/>
  <c r="U353" i="1"/>
  <c r="V353" i="1"/>
  <c r="W353" i="1"/>
  <c r="X353" i="1"/>
  <c r="Y353" i="1"/>
  <c r="Z353" i="1"/>
  <c r="P348" i="1"/>
  <c r="Q348" i="1"/>
  <c r="R348" i="1"/>
  <c r="S348" i="1"/>
  <c r="T348" i="1"/>
  <c r="U348" i="1"/>
  <c r="V348" i="1"/>
  <c r="W348" i="1"/>
  <c r="X348" i="1"/>
  <c r="O348" i="1"/>
  <c r="S346" i="1"/>
  <c r="T346" i="1"/>
  <c r="U346" i="1"/>
  <c r="V346" i="1"/>
  <c r="W346" i="1"/>
  <c r="X344" i="1"/>
  <c r="X346" i="1"/>
  <c r="D362" i="1"/>
  <c r="E362" i="1"/>
  <c r="F362" i="1"/>
  <c r="G362" i="1"/>
  <c r="H362" i="1"/>
  <c r="I362" i="1"/>
  <c r="J362" i="1"/>
  <c r="K362" i="1"/>
  <c r="L362" i="1"/>
  <c r="M362" i="1"/>
  <c r="B362" i="1"/>
  <c r="D355" i="1"/>
  <c r="E355" i="1"/>
  <c r="F355" i="1"/>
  <c r="G355" i="1"/>
  <c r="H355" i="1"/>
  <c r="I355" i="1"/>
  <c r="J355" i="1"/>
  <c r="K355" i="1"/>
  <c r="L355" i="1"/>
  <c r="M355" i="1"/>
  <c r="B355" i="1"/>
  <c r="D348" i="1"/>
  <c r="E348" i="1"/>
  <c r="F348" i="1"/>
  <c r="G348" i="1"/>
  <c r="H348" i="1"/>
  <c r="I348" i="1"/>
  <c r="J348" i="1"/>
  <c r="K348" i="1"/>
  <c r="B348" i="1"/>
  <c r="F346" i="1"/>
  <c r="G344" i="1"/>
  <c r="G346" i="1"/>
  <c r="H344" i="1"/>
  <c r="H346" i="1"/>
  <c r="I344" i="1"/>
  <c r="I346" i="1"/>
  <c r="J344" i="1"/>
  <c r="J346" i="1"/>
  <c r="K344" i="1"/>
  <c r="K346" i="1"/>
  <c r="F353" i="1"/>
  <c r="G351" i="1"/>
  <c r="G353" i="1"/>
  <c r="H353" i="1"/>
  <c r="I353" i="1"/>
  <c r="J353" i="1"/>
  <c r="K353" i="1"/>
  <c r="L353" i="1"/>
  <c r="M353" i="1"/>
  <c r="F360" i="1"/>
  <c r="G360" i="1"/>
  <c r="H360" i="1"/>
  <c r="I360" i="1"/>
  <c r="J360" i="1"/>
  <c r="K360" i="1"/>
  <c r="L360" i="1"/>
  <c r="M360" i="1"/>
  <c r="B359" i="1"/>
  <c r="B351" i="1"/>
  <c r="D351" i="1"/>
  <c r="B352" i="1"/>
  <c r="B345" i="1"/>
  <c r="R360" i="1"/>
  <c r="Q360" i="1"/>
  <c r="P360" i="1"/>
  <c r="O360" i="1"/>
  <c r="R353" i="1"/>
  <c r="Q353" i="1"/>
  <c r="P353" i="1"/>
  <c r="O353" i="1"/>
  <c r="R346" i="1"/>
  <c r="Q346" i="1"/>
  <c r="P346" i="1"/>
  <c r="O346" i="1"/>
  <c r="E360" i="1"/>
  <c r="D360" i="1"/>
  <c r="B360" i="1"/>
  <c r="E353" i="1"/>
  <c r="D353" i="1"/>
  <c r="B353" i="1"/>
  <c r="D346" i="1"/>
  <c r="E346" i="1"/>
  <c r="B346" i="1"/>
  <c r="B233" i="1"/>
  <c r="B235" i="1"/>
  <c r="E179" i="1"/>
  <c r="B228" i="1"/>
  <c r="B221" i="1"/>
  <c r="I207" i="1"/>
  <c r="H207" i="1"/>
  <c r="G207" i="1"/>
  <c r="F207" i="1"/>
  <c r="E207" i="1"/>
  <c r="D207" i="1"/>
  <c r="B207" i="1"/>
  <c r="D211" i="1"/>
  <c r="E211" i="1"/>
  <c r="F211" i="1"/>
  <c r="G211" i="1"/>
  <c r="H211" i="1"/>
  <c r="I211" i="1"/>
  <c r="B211" i="1"/>
  <c r="D209" i="1"/>
  <c r="E209" i="1"/>
  <c r="F209" i="1"/>
  <c r="G209" i="1"/>
  <c r="H209" i="1"/>
  <c r="I209" i="1"/>
  <c r="B209" i="1"/>
  <c r="D204" i="1"/>
  <c r="E204" i="1"/>
  <c r="F204" i="1"/>
  <c r="G204" i="1"/>
  <c r="B204" i="1"/>
  <c r="D202" i="1"/>
  <c r="E202" i="1"/>
  <c r="F202" i="1"/>
  <c r="G202" i="1"/>
  <c r="B201" i="1"/>
  <c r="B202" i="1"/>
  <c r="D197" i="1"/>
  <c r="E197" i="1"/>
  <c r="F197" i="1"/>
  <c r="G197" i="1"/>
  <c r="B197" i="1"/>
  <c r="D195" i="1"/>
  <c r="E195" i="1"/>
  <c r="F195" i="1"/>
  <c r="G195" i="1"/>
  <c r="B194" i="1"/>
  <c r="B195" i="1"/>
  <c r="B135" i="1"/>
  <c r="J141" i="1"/>
  <c r="I141" i="1"/>
  <c r="H141" i="1"/>
  <c r="G141" i="1"/>
  <c r="F141" i="1"/>
  <c r="E141" i="1"/>
  <c r="D141" i="1"/>
  <c r="B141" i="1"/>
  <c r="D145" i="1"/>
  <c r="E145" i="1"/>
  <c r="F145" i="1"/>
  <c r="G145" i="1"/>
  <c r="H145" i="1"/>
  <c r="I145" i="1"/>
  <c r="J145" i="1"/>
  <c r="B145" i="1"/>
  <c r="D143" i="1"/>
  <c r="E143" i="1"/>
  <c r="F143" i="1"/>
  <c r="G143" i="1"/>
  <c r="H143" i="1"/>
  <c r="I143" i="1"/>
  <c r="J143" i="1"/>
  <c r="B142" i="1"/>
  <c r="B143" i="1"/>
  <c r="D138" i="1"/>
  <c r="E138" i="1"/>
  <c r="F138" i="1"/>
  <c r="G138" i="1"/>
  <c r="H138" i="1"/>
  <c r="I138" i="1"/>
  <c r="J138" i="1"/>
  <c r="K138" i="1"/>
  <c r="L138" i="1"/>
  <c r="B138" i="1"/>
  <c r="D136" i="1"/>
  <c r="E136" i="1"/>
  <c r="F136" i="1"/>
  <c r="G136" i="1"/>
  <c r="H136" i="1"/>
  <c r="I136" i="1"/>
  <c r="J136" i="1"/>
  <c r="K136" i="1"/>
  <c r="L136" i="1"/>
  <c r="B136" i="1"/>
  <c r="D131" i="1"/>
  <c r="E131" i="1"/>
  <c r="F131" i="1"/>
  <c r="G131" i="1"/>
  <c r="H131" i="1"/>
  <c r="I131" i="1"/>
  <c r="J131" i="1"/>
  <c r="B131" i="1"/>
  <c r="B128" i="1"/>
  <c r="B129" i="1"/>
  <c r="D129" i="1"/>
  <c r="E129" i="1"/>
  <c r="F129" i="1"/>
  <c r="G129" i="1"/>
  <c r="H129" i="1"/>
  <c r="I129" i="1"/>
  <c r="J129" i="1"/>
  <c r="B100" i="1"/>
  <c r="D101" i="1"/>
  <c r="E101" i="1"/>
  <c r="F101" i="1"/>
  <c r="G101" i="1"/>
  <c r="H101" i="1"/>
  <c r="I101" i="1"/>
  <c r="J101" i="1"/>
  <c r="K101" i="1"/>
  <c r="B101" i="1"/>
  <c r="D99" i="1"/>
  <c r="E99" i="1"/>
  <c r="F99" i="1"/>
  <c r="G99" i="1"/>
  <c r="H99" i="1"/>
  <c r="I99" i="1"/>
  <c r="J99" i="1"/>
  <c r="K99" i="1"/>
  <c r="B98" i="1"/>
  <c r="B99" i="1"/>
  <c r="D95" i="1"/>
  <c r="E95" i="1"/>
  <c r="F95" i="1"/>
  <c r="G95" i="1"/>
  <c r="H95" i="1"/>
  <c r="I95" i="1"/>
  <c r="J95" i="1"/>
  <c r="K95" i="1"/>
  <c r="B94" i="1"/>
  <c r="B95" i="1"/>
  <c r="D93" i="1"/>
  <c r="E93" i="1"/>
  <c r="F93" i="1"/>
  <c r="G93" i="1"/>
  <c r="H93" i="1"/>
  <c r="I93" i="1"/>
  <c r="J93" i="1"/>
  <c r="K93" i="1"/>
  <c r="B92" i="1"/>
  <c r="B93" i="1"/>
  <c r="K89" i="1"/>
  <c r="J89" i="1"/>
  <c r="I89" i="1"/>
  <c r="H89" i="1"/>
  <c r="G89" i="1"/>
  <c r="F89" i="1"/>
  <c r="E89" i="1"/>
  <c r="D89" i="1"/>
  <c r="B89" i="1"/>
  <c r="D87" i="1"/>
  <c r="E87" i="1"/>
  <c r="F87" i="1"/>
  <c r="G87" i="1"/>
  <c r="H87" i="1"/>
  <c r="I87" i="1"/>
  <c r="J87" i="1"/>
  <c r="K87" i="1"/>
  <c r="B86" i="1"/>
  <c r="B87" i="1"/>
  <c r="B51" i="1"/>
  <c r="B48" i="1"/>
  <c r="D48" i="1"/>
  <c r="E48" i="1"/>
  <c r="F48" i="1"/>
  <c r="G48" i="1"/>
  <c r="H48" i="1"/>
  <c r="I48" i="1"/>
  <c r="J48" i="1"/>
  <c r="B49" i="1"/>
  <c r="B50" i="1"/>
  <c r="D52" i="1"/>
  <c r="E52" i="1"/>
  <c r="F52" i="1"/>
  <c r="G52" i="1"/>
  <c r="H52" i="1"/>
  <c r="I52" i="1"/>
  <c r="J52" i="1"/>
  <c r="B52" i="1"/>
  <c r="D45" i="1"/>
  <c r="D46" i="1"/>
  <c r="E45" i="1"/>
  <c r="E46" i="1"/>
  <c r="F45" i="1"/>
  <c r="F46" i="1"/>
  <c r="G45" i="1"/>
  <c r="G46" i="1"/>
  <c r="H45" i="1"/>
  <c r="H46" i="1"/>
  <c r="I45" i="1"/>
  <c r="I46" i="1"/>
  <c r="J45" i="1"/>
  <c r="J46" i="1"/>
  <c r="B45" i="1"/>
  <c r="B46" i="1"/>
  <c r="D39" i="1"/>
  <c r="D40" i="1"/>
  <c r="E39" i="1"/>
  <c r="E40" i="1"/>
  <c r="F39" i="1"/>
  <c r="F40" i="1"/>
  <c r="G39" i="1"/>
  <c r="G40" i="1"/>
  <c r="B39" i="1"/>
  <c r="B40" i="1"/>
  <c r="G38" i="1"/>
  <c r="B37" i="1"/>
  <c r="J50" i="1"/>
  <c r="I50" i="1"/>
  <c r="H50" i="1"/>
  <c r="G50" i="1"/>
  <c r="F50" i="1"/>
  <c r="E50" i="1"/>
  <c r="D50" i="1"/>
  <c r="J44" i="1"/>
  <c r="I44" i="1"/>
  <c r="H44" i="1"/>
  <c r="G44" i="1"/>
  <c r="F44" i="1"/>
  <c r="E44" i="1"/>
  <c r="D44" i="1"/>
  <c r="B43" i="1"/>
  <c r="B44" i="1"/>
  <c r="F38" i="1"/>
  <c r="E38" i="1"/>
  <c r="D38" i="1"/>
  <c r="B38" i="1"/>
  <c r="J16" i="1"/>
  <c r="J17" i="1"/>
  <c r="J14" i="1"/>
  <c r="J13" i="1"/>
  <c r="D7" i="1"/>
  <c r="D5" i="1"/>
  <c r="E7" i="1"/>
  <c r="E5" i="1"/>
  <c r="F7" i="1"/>
  <c r="F5" i="1"/>
  <c r="G7" i="1"/>
  <c r="G5" i="1"/>
  <c r="H7" i="1"/>
  <c r="H5" i="1"/>
  <c r="I7" i="1"/>
  <c r="I5" i="1"/>
  <c r="B7" i="1"/>
  <c r="B5" i="1"/>
  <c r="D6" i="1"/>
  <c r="E6" i="1"/>
  <c r="F6" i="1"/>
  <c r="G6" i="1"/>
  <c r="H6" i="1"/>
  <c r="I6" i="1"/>
  <c r="D4" i="1"/>
  <c r="E4" i="1"/>
  <c r="F4" i="1"/>
  <c r="G4" i="1"/>
  <c r="H4" i="1"/>
  <c r="I4" i="1"/>
  <c r="B6" i="1"/>
  <c r="B4" i="1"/>
</calcChain>
</file>

<file path=xl/sharedStrings.xml><?xml version="1.0" encoding="utf-8"?>
<sst xmlns="http://schemas.openxmlformats.org/spreadsheetml/2006/main" count="699" uniqueCount="200">
  <si>
    <t>#54</t>
    <phoneticPr fontId="4" type="noConversion"/>
  </si>
  <si>
    <t>#56</t>
    <phoneticPr fontId="4" type="noConversion"/>
  </si>
  <si>
    <t>#57</t>
    <phoneticPr fontId="4" type="noConversion"/>
  </si>
  <si>
    <t>#59</t>
    <phoneticPr fontId="4" type="noConversion"/>
  </si>
  <si>
    <t>#60</t>
    <phoneticPr fontId="4" type="noConversion"/>
  </si>
  <si>
    <t>#61</t>
    <phoneticPr fontId="4" type="noConversion"/>
  </si>
  <si>
    <t>#62</t>
    <phoneticPr fontId="4" type="noConversion"/>
  </si>
  <si>
    <t>#63</t>
    <phoneticPr fontId="4" type="noConversion"/>
  </si>
  <si>
    <t>#49</t>
    <phoneticPr fontId="4" type="noConversion"/>
  </si>
  <si>
    <t>#50</t>
    <phoneticPr fontId="4" type="noConversion"/>
  </si>
  <si>
    <t>#51</t>
    <phoneticPr fontId="4" type="noConversion"/>
  </si>
  <si>
    <t>#56</t>
    <phoneticPr fontId="4" type="noConversion"/>
  </si>
  <si>
    <t>decent</t>
    <phoneticPr fontId="4" type="noConversion"/>
  </si>
  <si>
    <t>qb_ranger</t>
    <phoneticPr fontId="4" type="noConversion"/>
  </si>
  <si>
    <t>Synchronous</t>
    <phoneticPr fontId="4" type="noConversion"/>
  </si>
  <si>
    <t>#48</t>
    <phoneticPr fontId="4" type="noConversion"/>
  </si>
  <si>
    <t>#49</t>
    <phoneticPr fontId="4" type="noConversion"/>
  </si>
  <si>
    <t>FOR ALL Ranger, 4 second per generation slower</t>
    <phoneticPr fontId="4" type="noConversion"/>
  </si>
  <si>
    <t>100  adv requests in 1 second</t>
    <phoneticPr fontId="4" type="noConversion"/>
  </si>
  <si>
    <t>old adv, ranger</t>
    <phoneticPr fontId="4" type="noConversion"/>
  </si>
  <si>
    <t>new adv, ranger</t>
    <phoneticPr fontId="4" type="noConversion"/>
  </si>
  <si>
    <t>NEW_NAMD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</si>
  <si>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</si>
  <si>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</si>
  <si>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</si>
  <si>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QB</t>
    <phoneticPr fontId="4" type="noConversion"/>
  </si>
  <si>
    <t>mean</t>
    <phoneticPr fontId="4" type="noConversion"/>
  </si>
  <si>
    <t>difference</t>
    <phoneticPr fontId="4" type="noConversion"/>
  </si>
  <si>
    <t>sd</t>
    <phoneticPr fontId="4" type="noConversion"/>
  </si>
  <si>
    <t>1M,2BJ</t>
  </si>
  <si>
    <t>1M,2BJ</t>
    <phoneticPr fontId="4" type="noConversion"/>
  </si>
  <si>
    <t>CENT</t>
    <phoneticPr fontId="4" type="noConversion"/>
  </si>
  <si>
    <t>1m,4bj</t>
    <phoneticPr fontId="4" type="noConversion"/>
  </si>
  <si>
    <t>gap b/w 1st and lst bjs</t>
  </si>
  <si>
    <t>cent</t>
  </si>
  <si>
    <t>8REPS</t>
    <phoneticPr fontId="4" type="noConversion"/>
  </si>
  <si>
    <t>16REPS</t>
    <phoneticPr fontId="4" type="noConversion"/>
  </si>
  <si>
    <t>32reps</t>
    <phoneticPr fontId="4" type="noConversion"/>
  </si>
  <si>
    <t>1m4bj</t>
    <phoneticPr fontId="4" type="noConversion"/>
  </si>
  <si>
    <t>16reps</t>
    <phoneticPr fontId="4" type="noConversion"/>
  </si>
  <si>
    <t>32reps</t>
    <phoneticPr fontId="4" type="noConversion"/>
  </si>
  <si>
    <t>2m,4bj</t>
  </si>
  <si>
    <t>2m,4bj</t>
    <phoneticPr fontId="4" type="noConversion"/>
  </si>
  <si>
    <t>8reps</t>
    <phoneticPr fontId="4" type="noConversion"/>
  </si>
  <si>
    <t>16reps</t>
    <phoneticPr fontId="4" type="noConversion"/>
  </si>
  <si>
    <t>32reps</t>
    <phoneticPr fontId="4" type="noConversion"/>
  </si>
  <si>
    <t>8reps</t>
    <phoneticPr fontId="4" type="noConversion"/>
  </si>
  <si>
    <t>4m 4bj</t>
    <phoneticPr fontId="4" type="noConversion"/>
  </si>
  <si>
    <t>8reps</t>
    <phoneticPr fontId="4" type="noConversion"/>
  </si>
  <si>
    <t>sync</t>
    <phoneticPr fontId="4" type="noConversion"/>
  </si>
  <si>
    <t>decent</t>
    <phoneticPr fontId="4" type="noConversion"/>
  </si>
  <si>
    <t>8reps</t>
    <phoneticPr fontId="4" type="noConversion"/>
  </si>
  <si>
    <t>decent</t>
    <phoneticPr fontId="4" type="noConversion"/>
  </si>
  <si>
    <t>gap b/w 1st and lst bjs</t>
    <phoneticPr fontId="4" type="noConversion"/>
  </si>
  <si>
    <t>se</t>
    <phoneticPr fontId="4" type="noConversion"/>
  </si>
  <si>
    <t>sync, se=8.81</t>
    <phoneticPr fontId="4" type="noConversion"/>
  </si>
  <si>
    <t>cent, se=11.10</t>
    <phoneticPr fontId="4" type="noConversion"/>
  </si>
  <si>
    <t>decent, se=5.97</t>
    <phoneticPr fontId="4" type="noConversion"/>
  </si>
  <si>
    <t>8 reps, 32 exchanges, 16cpr, qb</t>
    <phoneticPr fontId="4" type="noConversion"/>
  </si>
  <si>
    <t>sync, se=11.24</t>
    <phoneticPr fontId="4" type="noConversion"/>
  </si>
  <si>
    <t>cent, se= 3.23</t>
    <phoneticPr fontId="4" type="noConversion"/>
  </si>
  <si>
    <t>decent, se=6.14</t>
    <phoneticPr fontId="4" type="noConversion"/>
  </si>
  <si>
    <t>16 reps, 64 exchanges qb</t>
    <phoneticPr fontId="4" type="noConversion"/>
  </si>
  <si>
    <t>32 reps 128 exchanges</t>
    <phoneticPr fontId="4" type="noConversion"/>
  </si>
  <si>
    <t>###</t>
    <phoneticPr fontId="4" type="noConversion"/>
  </si>
  <si>
    <t>####</t>
    <phoneticPr fontId="4" type="noConversion"/>
  </si>
  <si>
    <t>####</t>
    <phoneticPr fontId="4" type="noConversion"/>
  </si>
  <si>
    <t>###= contact, but no exchange</t>
    <phoneticPr fontId="4" type="noConversion"/>
  </si>
  <si>
    <t>#### = no contact</t>
    <phoneticPr fontId="4" type="noConversion"/>
  </si>
  <si>
    <t>81-</t>
    <phoneticPr fontId="4" type="noConversion"/>
  </si>
  <si>
    <t>128 reps, 512 exchanges</t>
    <phoneticPr fontId="4" type="noConversion"/>
  </si>
  <si>
    <t>87-</t>
    <phoneticPr fontId="4" type="noConversion"/>
  </si>
  <si>
    <t>Linear search</t>
    <phoneticPr fontId="4" type="noConversion"/>
  </si>
  <si>
    <t>sync</t>
    <phoneticPr fontId="4" type="noConversion"/>
  </si>
  <si>
    <t>EXP#</t>
  </si>
  <si>
    <t>gap</t>
  </si>
  <si>
    <t>sync</t>
    <phoneticPr fontId="4" type="noConversion"/>
  </si>
  <si>
    <t>distributed</t>
    <phoneticPr fontId="4" type="noConversion"/>
  </si>
  <si>
    <t>256 replicas, 1024 ex</t>
    <phoneticPr fontId="4" type="noConversion"/>
  </si>
  <si>
    <t>exp#</t>
    <phoneticPr fontId="4" type="noConversion"/>
  </si>
  <si>
    <t>64 reps, 256 exch</t>
    <phoneticPr fontId="4" type="noConversion"/>
  </si>
  <si>
    <t>8 reps, 4 on each machine</t>
    <phoneticPr fontId="4" type="noConversion"/>
  </si>
  <si>
    <t>16 ex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</si>
  <si>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</si>
  <si>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</si>
  <si>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</si>
  <si>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</si>
  <si>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</si>
  <si>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</si>
  <si>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</si>
  <si>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</si>
  <si>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</si>
  <si>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</si>
  <si>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</si>
  <si>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</si>
  <si>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sync</t>
    <phoneticPr fontId="4" type="noConversion"/>
  </si>
  <si>
    <t>cent</t>
    <phoneticPr fontId="4" type="noConversion"/>
  </si>
  <si>
    <t>#54</t>
    <phoneticPr fontId="4" type="noConversion"/>
  </si>
  <si>
    <t>#55</t>
    <phoneticPr fontId="4" type="noConversion"/>
  </si>
  <si>
    <t>#72</t>
    <phoneticPr fontId="4" type="noConversion"/>
  </si>
  <si>
    <t>#56</t>
    <phoneticPr fontId="4" type="noConversion"/>
  </si>
  <si>
    <t>#57</t>
    <phoneticPr fontId="4" type="noConversion"/>
  </si>
  <si>
    <t>#58</t>
    <phoneticPr fontId="4" type="noConversion"/>
  </si>
  <si>
    <t>#52</t>
    <phoneticPr fontId="4" type="noConversion"/>
  </si>
  <si>
    <t>#53</t>
    <phoneticPr fontId="4" type="noConversion"/>
  </si>
  <si>
    <t>se</t>
    <phoneticPr fontId="4" type="noConversion"/>
  </si>
  <si>
    <t>mean</t>
    <phoneticPr fontId="4" type="noConversion"/>
  </si>
  <si>
    <t>differenc</t>
    <phoneticPr fontId="4" type="noConversion"/>
  </si>
  <si>
    <t>sd</t>
    <phoneticPr fontId="4" type="noConversion"/>
  </si>
  <si>
    <t>4BJS 4 MACHINES</t>
    <phoneticPr fontId="4" type="noConversion"/>
  </si>
  <si>
    <t>16 REPLICAS</t>
    <phoneticPr fontId="4" type="noConversion"/>
  </si>
  <si>
    <t>8 REPLICAS</t>
    <phoneticPr fontId="4" type="noConversion"/>
  </si>
  <si>
    <t>32 REPLICAS</t>
    <phoneticPr fontId="4" type="noConversion"/>
  </si>
  <si>
    <t>ERIC, LOUIE, OLIVER, POSEIDON, OLIVER</t>
    <phoneticPr fontId="4" type="noConversion"/>
  </si>
  <si>
    <t>mean</t>
  </si>
  <si>
    <t>diff</t>
  </si>
  <si>
    <t>sd</t>
  </si>
  <si>
    <t>se</t>
  </si>
  <si>
    <t>cent</t>
    <phoneticPr fontId="4" type="noConversion"/>
  </si>
  <si>
    <t>#50</t>
    <phoneticPr fontId="4" type="noConversion"/>
  </si>
  <si>
    <t>#51</t>
    <phoneticPr fontId="4" type="noConversion"/>
  </si>
  <si>
    <t>#52</t>
    <phoneticPr fontId="4" type="noConversion"/>
  </si>
  <si>
    <t>#53</t>
    <phoneticPr fontId="4" type="noConversion"/>
  </si>
  <si>
    <t>For decent ranger, 3.5 sec slower partner selection</t>
    <phoneticPr fontId="4" type="noConversion"/>
  </si>
  <si>
    <t>Sleep(20)</t>
    <phoneticPr fontId="4" type="noConversion"/>
  </si>
  <si>
    <t>Asynchronous - Centralized</t>
    <phoneticPr fontId="4" type="noConversion"/>
  </si>
  <si>
    <t>2BJS 2 MACHINES</t>
    <phoneticPr fontId="4" type="noConversion"/>
  </si>
  <si>
    <t>16 REPLICAS</t>
    <phoneticPr fontId="4" type="noConversion"/>
  </si>
  <si>
    <t>32 REPLICAS</t>
    <phoneticPr fontId="4" type="noConversion"/>
  </si>
  <si>
    <t>LONG RUNNING #86</t>
    <phoneticPr fontId="4" type="noConversion"/>
  </si>
  <si>
    <t>gap</t>
    <phoneticPr fontId="4" type="noConversion"/>
  </si>
  <si>
    <t>LONG RUNNING #85</t>
    <phoneticPr fontId="4" type="noConversion"/>
  </si>
  <si>
    <t>1-10 all cases</t>
    <phoneticPr fontId="4" type="noConversion"/>
  </si>
  <si>
    <t>36-42</t>
    <phoneticPr fontId="4" type="noConversion"/>
  </si>
  <si>
    <t>43-44</t>
    <phoneticPr fontId="4" type="noConversion"/>
  </si>
  <si>
    <t>distributed</t>
    <phoneticPr fontId="4" type="noConversion"/>
  </si>
  <si>
    <t>qb, loni macines</t>
    <phoneticPr fontId="4" type="noConversion"/>
  </si>
  <si>
    <t>qb, loni machines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</si>
  <si>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</si>
  <si>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</si>
  <si>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</si>
  <si>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</si>
  <si>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</si>
  <si>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Asynchronous - Decentralized</t>
    <phoneticPr fontId="4" type="noConversion"/>
  </si>
  <si>
    <t>1. 32 ex, 2 machines</t>
    <phoneticPr fontId="4" type="noConversion"/>
  </si>
  <si>
    <t>2. 16 ex, 2 machines</t>
    <phoneticPr fontId="4" type="noConversion"/>
  </si>
  <si>
    <t>3. 16 ex, 1 machine</t>
    <phoneticPr fontId="4" type="noConversion"/>
  </si>
  <si>
    <t>4. 32 ex, 1 machine</t>
    <phoneticPr fontId="4" type="noConversion"/>
  </si>
  <si>
    <t>centralized</t>
    <phoneticPr fontId="4" type="noConversion"/>
  </si>
  <si>
    <t>decentralized</t>
    <phoneticPr fontId="4" type="noConversion"/>
  </si>
  <si>
    <t>louie</t>
    <phoneticPr fontId="4" type="noConversion"/>
  </si>
  <si>
    <t>qb</t>
    <phoneticPr fontId="4" type="noConversion"/>
  </si>
  <si>
    <t>centralized</t>
    <phoneticPr fontId="4" type="noConversion"/>
  </si>
  <si>
    <t>decent</t>
    <phoneticPr fontId="4" type="noConversion"/>
  </si>
  <si>
    <t>sd, cent</t>
    <phoneticPr fontId="4" type="noConversion"/>
  </si>
  <si>
    <t>sd, decent</t>
    <phoneticPr fontId="4" type="noConversion"/>
  </si>
  <si>
    <t>mean runtime, cent</t>
    <phoneticPr fontId="4" type="noConversion"/>
  </si>
  <si>
    <t>mean runtime, decent</t>
    <phoneticPr fontId="4" type="noConversion"/>
  </si>
  <si>
    <t>cent</t>
    <phoneticPr fontId="4" type="noConversion"/>
  </si>
  <si>
    <t>qb</t>
    <phoneticPr fontId="4" type="noConversion"/>
  </si>
  <si>
    <t xml:space="preserve">decent </t>
    <phoneticPr fontId="4" type="noConversion"/>
  </si>
  <si>
    <t>FOR ALL SYNC, 7*NUMBER OF REPLICAS DEDUCT</t>
    <phoneticPr fontId="4" type="noConversion"/>
  </si>
  <si>
    <t xml:space="preserve">2BJS 2 MACHINES </t>
    <phoneticPr fontId="4" type="noConversion"/>
  </si>
  <si>
    <t>EXP#</t>
    <phoneticPr fontId="4" type="noConversion"/>
  </si>
  <si>
    <t>after 57 and 8</t>
    <phoneticPr fontId="4" type="noConversion"/>
  </si>
  <si>
    <t>sync</t>
    <phoneticPr fontId="4" type="noConversion"/>
  </si>
  <si>
    <t>new 19</t>
    <phoneticPr fontId="4" type="noConversion"/>
  </si>
  <si>
    <t>jul24 all new</t>
    <phoneticPr fontId="4" type="noConversion"/>
  </si>
  <si>
    <t>mean runtime</t>
    <phoneticPr fontId="4" type="noConversion"/>
  </si>
  <si>
    <t>sd</t>
    <phoneticPr fontId="4" type="noConversion"/>
  </si>
  <si>
    <t>difference</t>
    <phoneticPr fontId="4" type="noConversion"/>
  </si>
  <si>
    <t>mean</t>
    <phoneticPr fontId="4" type="noConversion"/>
  </si>
  <si>
    <t>difference</t>
    <phoneticPr fontId="4" type="noConversion"/>
  </si>
  <si>
    <t>se</t>
    <phoneticPr fontId="4" type="noConversion"/>
  </si>
  <si>
    <t>Case I</t>
    <phoneticPr fontId="4" type="noConversion"/>
  </si>
  <si>
    <t>CENTRALIZED</t>
    <phoneticPr fontId="4" type="noConversion"/>
  </si>
  <si>
    <t>Number of ex</t>
    <phoneticPr fontId="4" type="noConversion"/>
  </si>
  <si>
    <t># of unique partners</t>
    <phoneticPr fontId="4" type="noConversion"/>
  </si>
  <si>
    <t>Case II</t>
    <phoneticPr fontId="4" type="noConversion"/>
  </si>
  <si>
    <t>Case III</t>
    <phoneticPr fontId="4" type="noConversion"/>
  </si>
  <si>
    <t>XXX</t>
    <phoneticPr fontId="4" type="noConversion"/>
  </si>
  <si>
    <t>job started before staging</t>
    <phoneticPr fontId="4" type="noConversion"/>
  </si>
  <si>
    <t>new adv</t>
    <phoneticPr fontId="4" type="noConversion"/>
  </si>
  <si>
    <t>new adv</t>
    <phoneticPr fontId="4" type="noConversion"/>
  </si>
  <si>
    <t>sync</t>
  </si>
  <si>
    <t>8 reps</t>
  </si>
  <si>
    <t>2m4bj</t>
  </si>
  <si>
    <t>decent</t>
  </si>
  <si>
    <t>XXX</t>
  </si>
  <si>
    <t>new advert</t>
  </si>
  <si>
    <t>161,162**</t>
  </si>
  <si>
    <t>hetero</t>
  </si>
  <si>
    <t>exp #</t>
  </si>
  <si>
    <t>exp#</t>
  </si>
  <si>
    <t>Homogeneous</t>
  </si>
  <si>
    <t>Heterogeneous</t>
  </si>
  <si>
    <t>Synchronous</t>
  </si>
  <si>
    <t>Asynchronous (centralized)</t>
  </si>
  <si>
    <t>Asynchronous (decentralized)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</si>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</sst>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8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 bj, 16 exchanges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centralized</c:v>
                </c:pt>
              </c:strCache>
            </c:strRef>
          </c:tx>
          <c:invertIfNegative val="0"/>
          <c:val>
            <c:numRef>
              <c:f>Sheet1!$B$2:$I$2</c:f>
              <c:numCache>
                <c:formatCode>General</c:formatCode>
                <c:ptCount val="8"/>
                <c:pt idx="0">
                  <c:v>1144.0</c:v>
                </c:pt>
                <c:pt idx="1">
                  <c:v>917.0</c:v>
                </c:pt>
                <c:pt idx="2">
                  <c:v>682.0</c:v>
                </c:pt>
                <c:pt idx="3">
                  <c:v>712.0</c:v>
                </c:pt>
                <c:pt idx="4">
                  <c:v>722.0</c:v>
                </c:pt>
                <c:pt idx="5">
                  <c:v>675.0</c:v>
                </c:pt>
                <c:pt idx="6">
                  <c:v>716.0</c:v>
                </c:pt>
                <c:pt idx="7">
                  <c:v>736.0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decentralized</c:v>
                </c:pt>
              </c:strCache>
            </c:strRef>
          </c:tx>
          <c:invertIfNegative val="0"/>
          <c:val>
            <c:numRef>
              <c:f>Sheet1!$B$3:$I$3</c:f>
              <c:numCache>
                <c:formatCode>General</c:formatCode>
                <c:ptCount val="8"/>
                <c:pt idx="0">
                  <c:v>632.0</c:v>
                </c:pt>
                <c:pt idx="1">
                  <c:v>855.0</c:v>
                </c:pt>
                <c:pt idx="2">
                  <c:v>634.0</c:v>
                </c:pt>
                <c:pt idx="3">
                  <c:v>636.0</c:v>
                </c:pt>
                <c:pt idx="4">
                  <c:v>559.0</c:v>
                </c:pt>
                <c:pt idx="5">
                  <c:v>648.0</c:v>
                </c:pt>
                <c:pt idx="6">
                  <c:v>645.0</c:v>
                </c:pt>
                <c:pt idx="7">
                  <c:v>770.0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424760"/>
        <c:axId val="84883144"/>
      </c:barChart>
      <c:catAx>
        <c:axId val="55142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1-3 on louie, 4-8 on qb</a:t>
                </a:r>
              </a:p>
            </c:rich>
          </c:tx>
          <c:overlay val="0"/>
        </c:title>
        <c:majorTickMark val="out"/>
        <c:minorTickMark val="none"/>
        <c:tickLblPos val="nextTo"/>
        <c:crossAx val="84883144"/>
        <c:crosses val="autoZero"/>
        <c:auto val="1"/>
        <c:lblAlgn val="ctr"/>
        <c:lblOffset val="100"/>
        <c:noMultiLvlLbl val="0"/>
      </c:catAx>
      <c:valAx>
        <c:axId val="84883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42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Sheet1!$I$853</c:f>
              <c:strCache>
                <c:ptCount val="1"/>
                <c:pt idx="0">
                  <c:v>Homogeneous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Sheet1!$J$856:$L$856</c:f>
                <c:numCache>
                  <c:formatCode>General</c:formatCode>
                  <c:ptCount val="3"/>
                  <c:pt idx="0">
                    <c:v>19.0</c:v>
                  </c:pt>
                  <c:pt idx="1">
                    <c:v>15.0</c:v>
                  </c:pt>
                  <c:pt idx="2">
                    <c:v>1.0</c:v>
                  </c:pt>
                </c:numCache>
              </c:numRef>
            </c:plus>
            <c:minus>
              <c:numRef>
                <c:f>Sheet1!$J$856:$L$856</c:f>
                <c:numCache>
                  <c:formatCode>General</c:formatCode>
                  <c:ptCount val="3"/>
                  <c:pt idx="0">
                    <c:v>19.0</c:v>
                  </c:pt>
                  <c:pt idx="1">
                    <c:v>15.0</c:v>
                  </c:pt>
                  <c:pt idx="2">
                    <c:v>1.0</c:v>
                  </c:pt>
                </c:numCache>
              </c:numRef>
            </c:minus>
          </c:errBars>
          <c:cat>
            <c:strRef>
              <c:f>Sheet1!$J$852:$L$852</c:f>
              <c:strCache>
                <c:ptCount val="3"/>
                <c:pt idx="0">
                  <c:v>Synchronous</c:v>
                </c:pt>
                <c:pt idx="1">
                  <c:v>Asynchronous (centralized)</c:v>
                </c:pt>
                <c:pt idx="2">
                  <c:v>Asynchronous (decentralized)</c:v>
                </c:pt>
              </c:strCache>
            </c:strRef>
          </c:cat>
          <c:val>
            <c:numRef>
              <c:f>Sheet1!$J$853:$L$853</c:f>
              <c:numCache>
                <c:formatCode>General</c:formatCode>
                <c:ptCount val="3"/>
                <c:pt idx="0">
                  <c:v>1008.0</c:v>
                </c:pt>
                <c:pt idx="1">
                  <c:v>816.0</c:v>
                </c:pt>
                <c:pt idx="2">
                  <c:v>642.0</c:v>
                </c:pt>
              </c:numCache>
            </c:numRef>
          </c:val>
        </c:ser>
        <c:ser>
          <c:idx val="1"/>
          <c:order val="1"/>
          <c:tx>
            <c:strRef>
              <c:f>Sheet1!$I$854</c:f>
              <c:strCache>
                <c:ptCount val="1"/>
                <c:pt idx="0">
                  <c:v>Heterogeneous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Sheet1!$J$857:$L$857</c:f>
                <c:numCache>
                  <c:formatCode>General</c:formatCode>
                  <c:ptCount val="3"/>
                  <c:pt idx="0">
                    <c:v>12.0</c:v>
                  </c:pt>
                  <c:pt idx="1">
                    <c:v>6.25</c:v>
                  </c:pt>
                  <c:pt idx="2">
                    <c:v>1.34</c:v>
                  </c:pt>
                </c:numCache>
              </c:numRef>
            </c:plus>
            <c:minus>
              <c:numRef>
                <c:f>Sheet1!$J$857:$L$857</c:f>
                <c:numCache>
                  <c:formatCode>General</c:formatCode>
                  <c:ptCount val="3"/>
                  <c:pt idx="0">
                    <c:v>12.0</c:v>
                  </c:pt>
                  <c:pt idx="1">
                    <c:v>6.25</c:v>
                  </c:pt>
                  <c:pt idx="2">
                    <c:v>1.34</c:v>
                  </c:pt>
                </c:numCache>
              </c:numRef>
            </c:minus>
          </c:errBars>
          <c:cat>
            <c:strRef>
              <c:f>Sheet1!$J$852:$L$852</c:f>
              <c:strCache>
                <c:ptCount val="3"/>
                <c:pt idx="0">
                  <c:v>Synchronous</c:v>
                </c:pt>
                <c:pt idx="1">
                  <c:v>Asynchronous (centralized)</c:v>
                </c:pt>
                <c:pt idx="2">
                  <c:v>Asynchronous (decentralized)</c:v>
                </c:pt>
              </c:strCache>
            </c:strRef>
          </c:cat>
          <c:val>
            <c:numRef>
              <c:f>Sheet1!$J$854:$L$854</c:f>
              <c:numCache>
                <c:formatCode>General</c:formatCode>
                <c:ptCount val="3"/>
                <c:pt idx="0">
                  <c:v>1371.0</c:v>
                </c:pt>
                <c:pt idx="1">
                  <c:v>885.0</c:v>
                </c:pt>
                <c:pt idx="2">
                  <c:v>781.0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707864"/>
        <c:axId val="551591560"/>
      </c:barChart>
      <c:catAx>
        <c:axId val="60070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51591560"/>
        <c:crosses val="autoZero"/>
        <c:auto val="1"/>
        <c:lblAlgn val="ctr"/>
        <c:lblOffset val="100"/>
        <c:noMultiLvlLbl val="0"/>
      </c:catAx>
      <c:valAx>
        <c:axId val="551591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time to completion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0707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9342342481162"/>
          <c:y val="0.146826573148945"/>
          <c:w val="0.167954862123716"/>
          <c:h val="0.1125093186881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sd of 152 for cent, 87 for decent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152.0</c:v>
                </c:pt>
              </c:numLit>
            </c:plus>
            <c:minus>
              <c:numLit>
                <c:formatCode>General</c:formatCode>
                <c:ptCount val="1"/>
                <c:pt idx="0">
                  <c:v>152.0</c:v>
                </c:pt>
              </c:numLit>
            </c:minus>
          </c:errBars>
          <c:cat>
            <c:strRef>
              <c:f>Sheet1!$A$6:$A$7</c:f>
              <c:strCache>
                <c:ptCount val="2"/>
                <c:pt idx="0">
                  <c:v>mean runtime, cent</c:v>
                </c:pt>
                <c:pt idx="1">
                  <c:v>mean runtime, decent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788.0</c:v>
                </c:pt>
                <c:pt idx="1">
                  <c:v>672.375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926664"/>
        <c:axId val="603454008"/>
      </c:barChart>
      <c:catAx>
        <c:axId val="60192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experiments repeated 8 times, 3 times on louie, 5 times on qb</a:t>
                </a:r>
              </a:p>
            </c:rich>
          </c:tx>
          <c:overlay val="0"/>
        </c:title>
        <c:majorTickMark val="out"/>
        <c:minorTickMark val="none"/>
        <c:tickLblPos val="nextTo"/>
        <c:crossAx val="603454008"/>
        <c:crosses val="autoZero"/>
        <c:auto val="1"/>
        <c:lblAlgn val="ctr"/>
        <c:lblOffset val="100"/>
        <c:noMultiLvlLbl val="0"/>
      </c:catAx>
      <c:valAx>
        <c:axId val="603454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92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replicas,16 cores per replica, 1 BJ, 16 exchanges, all on QB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val>
            <c:numRef>
              <c:f>Sheet1!$B$36:$J$36</c:f>
              <c:numCache>
                <c:formatCode>General</c:formatCode>
                <c:ptCount val="9"/>
                <c:pt idx="0">
                  <c:v>675.0</c:v>
                </c:pt>
                <c:pt idx="1">
                  <c:v>686.0</c:v>
                </c:pt>
                <c:pt idx="2">
                  <c:v>673.0</c:v>
                </c:pt>
                <c:pt idx="3">
                  <c:v>668.0</c:v>
                </c:pt>
                <c:pt idx="4">
                  <c:v>669.0</c:v>
                </c:pt>
                <c:pt idx="5">
                  <c:v>671.0</c:v>
                </c:pt>
              </c:numCache>
            </c:numRef>
          </c:val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decent </c:v>
                </c:pt>
              </c:strCache>
            </c:strRef>
          </c:tx>
          <c:invertIfNegative val="0"/>
          <c:val>
            <c:numRef>
              <c:f>Sheet1!$B$42:$J$42</c:f>
              <c:numCache>
                <c:formatCode>General</c:formatCode>
                <c:ptCount val="9"/>
                <c:pt idx="0">
                  <c:v>640.0</c:v>
                </c:pt>
                <c:pt idx="1">
                  <c:v>638.0</c:v>
                </c:pt>
                <c:pt idx="2">
                  <c:v>638.0</c:v>
                </c:pt>
                <c:pt idx="3">
                  <c:v>553.0</c:v>
                </c:pt>
                <c:pt idx="4">
                  <c:v>646.0</c:v>
                </c:pt>
                <c:pt idx="5">
                  <c:v>719.0</c:v>
                </c:pt>
                <c:pt idx="6">
                  <c:v>651.0</c:v>
                </c:pt>
                <c:pt idx="7">
                  <c:v>638.0</c:v>
                </c:pt>
                <c:pt idx="8">
                  <c:v>648.0</c:v>
                </c:pt>
              </c:numCache>
            </c:numRef>
          </c:val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val>
            <c:numRef>
              <c:f>Sheet1!$B$48:$J$48</c:f>
              <c:numCache>
                <c:formatCode>General</c:formatCode>
                <c:ptCount val="9"/>
                <c:pt idx="0">
                  <c:v>682.0</c:v>
                </c:pt>
                <c:pt idx="1">
                  <c:v>822.0</c:v>
                </c:pt>
                <c:pt idx="2">
                  <c:v>764.0</c:v>
                </c:pt>
                <c:pt idx="3">
                  <c:v>751.0</c:v>
                </c:pt>
                <c:pt idx="4">
                  <c:v>653.0</c:v>
                </c:pt>
                <c:pt idx="5">
                  <c:v>649.0</c:v>
                </c:pt>
                <c:pt idx="6">
                  <c:v>744.0</c:v>
                </c:pt>
                <c:pt idx="7">
                  <c:v>648.0</c:v>
                </c:pt>
                <c:pt idx="8">
                  <c:v>668.0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112824"/>
        <c:axId val="571289384"/>
      </c:barChart>
      <c:catAx>
        <c:axId val="55111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 #</a:t>
                </a:r>
              </a:p>
            </c:rich>
          </c:tx>
          <c:overlay val="0"/>
        </c:title>
        <c:majorTickMark val="out"/>
        <c:minorTickMark val="none"/>
        <c:tickLblPos val="nextTo"/>
        <c:crossAx val="571289384"/>
        <c:crosses val="autoZero"/>
        <c:auto val="1"/>
        <c:lblAlgn val="ctr"/>
        <c:lblOffset val="100"/>
        <c:noMultiLvlLbl val="0"/>
      </c:catAx>
      <c:valAx>
        <c:axId val="571289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 run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11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fixedVal"/>
            <c:noEndCap val="0"/>
            <c:val val="5.0"/>
          </c:errBars>
          <c:cat>
            <c:strRef>
              <c:f>Sheet1!$A$63:$A$65</c:f>
              <c:strCache>
                <c:ptCount val="3"/>
                <c:pt idx="0">
                  <c:v>Case I</c:v>
                </c:pt>
                <c:pt idx="1">
                  <c:v>Case II</c:v>
                </c:pt>
                <c:pt idx="2">
                  <c:v>Case III</c:v>
                </c:pt>
              </c:strCache>
            </c:strRef>
          </c:cat>
          <c:val>
            <c:numRef>
              <c:f>Sheet1!$B$63:$B$65</c:f>
              <c:numCache>
                <c:formatCode>General</c:formatCode>
                <c:ptCount val="3"/>
                <c:pt idx="0">
                  <c:v>709.0</c:v>
                </c:pt>
                <c:pt idx="1">
                  <c:v>673.6</c:v>
                </c:pt>
                <c:pt idx="2">
                  <c:v>641.22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7540984"/>
        <c:axId val="525578408"/>
      </c:barChart>
      <c:catAx>
        <c:axId val="6175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25578408"/>
        <c:crosses val="autoZero"/>
        <c:auto val="1"/>
        <c:lblAlgn val="ctr"/>
        <c:lblOffset val="100"/>
        <c:noMultiLvlLbl val="0"/>
      </c:catAx>
      <c:valAx>
        <c:axId val="525578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5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16 exchanges, repeated 10 times on QB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Sheet1!$A$109:$A$111</c:f>
              <c:strCache>
                <c:ptCount val="3"/>
                <c:pt idx="0">
                  <c:v>sync, se=8.81</c:v>
                </c:pt>
                <c:pt idx="1">
                  <c:v>cent, se=11.10</c:v>
                </c:pt>
                <c:pt idx="2">
                  <c:v>decent, se=5.97</c:v>
                </c:pt>
              </c:strCache>
            </c:strRef>
          </c:cat>
          <c:val>
            <c:numRef>
              <c:f>Sheet1!$B$109:$B$111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588344"/>
        <c:axId val="600382584"/>
      </c:barChart>
      <c:catAx>
        <c:axId val="60358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overlay val="0"/>
        </c:title>
        <c:majorTickMark val="out"/>
        <c:minorTickMark val="none"/>
        <c:tickLblPos val="nextTo"/>
        <c:crossAx val="600382584"/>
        <c:crosses val="autoZero"/>
        <c:auto val="1"/>
        <c:lblAlgn val="ctr"/>
        <c:lblOffset val="100"/>
        <c:noMultiLvlLbl val="0"/>
      </c:catAx>
      <c:valAx>
        <c:axId val="600382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58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replicas, 16 cores each, 32 exchanges, repeated atleast 9 times on QB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Sheet1!$A$149:$A$151</c:f>
              <c:strCache>
                <c:ptCount val="3"/>
                <c:pt idx="0">
                  <c:v>sync, se=11.24</c:v>
                </c:pt>
                <c:pt idx="1">
                  <c:v>cent, se= 3.23</c:v>
                </c:pt>
                <c:pt idx="2">
                  <c:v>decent, se=6.14</c:v>
                </c:pt>
              </c:strCache>
            </c:strRef>
          </c:cat>
          <c:val>
            <c:numRef>
              <c:f>Sheet1!$B$149:$B$151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898632"/>
        <c:axId val="481975800"/>
      </c:barChart>
      <c:catAx>
        <c:axId val="61589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overlay val="0"/>
        </c:title>
        <c:majorTickMark val="out"/>
        <c:minorTickMark val="none"/>
        <c:tickLblPos val="nextTo"/>
        <c:crossAx val="481975800"/>
        <c:crosses val="autoZero"/>
        <c:auto val="1"/>
        <c:lblAlgn val="ctr"/>
        <c:lblOffset val="100"/>
        <c:noMultiLvlLbl val="0"/>
      </c:catAx>
      <c:valAx>
        <c:axId val="481975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89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4 replicas/16 exchanges</c:v>
          </c:tx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Sheet1!$C$179:$C$181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ser>
          <c:idx val="1"/>
          <c:order val="1"/>
          <c:tx>
            <c:v>8 replicas/32 exchanges</c:v>
          </c:tx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Sheet1!$D$179:$D$181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ser>
          <c:idx val="2"/>
          <c:order val="2"/>
          <c:tx>
            <c:v>16 replicas/64 exchanges</c:v>
          </c:tx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Sheet1!$E$179:$E$181</c:f>
              <c:numCache>
                <c:formatCode>General</c:formatCode>
                <c:ptCount val="3"/>
                <c:pt idx="0">
                  <c:v>802.0</c:v>
                </c:pt>
                <c:pt idx="1">
                  <c:v>701.83</c:v>
                </c:pt>
                <c:pt idx="2">
                  <c:v>583.33</c:v>
                </c:pt>
              </c:numCache>
            </c:numRef>
          </c:val>
        </c:ser>
        <c:ser>
          <c:idx val="3"/>
          <c:order val="3"/>
          <c:tx>
            <c:v>32 replicas/128 exchanges</c:v>
          </c:tx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Sheet1!$F$179:$F$181</c:f>
              <c:numCache>
                <c:formatCode>General</c:formatCode>
                <c:ptCount val="3"/>
                <c:pt idx="0">
                  <c:v>1023.0</c:v>
                </c:pt>
                <c:pt idx="1">
                  <c:v>804.0</c:v>
                </c:pt>
                <c:pt idx="2">
                  <c:v>641.0</c:v>
                </c:pt>
              </c:numCache>
            </c:numRef>
          </c:val>
        </c:ser>
        <c:ser>
          <c:idx val="4"/>
          <c:order val="4"/>
          <c:tx>
            <c:v>64 replicas/256 exchanges</c:v>
          </c:tx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fixedVal"/>
            <c:noEndCap val="0"/>
            <c:val val="10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Sheet1!$G$179:$G$181</c:f>
              <c:numCache>
                <c:formatCode>General</c:formatCode>
                <c:ptCount val="3"/>
                <c:pt idx="0">
                  <c:v>1650.0</c:v>
                </c:pt>
                <c:pt idx="1">
                  <c:v>1014.0</c:v>
                </c:pt>
                <c:pt idx="2">
                  <c:v>660.0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561960"/>
        <c:axId val="534894568"/>
      </c:barChart>
      <c:catAx>
        <c:axId val="60056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534894568"/>
        <c:crosses val="autoZero"/>
        <c:auto val="1"/>
        <c:lblAlgn val="ctr"/>
        <c:lblOffset val="100"/>
        <c:noMultiLvlLbl val="0"/>
      </c:catAx>
      <c:valAx>
        <c:axId val="534894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5619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distributed, 1-5 32 exchanges, 7-11 16 exchanges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</c:v>
          </c:tx>
          <c:invertIfNegative val="0"/>
          <c:val>
            <c:numRef>
              <c:f>Sheet1!$B$338:$L$338</c:f>
              <c:numCache>
                <c:formatCode>General</c:formatCode>
                <c:ptCount val="11"/>
                <c:pt idx="0">
                  <c:v>1063.0</c:v>
                </c:pt>
                <c:pt idx="1">
                  <c:v>1032.0</c:v>
                </c:pt>
                <c:pt idx="2">
                  <c:v>1042.0</c:v>
                </c:pt>
                <c:pt idx="3">
                  <c:v>1037.0</c:v>
                </c:pt>
                <c:pt idx="4">
                  <c:v>1590.0</c:v>
                </c:pt>
                <c:pt idx="6">
                  <c:v>463.0</c:v>
                </c:pt>
                <c:pt idx="7">
                  <c:v>572.0</c:v>
                </c:pt>
                <c:pt idx="8">
                  <c:v>574.0</c:v>
                </c:pt>
                <c:pt idx="9">
                  <c:v>576.0</c:v>
                </c:pt>
                <c:pt idx="10">
                  <c:v>830.0</c:v>
                </c:pt>
              </c:numCache>
            </c:numRef>
          </c:val>
        </c:ser>
        <c:ser>
          <c:idx val="1"/>
          <c:order val="1"/>
          <c:tx>
            <c:v>centralized</c:v>
          </c:tx>
          <c:invertIfNegative val="0"/>
          <c:val>
            <c:numRef>
              <c:f>Sheet1!$B$339:$L$339</c:f>
              <c:numCache>
                <c:formatCode>General</c:formatCode>
                <c:ptCount val="11"/>
                <c:pt idx="0">
                  <c:v>1184.0</c:v>
                </c:pt>
                <c:pt idx="1">
                  <c:v>663.0</c:v>
                </c:pt>
                <c:pt idx="2">
                  <c:v>1092.0</c:v>
                </c:pt>
                <c:pt idx="3">
                  <c:v>1031.0</c:v>
                </c:pt>
                <c:pt idx="4">
                  <c:v>1127.0</c:v>
                </c:pt>
                <c:pt idx="6">
                  <c:v>561.0</c:v>
                </c:pt>
                <c:pt idx="7">
                  <c:v>327.0</c:v>
                </c:pt>
                <c:pt idx="8">
                  <c:v>578.0</c:v>
                </c:pt>
                <c:pt idx="9">
                  <c:v>626.0</c:v>
                </c:pt>
                <c:pt idx="10">
                  <c:v>584.0</c:v>
                </c:pt>
              </c:numCache>
            </c:numRef>
          </c:val>
        </c:ser>
        <c:ser>
          <c:idx val="2"/>
          <c:order val="2"/>
          <c:tx>
            <c:v>de-cent</c:v>
          </c:tx>
          <c:invertIfNegative val="0"/>
          <c:val>
            <c:numRef>
              <c:f>Sheet1!$B$340:$L$340</c:f>
              <c:numCache>
                <c:formatCode>General</c:formatCode>
                <c:ptCount val="11"/>
                <c:pt idx="0">
                  <c:v>871.0</c:v>
                </c:pt>
                <c:pt idx="1">
                  <c:v>1003.0</c:v>
                </c:pt>
                <c:pt idx="2">
                  <c:v>1040.0</c:v>
                </c:pt>
                <c:pt idx="3">
                  <c:v>1077.0</c:v>
                </c:pt>
                <c:pt idx="4">
                  <c:v>1140.0</c:v>
                </c:pt>
                <c:pt idx="6">
                  <c:v>524.0</c:v>
                </c:pt>
                <c:pt idx="7">
                  <c:v>497.0</c:v>
                </c:pt>
                <c:pt idx="8">
                  <c:v>567.0</c:v>
                </c:pt>
                <c:pt idx="9">
                  <c:v>556.0</c:v>
                </c:pt>
                <c:pt idx="10">
                  <c:v>615.0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043096"/>
        <c:axId val="571205864"/>
      </c:barChart>
      <c:catAx>
        <c:axId val="61604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571205864"/>
        <c:crosses val="autoZero"/>
        <c:auto val="1"/>
        <c:lblAlgn val="ctr"/>
        <c:lblOffset val="100"/>
        <c:noMultiLvlLbl val="0"/>
      </c:catAx>
      <c:valAx>
        <c:axId val="571205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time,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604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qb and qb-ranger. always 16 cores per replica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Sheet1!$C$378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Sheet1!$D$378:$G$378</c:f>
              <c:numCache>
                <c:formatCode>General</c:formatCode>
                <c:ptCount val="4"/>
                <c:pt idx="0">
                  <c:v>1206.0</c:v>
                </c:pt>
                <c:pt idx="1">
                  <c:v>577.0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Sheet1!$C$379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Sheet1!$D$379:$G$379</c:f>
              <c:numCache>
                <c:formatCode>General</c:formatCode>
                <c:ptCount val="4"/>
                <c:pt idx="0">
                  <c:v>1140.0</c:v>
                </c:pt>
                <c:pt idx="1">
                  <c:v>543.0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Sheet1!$C$380</c:f>
              <c:strCache>
                <c:ptCount val="1"/>
                <c:pt idx="0">
                  <c:v>decent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Sheet1!$D$380:$G$380</c:f>
              <c:numCache>
                <c:formatCode>General</c:formatCode>
                <c:ptCount val="4"/>
                <c:pt idx="0">
                  <c:v>589.0</c:v>
                </c:pt>
                <c:pt idx="1">
                  <c:v>302.0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63688"/>
        <c:axId val="602088600"/>
      </c:barChart>
      <c:catAx>
        <c:axId val="8486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1 - 2 X 64 cores, 4 replicas/bigjob; 2 - in same experiment as 1, time noted for 16 exchanges; 3 - 1 X 64 cores, 4 replicas/bigjob; 4 - 1 X 128 cores, 8 replicas/bigjob</a:t>
                </a:r>
              </a:p>
            </c:rich>
          </c:tx>
          <c:overlay val="0"/>
        </c:title>
        <c:majorTickMark val="out"/>
        <c:minorTickMark val="none"/>
        <c:tickLblPos val="nextTo"/>
        <c:crossAx val="602088600"/>
        <c:crosses val="autoZero"/>
        <c:auto val="1"/>
        <c:lblAlgn val="ctr"/>
        <c:lblOffset val="100"/>
        <c:noMultiLvlLbl val="0"/>
      </c:catAx>
      <c:valAx>
        <c:axId val="602088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86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38100</xdr:rowOff>
    </xdr:from>
    <xdr:to>
      <xdr:col>5</xdr:col>
      <xdr:colOff>381000</xdr:colOff>
      <xdr:row>26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825500</xdr:colOff>
      <xdr:row>6</xdr:row>
      <xdr:rowOff>25400</xdr:rowOff>
    </xdr:from>
    <xdr:to>
      <xdr:col>11</xdr:col>
      <xdr:colOff>635000</xdr:colOff>
      <xdr:row>22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55</xdr:row>
      <xdr:rowOff>139700</xdr:rowOff>
    </xdr:from>
    <xdr:to>
      <xdr:col>8</xdr:col>
      <xdr:colOff>571500</xdr:colOff>
      <xdr:row>72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292100</xdr:colOff>
      <xdr:row>36</xdr:row>
      <xdr:rowOff>38100</xdr:rowOff>
    </xdr:from>
    <xdr:to>
      <xdr:col>14</xdr:col>
      <xdr:colOff>101600</xdr:colOff>
      <xdr:row>52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901700</xdr:colOff>
      <xdr:row>101</xdr:row>
      <xdr:rowOff>76200</xdr:rowOff>
    </xdr:from>
    <xdr:to>
      <xdr:col>10</xdr:col>
      <xdr:colOff>711200</xdr:colOff>
      <xdr:row>118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901700</xdr:colOff>
      <xdr:row>146</xdr:row>
      <xdr:rowOff>88900</xdr:rowOff>
    </xdr:from>
    <xdr:to>
      <xdr:col>10</xdr:col>
      <xdr:colOff>711200</xdr:colOff>
      <xdr:row>163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698500</xdr:colOff>
      <xdr:row>160</xdr:row>
      <xdr:rowOff>88900</xdr:rowOff>
    </xdr:from>
    <xdr:to>
      <xdr:col>14</xdr:col>
      <xdr:colOff>88900</xdr:colOff>
      <xdr:row>183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10</xdr:col>
      <xdr:colOff>228600</xdr:colOff>
      <xdr:row>172</xdr:row>
      <xdr:rowOff>25400</xdr:rowOff>
    </xdr:from>
    <xdr:ext cx="184666" cy="261610"/>
    <xdr:sp macro="" textlink="">
      <xdr:nvSpPr>
        <xdr:cNvPr id="14" name="TextBox 13"/>
        <xdr:cNvSpPr txBox="1"/>
      </xdr:nvSpPr>
      <xdr:spPr>
        <a:xfrm>
          <a:off x="9753600" y="284226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508000</xdr:colOff>
      <xdr:row>172</xdr:row>
      <xdr:rowOff>127000</xdr:rowOff>
    </xdr:from>
    <xdr:ext cx="184666" cy="261610"/>
    <xdr:sp macro="" textlink="">
      <xdr:nvSpPr>
        <xdr:cNvPr id="19" name="TextBox 18"/>
        <xdr:cNvSpPr txBox="1"/>
      </xdr:nvSpPr>
      <xdr:spPr>
        <a:xfrm>
          <a:off x="11938000" y="285242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266700</xdr:colOff>
      <xdr:row>311</xdr:row>
      <xdr:rowOff>38100</xdr:rowOff>
    </xdr:from>
    <xdr:to>
      <xdr:col>15</xdr:col>
      <xdr:colOff>673100</xdr:colOff>
      <xdr:row>336</xdr:row>
      <xdr:rowOff>50800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939800</xdr:colOff>
      <xdr:row>368</xdr:row>
      <xdr:rowOff>50800</xdr:rowOff>
    </xdr:from>
    <xdr:to>
      <xdr:col>15</xdr:col>
      <xdr:colOff>177800</xdr:colOff>
      <xdr:row>389</xdr:row>
      <xdr:rowOff>63500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558800</xdr:colOff>
      <xdr:row>850</xdr:row>
      <xdr:rowOff>38100</xdr:rowOff>
    </xdr:from>
    <xdr:to>
      <xdr:col>8</xdr:col>
      <xdr:colOff>63500</xdr:colOff>
      <xdr:row>877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0"/>
  <sheetViews>
    <sheetView tabSelected="1" topLeftCell="A840" workbookViewId="0">
      <selection activeCell="I863" sqref="I863"/>
    </sheetView>
  </sheetViews>
  <sheetFormatPr baseColWidth="10" defaultRowHeight="13" x14ac:dyDescent="0"/>
  <sheetData>
    <row r="1" spans="1:13">
      <c r="B1" t="s">
        <v>150</v>
      </c>
      <c r="C1" t="s">
        <v>150</v>
      </c>
      <c r="D1" t="s">
        <v>150</v>
      </c>
      <c r="E1" t="s">
        <v>151</v>
      </c>
      <c r="F1" t="s">
        <v>151</v>
      </c>
      <c r="G1" t="s">
        <v>151</v>
      </c>
      <c r="H1" t="s">
        <v>151</v>
      </c>
      <c r="I1" t="s">
        <v>151</v>
      </c>
      <c r="J1" t="s">
        <v>151</v>
      </c>
      <c r="K1" t="s">
        <v>151</v>
      </c>
      <c r="L1" t="s">
        <v>151</v>
      </c>
      <c r="M1" t="s">
        <v>151</v>
      </c>
    </row>
    <row r="2" spans="1:13">
      <c r="A2" t="s">
        <v>148</v>
      </c>
      <c r="B2">
        <v>1144</v>
      </c>
      <c r="C2">
        <v>917</v>
      </c>
      <c r="D2">
        <v>682</v>
      </c>
      <c r="E2">
        <v>712</v>
      </c>
      <c r="F2">
        <v>722</v>
      </c>
      <c r="G2">
        <v>675</v>
      </c>
      <c r="H2">
        <v>716</v>
      </c>
      <c r="I2">
        <v>736</v>
      </c>
    </row>
    <row r="3" spans="1:13">
      <c r="A3" t="s">
        <v>149</v>
      </c>
      <c r="B3">
        <v>632</v>
      </c>
      <c r="C3">
        <v>855</v>
      </c>
      <c r="D3">
        <v>634</v>
      </c>
      <c r="E3">
        <v>636</v>
      </c>
      <c r="F3">
        <v>559</v>
      </c>
      <c r="G3">
        <v>648</v>
      </c>
      <c r="H3">
        <v>645</v>
      </c>
      <c r="I3">
        <v>770</v>
      </c>
    </row>
    <row r="4" spans="1:13">
      <c r="A4" t="s">
        <v>152</v>
      </c>
      <c r="B4">
        <f>(B2-B6)*(B2-B6)</f>
        <v>126736</v>
      </c>
      <c r="C4">
        <f t="shared" ref="C4:I4" si="0">(C2-C6)*(C2-C6)</f>
        <v>16641</v>
      </c>
      <c r="D4">
        <f t="shared" si="0"/>
        <v>11236</v>
      </c>
      <c r="E4">
        <f t="shared" si="0"/>
        <v>5776</v>
      </c>
      <c r="F4">
        <f t="shared" si="0"/>
        <v>4356</v>
      </c>
      <c r="G4">
        <f t="shared" si="0"/>
        <v>12769</v>
      </c>
      <c r="H4">
        <f t="shared" si="0"/>
        <v>5184</v>
      </c>
      <c r="I4">
        <f t="shared" si="0"/>
        <v>2704</v>
      </c>
    </row>
    <row r="5" spans="1:13">
      <c r="A5" t="s">
        <v>153</v>
      </c>
      <c r="B5">
        <f>(B3-B7)*(B3-B7)</f>
        <v>1630.140625</v>
      </c>
      <c r="C5">
        <f t="shared" ref="C5:I5" si="1">(C3-C7)*(C3-C7)</f>
        <v>33351.890625</v>
      </c>
      <c r="D5">
        <f t="shared" si="1"/>
        <v>1472.640625</v>
      </c>
      <c r="E5">
        <f t="shared" si="1"/>
        <v>1323.140625</v>
      </c>
      <c r="F5">
        <f t="shared" si="1"/>
        <v>12853.890625</v>
      </c>
      <c r="G5">
        <f t="shared" si="1"/>
        <v>594.140625</v>
      </c>
      <c r="H5">
        <f t="shared" si="1"/>
        <v>749.390625</v>
      </c>
      <c r="I5">
        <f t="shared" si="1"/>
        <v>9530.640625</v>
      </c>
    </row>
    <row r="6" spans="1:13">
      <c r="A6" t="s">
        <v>156</v>
      </c>
      <c r="B6">
        <f>6304/8</f>
        <v>788</v>
      </c>
      <c r="C6">
        <f t="shared" ref="C6:I6" si="2">6304/8</f>
        <v>788</v>
      </c>
      <c r="D6">
        <f t="shared" si="2"/>
        <v>788</v>
      </c>
      <c r="E6">
        <f t="shared" si="2"/>
        <v>788</v>
      </c>
      <c r="F6">
        <f t="shared" si="2"/>
        <v>788</v>
      </c>
      <c r="G6">
        <f t="shared" si="2"/>
        <v>788</v>
      </c>
      <c r="H6">
        <f t="shared" si="2"/>
        <v>788</v>
      </c>
      <c r="I6">
        <f t="shared" si="2"/>
        <v>788</v>
      </c>
    </row>
    <row r="7" spans="1:13">
      <c r="A7" t="s">
        <v>157</v>
      </c>
      <c r="B7">
        <f>5379/8</f>
        <v>672.375</v>
      </c>
      <c r="C7">
        <f t="shared" ref="C7:I7" si="3">5379/8</f>
        <v>672.375</v>
      </c>
      <c r="D7">
        <f t="shared" si="3"/>
        <v>672.375</v>
      </c>
      <c r="E7">
        <f t="shared" si="3"/>
        <v>672.375</v>
      </c>
      <c r="F7">
        <f t="shared" si="3"/>
        <v>672.375</v>
      </c>
      <c r="G7">
        <f t="shared" si="3"/>
        <v>672.375</v>
      </c>
      <c r="H7">
        <f t="shared" si="3"/>
        <v>672.375</v>
      </c>
      <c r="I7">
        <f t="shared" si="3"/>
        <v>672.375</v>
      </c>
    </row>
    <row r="13" spans="1:13">
      <c r="I13" t="s">
        <v>154</v>
      </c>
      <c r="J13">
        <f>185402/8</f>
        <v>23175.25</v>
      </c>
    </row>
    <row r="14" spans="1:13">
      <c r="J14">
        <f>SQRT(23175)</f>
        <v>152.23337347638329</v>
      </c>
    </row>
    <row r="16" spans="1:13">
      <c r="I16" t="s">
        <v>155</v>
      </c>
      <c r="J16">
        <f>61505/8</f>
        <v>7688.125</v>
      </c>
    </row>
    <row r="17" spans="1:10">
      <c r="J17">
        <f>SQRT(J16)</f>
        <v>87.68195367348973</v>
      </c>
    </row>
    <row r="31" spans="1:10">
      <c r="A31" t="s">
        <v>167</v>
      </c>
    </row>
    <row r="34" spans="1:10">
      <c r="A34" t="s">
        <v>164</v>
      </c>
    </row>
    <row r="35" spans="1:10">
      <c r="B35" t="s">
        <v>159</v>
      </c>
      <c r="C35" t="s">
        <v>159</v>
      </c>
      <c r="D35" t="s">
        <v>159</v>
      </c>
      <c r="E35" t="s">
        <v>159</v>
      </c>
      <c r="F35" t="s">
        <v>159</v>
      </c>
      <c r="G35" t="s">
        <v>159</v>
      </c>
      <c r="H35" t="s">
        <v>159</v>
      </c>
      <c r="I35" t="s">
        <v>159</v>
      </c>
      <c r="J35" t="s">
        <v>159</v>
      </c>
    </row>
    <row r="36" spans="1:10">
      <c r="A36" t="s">
        <v>158</v>
      </c>
      <c r="B36">
        <v>675</v>
      </c>
      <c r="C36">
        <v>686</v>
      </c>
      <c r="D36">
        <v>673</v>
      </c>
      <c r="E36">
        <v>668</v>
      </c>
      <c r="F36">
        <v>669</v>
      </c>
      <c r="G36">
        <v>671</v>
      </c>
    </row>
    <row r="37" spans="1:10">
      <c r="A37" t="s">
        <v>168</v>
      </c>
      <c r="B37">
        <f>SUM(B36:G36)/6</f>
        <v>673.66666666666663</v>
      </c>
      <c r="C37">
        <v>673.66600000000005</v>
      </c>
      <c r="D37">
        <v>673.66600000000005</v>
      </c>
      <c r="E37">
        <v>673.66600000000005</v>
      </c>
      <c r="F37">
        <v>673.66600000000005</v>
      </c>
      <c r="G37">
        <v>673.66600000000005</v>
      </c>
    </row>
    <row r="38" spans="1:10">
      <c r="A38" t="s">
        <v>170</v>
      </c>
      <c r="B38">
        <f t="shared" ref="B38:G38" si="4">(B36-B37)*(B36-B37)</f>
        <v>1.7777777777778789</v>
      </c>
      <c r="C38">
        <f t="shared" si="4"/>
        <v>152.12755599999866</v>
      </c>
      <c r="D38">
        <f t="shared" si="4"/>
        <v>0.44355600000007145</v>
      </c>
      <c r="E38">
        <f t="shared" si="4"/>
        <v>32.103556000000609</v>
      </c>
      <c r="F38">
        <f t="shared" si="4"/>
        <v>21.771556000000501</v>
      </c>
      <c r="G38">
        <f t="shared" si="4"/>
        <v>7.1075560000002858</v>
      </c>
    </row>
    <row r="39" spans="1:10">
      <c r="A39" t="s">
        <v>169</v>
      </c>
      <c r="B39">
        <f t="shared" ref="B39:G39" si="5">SQRT(35.888)</f>
        <v>5.9906593960932213</v>
      </c>
      <c r="C39">
        <f t="shared" si="5"/>
        <v>5.9906593960932213</v>
      </c>
      <c r="D39">
        <f t="shared" si="5"/>
        <v>5.9906593960932213</v>
      </c>
      <c r="E39">
        <f t="shared" si="5"/>
        <v>5.9906593960932213</v>
      </c>
      <c r="F39">
        <f t="shared" si="5"/>
        <v>5.9906593960932213</v>
      </c>
      <c r="G39">
        <f t="shared" si="5"/>
        <v>5.9906593960932213</v>
      </c>
    </row>
    <row r="40" spans="1:10">
      <c r="A40" t="s">
        <v>173</v>
      </c>
      <c r="B40">
        <f>B39/SQRT(6)</f>
        <v>2.4456764572063356</v>
      </c>
      <c r="C40">
        <f t="shared" ref="C40:G40" si="6">C39/SQRT(6)</f>
        <v>2.4456764572063356</v>
      </c>
      <c r="D40">
        <f t="shared" si="6"/>
        <v>2.4456764572063356</v>
      </c>
      <c r="E40">
        <f t="shared" si="6"/>
        <v>2.4456764572063356</v>
      </c>
      <c r="F40">
        <f t="shared" si="6"/>
        <v>2.4456764572063356</v>
      </c>
      <c r="G40">
        <f t="shared" si="6"/>
        <v>2.4456764572063356</v>
      </c>
    </row>
    <row r="42" spans="1:10">
      <c r="A42" t="s">
        <v>160</v>
      </c>
      <c r="B42">
        <v>640</v>
      </c>
      <c r="C42">
        <v>638</v>
      </c>
      <c r="D42">
        <v>638</v>
      </c>
      <c r="E42">
        <v>553</v>
      </c>
      <c r="F42">
        <v>646</v>
      </c>
      <c r="G42">
        <v>719</v>
      </c>
      <c r="H42">
        <v>651</v>
      </c>
      <c r="I42">
        <v>638</v>
      </c>
      <c r="J42">
        <v>648</v>
      </c>
    </row>
    <row r="43" spans="1:10">
      <c r="A43" t="s">
        <v>171</v>
      </c>
      <c r="B43">
        <f>SUM(B42:J42)/9</f>
        <v>641.22222222222217</v>
      </c>
      <c r="C43">
        <v>641.22</v>
      </c>
      <c r="D43">
        <v>641.22</v>
      </c>
      <c r="E43">
        <v>641.22</v>
      </c>
      <c r="F43">
        <v>641.22</v>
      </c>
      <c r="G43">
        <v>641.22</v>
      </c>
      <c r="H43">
        <v>641.22</v>
      </c>
      <c r="I43">
        <v>641.22</v>
      </c>
      <c r="J43">
        <v>641.22</v>
      </c>
    </row>
    <row r="44" spans="1:10">
      <c r="A44" t="s">
        <v>170</v>
      </c>
      <c r="B44">
        <f t="shared" ref="B44:J44" si="7">(B42-B43)*(B42-B43)</f>
        <v>1.4938271604937037</v>
      </c>
      <c r="C44">
        <f t="shared" si="7"/>
        <v>10.368400000000175</v>
      </c>
      <c r="D44">
        <f t="shared" si="7"/>
        <v>10.368400000000175</v>
      </c>
      <c r="E44">
        <f t="shared" si="7"/>
        <v>7782.7684000000045</v>
      </c>
      <c r="F44">
        <f t="shared" si="7"/>
        <v>22.848399999999739</v>
      </c>
      <c r="G44">
        <f t="shared" si="7"/>
        <v>6049.7283999999954</v>
      </c>
      <c r="H44">
        <f t="shared" si="7"/>
        <v>95.648399999999469</v>
      </c>
      <c r="I44">
        <f t="shared" si="7"/>
        <v>10.368400000000175</v>
      </c>
      <c r="J44">
        <f t="shared" si="7"/>
        <v>45.968399999999633</v>
      </c>
    </row>
    <row r="45" spans="1:10">
      <c r="A45" t="s">
        <v>169</v>
      </c>
      <c r="B45">
        <f t="shared" ref="B45:J45" si="8">SQRT(1558.777)</f>
        <v>39.481350027576312</v>
      </c>
      <c r="C45">
        <f t="shared" si="8"/>
        <v>39.481350027576312</v>
      </c>
      <c r="D45">
        <f t="shared" si="8"/>
        <v>39.481350027576312</v>
      </c>
      <c r="E45">
        <f t="shared" si="8"/>
        <v>39.481350027576312</v>
      </c>
      <c r="F45">
        <f t="shared" si="8"/>
        <v>39.481350027576312</v>
      </c>
      <c r="G45">
        <f t="shared" si="8"/>
        <v>39.481350027576312</v>
      </c>
      <c r="H45">
        <f t="shared" si="8"/>
        <v>39.481350027576312</v>
      </c>
      <c r="I45">
        <f t="shared" si="8"/>
        <v>39.481350027576312</v>
      </c>
      <c r="J45">
        <f t="shared" si="8"/>
        <v>39.481350027576312</v>
      </c>
    </row>
    <row r="46" spans="1:10">
      <c r="A46" t="s">
        <v>173</v>
      </c>
      <c r="B46">
        <f>B45/SQRT(9)</f>
        <v>13.160450009192104</v>
      </c>
      <c r="C46">
        <f t="shared" ref="C46:J46" si="9">C45/SQRT(9)</f>
        <v>13.160450009192104</v>
      </c>
      <c r="D46">
        <f t="shared" si="9"/>
        <v>13.160450009192104</v>
      </c>
      <c r="E46">
        <f t="shared" si="9"/>
        <v>13.160450009192104</v>
      </c>
      <c r="F46">
        <f t="shared" si="9"/>
        <v>13.160450009192104</v>
      </c>
      <c r="G46">
        <f t="shared" si="9"/>
        <v>13.160450009192104</v>
      </c>
      <c r="H46">
        <f t="shared" si="9"/>
        <v>13.160450009192104</v>
      </c>
      <c r="I46">
        <f t="shared" si="9"/>
        <v>13.160450009192104</v>
      </c>
      <c r="J46">
        <f t="shared" si="9"/>
        <v>13.160450009192104</v>
      </c>
    </row>
    <row r="48" spans="1:10">
      <c r="A48" t="s">
        <v>165</v>
      </c>
      <c r="B48">
        <f>666+16</f>
        <v>682</v>
      </c>
      <c r="C48">
        <f>806+16</f>
        <v>822</v>
      </c>
      <c r="D48">
        <f>748+16</f>
        <v>764</v>
      </c>
      <c r="E48">
        <f>735+16</f>
        <v>751</v>
      </c>
      <c r="F48">
        <f>637+16</f>
        <v>653</v>
      </c>
      <c r="G48">
        <f>633+16</f>
        <v>649</v>
      </c>
      <c r="H48">
        <f>728+16</f>
        <v>744</v>
      </c>
      <c r="I48">
        <f>632+16</f>
        <v>648</v>
      </c>
      <c r="J48">
        <f>652+16</f>
        <v>668</v>
      </c>
    </row>
    <row r="49" spans="1:10">
      <c r="A49" t="s">
        <v>171</v>
      </c>
      <c r="B49">
        <f>SUM(B48:J48)/9</f>
        <v>709</v>
      </c>
      <c r="C49">
        <v>709</v>
      </c>
      <c r="D49">
        <v>709</v>
      </c>
      <c r="E49">
        <v>709</v>
      </c>
      <c r="F49">
        <v>709</v>
      </c>
      <c r="G49">
        <v>709</v>
      </c>
      <c r="H49">
        <v>709</v>
      </c>
      <c r="I49">
        <v>709</v>
      </c>
      <c r="J49">
        <v>709</v>
      </c>
    </row>
    <row r="50" spans="1:10">
      <c r="A50" t="s">
        <v>172</v>
      </c>
      <c r="B50">
        <f>(B48-B49)*(B48-B49)</f>
        <v>729</v>
      </c>
      <c r="C50">
        <f t="shared" ref="C50:J50" si="10">(C48-C49)*(C48-C49)</f>
        <v>12769</v>
      </c>
      <c r="D50">
        <f t="shared" si="10"/>
        <v>3025</v>
      </c>
      <c r="E50">
        <f t="shared" si="10"/>
        <v>1764</v>
      </c>
      <c r="F50">
        <f t="shared" si="10"/>
        <v>3136</v>
      </c>
      <c r="G50">
        <f t="shared" si="10"/>
        <v>3600</v>
      </c>
      <c r="H50">
        <f t="shared" si="10"/>
        <v>1225</v>
      </c>
      <c r="I50">
        <f t="shared" si="10"/>
        <v>3721</v>
      </c>
      <c r="J50">
        <f t="shared" si="10"/>
        <v>1681</v>
      </c>
    </row>
    <row r="51" spans="1:10">
      <c r="A51" t="s">
        <v>169</v>
      </c>
      <c r="B51">
        <f>SQRT(3516.66)</f>
        <v>59.301433372221283</v>
      </c>
      <c r="C51">
        <v>59.301400000000001</v>
      </c>
      <c r="D51">
        <v>59.301400000000001</v>
      </c>
      <c r="E51">
        <v>59.301400000000001</v>
      </c>
      <c r="F51">
        <v>59.301400000000001</v>
      </c>
      <c r="G51">
        <v>59.301400000000001</v>
      </c>
      <c r="H51">
        <v>59.301400000000001</v>
      </c>
      <c r="I51">
        <v>59.301400000000001</v>
      </c>
      <c r="J51">
        <v>59.301400000000001</v>
      </c>
    </row>
    <row r="52" spans="1:10">
      <c r="A52" t="s">
        <v>173</v>
      </c>
      <c r="B52">
        <f>B51/SQRT(9)</f>
        <v>19.767144457407095</v>
      </c>
      <c r="C52">
        <f t="shared" ref="C52:J52" si="11">C51/SQRT(9)</f>
        <v>19.767133333333334</v>
      </c>
      <c r="D52">
        <f t="shared" si="11"/>
        <v>19.767133333333334</v>
      </c>
      <c r="E52">
        <f t="shared" si="11"/>
        <v>19.767133333333334</v>
      </c>
      <c r="F52">
        <f t="shared" si="11"/>
        <v>19.767133333333334</v>
      </c>
      <c r="G52">
        <f t="shared" si="11"/>
        <v>19.767133333333334</v>
      </c>
      <c r="H52">
        <f t="shared" si="11"/>
        <v>19.767133333333334</v>
      </c>
      <c r="I52">
        <f t="shared" si="11"/>
        <v>19.767133333333334</v>
      </c>
      <c r="J52">
        <f t="shared" si="11"/>
        <v>19.767133333333334</v>
      </c>
    </row>
    <row r="53" spans="1:10">
      <c r="F53" t="s">
        <v>166</v>
      </c>
    </row>
    <row r="63" spans="1:10">
      <c r="A63" t="s">
        <v>174</v>
      </c>
      <c r="B63">
        <v>709</v>
      </c>
    </row>
    <row r="64" spans="1:10">
      <c r="A64" t="s">
        <v>178</v>
      </c>
      <c r="B64">
        <v>673.6</v>
      </c>
    </row>
    <row r="65" spans="1:2">
      <c r="A65" t="s">
        <v>179</v>
      </c>
      <c r="B65">
        <v>641.22</v>
      </c>
    </row>
    <row r="83" spans="1:11">
      <c r="A83" t="s">
        <v>21</v>
      </c>
      <c r="B83" t="s">
        <v>25</v>
      </c>
      <c r="C83" t="s">
        <v>132</v>
      </c>
    </row>
    <row r="85" spans="1:11">
      <c r="A85" t="s">
        <v>22</v>
      </c>
      <c r="B85">
        <v>592</v>
      </c>
      <c r="C85">
        <v>594</v>
      </c>
      <c r="D85">
        <v>621</v>
      </c>
      <c r="E85">
        <v>705</v>
      </c>
      <c r="F85">
        <v>676</v>
      </c>
      <c r="G85">
        <v>603</v>
      </c>
      <c r="H85">
        <v>635</v>
      </c>
      <c r="I85">
        <v>599</v>
      </c>
      <c r="J85">
        <v>624</v>
      </c>
      <c r="K85">
        <v>637</v>
      </c>
    </row>
    <row r="86" spans="1:11">
      <c r="A86" t="s">
        <v>26</v>
      </c>
      <c r="B86">
        <f>SUM(B85:K85)/10</f>
        <v>628.6</v>
      </c>
      <c r="C86">
        <v>628.6</v>
      </c>
      <c r="D86">
        <v>628.6</v>
      </c>
      <c r="E86">
        <v>628.6</v>
      </c>
      <c r="F86">
        <v>628.6</v>
      </c>
      <c r="G86">
        <v>628.6</v>
      </c>
      <c r="H86">
        <v>628.6</v>
      </c>
      <c r="I86">
        <v>628.6</v>
      </c>
      <c r="J86">
        <v>628.6</v>
      </c>
      <c r="K86">
        <v>628.6</v>
      </c>
    </row>
    <row r="87" spans="1:11">
      <c r="A87" t="s">
        <v>27</v>
      </c>
      <c r="B87">
        <f>(B85-B86)*(B85-B86)</f>
        <v>1339.5600000000018</v>
      </c>
      <c r="C87">
        <f t="shared" ref="C87:K87" si="12">(C85-C86)*(C85-C86)</f>
        <v>1197.1600000000017</v>
      </c>
      <c r="D87">
        <f t="shared" si="12"/>
        <v>57.760000000000346</v>
      </c>
      <c r="E87">
        <f t="shared" si="12"/>
        <v>5836.9599999999964</v>
      </c>
      <c r="F87">
        <f t="shared" si="12"/>
        <v>2246.7599999999979</v>
      </c>
      <c r="G87">
        <f t="shared" si="12"/>
        <v>655.36000000000115</v>
      </c>
      <c r="H87">
        <f t="shared" si="12"/>
        <v>40.95999999999971</v>
      </c>
      <c r="I87">
        <f t="shared" si="12"/>
        <v>876.16000000000133</v>
      </c>
      <c r="J87">
        <f t="shared" si="12"/>
        <v>21.16000000000021</v>
      </c>
      <c r="K87">
        <f t="shared" si="12"/>
        <v>70.559999999999619</v>
      </c>
    </row>
    <row r="88" spans="1:11">
      <c r="A88" t="s">
        <v>28</v>
      </c>
      <c r="B88">
        <v>35.131751999999999</v>
      </c>
      <c r="C88">
        <v>35.131751999999999</v>
      </c>
      <c r="D88">
        <v>35.131751999999999</v>
      </c>
      <c r="E88">
        <v>35.131751999999999</v>
      </c>
      <c r="F88">
        <v>35.131751999999999</v>
      </c>
      <c r="G88">
        <v>35.131751999999999</v>
      </c>
      <c r="H88">
        <v>35.131751999999999</v>
      </c>
      <c r="I88">
        <v>35.131751999999999</v>
      </c>
      <c r="J88">
        <v>35.131751999999999</v>
      </c>
      <c r="K88">
        <v>35.131751999999999</v>
      </c>
    </row>
    <row r="89" spans="1:11">
      <c r="A89" t="s">
        <v>105</v>
      </c>
      <c r="B89">
        <f>B88/SQRT(10)</f>
        <v>11.109635451217578</v>
      </c>
      <c r="C89">
        <f t="shared" ref="C89:K89" si="13">C88/SQRT(10)</f>
        <v>11.109635451217578</v>
      </c>
      <c r="D89">
        <f t="shared" si="13"/>
        <v>11.109635451217578</v>
      </c>
      <c r="E89">
        <f t="shared" si="13"/>
        <v>11.109635451217578</v>
      </c>
      <c r="F89">
        <f t="shared" si="13"/>
        <v>11.109635451217578</v>
      </c>
      <c r="G89">
        <f t="shared" si="13"/>
        <v>11.109635451217578</v>
      </c>
      <c r="H89">
        <f t="shared" si="13"/>
        <v>11.109635451217578</v>
      </c>
      <c r="I89">
        <f t="shared" si="13"/>
        <v>11.109635451217578</v>
      </c>
      <c r="J89">
        <f t="shared" si="13"/>
        <v>11.109635451217578</v>
      </c>
      <c r="K89">
        <f t="shared" si="13"/>
        <v>11.109635451217578</v>
      </c>
    </row>
    <row r="91" spans="1:11">
      <c r="A91" t="s">
        <v>23</v>
      </c>
      <c r="B91">
        <v>624</v>
      </c>
      <c r="C91">
        <v>574</v>
      </c>
      <c r="D91">
        <v>600</v>
      </c>
      <c r="E91">
        <v>604</v>
      </c>
      <c r="F91">
        <v>567</v>
      </c>
      <c r="G91">
        <v>599</v>
      </c>
      <c r="H91">
        <v>564</v>
      </c>
      <c r="I91">
        <v>568</v>
      </c>
      <c r="J91">
        <v>600</v>
      </c>
      <c r="K91">
        <v>589</v>
      </c>
    </row>
    <row r="92" spans="1:11">
      <c r="A92" t="s">
        <v>106</v>
      </c>
      <c r="B92">
        <f>SUM(B91:K91)/10</f>
        <v>588.9</v>
      </c>
      <c r="C92">
        <v>588.9</v>
      </c>
      <c r="D92">
        <v>588.9</v>
      </c>
      <c r="E92">
        <v>588.9</v>
      </c>
      <c r="F92">
        <v>588.9</v>
      </c>
      <c r="G92">
        <v>588.9</v>
      </c>
      <c r="H92">
        <v>588.9</v>
      </c>
      <c r="I92">
        <v>588.9</v>
      </c>
      <c r="J92">
        <v>588.9</v>
      </c>
      <c r="K92">
        <v>588.9</v>
      </c>
    </row>
    <row r="93" spans="1:11">
      <c r="A93" t="s">
        <v>107</v>
      </c>
      <c r="B93">
        <f>(B91-B92)*(B91-B92)</f>
        <v>1232.0100000000016</v>
      </c>
      <c r="C93">
        <f t="shared" ref="C93:K93" si="14">(C91-C92)*(C91-C92)</f>
        <v>222.00999999999931</v>
      </c>
      <c r="D93">
        <f t="shared" si="14"/>
        <v>123.21000000000051</v>
      </c>
      <c r="E93">
        <f t="shared" si="14"/>
        <v>228.01000000000067</v>
      </c>
      <c r="F93">
        <f t="shared" si="14"/>
        <v>479.60999999999899</v>
      </c>
      <c r="G93">
        <f t="shared" si="14"/>
        <v>102.01000000000046</v>
      </c>
      <c r="H93">
        <f t="shared" si="14"/>
        <v>620.00999999999885</v>
      </c>
      <c r="I93">
        <f t="shared" si="14"/>
        <v>436.80999999999904</v>
      </c>
      <c r="J93">
        <f t="shared" si="14"/>
        <v>123.21000000000051</v>
      </c>
      <c r="K93">
        <f t="shared" si="14"/>
        <v>1.0000000000004547E-2</v>
      </c>
    </row>
    <row r="94" spans="1:11">
      <c r="A94" t="s">
        <v>108</v>
      </c>
      <c r="B94">
        <f>SQRT(356.69)</f>
        <v>18.886238376129853</v>
      </c>
      <c r="C94">
        <v>18.8862384</v>
      </c>
      <c r="D94">
        <v>18.8862384</v>
      </c>
      <c r="E94">
        <v>18.8862384</v>
      </c>
      <c r="F94">
        <v>18.8862384</v>
      </c>
      <c r="G94">
        <v>18.8862384</v>
      </c>
      <c r="H94">
        <v>18.8862384</v>
      </c>
      <c r="I94">
        <v>18.8862384</v>
      </c>
      <c r="J94">
        <v>18.8862384</v>
      </c>
      <c r="K94">
        <v>18.8862384</v>
      </c>
    </row>
    <row r="95" spans="1:11">
      <c r="A95" t="s">
        <v>105</v>
      </c>
      <c r="B95">
        <f>B94/SQRT(10)</f>
        <v>5.9723529701450158</v>
      </c>
      <c r="C95">
        <f t="shared" ref="C95:K95" si="15">C94/SQRT(10)</f>
        <v>5.9723529776934194</v>
      </c>
      <c r="D95">
        <f t="shared" si="15"/>
        <v>5.9723529776934194</v>
      </c>
      <c r="E95">
        <f t="shared" si="15"/>
        <v>5.9723529776934194</v>
      </c>
      <c r="F95">
        <f t="shared" si="15"/>
        <v>5.9723529776934194</v>
      </c>
      <c r="G95">
        <f t="shared" si="15"/>
        <v>5.9723529776934194</v>
      </c>
      <c r="H95">
        <f t="shared" si="15"/>
        <v>5.9723529776934194</v>
      </c>
      <c r="I95">
        <f t="shared" si="15"/>
        <v>5.9723529776934194</v>
      </c>
      <c r="J95">
        <f t="shared" si="15"/>
        <v>5.9723529776934194</v>
      </c>
      <c r="K95">
        <f t="shared" si="15"/>
        <v>5.9723529776934194</v>
      </c>
    </row>
    <row r="97" spans="1:11">
      <c r="A97" t="s">
        <v>24</v>
      </c>
      <c r="B97">
        <v>603</v>
      </c>
      <c r="C97">
        <v>606</v>
      </c>
      <c r="D97">
        <v>607</v>
      </c>
      <c r="E97">
        <v>691</v>
      </c>
      <c r="F97">
        <v>627</v>
      </c>
      <c r="G97">
        <v>605</v>
      </c>
      <c r="H97">
        <v>623</v>
      </c>
      <c r="I97">
        <v>607</v>
      </c>
      <c r="J97">
        <v>610</v>
      </c>
      <c r="K97">
        <v>661</v>
      </c>
    </row>
    <row r="98" spans="1:11">
      <c r="A98" t="s">
        <v>26</v>
      </c>
      <c r="B98">
        <f>SUM(B97:K97)/10</f>
        <v>624</v>
      </c>
      <c r="C98">
        <v>624</v>
      </c>
      <c r="D98">
        <v>624</v>
      </c>
      <c r="E98">
        <v>624</v>
      </c>
      <c r="F98">
        <v>624</v>
      </c>
      <c r="G98">
        <v>624</v>
      </c>
      <c r="H98">
        <v>624</v>
      </c>
      <c r="I98">
        <v>624</v>
      </c>
      <c r="J98">
        <v>624</v>
      </c>
      <c r="K98">
        <v>624</v>
      </c>
    </row>
    <row r="99" spans="1:11">
      <c r="A99" t="s">
        <v>27</v>
      </c>
      <c r="B99">
        <f>(B97-B98)*(B97-B98)</f>
        <v>441</v>
      </c>
      <c r="C99">
        <f t="shared" ref="C99:K99" si="16">(C97-C98)*(C97-C98)</f>
        <v>324</v>
      </c>
      <c r="D99">
        <f t="shared" si="16"/>
        <v>289</v>
      </c>
      <c r="E99">
        <f t="shared" si="16"/>
        <v>4489</v>
      </c>
      <c r="F99">
        <f t="shared" si="16"/>
        <v>9</v>
      </c>
      <c r="G99">
        <f t="shared" si="16"/>
        <v>361</v>
      </c>
      <c r="H99">
        <f t="shared" si="16"/>
        <v>1</v>
      </c>
      <c r="I99">
        <f t="shared" si="16"/>
        <v>289</v>
      </c>
      <c r="J99">
        <f t="shared" si="16"/>
        <v>196</v>
      </c>
      <c r="K99">
        <f t="shared" si="16"/>
        <v>1369</v>
      </c>
    </row>
    <row r="100" spans="1:11">
      <c r="A100" t="s">
        <v>108</v>
      </c>
      <c r="B100">
        <f>SQRT(776.8)</f>
        <v>27.871132018631751</v>
      </c>
      <c r="C100">
        <v>27.871131999999999</v>
      </c>
      <c r="D100">
        <v>27.871131999999999</v>
      </c>
      <c r="E100">
        <v>27.871131999999999</v>
      </c>
      <c r="F100">
        <v>27.871131999999999</v>
      </c>
      <c r="G100">
        <v>27.871131999999999</v>
      </c>
      <c r="H100">
        <v>27.871131999999999</v>
      </c>
      <c r="I100">
        <v>27.871131999999999</v>
      </c>
      <c r="J100">
        <v>27.871131999999999</v>
      </c>
      <c r="K100">
        <v>27.871131999999999</v>
      </c>
    </row>
    <row r="101" spans="1:11">
      <c r="A101" t="s">
        <v>54</v>
      </c>
      <c r="B101">
        <f>B100/SQRT(10)</f>
        <v>8.8136258146122817</v>
      </c>
      <c r="C101">
        <f t="shared" ref="C101:K101" si="17">C100/SQRT(10)</f>
        <v>8.8136258087204027</v>
      </c>
      <c r="D101">
        <f t="shared" si="17"/>
        <v>8.8136258087204027</v>
      </c>
      <c r="E101">
        <f t="shared" si="17"/>
        <v>8.8136258087204027</v>
      </c>
      <c r="F101">
        <f t="shared" si="17"/>
        <v>8.8136258087204027</v>
      </c>
      <c r="G101">
        <f t="shared" si="17"/>
        <v>8.8136258087204027</v>
      </c>
      <c r="H101">
        <f t="shared" si="17"/>
        <v>8.8136258087204027</v>
      </c>
      <c r="I101">
        <f t="shared" si="17"/>
        <v>8.8136258087204027</v>
      </c>
      <c r="J101">
        <f t="shared" si="17"/>
        <v>8.8136258087204027</v>
      </c>
      <c r="K101">
        <f t="shared" si="17"/>
        <v>8.8136258087204027</v>
      </c>
    </row>
    <row r="109" spans="1:11">
      <c r="A109" t="s">
        <v>55</v>
      </c>
      <c r="B109">
        <v>624</v>
      </c>
    </row>
    <row r="110" spans="1:11">
      <c r="A110" t="s">
        <v>56</v>
      </c>
      <c r="B110">
        <v>628.6</v>
      </c>
    </row>
    <row r="111" spans="1:11">
      <c r="A111" t="s">
        <v>57</v>
      </c>
      <c r="B111">
        <v>588.9</v>
      </c>
    </row>
    <row r="125" spans="1:10">
      <c r="A125" t="s">
        <v>58</v>
      </c>
    </row>
    <row r="126" spans="1:10">
      <c r="B126">
        <v>16</v>
      </c>
      <c r="C126">
        <v>17</v>
      </c>
      <c r="D126">
        <v>18</v>
      </c>
      <c r="E126">
        <v>19</v>
      </c>
      <c r="F126">
        <v>20</v>
      </c>
      <c r="G126">
        <v>21</v>
      </c>
      <c r="H126">
        <v>23</v>
      </c>
      <c r="I126">
        <v>24</v>
      </c>
      <c r="J126">
        <v>25</v>
      </c>
    </row>
    <row r="127" spans="1:10">
      <c r="A127" t="s">
        <v>22</v>
      </c>
      <c r="B127">
        <v>620</v>
      </c>
      <c r="C127">
        <v>617</v>
      </c>
      <c r="D127">
        <v>640</v>
      </c>
      <c r="E127">
        <v>629</v>
      </c>
      <c r="F127">
        <v>638</v>
      </c>
      <c r="G127">
        <v>643</v>
      </c>
      <c r="H127">
        <v>640</v>
      </c>
      <c r="I127">
        <v>629</v>
      </c>
      <c r="J127">
        <v>618</v>
      </c>
    </row>
    <row r="128" spans="1:10">
      <c r="A128" t="s">
        <v>26</v>
      </c>
      <c r="B128">
        <f>SUM(B127:J127)/9</f>
        <v>630.44444444444446</v>
      </c>
      <c r="C128">
        <v>630.44444399999998</v>
      </c>
      <c r="D128">
        <v>630.44444399999998</v>
      </c>
      <c r="E128">
        <v>630.44444399999998</v>
      </c>
      <c r="F128">
        <v>630.44444399999998</v>
      </c>
      <c r="G128">
        <v>630.44444399999998</v>
      </c>
      <c r="H128">
        <v>630.44444399999998</v>
      </c>
      <c r="I128">
        <v>630.44444399999998</v>
      </c>
      <c r="J128">
        <v>630.44444399999998</v>
      </c>
    </row>
    <row r="129" spans="1:12">
      <c r="A129" t="s">
        <v>27</v>
      </c>
      <c r="B129">
        <f t="shared" ref="B129:J129" si="18">(B127-B128)*(B127-B128)</f>
        <v>109.08641975308669</v>
      </c>
      <c r="C129">
        <f t="shared" si="18"/>
        <v>180.75307446913536</v>
      </c>
      <c r="D129">
        <f t="shared" si="18"/>
        <v>91.308650469136467</v>
      </c>
      <c r="E129">
        <f t="shared" si="18"/>
        <v>2.0864184691359302</v>
      </c>
      <c r="F129">
        <f t="shared" si="18"/>
        <v>57.086426469136363</v>
      </c>
      <c r="G129">
        <f t="shared" si="18"/>
        <v>157.64198646913661</v>
      </c>
      <c r="H129">
        <f t="shared" si="18"/>
        <v>91.308650469136467</v>
      </c>
      <c r="I129">
        <f t="shared" si="18"/>
        <v>2.0864184691359302</v>
      </c>
      <c r="J129">
        <f t="shared" si="18"/>
        <v>154.8641864691354</v>
      </c>
    </row>
    <row r="130" spans="1:12">
      <c r="A130" t="s">
        <v>28</v>
      </c>
      <c r="B130">
        <v>9.69663304</v>
      </c>
      <c r="C130">
        <v>9.69663304</v>
      </c>
      <c r="D130">
        <v>9.69663304</v>
      </c>
      <c r="E130">
        <v>9.69663304</v>
      </c>
      <c r="F130">
        <v>9.69663304</v>
      </c>
      <c r="G130">
        <v>9.69663304</v>
      </c>
      <c r="H130">
        <v>9.69663304</v>
      </c>
      <c r="I130">
        <v>9.69663304</v>
      </c>
      <c r="J130">
        <v>9.69663304</v>
      </c>
    </row>
    <row r="131" spans="1:12">
      <c r="A131" t="s">
        <v>105</v>
      </c>
      <c r="B131">
        <f>B130/SQRT(9)</f>
        <v>3.2322110133333335</v>
      </c>
      <c r="C131">
        <f t="shared" ref="C131:J131" si="19">C130/SQRT(9)</f>
        <v>3.2322110133333335</v>
      </c>
      <c r="D131">
        <f t="shared" si="19"/>
        <v>3.2322110133333335</v>
      </c>
      <c r="E131">
        <f t="shared" si="19"/>
        <v>3.2322110133333335</v>
      </c>
      <c r="F131">
        <f t="shared" si="19"/>
        <v>3.2322110133333335</v>
      </c>
      <c r="G131">
        <f t="shared" si="19"/>
        <v>3.2322110133333335</v>
      </c>
      <c r="H131">
        <f t="shared" si="19"/>
        <v>3.2322110133333335</v>
      </c>
      <c r="I131">
        <f t="shared" si="19"/>
        <v>3.2322110133333335</v>
      </c>
      <c r="J131">
        <f t="shared" si="19"/>
        <v>3.2322110133333335</v>
      </c>
    </row>
    <row r="133" spans="1:12">
      <c r="B133">
        <v>11</v>
      </c>
      <c r="C133">
        <v>14</v>
      </c>
      <c r="D133">
        <v>15</v>
      </c>
      <c r="E133">
        <v>16</v>
      </c>
      <c r="F133">
        <v>17</v>
      </c>
      <c r="G133">
        <v>18</v>
      </c>
      <c r="H133">
        <v>19</v>
      </c>
      <c r="I133">
        <v>20</v>
      </c>
      <c r="J133">
        <v>21</v>
      </c>
      <c r="K133">
        <v>22</v>
      </c>
      <c r="L133">
        <v>23</v>
      </c>
    </row>
    <row r="134" spans="1:12">
      <c r="A134" t="s">
        <v>23</v>
      </c>
      <c r="B134">
        <v>595</v>
      </c>
      <c r="C134">
        <v>604</v>
      </c>
      <c r="D134">
        <v>627</v>
      </c>
      <c r="E134">
        <v>591</v>
      </c>
      <c r="F134">
        <v>614</v>
      </c>
      <c r="G134">
        <v>579</v>
      </c>
      <c r="H134">
        <v>603</v>
      </c>
      <c r="I134">
        <v>643</v>
      </c>
      <c r="J134">
        <v>599</v>
      </c>
      <c r="K134">
        <v>647</v>
      </c>
      <c r="L134">
        <v>603</v>
      </c>
    </row>
    <row r="135" spans="1:12">
      <c r="A135" t="s">
        <v>106</v>
      </c>
      <c r="B135">
        <f>SUM(B134:L134)/11</f>
        <v>609.5454545454545</v>
      </c>
      <c r="C135">
        <v>609.5454545454545</v>
      </c>
      <c r="D135">
        <v>609.5454545454545</v>
      </c>
      <c r="E135">
        <v>609.5454545454545</v>
      </c>
      <c r="F135">
        <v>609.5454545454545</v>
      </c>
      <c r="G135">
        <v>609.5454545454545</v>
      </c>
      <c r="H135">
        <v>609.5454545454545</v>
      </c>
      <c r="I135">
        <v>609.5454545454545</v>
      </c>
      <c r="J135">
        <v>609.5454545454545</v>
      </c>
      <c r="K135">
        <v>609.5454545454545</v>
      </c>
      <c r="L135">
        <v>609.5454545454545</v>
      </c>
    </row>
    <row r="136" spans="1:12">
      <c r="A136" t="s">
        <v>107</v>
      </c>
      <c r="B136">
        <f>(B134-B135)*(B134-B135)</f>
        <v>211.57024793388308</v>
      </c>
      <c r="C136">
        <f t="shared" ref="C136:L136" si="20">(C134-C135)*(C134-C135)</f>
        <v>30.752066115702021</v>
      </c>
      <c r="D136">
        <f t="shared" si="20"/>
        <v>304.66115702479482</v>
      </c>
      <c r="E136">
        <f t="shared" si="20"/>
        <v>343.93388429751911</v>
      </c>
      <c r="F136">
        <f t="shared" si="20"/>
        <v>19.842975206611939</v>
      </c>
      <c r="G136">
        <f t="shared" si="20"/>
        <v>933.02479338842727</v>
      </c>
      <c r="H136">
        <f t="shared" si="20"/>
        <v>42.84297520661103</v>
      </c>
      <c r="I136">
        <f t="shared" si="20"/>
        <v>1119.2066115702507</v>
      </c>
      <c r="J136">
        <f t="shared" si="20"/>
        <v>111.20661157024706</v>
      </c>
      <c r="K136">
        <f t="shared" si="20"/>
        <v>1402.8429752066147</v>
      </c>
      <c r="L136">
        <f t="shared" si="20"/>
        <v>42.84297520661103</v>
      </c>
    </row>
    <row r="137" spans="1:12">
      <c r="A137" t="s">
        <v>108</v>
      </c>
      <c r="B137">
        <v>20.366477074588822</v>
      </c>
      <c r="C137">
        <v>20.366477074588822</v>
      </c>
      <c r="D137">
        <v>20.366477074588822</v>
      </c>
      <c r="E137">
        <v>20.366477074588822</v>
      </c>
      <c r="F137">
        <v>20.366477074588822</v>
      </c>
      <c r="G137">
        <v>20.366477074588822</v>
      </c>
      <c r="H137">
        <v>20.366477074588822</v>
      </c>
      <c r="I137">
        <v>20.366477074588822</v>
      </c>
      <c r="J137">
        <v>20.366477074588822</v>
      </c>
      <c r="K137">
        <v>20.366477074588822</v>
      </c>
      <c r="L137">
        <v>20.366477074588822</v>
      </c>
    </row>
    <row r="138" spans="1:12">
      <c r="A138" t="s">
        <v>105</v>
      </c>
      <c r="B138">
        <f>B137/SQRT(11)</f>
        <v>6.1407238870714735</v>
      </c>
      <c r="C138">
        <f t="shared" ref="C138:L138" si="21">C137/SQRT(11)</f>
        <v>6.1407238870714735</v>
      </c>
      <c r="D138">
        <f t="shared" si="21"/>
        <v>6.1407238870714735</v>
      </c>
      <c r="E138">
        <f t="shared" si="21"/>
        <v>6.1407238870714735</v>
      </c>
      <c r="F138">
        <f t="shared" si="21"/>
        <v>6.1407238870714735</v>
      </c>
      <c r="G138">
        <f t="shared" si="21"/>
        <v>6.1407238870714735</v>
      </c>
      <c r="H138">
        <f t="shared" si="21"/>
        <v>6.1407238870714735</v>
      </c>
      <c r="I138">
        <f t="shared" si="21"/>
        <v>6.1407238870714735</v>
      </c>
      <c r="J138">
        <f t="shared" si="21"/>
        <v>6.1407238870714735</v>
      </c>
      <c r="K138">
        <f t="shared" si="21"/>
        <v>6.1407238870714735</v>
      </c>
      <c r="L138">
        <f t="shared" si="21"/>
        <v>6.1407238870714735</v>
      </c>
    </row>
    <row r="140" spans="1:12">
      <c r="B140">
        <v>13</v>
      </c>
      <c r="C140">
        <v>14</v>
      </c>
      <c r="D140">
        <v>15</v>
      </c>
      <c r="E140">
        <v>16</v>
      </c>
      <c r="F140">
        <v>17</v>
      </c>
      <c r="G140">
        <v>18</v>
      </c>
      <c r="H140">
        <v>19</v>
      </c>
      <c r="I140">
        <v>20</v>
      </c>
      <c r="J140">
        <v>21</v>
      </c>
    </row>
    <row r="141" spans="1:12">
      <c r="A141" t="s">
        <v>24</v>
      </c>
      <c r="B141">
        <f>770-49</f>
        <v>721</v>
      </c>
      <c r="C141">
        <f>708-49</f>
        <v>659</v>
      </c>
      <c r="D141">
        <f>814-49</f>
        <v>765</v>
      </c>
      <c r="E141">
        <f>725-49</f>
        <v>676</v>
      </c>
      <c r="F141">
        <f>704-49</f>
        <v>655</v>
      </c>
      <c r="G141">
        <f>718-49</f>
        <v>669</v>
      </c>
      <c r="H141">
        <f>714-49</f>
        <v>665</v>
      </c>
      <c r="I141">
        <f>741-49</f>
        <v>692</v>
      </c>
      <c r="J141">
        <f>720-49</f>
        <v>671</v>
      </c>
    </row>
    <row r="142" spans="1:12">
      <c r="A142" t="s">
        <v>26</v>
      </c>
      <c r="B142">
        <f>SUM(B141:J141)/9</f>
        <v>685.88888888888891</v>
      </c>
      <c r="C142">
        <v>685.88888888888891</v>
      </c>
      <c r="D142">
        <v>685.88888888888891</v>
      </c>
      <c r="E142">
        <v>685.88888888888891</v>
      </c>
      <c r="F142">
        <v>685.88888888888891</v>
      </c>
      <c r="G142">
        <v>685.88888888888891</v>
      </c>
      <c r="H142">
        <v>685.88888888888891</v>
      </c>
      <c r="I142">
        <v>685.88888888888891</v>
      </c>
      <c r="J142">
        <v>685.88888888888891</v>
      </c>
    </row>
    <row r="143" spans="1:12">
      <c r="A143" t="s">
        <v>27</v>
      </c>
      <c r="B143">
        <f>(B141-B142)*(B141-B142)</f>
        <v>1232.7901234567883</v>
      </c>
      <c r="C143">
        <f t="shared" ref="C143:J143" si="22">(C141-C142)*(C141-C142)</f>
        <v>723.01234567901372</v>
      </c>
      <c r="D143">
        <f t="shared" si="22"/>
        <v>6258.5679012345636</v>
      </c>
      <c r="E143">
        <f t="shared" si="22"/>
        <v>97.790123456790624</v>
      </c>
      <c r="F143">
        <f t="shared" si="22"/>
        <v>954.12345679012503</v>
      </c>
      <c r="G143">
        <f t="shared" si="22"/>
        <v>285.23456790123544</v>
      </c>
      <c r="H143">
        <f t="shared" si="22"/>
        <v>436.34567901234675</v>
      </c>
      <c r="I143">
        <f t="shared" si="22"/>
        <v>37.345679012345371</v>
      </c>
      <c r="J143">
        <f t="shared" si="22"/>
        <v>221.67901234567975</v>
      </c>
    </row>
    <row r="144" spans="1:12">
      <c r="A144" t="s">
        <v>108</v>
      </c>
      <c r="B144">
        <v>33.742305935969213</v>
      </c>
      <c r="C144">
        <v>33.742305935969213</v>
      </c>
      <c r="D144">
        <v>33.742305935969199</v>
      </c>
      <c r="E144">
        <v>33.742305935969199</v>
      </c>
      <c r="F144">
        <v>33.742305935969199</v>
      </c>
      <c r="G144">
        <v>33.742305935969199</v>
      </c>
      <c r="H144">
        <v>33.742305935969199</v>
      </c>
      <c r="I144">
        <v>33.742305935969199</v>
      </c>
      <c r="J144">
        <v>33.742305935969199</v>
      </c>
    </row>
    <row r="145" spans="1:10">
      <c r="A145" t="s">
        <v>54</v>
      </c>
      <c r="B145">
        <f>B144/SQRT(9)</f>
        <v>11.247435311989738</v>
      </c>
      <c r="C145">
        <f t="shared" ref="C145:J145" si="23">C144/SQRT(9)</f>
        <v>11.247435311989738</v>
      </c>
      <c r="D145">
        <f t="shared" si="23"/>
        <v>11.247435311989733</v>
      </c>
      <c r="E145">
        <f t="shared" si="23"/>
        <v>11.247435311989733</v>
      </c>
      <c r="F145">
        <f t="shared" si="23"/>
        <v>11.247435311989733</v>
      </c>
      <c r="G145">
        <f t="shared" si="23"/>
        <v>11.247435311989733</v>
      </c>
      <c r="H145">
        <f t="shared" si="23"/>
        <v>11.247435311989733</v>
      </c>
      <c r="I145">
        <f t="shared" si="23"/>
        <v>11.247435311989733</v>
      </c>
      <c r="J145">
        <f t="shared" si="23"/>
        <v>11.247435311989733</v>
      </c>
    </row>
    <row r="149" spans="1:10">
      <c r="A149" t="s">
        <v>59</v>
      </c>
      <c r="B149">
        <v>685</v>
      </c>
    </row>
    <row r="150" spans="1:10">
      <c r="A150" t="s">
        <v>60</v>
      </c>
      <c r="B150">
        <v>630</v>
      </c>
    </row>
    <row r="151" spans="1:10">
      <c r="A151" t="s">
        <v>61</v>
      </c>
      <c r="B151">
        <v>609</v>
      </c>
    </row>
    <row r="171" spans="1:5">
      <c r="A171" t="s">
        <v>59</v>
      </c>
      <c r="B171">
        <v>685</v>
      </c>
      <c r="D171" t="s">
        <v>55</v>
      </c>
      <c r="E171">
        <v>624</v>
      </c>
    </row>
    <row r="172" spans="1:5">
      <c r="A172" t="s">
        <v>60</v>
      </c>
      <c r="B172">
        <v>630</v>
      </c>
      <c r="D172" t="s">
        <v>56</v>
      </c>
      <c r="E172">
        <v>628.6</v>
      </c>
    </row>
    <row r="173" spans="1:5">
      <c r="A173" t="s">
        <v>61</v>
      </c>
      <c r="B173">
        <v>609</v>
      </c>
      <c r="D173" t="s">
        <v>57</v>
      </c>
      <c r="E173">
        <v>588.9</v>
      </c>
    </row>
    <row r="179" spans="1:8">
      <c r="B179" t="s">
        <v>14</v>
      </c>
      <c r="C179">
        <v>624</v>
      </c>
      <c r="D179">
        <v>685</v>
      </c>
      <c r="E179">
        <f>907-105</f>
        <v>802</v>
      </c>
      <c r="F179">
        <v>1023</v>
      </c>
      <c r="G179">
        <v>1650</v>
      </c>
    </row>
    <row r="180" spans="1:8">
      <c r="B180" t="s">
        <v>125</v>
      </c>
      <c r="C180">
        <v>628.6</v>
      </c>
      <c r="D180">
        <v>630</v>
      </c>
      <c r="E180">
        <v>701.83</v>
      </c>
      <c r="F180">
        <v>804</v>
      </c>
      <c r="G180">
        <v>1014</v>
      </c>
    </row>
    <row r="181" spans="1:8">
      <c r="B181" t="s">
        <v>143</v>
      </c>
      <c r="C181">
        <v>588.9</v>
      </c>
      <c r="D181">
        <v>609</v>
      </c>
      <c r="E181">
        <v>583.33000000000004</v>
      </c>
      <c r="F181">
        <v>641</v>
      </c>
      <c r="G181">
        <v>660</v>
      </c>
      <c r="H181">
        <v>646.5</v>
      </c>
    </row>
    <row r="191" spans="1:8">
      <c r="A191" t="s">
        <v>62</v>
      </c>
      <c r="C191" t="s">
        <v>133</v>
      </c>
    </row>
    <row r="193" spans="1:15">
      <c r="A193" t="s">
        <v>22</v>
      </c>
      <c r="B193">
        <v>716</v>
      </c>
      <c r="C193">
        <v>675</v>
      </c>
      <c r="D193">
        <v>675</v>
      </c>
      <c r="E193">
        <v>785</v>
      </c>
      <c r="F193">
        <v>688</v>
      </c>
      <c r="G193">
        <v>672</v>
      </c>
    </row>
    <row r="194" spans="1:15">
      <c r="A194" t="s">
        <v>26</v>
      </c>
      <c r="B194">
        <f>SUM(B193:G193)/6</f>
        <v>701.83333333333337</v>
      </c>
      <c r="C194">
        <v>701.83333333333337</v>
      </c>
      <c r="D194">
        <v>701.83333333333337</v>
      </c>
      <c r="E194">
        <v>701.83333333333337</v>
      </c>
      <c r="F194">
        <v>701.83333333333337</v>
      </c>
      <c r="G194">
        <v>701.83333333333337</v>
      </c>
    </row>
    <row r="195" spans="1:15">
      <c r="A195" t="s">
        <v>27</v>
      </c>
      <c r="B195">
        <f>(B193-B194)*(B193-B194)</f>
        <v>200.69444444444338</v>
      </c>
      <c r="C195">
        <f t="shared" ref="C195:G195" si="24">(C193-C194)*(C193-C194)</f>
        <v>720.02777777777976</v>
      </c>
      <c r="D195">
        <f t="shared" si="24"/>
        <v>720.02777777777976</v>
      </c>
      <c r="E195">
        <f t="shared" si="24"/>
        <v>6916.694444444438</v>
      </c>
      <c r="F195">
        <f t="shared" si="24"/>
        <v>191.36111111111217</v>
      </c>
      <c r="G195">
        <f t="shared" si="24"/>
        <v>890.02777777777999</v>
      </c>
    </row>
    <row r="196" spans="1:15">
      <c r="A196" t="s">
        <v>28</v>
      </c>
      <c r="B196">
        <v>40.08</v>
      </c>
      <c r="C196">
        <v>40.08</v>
      </c>
      <c r="D196">
        <v>40.08</v>
      </c>
      <c r="E196">
        <v>40.08</v>
      </c>
      <c r="F196">
        <v>40.08</v>
      </c>
      <c r="G196">
        <v>40.08</v>
      </c>
    </row>
    <row r="197" spans="1:15">
      <c r="A197" t="s">
        <v>105</v>
      </c>
      <c r="B197">
        <f>40.08/SQRT(6)</f>
        <v>16.362591481791629</v>
      </c>
      <c r="C197">
        <f t="shared" ref="C197:G197" si="25">40.08/SQRT(6)</f>
        <v>16.362591481791629</v>
      </c>
      <c r="D197">
        <f t="shared" si="25"/>
        <v>16.362591481791629</v>
      </c>
      <c r="E197">
        <f t="shared" si="25"/>
        <v>16.362591481791629</v>
      </c>
      <c r="F197">
        <f t="shared" si="25"/>
        <v>16.362591481791629</v>
      </c>
      <c r="G197">
        <f t="shared" si="25"/>
        <v>16.362591481791629</v>
      </c>
    </row>
    <row r="199" spans="1:15">
      <c r="I199">
        <v>118</v>
      </c>
      <c r="J199">
        <v>119</v>
      </c>
      <c r="K199">
        <v>120</v>
      </c>
      <c r="L199">
        <v>121</v>
      </c>
      <c r="M199">
        <v>122</v>
      </c>
      <c r="N199">
        <v>123</v>
      </c>
      <c r="O199">
        <v>124</v>
      </c>
    </row>
    <row r="200" spans="1:15">
      <c r="A200" t="s">
        <v>23</v>
      </c>
      <c r="B200">
        <v>595</v>
      </c>
      <c r="C200">
        <v>585</v>
      </c>
      <c r="D200">
        <v>592</v>
      </c>
      <c r="E200">
        <v>573</v>
      </c>
      <c r="F200">
        <v>581</v>
      </c>
      <c r="G200">
        <v>574</v>
      </c>
      <c r="I200">
        <v>655</v>
      </c>
      <c r="J200">
        <f>9*60+48</f>
        <v>588</v>
      </c>
      <c r="K200">
        <v>551</v>
      </c>
      <c r="L200">
        <f>12*60+34</f>
        <v>754</v>
      </c>
      <c r="M200">
        <v>628</v>
      </c>
      <c r="N200">
        <f>540+49</f>
        <v>589</v>
      </c>
      <c r="O200">
        <v>589</v>
      </c>
    </row>
    <row r="201" spans="1:15">
      <c r="A201" t="s">
        <v>106</v>
      </c>
      <c r="B201">
        <f>SUM(B200:G200)/6</f>
        <v>583.33333333333337</v>
      </c>
      <c r="C201">
        <v>583.33330000000001</v>
      </c>
      <c r="D201">
        <v>583.33330000000001</v>
      </c>
      <c r="E201">
        <v>583.33330000000001</v>
      </c>
      <c r="F201">
        <v>583.33330000000001</v>
      </c>
      <c r="G201">
        <v>583.33330000000001</v>
      </c>
      <c r="I201">
        <v>622</v>
      </c>
      <c r="J201">
        <v>622</v>
      </c>
      <c r="K201">
        <v>622</v>
      </c>
      <c r="L201">
        <v>622</v>
      </c>
      <c r="M201">
        <v>622</v>
      </c>
      <c r="N201">
        <v>622</v>
      </c>
      <c r="O201">
        <v>622</v>
      </c>
    </row>
    <row r="202" spans="1:15">
      <c r="A202" t="s">
        <v>107</v>
      </c>
      <c r="B202">
        <f>(B200-B201)*(B200-B201)</f>
        <v>136.11111111111023</v>
      </c>
      <c r="C202">
        <f t="shared" ref="C202:G202" si="26">(C200-C201)*(C200-C201)</f>
        <v>2.7778888899999723</v>
      </c>
      <c r="D202">
        <f t="shared" si="26"/>
        <v>75.111688889999854</v>
      </c>
      <c r="E202">
        <f t="shared" si="26"/>
        <v>106.77708889000017</v>
      </c>
      <c r="F202">
        <f t="shared" si="26"/>
        <v>5.4442888900000392</v>
      </c>
      <c r="G202">
        <f t="shared" si="26"/>
        <v>87.110488890000155</v>
      </c>
      <c r="I202">
        <f>(I201-I200)*(I201-I200)</f>
        <v>1089</v>
      </c>
      <c r="J202">
        <f t="shared" ref="J202:O202" si="27">(J201-J200)*(J201-J200)</f>
        <v>1156</v>
      </c>
      <c r="K202">
        <f t="shared" si="27"/>
        <v>5041</v>
      </c>
      <c r="L202">
        <f t="shared" si="27"/>
        <v>17424</v>
      </c>
      <c r="M202">
        <f t="shared" si="27"/>
        <v>36</v>
      </c>
      <c r="N202">
        <f t="shared" si="27"/>
        <v>1089</v>
      </c>
      <c r="O202">
        <f t="shared" si="27"/>
        <v>1089</v>
      </c>
    </row>
    <row r="203" spans="1:15">
      <c r="A203" t="s">
        <v>108</v>
      </c>
      <c r="B203">
        <v>8.2999252600000002</v>
      </c>
      <c r="C203">
        <v>8.2999252600000002</v>
      </c>
      <c r="D203">
        <v>8.2999252600000002</v>
      </c>
      <c r="E203">
        <v>8.2999252600000002</v>
      </c>
      <c r="F203">
        <v>8.2999252600000002</v>
      </c>
      <c r="G203">
        <v>8.2999252600000002</v>
      </c>
      <c r="I203">
        <v>62.018430440359538</v>
      </c>
      <c r="J203">
        <v>62.018430440359538</v>
      </c>
      <c r="K203">
        <v>62.018430440359538</v>
      </c>
      <c r="L203">
        <v>62.018430440359538</v>
      </c>
      <c r="M203">
        <v>62.018430440359538</v>
      </c>
      <c r="N203">
        <v>62.018430440359538</v>
      </c>
      <c r="O203">
        <v>62.018430440359538</v>
      </c>
    </row>
    <row r="204" spans="1:15">
      <c r="A204" t="s">
        <v>105</v>
      </c>
      <c r="B204">
        <f>B203/SQRT(6)</f>
        <v>3.388430298372834</v>
      </c>
      <c r="C204">
        <f t="shared" ref="C204:G204" si="28">C203/SQRT(6)</f>
        <v>3.388430298372834</v>
      </c>
      <c r="D204">
        <f t="shared" si="28"/>
        <v>3.388430298372834</v>
      </c>
      <c r="E204">
        <f t="shared" si="28"/>
        <v>3.388430298372834</v>
      </c>
      <c r="F204">
        <f t="shared" si="28"/>
        <v>3.388430298372834</v>
      </c>
      <c r="G204">
        <f t="shared" si="28"/>
        <v>3.388430298372834</v>
      </c>
      <c r="I204">
        <f>I203/SQRT(7)</f>
        <v>23.440763378249908</v>
      </c>
      <c r="J204">
        <f t="shared" ref="J204:O204" si="29">J203/SQRT(7)</f>
        <v>23.440763378249908</v>
      </c>
      <c r="K204">
        <f t="shared" si="29"/>
        <v>23.440763378249908</v>
      </c>
      <c r="L204">
        <f t="shared" si="29"/>
        <v>23.440763378249908</v>
      </c>
      <c r="M204">
        <f t="shared" si="29"/>
        <v>23.440763378249908</v>
      </c>
      <c r="N204">
        <f t="shared" si="29"/>
        <v>23.440763378249908</v>
      </c>
      <c r="O204">
        <f t="shared" si="29"/>
        <v>23.440763378249908</v>
      </c>
    </row>
    <row r="207" spans="1:15">
      <c r="A207" t="s">
        <v>24</v>
      </c>
      <c r="B207">
        <f>921-105</f>
        <v>816</v>
      </c>
      <c r="C207">
        <f>874-105</f>
        <v>769</v>
      </c>
      <c r="D207">
        <f>993-105</f>
        <v>888</v>
      </c>
      <c r="E207">
        <f>856-105</f>
        <v>751</v>
      </c>
      <c r="F207">
        <f>892-105</f>
        <v>787</v>
      </c>
      <c r="G207">
        <f>871-105</f>
        <v>766</v>
      </c>
      <c r="H207">
        <f>978-105</f>
        <v>873</v>
      </c>
      <c r="I207">
        <f>872-105</f>
        <v>767</v>
      </c>
    </row>
    <row r="208" spans="1:15">
      <c r="A208" t="s">
        <v>26</v>
      </c>
      <c r="B208">
        <v>802.125</v>
      </c>
      <c r="C208">
        <v>802.125</v>
      </c>
      <c r="D208">
        <v>802.125</v>
      </c>
      <c r="E208">
        <v>802.125</v>
      </c>
      <c r="F208">
        <v>802.125</v>
      </c>
      <c r="G208">
        <v>802.125</v>
      </c>
      <c r="H208">
        <v>802.125</v>
      </c>
      <c r="I208">
        <v>802.125</v>
      </c>
    </row>
    <row r="209" spans="1:9">
      <c r="A209" t="s">
        <v>27</v>
      </c>
      <c r="B209">
        <f>(B207-B208)*(B207-B208)</f>
        <v>192.515625</v>
      </c>
      <c r="C209">
        <f t="shared" ref="C209:I209" si="30">(C207-C208)*(C207-C208)</f>
        <v>1097.265625</v>
      </c>
      <c r="D209">
        <f t="shared" si="30"/>
        <v>7374.515625</v>
      </c>
      <c r="E209">
        <f t="shared" si="30"/>
        <v>2613.765625</v>
      </c>
      <c r="F209">
        <f t="shared" si="30"/>
        <v>228.765625</v>
      </c>
      <c r="G209">
        <f t="shared" si="30"/>
        <v>1305.015625</v>
      </c>
      <c r="H209">
        <f t="shared" si="30"/>
        <v>5023.265625</v>
      </c>
      <c r="I209">
        <f t="shared" si="30"/>
        <v>1233.765625</v>
      </c>
    </row>
    <row r="210" spans="1:9">
      <c r="A210" t="s">
        <v>108</v>
      </c>
      <c r="B210">
        <v>48.822222143200321</v>
      </c>
      <c r="C210">
        <v>48.822222143200321</v>
      </c>
      <c r="D210">
        <v>48.822222143200321</v>
      </c>
      <c r="E210">
        <v>48.822222143200321</v>
      </c>
      <c r="F210">
        <v>48.822222143200321</v>
      </c>
      <c r="G210">
        <v>48.822222143200321</v>
      </c>
      <c r="H210">
        <v>48.822222143200321</v>
      </c>
      <c r="I210">
        <v>48.822222143200321</v>
      </c>
    </row>
    <row r="211" spans="1:9">
      <c r="A211" t="s">
        <v>54</v>
      </c>
      <c r="B211">
        <f>B210/SQRT(8)</f>
        <v>17.261262175026481</v>
      </c>
      <c r="C211">
        <f t="shared" ref="C211:I211" si="31">C210/SQRT(8)</f>
        <v>17.261262175026481</v>
      </c>
      <c r="D211">
        <f t="shared" si="31"/>
        <v>17.261262175026481</v>
      </c>
      <c r="E211">
        <f t="shared" si="31"/>
        <v>17.261262175026481</v>
      </c>
      <c r="F211">
        <f t="shared" si="31"/>
        <v>17.261262175026481</v>
      </c>
      <c r="G211">
        <f t="shared" si="31"/>
        <v>17.261262175026481</v>
      </c>
      <c r="H211">
        <f t="shared" si="31"/>
        <v>17.261262175026481</v>
      </c>
      <c r="I211">
        <f t="shared" si="31"/>
        <v>17.261262175026481</v>
      </c>
    </row>
    <row r="216" spans="1:9">
      <c r="A216" t="s">
        <v>63</v>
      </c>
      <c r="C216" t="s">
        <v>134</v>
      </c>
    </row>
    <row r="218" spans="1:9">
      <c r="F218">
        <v>207</v>
      </c>
      <c r="G218">
        <v>208</v>
      </c>
      <c r="H218">
        <v>209</v>
      </c>
    </row>
    <row r="219" spans="1:9">
      <c r="A219" t="s">
        <v>22</v>
      </c>
      <c r="B219">
        <v>785</v>
      </c>
      <c r="C219">
        <v>823</v>
      </c>
      <c r="D219" s="6">
        <v>812</v>
      </c>
      <c r="E219" s="6">
        <v>834</v>
      </c>
      <c r="F219">
        <f>14*60+17</f>
        <v>857</v>
      </c>
      <c r="G219">
        <v>859</v>
      </c>
      <c r="H219">
        <f>12*60+19</f>
        <v>739</v>
      </c>
    </row>
    <row r="220" spans="1:9">
      <c r="A220" t="s">
        <v>26</v>
      </c>
      <c r="B220">
        <v>815.57142857142856</v>
      </c>
      <c r="C220">
        <v>815.57142857142856</v>
      </c>
      <c r="D220" s="6">
        <v>815.57142857142856</v>
      </c>
      <c r="E220" s="6">
        <v>815.57142857142856</v>
      </c>
      <c r="F220">
        <v>815.57142857142856</v>
      </c>
      <c r="G220">
        <v>815.57142857142856</v>
      </c>
      <c r="H220">
        <v>815.57142857142856</v>
      </c>
    </row>
    <row r="221" spans="1:9">
      <c r="A221" t="s">
        <v>27</v>
      </c>
      <c r="B221">
        <f>(B219-B220)*(B219-B220)</f>
        <v>934.61224489795813</v>
      </c>
      <c r="C221">
        <f>(C219-C220)*(C219-C220)</f>
        <v>55.183673469387998</v>
      </c>
      <c r="D221" s="6">
        <f>(D219-D220)*(D219-D220)</f>
        <v>12.75510204081621</v>
      </c>
      <c r="E221" s="6">
        <f>(E219-E220)*(E219-E220)</f>
        <v>339.61224489795978</v>
      </c>
      <c r="F221" s="18">
        <f t="shared" ref="F221:H221" si="32">(F219-F220)*(F219-F220)</f>
        <v>1716.3265306122462</v>
      </c>
      <c r="G221" s="18">
        <f t="shared" si="32"/>
        <v>1886.040816326532</v>
      </c>
      <c r="H221" s="18">
        <f t="shared" si="32"/>
        <v>5863.1836734693852</v>
      </c>
    </row>
    <row r="222" spans="1:9">
      <c r="A222" t="s">
        <v>28</v>
      </c>
      <c r="B222" s="18">
        <v>39.293246031264324</v>
      </c>
      <c r="C222" s="18">
        <v>39.293246031264324</v>
      </c>
      <c r="D222" s="6">
        <v>39.293246031264324</v>
      </c>
      <c r="E222" s="6">
        <v>39.293246031264324</v>
      </c>
      <c r="F222">
        <v>39.293246031264324</v>
      </c>
      <c r="G222">
        <v>39.293246031264324</v>
      </c>
      <c r="H222">
        <v>39.293246031264324</v>
      </c>
    </row>
    <row r="223" spans="1:9">
      <c r="A223" t="s">
        <v>105</v>
      </c>
      <c r="B223">
        <f>B222/SQRT(7)</f>
        <v>14.851451029028729</v>
      </c>
      <c r="C223" s="18">
        <f t="shared" ref="C223:H223" si="33">C222/SQRT(7)</f>
        <v>14.851451029028729</v>
      </c>
      <c r="D223" s="18">
        <f t="shared" si="33"/>
        <v>14.851451029028729</v>
      </c>
      <c r="E223" s="18">
        <f t="shared" si="33"/>
        <v>14.851451029028729</v>
      </c>
      <c r="F223" s="18">
        <f t="shared" si="33"/>
        <v>14.851451029028729</v>
      </c>
      <c r="G223" s="18">
        <f t="shared" si="33"/>
        <v>14.851451029028729</v>
      </c>
      <c r="H223" s="18">
        <f t="shared" si="33"/>
        <v>14.851451029028729</v>
      </c>
    </row>
    <row r="225" spans="1:8">
      <c r="F225">
        <v>216</v>
      </c>
      <c r="G225">
        <v>217</v>
      </c>
      <c r="H225">
        <v>218</v>
      </c>
    </row>
    <row r="226" spans="1:8">
      <c r="A226" t="s">
        <v>23</v>
      </c>
      <c r="B226">
        <v>650</v>
      </c>
      <c r="C226">
        <v>638</v>
      </c>
      <c r="D226">
        <v>639</v>
      </c>
      <c r="E226">
        <v>640</v>
      </c>
      <c r="F226">
        <v>650</v>
      </c>
      <c r="G226">
        <v>640</v>
      </c>
      <c r="H226">
        <v>637</v>
      </c>
    </row>
    <row r="227" spans="1:8">
      <c r="A227" t="s">
        <v>106</v>
      </c>
      <c r="B227">
        <v>642</v>
      </c>
      <c r="C227">
        <v>642</v>
      </c>
      <c r="D227">
        <v>642</v>
      </c>
      <c r="E227">
        <v>642</v>
      </c>
      <c r="F227">
        <v>642</v>
      </c>
      <c r="G227">
        <v>642</v>
      </c>
      <c r="H227">
        <v>642</v>
      </c>
    </row>
    <row r="228" spans="1:8">
      <c r="A228" t="s">
        <v>107</v>
      </c>
      <c r="B228">
        <f>(B226-B227)*(B226-B227)</f>
        <v>64</v>
      </c>
      <c r="C228" s="18">
        <f t="shared" ref="C228:H228" si="34">(C226-C227)*(C226-C227)</f>
        <v>16</v>
      </c>
      <c r="D228" s="18">
        <f t="shared" si="34"/>
        <v>9</v>
      </c>
      <c r="E228" s="18">
        <f t="shared" si="34"/>
        <v>4</v>
      </c>
      <c r="F228" s="18">
        <f t="shared" si="34"/>
        <v>64</v>
      </c>
      <c r="G228" s="18">
        <f t="shared" si="34"/>
        <v>4</v>
      </c>
      <c r="H228" s="18">
        <f t="shared" si="34"/>
        <v>25</v>
      </c>
    </row>
    <row r="229" spans="1:8">
      <c r="A229" t="s">
        <v>108</v>
      </c>
      <c r="B229" s="18">
        <v>5.1547481579053471</v>
      </c>
      <c r="C229" s="18">
        <v>5.1547481579053471</v>
      </c>
      <c r="D229">
        <v>5.1547481579053471</v>
      </c>
      <c r="E229">
        <v>5.1547481579053471</v>
      </c>
      <c r="F229">
        <v>5.1547481579053471</v>
      </c>
      <c r="G229">
        <v>5.1547481579053471</v>
      </c>
      <c r="H229">
        <v>5.1547481579053471</v>
      </c>
    </row>
    <row r="230" spans="1:8">
      <c r="A230" t="s">
        <v>105</v>
      </c>
      <c r="B230">
        <f>B229/SQRT(7)</f>
        <v>1.9483116709979793</v>
      </c>
      <c r="C230" s="18">
        <f t="shared" ref="C230:H230" si="35">C229/SQRT(7)</f>
        <v>1.9483116709979793</v>
      </c>
      <c r="D230" s="18">
        <f t="shared" si="35"/>
        <v>1.9483116709979793</v>
      </c>
      <c r="E230" s="18">
        <f t="shared" si="35"/>
        <v>1.9483116709979793</v>
      </c>
      <c r="F230" s="18">
        <f t="shared" si="35"/>
        <v>1.9483116709979793</v>
      </c>
      <c r="G230" s="18">
        <f t="shared" si="35"/>
        <v>1.9483116709979793</v>
      </c>
      <c r="H230" s="18">
        <f t="shared" si="35"/>
        <v>1.9483116709979793</v>
      </c>
    </row>
    <row r="232" spans="1:8">
      <c r="F232">
        <v>192</v>
      </c>
      <c r="G232">
        <v>193</v>
      </c>
    </row>
    <row r="233" spans="1:8">
      <c r="A233" t="s">
        <v>24</v>
      </c>
      <c r="B233">
        <f>1289-217</f>
        <v>1072</v>
      </c>
      <c r="C233">
        <f>1192-217</f>
        <v>975</v>
      </c>
      <c r="D233" s="6">
        <v>1054</v>
      </c>
      <c r="E233" s="6">
        <v>1034</v>
      </c>
      <c r="F233">
        <f>1160-217</f>
        <v>943</v>
      </c>
      <c r="G233">
        <f>1189-217</f>
        <v>972</v>
      </c>
    </row>
    <row r="234" spans="1:8">
      <c r="A234" t="s">
        <v>26</v>
      </c>
      <c r="B234">
        <v>1008.3333333333334</v>
      </c>
      <c r="C234">
        <v>1008.3333333333334</v>
      </c>
      <c r="D234" s="6">
        <v>1008.3333333333334</v>
      </c>
      <c r="E234" s="6">
        <v>1008.3333333333334</v>
      </c>
      <c r="F234">
        <v>1008.3333333333334</v>
      </c>
      <c r="G234">
        <v>1008.3333333333334</v>
      </c>
    </row>
    <row r="235" spans="1:8">
      <c r="A235" t="s">
        <v>27</v>
      </c>
      <c r="B235">
        <f>(B233-B234)*(B233-B234)</f>
        <v>4053.4444444444398</v>
      </c>
      <c r="C235" s="18">
        <f t="shared" ref="C235:G235" si="36">(C233-C234)*(C233-C234)</f>
        <v>1111.1111111111136</v>
      </c>
      <c r="D235" s="18">
        <f t="shared" si="36"/>
        <v>2085.4444444444412</v>
      </c>
      <c r="E235" s="18">
        <f t="shared" si="36"/>
        <v>658.77777777777578</v>
      </c>
      <c r="F235" s="18">
        <f t="shared" si="36"/>
        <v>4268.4444444444498</v>
      </c>
      <c r="G235" s="18">
        <f t="shared" si="36"/>
        <v>1320.1111111111138</v>
      </c>
    </row>
    <row r="236" spans="1:8">
      <c r="A236" t="s">
        <v>108</v>
      </c>
      <c r="B236" s="18">
        <v>47.429479815359088</v>
      </c>
      <c r="C236" s="18">
        <v>47.429479815359088</v>
      </c>
      <c r="D236" s="6">
        <v>47.429479815359088</v>
      </c>
      <c r="E236" s="6">
        <v>47.429479815359088</v>
      </c>
      <c r="F236">
        <v>47.429479815359088</v>
      </c>
      <c r="G236">
        <v>47.429479815359088</v>
      </c>
    </row>
    <row r="237" spans="1:8">
      <c r="A237" t="s">
        <v>54</v>
      </c>
      <c r="B237">
        <f>B236/SQRT(6)</f>
        <v>19.363004052210645</v>
      </c>
      <c r="C237" s="18">
        <f t="shared" ref="C237:G237" si="37">C236/SQRT(6)</f>
        <v>19.363004052210645</v>
      </c>
      <c r="D237" s="18">
        <f t="shared" si="37"/>
        <v>19.363004052210645</v>
      </c>
      <c r="E237" s="18">
        <f t="shared" si="37"/>
        <v>19.363004052210645</v>
      </c>
      <c r="F237" s="18">
        <f t="shared" si="37"/>
        <v>19.363004052210645</v>
      </c>
      <c r="G237" s="18">
        <f t="shared" si="37"/>
        <v>19.363004052210645</v>
      </c>
    </row>
    <row r="241" spans="1:8">
      <c r="A241" t="s">
        <v>80</v>
      </c>
    </row>
    <row r="242" spans="1:8">
      <c r="B242">
        <v>44</v>
      </c>
      <c r="C242">
        <v>45</v>
      </c>
      <c r="D242">
        <v>125</v>
      </c>
      <c r="E242">
        <v>219</v>
      </c>
      <c r="H242" s="1" t="s">
        <v>161</v>
      </c>
    </row>
    <row r="243" spans="1:8">
      <c r="A243" t="s">
        <v>23</v>
      </c>
      <c r="B243">
        <v>660</v>
      </c>
      <c r="C243">
        <v>661</v>
      </c>
      <c r="D243">
        <v>658</v>
      </c>
      <c r="E243">
        <v>667</v>
      </c>
      <c r="H243" s="2" t="s">
        <v>17</v>
      </c>
    </row>
    <row r="244" spans="1:8">
      <c r="A244" t="s">
        <v>106</v>
      </c>
      <c r="B244">
        <v>661.5</v>
      </c>
      <c r="C244">
        <v>661.5</v>
      </c>
      <c r="D244">
        <v>661.5</v>
      </c>
      <c r="E244">
        <v>661.5</v>
      </c>
      <c r="H244" s="3" t="s">
        <v>123</v>
      </c>
    </row>
    <row r="245" spans="1:8">
      <c r="A245" t="s">
        <v>107</v>
      </c>
      <c r="B245">
        <f>(B244-B243)*(B244-B243)</f>
        <v>2.25</v>
      </c>
      <c r="C245" s="18">
        <f t="shared" ref="C245:E245" si="38">(C244-C243)*(C244-C243)</f>
        <v>0.25</v>
      </c>
      <c r="D245" s="18">
        <f t="shared" si="38"/>
        <v>12.25</v>
      </c>
      <c r="E245" s="18">
        <f t="shared" si="38"/>
        <v>30.25</v>
      </c>
    </row>
    <row r="246" spans="1:8">
      <c r="A246" t="s">
        <v>108</v>
      </c>
      <c r="B246" s="18">
        <v>3.3541019662496847</v>
      </c>
      <c r="C246" s="18">
        <v>3.3541019662496847</v>
      </c>
      <c r="D246">
        <v>3.3541019662496847</v>
      </c>
      <c r="E246">
        <v>3.3541019662496847</v>
      </c>
    </row>
    <row r="247" spans="1:8">
      <c r="A247" t="s">
        <v>105</v>
      </c>
      <c r="B247">
        <f>B246/SQRT(4)</f>
        <v>1.6770509831248424</v>
      </c>
      <c r="C247" s="18">
        <f t="shared" ref="C247:E247" si="39">C246/SQRT(4)</f>
        <v>1.6770509831248424</v>
      </c>
      <c r="D247" s="18">
        <f t="shared" si="39"/>
        <v>1.6770509831248424</v>
      </c>
      <c r="E247" s="18">
        <f t="shared" si="39"/>
        <v>1.6770509831248424</v>
      </c>
    </row>
    <row r="248" spans="1:8">
      <c r="A248" t="s">
        <v>99</v>
      </c>
      <c r="B248" t="s">
        <v>124</v>
      </c>
      <c r="C248">
        <v>95</v>
      </c>
      <c r="D248">
        <v>96</v>
      </c>
      <c r="E248">
        <v>98</v>
      </c>
      <c r="F248">
        <v>194</v>
      </c>
    </row>
    <row r="249" spans="1:8">
      <c r="A249" t="s">
        <v>165</v>
      </c>
      <c r="B249">
        <f>4802-444</f>
        <v>4358</v>
      </c>
      <c r="C249">
        <f>1804-64*7</f>
        <v>1356</v>
      </c>
      <c r="D249">
        <f>1961-64*7</f>
        <v>1513</v>
      </c>
      <c r="E249">
        <f>1746-64*7</f>
        <v>1298</v>
      </c>
      <c r="F249">
        <f>1895-64*7</f>
        <v>1447</v>
      </c>
    </row>
    <row r="250" spans="1:8">
      <c r="A250" t="s">
        <v>171</v>
      </c>
      <c r="C250">
        <v>1403.5</v>
      </c>
      <c r="D250">
        <v>1403.5</v>
      </c>
      <c r="E250">
        <v>1403.5</v>
      </c>
      <c r="F250">
        <v>1403.5</v>
      </c>
    </row>
    <row r="251" spans="1:8">
      <c r="A251" t="s">
        <v>170</v>
      </c>
      <c r="C251">
        <f>(C250-C249)*(C250-C249)</f>
        <v>2256.25</v>
      </c>
      <c r="D251" s="18">
        <f t="shared" ref="D251:F251" si="40">(D250-D249)*(D250-D249)</f>
        <v>11990.25</v>
      </c>
      <c r="E251" s="18">
        <f t="shared" si="40"/>
        <v>11130.25</v>
      </c>
      <c r="F251" s="18">
        <f t="shared" si="40"/>
        <v>1892.25</v>
      </c>
    </row>
    <row r="252" spans="1:8">
      <c r="A252" t="s">
        <v>169</v>
      </c>
      <c r="C252" s="18">
        <v>82.566639752384262</v>
      </c>
      <c r="D252" s="18">
        <v>82.566639752384262</v>
      </c>
      <c r="E252">
        <v>82.566639752384262</v>
      </c>
      <c r="F252">
        <v>82.566639752384262</v>
      </c>
    </row>
    <row r="253" spans="1:8">
      <c r="A253" t="s">
        <v>173</v>
      </c>
      <c r="C253">
        <f>C252/SQRT(4)</f>
        <v>41.283319876192131</v>
      </c>
      <c r="D253" s="18">
        <f t="shared" ref="D253:F253" si="41">D252/SQRT(4)</f>
        <v>41.283319876192131</v>
      </c>
      <c r="E253" s="18">
        <f t="shared" si="41"/>
        <v>41.283319876192131</v>
      </c>
      <c r="F253" s="18">
        <f t="shared" si="41"/>
        <v>41.283319876192131</v>
      </c>
    </row>
    <row r="255" spans="1:8">
      <c r="A255" t="s">
        <v>69</v>
      </c>
      <c r="F255">
        <v>201</v>
      </c>
      <c r="G255">
        <v>210</v>
      </c>
    </row>
    <row r="256" spans="1:8">
      <c r="A256" t="s">
        <v>22</v>
      </c>
      <c r="B256">
        <f>1235-120</f>
        <v>1115</v>
      </c>
      <c r="C256">
        <f>1151-120</f>
        <v>1031</v>
      </c>
      <c r="D256">
        <f>1243-120</f>
        <v>1123</v>
      </c>
      <c r="E256">
        <v>1121</v>
      </c>
      <c r="F256">
        <v>1217</v>
      </c>
      <c r="G256">
        <f>19*60+15</f>
        <v>1155</v>
      </c>
    </row>
    <row r="257" spans="1:12">
      <c r="A257" t="s">
        <v>171</v>
      </c>
      <c r="B257">
        <v>1127</v>
      </c>
      <c r="C257">
        <v>1127</v>
      </c>
      <c r="D257">
        <v>1127</v>
      </c>
      <c r="E257">
        <v>1127</v>
      </c>
      <c r="F257">
        <v>1127</v>
      </c>
      <c r="G257">
        <v>1127</v>
      </c>
    </row>
    <row r="258" spans="1:12">
      <c r="A258" t="s">
        <v>170</v>
      </c>
      <c r="B258">
        <f>(B256-B257)*(B256-B257)</f>
        <v>144</v>
      </c>
      <c r="C258" s="18">
        <f t="shared" ref="C258:G258" si="42">(C256-C257)*(C256-C257)</f>
        <v>9216</v>
      </c>
      <c r="D258" s="18">
        <f t="shared" si="42"/>
        <v>16</v>
      </c>
      <c r="E258" s="18">
        <f t="shared" si="42"/>
        <v>36</v>
      </c>
      <c r="F258" s="18">
        <f t="shared" si="42"/>
        <v>8100</v>
      </c>
      <c r="G258" s="18">
        <f t="shared" si="42"/>
        <v>784</v>
      </c>
    </row>
    <row r="259" spans="1:12">
      <c r="A259" t="s">
        <v>169</v>
      </c>
      <c r="B259" s="18">
        <v>55.220769039676853</v>
      </c>
      <c r="C259" s="18">
        <v>55.220769039676853</v>
      </c>
      <c r="D259">
        <v>55.220769039676853</v>
      </c>
      <c r="E259">
        <v>55.220769039676853</v>
      </c>
      <c r="F259">
        <v>55.220769039676853</v>
      </c>
      <c r="G259">
        <v>55.220769039676853</v>
      </c>
    </row>
    <row r="260" spans="1:12">
      <c r="A260" t="s">
        <v>173</v>
      </c>
      <c r="B260">
        <f>B259/SQRT(6)</f>
        <v>22.543784558547891</v>
      </c>
      <c r="C260" s="18">
        <f t="shared" ref="C260:G260" si="43">C259/SQRT(6)</f>
        <v>22.543784558547891</v>
      </c>
      <c r="D260" s="18">
        <f t="shared" si="43"/>
        <v>22.543784558547891</v>
      </c>
      <c r="E260" s="18">
        <f t="shared" si="43"/>
        <v>22.543784558547891</v>
      </c>
      <c r="F260" s="18">
        <f t="shared" si="43"/>
        <v>22.543784558547891</v>
      </c>
      <c r="G260" s="18">
        <f t="shared" si="43"/>
        <v>22.543784558547891</v>
      </c>
    </row>
    <row r="269" spans="1:12">
      <c r="A269" t="s">
        <v>70</v>
      </c>
      <c r="D269" t="s">
        <v>72</v>
      </c>
      <c r="E269" t="s">
        <v>72</v>
      </c>
      <c r="F269" t="s">
        <v>72</v>
      </c>
      <c r="I269" t="s">
        <v>183</v>
      </c>
    </row>
    <row r="270" spans="1:12">
      <c r="B270">
        <v>87</v>
      </c>
      <c r="C270">
        <v>88</v>
      </c>
      <c r="D270">
        <v>89</v>
      </c>
      <c r="E270">
        <v>90</v>
      </c>
      <c r="F270">
        <v>91</v>
      </c>
      <c r="G270">
        <v>94</v>
      </c>
      <c r="H270">
        <v>96</v>
      </c>
      <c r="I270">
        <v>97</v>
      </c>
      <c r="J270">
        <v>99</v>
      </c>
      <c r="K270">
        <v>100</v>
      </c>
      <c r="L270">
        <v>102</v>
      </c>
    </row>
    <row r="271" spans="1:12">
      <c r="A271" t="s">
        <v>23</v>
      </c>
      <c r="B271" t="s">
        <v>181</v>
      </c>
      <c r="C271" t="s">
        <v>181</v>
      </c>
      <c r="D271">
        <f>16*60+29</f>
        <v>989</v>
      </c>
      <c r="E271" t="s">
        <v>181</v>
      </c>
      <c r="F271">
        <v>987</v>
      </c>
      <c r="G271">
        <f>14*60+35</f>
        <v>875</v>
      </c>
      <c r="H271" t="s">
        <v>180</v>
      </c>
      <c r="I271">
        <f>13*60+8</f>
        <v>788</v>
      </c>
      <c r="J271">
        <f>12*60+44</f>
        <v>764</v>
      </c>
      <c r="K271">
        <f>13*60+20</f>
        <v>800</v>
      </c>
      <c r="L271">
        <f>12*60+38</f>
        <v>758</v>
      </c>
    </row>
    <row r="272" spans="1:12">
      <c r="A272" t="s">
        <v>171</v>
      </c>
      <c r="B272" t="s">
        <v>180</v>
      </c>
      <c r="C272" t="s">
        <v>180</v>
      </c>
      <c r="I272">
        <v>777.5</v>
      </c>
      <c r="J272">
        <v>777.5</v>
      </c>
      <c r="K272">
        <v>777.5</v>
      </c>
      <c r="L272">
        <v>777.5</v>
      </c>
    </row>
    <row r="273" spans="1:12">
      <c r="A273" t="s">
        <v>107</v>
      </c>
      <c r="I273">
        <f>(I272-I271)*(I272-I271)</f>
        <v>110.25</v>
      </c>
      <c r="J273">
        <f t="shared" ref="J273:L273" si="44">(J272-J271)*(J272-J271)</f>
        <v>182.25</v>
      </c>
      <c r="K273">
        <f t="shared" si="44"/>
        <v>506.25</v>
      </c>
      <c r="L273">
        <f t="shared" si="44"/>
        <v>380.25</v>
      </c>
    </row>
    <row r="274" spans="1:12">
      <c r="A274" t="s">
        <v>169</v>
      </c>
      <c r="I274">
        <v>17.168284713389397</v>
      </c>
      <c r="J274">
        <v>17.168284713389397</v>
      </c>
      <c r="K274">
        <v>17.168284713389397</v>
      </c>
      <c r="L274">
        <v>17.168284713389397</v>
      </c>
    </row>
    <row r="275" spans="1:12">
      <c r="A275" t="s">
        <v>173</v>
      </c>
      <c r="I275">
        <f>I274/SQRT(4)</f>
        <v>8.5841423566946986</v>
      </c>
      <c r="J275">
        <f t="shared" ref="J275:L275" si="45">J274/SQRT(4)</f>
        <v>8.5841423566946986</v>
      </c>
      <c r="K275">
        <f t="shared" si="45"/>
        <v>8.5841423566946986</v>
      </c>
      <c r="L275">
        <f t="shared" si="45"/>
        <v>8.5841423566946986</v>
      </c>
    </row>
    <row r="276" spans="1:12">
      <c r="B276">
        <v>97</v>
      </c>
    </row>
    <row r="277" spans="1:12">
      <c r="A277" t="s">
        <v>165</v>
      </c>
      <c r="B277">
        <f>2845-128*7</f>
        <v>1949</v>
      </c>
    </row>
    <row r="278" spans="1:12">
      <c r="A278" t="s">
        <v>171</v>
      </c>
    </row>
    <row r="279" spans="1:12">
      <c r="A279" t="s">
        <v>170</v>
      </c>
    </row>
    <row r="280" spans="1:12">
      <c r="A280" t="s">
        <v>169</v>
      </c>
    </row>
    <row r="281" spans="1:12">
      <c r="A281" t="s">
        <v>173</v>
      </c>
    </row>
    <row r="282" spans="1:12">
      <c r="B282" t="s">
        <v>18</v>
      </c>
      <c r="C282" t="s">
        <v>19</v>
      </c>
      <c r="D282" t="s">
        <v>20</v>
      </c>
    </row>
    <row r="283" spans="1:12">
      <c r="A283" t="s">
        <v>71</v>
      </c>
      <c r="B283">
        <v>87</v>
      </c>
      <c r="C283">
        <v>88</v>
      </c>
      <c r="D283">
        <v>89</v>
      </c>
      <c r="E283">
        <v>90</v>
      </c>
      <c r="F283">
        <v>91</v>
      </c>
    </row>
    <row r="284" spans="1:12">
      <c r="A284" t="s">
        <v>22</v>
      </c>
      <c r="B284">
        <f>31*60+33</f>
        <v>1893</v>
      </c>
      <c r="C284">
        <f>141*60+3</f>
        <v>8463</v>
      </c>
      <c r="D284">
        <f>108*60+34</f>
        <v>6514</v>
      </c>
      <c r="E284">
        <f>109*60+5</f>
        <v>6545</v>
      </c>
    </row>
    <row r="285" spans="1:12">
      <c r="A285" t="s">
        <v>171</v>
      </c>
    </row>
    <row r="286" spans="1:12">
      <c r="A286" t="s">
        <v>170</v>
      </c>
    </row>
    <row r="287" spans="1:12">
      <c r="A287" t="s">
        <v>169</v>
      </c>
    </row>
    <row r="288" spans="1:12">
      <c r="A288" t="s">
        <v>173</v>
      </c>
    </row>
    <row r="290" spans="1:6">
      <c r="A290" t="s">
        <v>78</v>
      </c>
    </row>
    <row r="292" spans="1:6">
      <c r="A292" t="s">
        <v>79</v>
      </c>
      <c r="E292" t="s">
        <v>182</v>
      </c>
    </row>
    <row r="293" spans="1:6">
      <c r="B293">
        <v>92</v>
      </c>
      <c r="C293">
        <v>93</v>
      </c>
      <c r="D293">
        <v>95</v>
      </c>
      <c r="E293">
        <v>98</v>
      </c>
      <c r="F293">
        <v>101</v>
      </c>
    </row>
    <row r="294" spans="1:6">
      <c r="A294" t="s">
        <v>23</v>
      </c>
      <c r="B294">
        <v>981</v>
      </c>
      <c r="C294">
        <v>990</v>
      </c>
      <c r="D294">
        <f>16*60+29</f>
        <v>989</v>
      </c>
      <c r="E294">
        <f>14*60+6</f>
        <v>846</v>
      </c>
      <c r="F294">
        <f>15*60+18</f>
        <v>918</v>
      </c>
    </row>
    <row r="295" spans="1:6">
      <c r="A295" t="s">
        <v>171</v>
      </c>
      <c r="E295">
        <v>882</v>
      </c>
      <c r="F295">
        <v>882</v>
      </c>
    </row>
    <row r="296" spans="1:6">
      <c r="A296" t="s">
        <v>107</v>
      </c>
      <c r="E296">
        <f>(E295-E294)*(E295-E294)</f>
        <v>1296</v>
      </c>
      <c r="F296">
        <f t="shared" ref="F296" si="46">(F295-F294)*(F295-F294)</f>
        <v>1296</v>
      </c>
    </row>
    <row r="297" spans="1:6">
      <c r="A297" t="s">
        <v>169</v>
      </c>
      <c r="E297">
        <v>36</v>
      </c>
      <c r="F297">
        <v>36</v>
      </c>
    </row>
    <row r="298" spans="1:6">
      <c r="A298" t="s">
        <v>173</v>
      </c>
      <c r="E298">
        <f>36/SQRT(2)</f>
        <v>25.45584412271571</v>
      </c>
      <c r="F298">
        <f>36/SQRT(2)</f>
        <v>25.45584412271571</v>
      </c>
    </row>
    <row r="301" spans="1:6" s="19" customFormat="1">
      <c r="A301"/>
    </row>
    <row r="306" spans="1:6">
      <c r="A306" s="1" t="s">
        <v>77</v>
      </c>
      <c r="B306" t="s">
        <v>81</v>
      </c>
      <c r="D306" t="s">
        <v>137</v>
      </c>
    </row>
    <row r="308" spans="1:6">
      <c r="A308" t="s">
        <v>22</v>
      </c>
      <c r="B308">
        <v>1184</v>
      </c>
      <c r="C308">
        <v>663</v>
      </c>
      <c r="D308">
        <v>1092</v>
      </c>
      <c r="E308">
        <v>1031</v>
      </c>
      <c r="F308">
        <v>1127</v>
      </c>
    </row>
    <row r="309" spans="1:6">
      <c r="A309" t="s">
        <v>82</v>
      </c>
      <c r="B309">
        <v>561</v>
      </c>
      <c r="C309">
        <v>327</v>
      </c>
      <c r="D309">
        <v>578</v>
      </c>
      <c r="E309">
        <v>626</v>
      </c>
      <c r="F309">
        <v>584</v>
      </c>
    </row>
    <row r="310" spans="1:6">
      <c r="A310" t="s">
        <v>26</v>
      </c>
    </row>
    <row r="311" spans="1:6">
      <c r="A311" t="s">
        <v>172</v>
      </c>
    </row>
    <row r="312" spans="1:6">
      <c r="A312" t="s">
        <v>28</v>
      </c>
    </row>
    <row r="313" spans="1:6">
      <c r="A313" t="s">
        <v>105</v>
      </c>
    </row>
    <row r="316" spans="1:6">
      <c r="A316" t="s">
        <v>23</v>
      </c>
      <c r="B316">
        <v>871</v>
      </c>
      <c r="C316">
        <f>960+43</f>
        <v>1003</v>
      </c>
      <c r="D316">
        <v>1040</v>
      </c>
      <c r="E316">
        <v>1077</v>
      </c>
      <c r="F316">
        <v>1140</v>
      </c>
    </row>
    <row r="317" spans="1:6">
      <c r="A317" t="s">
        <v>83</v>
      </c>
      <c r="B317">
        <v>524</v>
      </c>
      <c r="C317">
        <v>497</v>
      </c>
      <c r="D317">
        <v>567</v>
      </c>
      <c r="E317">
        <v>556</v>
      </c>
      <c r="F317">
        <v>615</v>
      </c>
    </row>
    <row r="318" spans="1:6">
      <c r="A318" t="s">
        <v>84</v>
      </c>
    </row>
    <row r="319" spans="1:6">
      <c r="A319" t="s">
        <v>85</v>
      </c>
    </row>
    <row r="320" spans="1:6">
      <c r="A320" t="s">
        <v>86</v>
      </c>
    </row>
    <row r="321" spans="1:6">
      <c r="A321" t="s">
        <v>87</v>
      </c>
    </row>
    <row r="323" spans="1:6">
      <c r="A323" t="s">
        <v>24</v>
      </c>
      <c r="B323">
        <v>1063</v>
      </c>
      <c r="C323">
        <f>572+460</f>
        <v>1032</v>
      </c>
      <c r="D323">
        <v>1042</v>
      </c>
      <c r="E323">
        <v>1037</v>
      </c>
      <c r="F323">
        <v>1590</v>
      </c>
    </row>
    <row r="324" spans="1:6">
      <c r="A324" t="s">
        <v>83</v>
      </c>
      <c r="B324">
        <v>463</v>
      </c>
      <c r="C324">
        <v>572</v>
      </c>
      <c r="D324">
        <v>574</v>
      </c>
      <c r="E324">
        <v>576</v>
      </c>
      <c r="F324">
        <v>830</v>
      </c>
    </row>
    <row r="325" spans="1:6">
      <c r="A325" t="s">
        <v>88</v>
      </c>
    </row>
    <row r="326" spans="1:6">
      <c r="A326" t="s">
        <v>89</v>
      </c>
    </row>
    <row r="327" spans="1:6">
      <c r="A327" t="s">
        <v>90</v>
      </c>
    </row>
    <row r="328" spans="1:6">
      <c r="A328" t="s">
        <v>91</v>
      </c>
    </row>
    <row r="336" spans="1:6">
      <c r="A336" t="s">
        <v>135</v>
      </c>
      <c r="B336" t="s">
        <v>136</v>
      </c>
    </row>
    <row r="337" spans="1:26">
      <c r="H337" t="s">
        <v>138</v>
      </c>
    </row>
    <row r="338" spans="1:26">
      <c r="A338" t="s">
        <v>94</v>
      </c>
      <c r="B338">
        <v>1063</v>
      </c>
      <c r="C338">
        <f>572+460</f>
        <v>1032</v>
      </c>
      <c r="D338">
        <v>1042</v>
      </c>
      <c r="E338">
        <v>1037</v>
      </c>
      <c r="F338">
        <v>1590</v>
      </c>
      <c r="H338">
        <v>463</v>
      </c>
      <c r="I338">
        <v>572</v>
      </c>
      <c r="J338">
        <v>574</v>
      </c>
      <c r="K338">
        <v>576</v>
      </c>
      <c r="L338">
        <v>830</v>
      </c>
    </row>
    <row r="339" spans="1:26">
      <c r="A339" t="s">
        <v>92</v>
      </c>
      <c r="B339">
        <v>1184</v>
      </c>
      <c r="C339">
        <v>663</v>
      </c>
      <c r="D339">
        <v>1092</v>
      </c>
      <c r="E339">
        <v>1031</v>
      </c>
      <c r="F339">
        <v>1127</v>
      </c>
      <c r="H339">
        <v>561</v>
      </c>
      <c r="I339">
        <v>327</v>
      </c>
      <c r="J339">
        <v>578</v>
      </c>
      <c r="K339">
        <v>626</v>
      </c>
      <c r="L339">
        <v>584</v>
      </c>
    </row>
    <row r="340" spans="1:26">
      <c r="A340" t="s">
        <v>93</v>
      </c>
      <c r="B340">
        <v>871</v>
      </c>
      <c r="C340">
        <f>960+43</f>
        <v>1003</v>
      </c>
      <c r="D340">
        <v>1040</v>
      </c>
      <c r="E340">
        <v>1077</v>
      </c>
      <c r="F340">
        <v>1140</v>
      </c>
      <c r="H340">
        <v>524</v>
      </c>
      <c r="I340">
        <v>497</v>
      </c>
      <c r="J340">
        <v>567</v>
      </c>
      <c r="K340">
        <v>556</v>
      </c>
      <c r="L340">
        <v>615</v>
      </c>
    </row>
    <row r="343" spans="1:26">
      <c r="A343" t="s">
        <v>13</v>
      </c>
      <c r="B343" t="s">
        <v>15</v>
      </c>
      <c r="C343" t="s">
        <v>16</v>
      </c>
      <c r="D343" t="s">
        <v>119</v>
      </c>
      <c r="E343" t="s">
        <v>120</v>
      </c>
      <c r="F343" t="s">
        <v>121</v>
      </c>
      <c r="G343" t="s">
        <v>122</v>
      </c>
      <c r="H343" t="s">
        <v>97</v>
      </c>
      <c r="I343" t="s">
        <v>98</v>
      </c>
      <c r="J343" t="s">
        <v>100</v>
      </c>
      <c r="K343" t="s">
        <v>101</v>
      </c>
      <c r="L343" t="s">
        <v>102</v>
      </c>
      <c r="N343" t="s">
        <v>138</v>
      </c>
      <c r="O343" t="s">
        <v>15</v>
      </c>
      <c r="P343" t="s">
        <v>16</v>
      </c>
      <c r="Q343" t="s">
        <v>119</v>
      </c>
      <c r="R343" t="s">
        <v>120</v>
      </c>
      <c r="S343" t="s">
        <v>121</v>
      </c>
      <c r="T343" t="s">
        <v>122</v>
      </c>
      <c r="U343" t="s">
        <v>97</v>
      </c>
      <c r="V343" t="s">
        <v>98</v>
      </c>
      <c r="W343" t="s">
        <v>100</v>
      </c>
      <c r="X343" t="s">
        <v>101</v>
      </c>
      <c r="Y343" t="s">
        <v>102</v>
      </c>
    </row>
    <row r="344" spans="1:26">
      <c r="A344" t="s">
        <v>95</v>
      </c>
      <c r="B344">
        <v>1695</v>
      </c>
      <c r="C344">
        <v>937</v>
      </c>
      <c r="D344">
        <v>988</v>
      </c>
      <c r="E344">
        <v>1205</v>
      </c>
      <c r="F344">
        <v>924</v>
      </c>
      <c r="G344">
        <f>22*60+26</f>
        <v>1346</v>
      </c>
      <c r="H344">
        <f>15*60+53</f>
        <v>953</v>
      </c>
      <c r="I344">
        <f>17*60+41</f>
        <v>1061</v>
      </c>
      <c r="J344">
        <f>13*60+30</f>
        <v>810</v>
      </c>
      <c r="K344">
        <f>31*60+47</f>
        <v>1907</v>
      </c>
      <c r="O344">
        <v>770</v>
      </c>
      <c r="P344">
        <v>465</v>
      </c>
      <c r="Q344">
        <v>505</v>
      </c>
      <c r="R344">
        <v>570</v>
      </c>
      <c r="S344">
        <v>478</v>
      </c>
      <c r="T344">
        <v>695</v>
      </c>
      <c r="U344">
        <v>462</v>
      </c>
      <c r="V344">
        <v>589</v>
      </c>
      <c r="W344">
        <v>348</v>
      </c>
      <c r="X344">
        <f>14*60+41</f>
        <v>881</v>
      </c>
    </row>
    <row r="345" spans="1:26">
      <c r="A345" t="s">
        <v>139</v>
      </c>
      <c r="B345">
        <f>SUM(B344:K344)/10</f>
        <v>1182.5999999999999</v>
      </c>
      <c r="C345">
        <v>1182.5999999999999</v>
      </c>
      <c r="D345">
        <v>1182.5999999999999</v>
      </c>
      <c r="E345">
        <v>1182.5999999999999</v>
      </c>
      <c r="F345">
        <v>1182.5999999999999</v>
      </c>
      <c r="G345">
        <v>1182.5999999999999</v>
      </c>
      <c r="H345">
        <v>1182.5999999999999</v>
      </c>
      <c r="I345">
        <v>1182.5999999999999</v>
      </c>
      <c r="J345">
        <v>1182.5999999999999</v>
      </c>
      <c r="K345">
        <v>1182.5999999999999</v>
      </c>
      <c r="O345">
        <v>576.29999999999995</v>
      </c>
      <c r="P345">
        <v>576.29999999999995</v>
      </c>
      <c r="Q345">
        <v>576.29999999999995</v>
      </c>
      <c r="R345">
        <v>576.29999999999995</v>
      </c>
      <c r="S345">
        <v>576.29999999999995</v>
      </c>
      <c r="T345">
        <v>576.29999999999995</v>
      </c>
      <c r="U345">
        <v>576.29999999999995</v>
      </c>
      <c r="V345">
        <v>576.29999999999995</v>
      </c>
      <c r="W345">
        <v>576.29999999999995</v>
      </c>
      <c r="X345">
        <v>576.29999999999995</v>
      </c>
    </row>
    <row r="346" spans="1:26">
      <c r="A346" t="s">
        <v>140</v>
      </c>
      <c r="B346">
        <f>(B344-B345)*(B344-B345)</f>
        <v>262553.76000000007</v>
      </c>
      <c r="C346">
        <f t="shared" ref="C346:K346" si="47">(C344-C345)*(C344-C345)</f>
        <v>60319.359999999957</v>
      </c>
      <c r="D346">
        <f t="shared" si="47"/>
        <v>37869.159999999967</v>
      </c>
      <c r="E346">
        <f t="shared" si="47"/>
        <v>501.76000000000408</v>
      </c>
      <c r="F346">
        <f t="shared" si="47"/>
        <v>66873.959999999948</v>
      </c>
      <c r="G346">
        <f t="shared" si="47"/>
        <v>26699.56000000003</v>
      </c>
      <c r="H346">
        <f t="shared" si="47"/>
        <v>52716.15999999996</v>
      </c>
      <c r="I346">
        <f t="shared" si="47"/>
        <v>14786.559999999978</v>
      </c>
      <c r="J346">
        <f t="shared" si="47"/>
        <v>138830.75999999992</v>
      </c>
      <c r="K346">
        <f t="shared" si="47"/>
        <v>524755.3600000001</v>
      </c>
      <c r="O346">
        <f>(O344-O345)*(O344-O345)</f>
        <v>37519.690000000017</v>
      </c>
      <c r="P346">
        <f t="shared" ref="P346:X346" si="48">(P344-P345)*(P344-P345)</f>
        <v>12387.68999999999</v>
      </c>
      <c r="Q346">
        <f t="shared" si="48"/>
        <v>5083.6899999999932</v>
      </c>
      <c r="R346">
        <f t="shared" si="48"/>
        <v>39.689999999999429</v>
      </c>
      <c r="S346">
        <f t="shared" si="48"/>
        <v>9662.8899999999903</v>
      </c>
      <c r="T346">
        <f t="shared" si="48"/>
        <v>14089.690000000011</v>
      </c>
      <c r="U346">
        <f t="shared" si="48"/>
        <v>13064.489999999989</v>
      </c>
      <c r="V346">
        <f t="shared" si="48"/>
        <v>161.29000000000116</v>
      </c>
      <c r="W346">
        <f t="shared" si="48"/>
        <v>52120.889999999978</v>
      </c>
      <c r="X346">
        <f t="shared" si="48"/>
        <v>92842.090000000026</v>
      </c>
    </row>
    <row r="347" spans="1:26">
      <c r="A347" t="s">
        <v>141</v>
      </c>
      <c r="B347">
        <v>344.36991738536045</v>
      </c>
      <c r="C347">
        <v>344.36991738536045</v>
      </c>
      <c r="D347">
        <v>344.36991738536045</v>
      </c>
      <c r="E347">
        <v>344.36991738536045</v>
      </c>
      <c r="F347">
        <v>344.36991738536045</v>
      </c>
      <c r="G347">
        <v>344.36991738536045</v>
      </c>
      <c r="H347">
        <v>344.36991738536045</v>
      </c>
      <c r="I347">
        <v>344.36991738536045</v>
      </c>
      <c r="J347">
        <v>344.36991738536045</v>
      </c>
      <c r="K347">
        <v>344.36991738536045</v>
      </c>
      <c r="O347">
        <v>153.93898141796313</v>
      </c>
      <c r="P347">
        <v>153.93898141796313</v>
      </c>
      <c r="Q347">
        <v>153.93898141796313</v>
      </c>
      <c r="R347">
        <v>153.93898141796313</v>
      </c>
      <c r="S347">
        <v>153.93898141796313</v>
      </c>
      <c r="T347">
        <v>153.93898141796313</v>
      </c>
      <c r="U347">
        <v>153.93898141796313</v>
      </c>
      <c r="V347">
        <v>153.93898141796313</v>
      </c>
      <c r="W347">
        <v>153.93898141796313</v>
      </c>
      <c r="X347">
        <v>153.93898141796313</v>
      </c>
    </row>
    <row r="348" spans="1:26">
      <c r="A348" t="s">
        <v>142</v>
      </c>
      <c r="B348">
        <f>B347/SQRT(10)</f>
        <v>108.89932965817557</v>
      </c>
      <c r="C348">
        <f t="shared" ref="C348:K348" si="49">C347/SQRT(10)</f>
        <v>108.89932965817557</v>
      </c>
      <c r="D348">
        <f t="shared" si="49"/>
        <v>108.89932965817557</v>
      </c>
      <c r="E348">
        <f t="shared" si="49"/>
        <v>108.89932965817557</v>
      </c>
      <c r="F348">
        <f t="shared" si="49"/>
        <v>108.89932965817557</v>
      </c>
      <c r="G348">
        <f t="shared" si="49"/>
        <v>108.89932965817557</v>
      </c>
      <c r="H348">
        <f t="shared" si="49"/>
        <v>108.89932965817557</v>
      </c>
      <c r="I348">
        <f t="shared" si="49"/>
        <v>108.89932965817557</v>
      </c>
      <c r="J348">
        <f t="shared" si="49"/>
        <v>108.89932965817557</v>
      </c>
      <c r="K348">
        <f t="shared" si="49"/>
        <v>108.89932965817557</v>
      </c>
      <c r="O348">
        <f>O347/SQRT(10)</f>
        <v>48.679780196710006</v>
      </c>
      <c r="P348">
        <f t="shared" ref="P348:X348" si="50">P347/SQRT(10)</f>
        <v>48.679780196710006</v>
      </c>
      <c r="Q348">
        <f t="shared" si="50"/>
        <v>48.679780196710006</v>
      </c>
      <c r="R348">
        <f t="shared" si="50"/>
        <v>48.679780196710006</v>
      </c>
      <c r="S348">
        <f t="shared" si="50"/>
        <v>48.679780196710006</v>
      </c>
      <c r="T348">
        <f t="shared" si="50"/>
        <v>48.679780196710006</v>
      </c>
      <c r="U348">
        <f t="shared" si="50"/>
        <v>48.679780196710006</v>
      </c>
      <c r="V348">
        <f t="shared" si="50"/>
        <v>48.679780196710006</v>
      </c>
      <c r="W348">
        <f t="shared" si="50"/>
        <v>48.679780196710006</v>
      </c>
      <c r="X348">
        <f t="shared" si="50"/>
        <v>48.679780196710006</v>
      </c>
    </row>
    <row r="350" spans="1:26">
      <c r="B350" t="s">
        <v>103</v>
      </c>
      <c r="C350" t="s">
        <v>104</v>
      </c>
      <c r="D350" t="s">
        <v>0</v>
      </c>
      <c r="E350" t="s">
        <v>98</v>
      </c>
      <c r="F350" t="s">
        <v>11</v>
      </c>
      <c r="G350" t="s">
        <v>2</v>
      </c>
      <c r="H350" t="s">
        <v>102</v>
      </c>
      <c r="I350" t="s">
        <v>3</v>
      </c>
      <c r="J350" t="s">
        <v>4</v>
      </c>
      <c r="K350" t="s">
        <v>5</v>
      </c>
      <c r="L350" t="s">
        <v>6</v>
      </c>
      <c r="M350" t="s">
        <v>7</v>
      </c>
      <c r="O350" t="s">
        <v>103</v>
      </c>
      <c r="P350" t="s">
        <v>104</v>
      </c>
      <c r="Q350" t="s">
        <v>0</v>
      </c>
      <c r="R350" t="s">
        <v>98</v>
      </c>
      <c r="S350" t="s">
        <v>1</v>
      </c>
      <c r="T350" t="s">
        <v>2</v>
      </c>
      <c r="U350" t="s">
        <v>102</v>
      </c>
      <c r="V350" t="s">
        <v>3</v>
      </c>
      <c r="W350" t="s">
        <v>4</v>
      </c>
      <c r="X350" t="s">
        <v>5</v>
      </c>
      <c r="Y350" t="s">
        <v>6</v>
      </c>
      <c r="Z350" t="s">
        <v>7</v>
      </c>
    </row>
    <row r="351" spans="1:26">
      <c r="A351" t="s">
        <v>96</v>
      </c>
      <c r="B351">
        <f>1740+34</f>
        <v>1774</v>
      </c>
      <c r="C351">
        <f>22*60+35</f>
        <v>1355</v>
      </c>
      <c r="D351">
        <f>12*60+59</f>
        <v>779</v>
      </c>
      <c r="E351">
        <v>652</v>
      </c>
      <c r="F351">
        <v>666</v>
      </c>
      <c r="G351">
        <f>14*60+45</f>
        <v>885</v>
      </c>
      <c r="H351">
        <v>664</v>
      </c>
      <c r="I351">
        <v>669</v>
      </c>
      <c r="J351">
        <v>670</v>
      </c>
      <c r="K351">
        <v>642</v>
      </c>
      <c r="L351">
        <v>854</v>
      </c>
      <c r="M351">
        <v>817</v>
      </c>
      <c r="O351">
        <v>724</v>
      </c>
      <c r="P351">
        <v>698</v>
      </c>
      <c r="Q351">
        <v>400</v>
      </c>
      <c r="R351">
        <v>351</v>
      </c>
      <c r="S351">
        <v>372</v>
      </c>
      <c r="T351">
        <v>583</v>
      </c>
      <c r="U351">
        <v>332</v>
      </c>
      <c r="V351">
        <v>369</v>
      </c>
      <c r="W351">
        <v>337</v>
      </c>
      <c r="X351">
        <v>324</v>
      </c>
      <c r="Y351">
        <v>467</v>
      </c>
      <c r="Z351">
        <v>448</v>
      </c>
    </row>
    <row r="352" spans="1:26">
      <c r="A352" t="s">
        <v>139</v>
      </c>
      <c r="B352">
        <f>SUM(B351:M351)/12</f>
        <v>868.91666666666663</v>
      </c>
      <c r="C352">
        <v>868.91666666666663</v>
      </c>
      <c r="D352">
        <v>868.91666666666663</v>
      </c>
      <c r="E352">
        <v>868.91666666666663</v>
      </c>
      <c r="F352">
        <v>868.91666666666663</v>
      </c>
      <c r="G352">
        <v>868.91666666666663</v>
      </c>
      <c r="H352">
        <v>868.91666666666663</v>
      </c>
      <c r="I352">
        <v>868.91666666666663</v>
      </c>
      <c r="J352">
        <v>868.91666666666663</v>
      </c>
      <c r="K352">
        <v>868.91666666666663</v>
      </c>
      <c r="L352">
        <v>868.91666666666663</v>
      </c>
      <c r="M352">
        <v>868.91666666666663</v>
      </c>
      <c r="O352">
        <v>450.41666666666669</v>
      </c>
      <c r="P352">
        <v>450.41666666666669</v>
      </c>
      <c r="Q352">
        <v>450.41666666666669</v>
      </c>
      <c r="R352">
        <v>450.41666666666669</v>
      </c>
      <c r="S352">
        <v>450.41666666666669</v>
      </c>
      <c r="T352">
        <v>450.41666666666669</v>
      </c>
      <c r="U352">
        <v>450.41666666666669</v>
      </c>
      <c r="V352">
        <v>450.41666666666669</v>
      </c>
      <c r="W352">
        <v>450.41666666666669</v>
      </c>
      <c r="X352">
        <v>450.41666666666669</v>
      </c>
      <c r="Y352">
        <v>450.41666666666669</v>
      </c>
      <c r="Z352">
        <v>450.41666666666669</v>
      </c>
    </row>
    <row r="353" spans="1:26">
      <c r="A353" t="s">
        <v>140</v>
      </c>
      <c r="B353">
        <f>(B351-B352)*(B351-B352)</f>
        <v>819175.84027777787</v>
      </c>
      <c r="C353">
        <f t="shared" ref="C353:M353" si="51">(C351-C352)*(C351-C352)</f>
        <v>236277.00694444447</v>
      </c>
      <c r="D353">
        <f t="shared" si="51"/>
        <v>8085.006944444438</v>
      </c>
      <c r="E353">
        <f t="shared" si="51"/>
        <v>47052.840277777759</v>
      </c>
      <c r="F353">
        <f t="shared" si="51"/>
        <v>41175.173611111095</v>
      </c>
      <c r="G353">
        <f t="shared" si="51"/>
        <v>258.67361111111234</v>
      </c>
      <c r="H353">
        <f t="shared" si="51"/>
        <v>41990.840277777759</v>
      </c>
      <c r="I353">
        <f t="shared" si="51"/>
        <v>39966.673611111095</v>
      </c>
      <c r="J353">
        <f t="shared" si="51"/>
        <v>39567.840277777759</v>
      </c>
      <c r="K353">
        <f t="shared" si="51"/>
        <v>51491.173611111095</v>
      </c>
      <c r="L353">
        <f t="shared" si="51"/>
        <v>222.50694444444332</v>
      </c>
      <c r="M353">
        <f t="shared" si="51"/>
        <v>2695.3402777777737</v>
      </c>
      <c r="O353">
        <f>(O351-O352)*(O351-O352)</f>
        <v>74847.840277777766</v>
      </c>
      <c r="P353">
        <f t="shared" ref="P353:Z353" si="52">(P351-P352)*(P351-P352)</f>
        <v>61297.506944444438</v>
      </c>
      <c r="Q353">
        <f t="shared" si="52"/>
        <v>2541.8402777777796</v>
      </c>
      <c r="R353">
        <f t="shared" si="52"/>
        <v>9883.673611111115</v>
      </c>
      <c r="S353">
        <f t="shared" si="52"/>
        <v>6149.173611111114</v>
      </c>
      <c r="T353">
        <f t="shared" si="52"/>
        <v>17578.340277777774</v>
      </c>
      <c r="U353">
        <f t="shared" si="52"/>
        <v>14022.506944444449</v>
      </c>
      <c r="V353">
        <f t="shared" si="52"/>
        <v>6628.673611111114</v>
      </c>
      <c r="W353">
        <f t="shared" si="52"/>
        <v>12863.340277777783</v>
      </c>
      <c r="X353">
        <f t="shared" si="52"/>
        <v>15981.173611111117</v>
      </c>
      <c r="Y353">
        <f t="shared" si="52"/>
        <v>275.00694444444383</v>
      </c>
      <c r="Z353">
        <f t="shared" si="52"/>
        <v>5.8402777777778692</v>
      </c>
    </row>
    <row r="354" spans="1:26">
      <c r="A354" t="s">
        <v>141</v>
      </c>
      <c r="B354">
        <v>332.6608529051104</v>
      </c>
      <c r="C354">
        <v>332.6608529051104</v>
      </c>
      <c r="D354">
        <v>332.6608529051104</v>
      </c>
      <c r="E354">
        <v>332.6608529051104</v>
      </c>
      <c r="F354">
        <v>332.6608529051104</v>
      </c>
      <c r="G354">
        <v>332.6608529051104</v>
      </c>
      <c r="H354">
        <v>332.6608529051104</v>
      </c>
      <c r="I354">
        <v>332.6608529051104</v>
      </c>
      <c r="J354">
        <v>332.6608529051104</v>
      </c>
      <c r="K354">
        <v>332.6608529051104</v>
      </c>
      <c r="L354">
        <v>332.6608529051104</v>
      </c>
      <c r="M354">
        <v>332.6608529051104</v>
      </c>
      <c r="O354">
        <v>136.03765308015116</v>
      </c>
      <c r="P354">
        <v>136.03765308015116</v>
      </c>
      <c r="Q354">
        <v>136.03765308015116</v>
      </c>
      <c r="R354">
        <v>136.03765308015116</v>
      </c>
      <c r="S354">
        <v>136.03765308015116</v>
      </c>
      <c r="T354">
        <v>136.03765308015116</v>
      </c>
      <c r="U354">
        <v>136.03765308015116</v>
      </c>
      <c r="V354">
        <v>136.03765308015116</v>
      </c>
      <c r="W354">
        <v>136.03765308015116</v>
      </c>
      <c r="X354">
        <v>136.03765308015116</v>
      </c>
      <c r="Y354">
        <v>136.03765308015116</v>
      </c>
      <c r="Z354">
        <v>136.03765308015116</v>
      </c>
    </row>
    <row r="355" spans="1:26">
      <c r="A355" t="s">
        <v>142</v>
      </c>
      <c r="B355">
        <f>B354/SQRT(12)</f>
        <v>96.030916486807996</v>
      </c>
      <c r="C355">
        <f t="shared" ref="C355:M355" si="53">C354/SQRT(12)</f>
        <v>96.030916486807996</v>
      </c>
      <c r="D355">
        <f t="shared" si="53"/>
        <v>96.030916486807996</v>
      </c>
      <c r="E355">
        <f t="shared" si="53"/>
        <v>96.030916486807996</v>
      </c>
      <c r="F355">
        <f t="shared" si="53"/>
        <v>96.030916486807996</v>
      </c>
      <c r="G355">
        <f t="shared" si="53"/>
        <v>96.030916486807996</v>
      </c>
      <c r="H355">
        <f t="shared" si="53"/>
        <v>96.030916486807996</v>
      </c>
      <c r="I355">
        <f t="shared" si="53"/>
        <v>96.030916486807996</v>
      </c>
      <c r="J355">
        <f t="shared" si="53"/>
        <v>96.030916486807996</v>
      </c>
      <c r="K355">
        <f t="shared" si="53"/>
        <v>96.030916486807996</v>
      </c>
      <c r="L355">
        <f t="shared" si="53"/>
        <v>96.030916486807996</v>
      </c>
      <c r="M355">
        <f t="shared" si="53"/>
        <v>96.030916486807996</v>
      </c>
      <c r="O355">
        <f>O354/SQRT(12)</f>
        <v>39.270687812875103</v>
      </c>
      <c r="P355">
        <f t="shared" ref="P355:Z355" si="54">P354/SQRT(12)</f>
        <v>39.270687812875103</v>
      </c>
      <c r="Q355">
        <f t="shared" si="54"/>
        <v>39.270687812875103</v>
      </c>
      <c r="R355">
        <f t="shared" si="54"/>
        <v>39.270687812875103</v>
      </c>
      <c r="S355">
        <f t="shared" si="54"/>
        <v>39.270687812875103</v>
      </c>
      <c r="T355">
        <f t="shared" si="54"/>
        <v>39.270687812875103</v>
      </c>
      <c r="U355">
        <f t="shared" si="54"/>
        <v>39.270687812875103</v>
      </c>
      <c r="V355">
        <f t="shared" si="54"/>
        <v>39.270687812875103</v>
      </c>
      <c r="W355">
        <f t="shared" si="54"/>
        <v>39.270687812875103</v>
      </c>
      <c r="X355">
        <f t="shared" si="54"/>
        <v>39.270687812875103</v>
      </c>
      <c r="Y355">
        <f t="shared" si="54"/>
        <v>39.270687812875103</v>
      </c>
      <c r="Z355">
        <f t="shared" si="54"/>
        <v>39.270687812875103</v>
      </c>
    </row>
    <row r="357" spans="1:26">
      <c r="B357" t="s">
        <v>8</v>
      </c>
      <c r="C357" t="s">
        <v>9</v>
      </c>
      <c r="D357" t="s">
        <v>10</v>
      </c>
      <c r="E357" t="s">
        <v>103</v>
      </c>
      <c r="F357" t="s">
        <v>104</v>
      </c>
      <c r="G357" t="s">
        <v>0</v>
      </c>
      <c r="H357" t="s">
        <v>98</v>
      </c>
      <c r="I357" t="s">
        <v>1</v>
      </c>
      <c r="J357" t="s">
        <v>2</v>
      </c>
      <c r="K357" t="s">
        <v>102</v>
      </c>
      <c r="L357" t="s">
        <v>3</v>
      </c>
      <c r="M357" t="s">
        <v>4</v>
      </c>
      <c r="O357" t="s">
        <v>8</v>
      </c>
      <c r="P357" t="s">
        <v>9</v>
      </c>
      <c r="Q357" t="s">
        <v>10</v>
      </c>
      <c r="R357" t="s">
        <v>103</v>
      </c>
      <c r="S357" t="s">
        <v>104</v>
      </c>
      <c r="T357" t="s">
        <v>0</v>
      </c>
      <c r="U357" t="s">
        <v>98</v>
      </c>
      <c r="V357" t="s">
        <v>1</v>
      </c>
      <c r="W357" t="s">
        <v>2</v>
      </c>
      <c r="X357" t="s">
        <v>102</v>
      </c>
      <c r="Y357" t="s">
        <v>3</v>
      </c>
      <c r="Z357" t="s">
        <v>4</v>
      </c>
    </row>
    <row r="358" spans="1:26">
      <c r="A358" t="s">
        <v>12</v>
      </c>
      <c r="B358">
        <v>584</v>
      </c>
      <c r="C358">
        <v>545</v>
      </c>
      <c r="D358">
        <v>615</v>
      </c>
      <c r="E358">
        <v>615</v>
      </c>
      <c r="F358">
        <v>596</v>
      </c>
      <c r="G358">
        <v>1221</v>
      </c>
      <c r="H358">
        <v>797</v>
      </c>
      <c r="I358">
        <v>615</v>
      </c>
      <c r="J358">
        <v>595</v>
      </c>
      <c r="K358">
        <v>707</v>
      </c>
      <c r="L358">
        <v>616</v>
      </c>
      <c r="M358">
        <v>606</v>
      </c>
      <c r="O358">
        <v>292</v>
      </c>
      <c r="P358">
        <v>273</v>
      </c>
      <c r="Q358">
        <v>343</v>
      </c>
      <c r="R358">
        <v>323</v>
      </c>
      <c r="S358">
        <v>303</v>
      </c>
      <c r="T358">
        <v>626</v>
      </c>
      <c r="U358">
        <v>454</v>
      </c>
      <c r="V358">
        <v>312</v>
      </c>
      <c r="W358">
        <v>292</v>
      </c>
      <c r="X358">
        <v>424</v>
      </c>
      <c r="Y358">
        <v>334</v>
      </c>
      <c r="Z358">
        <v>334</v>
      </c>
    </row>
    <row r="359" spans="1:26">
      <c r="A359" t="s">
        <v>139</v>
      </c>
      <c r="B359">
        <f>SUM(B358:M358)/12</f>
        <v>676</v>
      </c>
      <c r="C359">
        <v>676</v>
      </c>
      <c r="D359">
        <v>676</v>
      </c>
      <c r="E359">
        <v>676</v>
      </c>
      <c r="F359">
        <v>676</v>
      </c>
      <c r="G359">
        <v>676</v>
      </c>
      <c r="H359">
        <v>676</v>
      </c>
      <c r="I359">
        <v>676</v>
      </c>
      <c r="J359">
        <v>676</v>
      </c>
      <c r="K359">
        <v>676</v>
      </c>
      <c r="L359">
        <v>676</v>
      </c>
      <c r="M359">
        <v>676</v>
      </c>
      <c r="O359">
        <v>359.16666666666669</v>
      </c>
      <c r="P359">
        <v>359.16666666666669</v>
      </c>
      <c r="Q359">
        <v>359.16666666666669</v>
      </c>
      <c r="R359">
        <v>359.16666666666669</v>
      </c>
      <c r="S359">
        <v>359.16666666666669</v>
      </c>
      <c r="T359">
        <v>359.16666666666669</v>
      </c>
      <c r="U359">
        <v>359.16666666666669</v>
      </c>
      <c r="V359">
        <v>359.16666666666669</v>
      </c>
      <c r="W359">
        <v>359.16666666666669</v>
      </c>
      <c r="X359">
        <v>359.16666666666669</v>
      </c>
      <c r="Y359">
        <v>359.16666666666669</v>
      </c>
      <c r="Z359">
        <v>359.16666666666669</v>
      </c>
    </row>
    <row r="360" spans="1:26">
      <c r="A360" t="s">
        <v>140</v>
      </c>
      <c r="B360">
        <f>(B358-B359)*(B358-B359)</f>
        <v>8464</v>
      </c>
      <c r="C360">
        <f t="shared" ref="C360:M360" si="55">(C358-C359)*(C358-C359)</f>
        <v>17161</v>
      </c>
      <c r="D360">
        <f t="shared" si="55"/>
        <v>3721</v>
      </c>
      <c r="E360">
        <f t="shared" si="55"/>
        <v>3721</v>
      </c>
      <c r="F360">
        <f t="shared" si="55"/>
        <v>6400</v>
      </c>
      <c r="G360">
        <f t="shared" si="55"/>
        <v>297025</v>
      </c>
      <c r="H360">
        <f t="shared" si="55"/>
        <v>14641</v>
      </c>
      <c r="I360">
        <f t="shared" si="55"/>
        <v>3721</v>
      </c>
      <c r="J360">
        <f t="shared" si="55"/>
        <v>6561</v>
      </c>
      <c r="K360">
        <f t="shared" si="55"/>
        <v>961</v>
      </c>
      <c r="L360">
        <f t="shared" si="55"/>
        <v>3600</v>
      </c>
      <c r="M360">
        <f t="shared" si="55"/>
        <v>4900</v>
      </c>
      <c r="O360">
        <f>(O358-O359)*(O358-O359)</f>
        <v>4511.361111111114</v>
      </c>
      <c r="P360">
        <f t="shared" ref="P360:Z360" si="56">(P358-P359)*(P358-P359)</f>
        <v>7424.694444444448</v>
      </c>
      <c r="Q360">
        <f t="shared" si="56"/>
        <v>261.36111111111171</v>
      </c>
      <c r="R360">
        <f t="shared" si="56"/>
        <v>1308.0277777777792</v>
      </c>
      <c r="S360">
        <f t="shared" si="56"/>
        <v>3154.6944444444466</v>
      </c>
      <c r="T360">
        <f t="shared" si="56"/>
        <v>71200.027777777766</v>
      </c>
      <c r="U360">
        <f t="shared" si="56"/>
        <v>8993.3611111111077</v>
      </c>
      <c r="V360">
        <f t="shared" si="56"/>
        <v>2224.6944444444462</v>
      </c>
      <c r="W360">
        <f t="shared" si="56"/>
        <v>4511.361111111114</v>
      </c>
      <c r="X360">
        <f t="shared" si="56"/>
        <v>4203.3611111111086</v>
      </c>
      <c r="Y360">
        <f t="shared" si="56"/>
        <v>633.36111111111211</v>
      </c>
      <c r="Z360">
        <f t="shared" si="56"/>
        <v>633.36111111111211</v>
      </c>
    </row>
    <row r="361" spans="1:26">
      <c r="A361" t="s">
        <v>141</v>
      </c>
      <c r="B361">
        <v>175.80197192674868</v>
      </c>
      <c r="C361">
        <v>175.80197192674868</v>
      </c>
      <c r="D361">
        <v>175.80197192674868</v>
      </c>
      <c r="E361">
        <v>175.80197192674868</v>
      </c>
      <c r="F361">
        <v>175.80197192674868</v>
      </c>
      <c r="G361">
        <v>175.80197192674868</v>
      </c>
      <c r="H361">
        <v>175.80197192674868</v>
      </c>
      <c r="I361">
        <v>175.80197192674868</v>
      </c>
      <c r="J361">
        <v>175.80197192674868</v>
      </c>
      <c r="K361">
        <v>175.80197192674868</v>
      </c>
      <c r="L361">
        <v>175.80197192674868</v>
      </c>
      <c r="M361">
        <v>175.80197192674868</v>
      </c>
      <c r="O361">
        <v>95.332604892321882</v>
      </c>
      <c r="P361">
        <v>95.332604892321882</v>
      </c>
      <c r="Q361">
        <v>95.332604892321882</v>
      </c>
      <c r="R361">
        <v>95.332604892321882</v>
      </c>
      <c r="S361">
        <v>95.332604892321882</v>
      </c>
      <c r="T361">
        <v>95.332604892321882</v>
      </c>
      <c r="U361">
        <v>95.332604892321882</v>
      </c>
      <c r="V361">
        <v>95.332604892321882</v>
      </c>
      <c r="W361">
        <v>95.332604892321882</v>
      </c>
      <c r="X361">
        <v>95.332604892321882</v>
      </c>
      <c r="Y361">
        <v>95.332604892321882</v>
      </c>
      <c r="Z361">
        <v>95.332604892321882</v>
      </c>
    </row>
    <row r="362" spans="1:26">
      <c r="A362" t="s">
        <v>142</v>
      </c>
      <c r="B362">
        <f>B361/SQRT(12)</f>
        <v>50.749657907987697</v>
      </c>
      <c r="C362">
        <f t="shared" ref="C362:M362" si="57">C361/SQRT(12)</f>
        <v>50.749657907987697</v>
      </c>
      <c r="D362">
        <f t="shared" si="57"/>
        <v>50.749657907987697</v>
      </c>
      <c r="E362">
        <f t="shared" si="57"/>
        <v>50.749657907987697</v>
      </c>
      <c r="F362">
        <f t="shared" si="57"/>
        <v>50.749657907987697</v>
      </c>
      <c r="G362">
        <f t="shared" si="57"/>
        <v>50.749657907987697</v>
      </c>
      <c r="H362">
        <f t="shared" si="57"/>
        <v>50.749657907987697</v>
      </c>
      <c r="I362">
        <f t="shared" si="57"/>
        <v>50.749657907987697</v>
      </c>
      <c r="J362">
        <f t="shared" si="57"/>
        <v>50.749657907987697</v>
      </c>
      <c r="K362">
        <f t="shared" si="57"/>
        <v>50.749657907987697</v>
      </c>
      <c r="L362">
        <f t="shared" si="57"/>
        <v>50.749657907987697</v>
      </c>
      <c r="M362">
        <f t="shared" si="57"/>
        <v>50.749657907987697</v>
      </c>
      <c r="O362">
        <f>O361/SQRT(12)</f>
        <v>27.520152548565139</v>
      </c>
      <c r="P362">
        <f t="shared" ref="P362:Z362" si="58">P361/SQRT(12)</f>
        <v>27.520152548565139</v>
      </c>
      <c r="Q362">
        <f t="shared" si="58"/>
        <v>27.520152548565139</v>
      </c>
      <c r="R362">
        <f t="shared" si="58"/>
        <v>27.520152548565139</v>
      </c>
      <c r="S362">
        <f t="shared" si="58"/>
        <v>27.520152548565139</v>
      </c>
      <c r="T362">
        <f t="shared" si="58"/>
        <v>27.520152548565139</v>
      </c>
      <c r="U362">
        <f t="shared" si="58"/>
        <v>27.520152548565139</v>
      </c>
      <c r="V362">
        <f t="shared" si="58"/>
        <v>27.520152548565139</v>
      </c>
      <c r="W362">
        <f t="shared" si="58"/>
        <v>27.520152548565139</v>
      </c>
      <c r="X362">
        <f t="shared" si="58"/>
        <v>27.520152548565139</v>
      </c>
      <c r="Y362">
        <f t="shared" si="58"/>
        <v>27.520152548565139</v>
      </c>
      <c r="Z362">
        <f t="shared" si="58"/>
        <v>27.520152548565139</v>
      </c>
    </row>
    <row r="377" spans="3:7">
      <c r="D377" t="s">
        <v>144</v>
      </c>
      <c r="E377" t="s">
        <v>145</v>
      </c>
      <c r="F377" t="s">
        <v>146</v>
      </c>
      <c r="G377" t="s">
        <v>147</v>
      </c>
    </row>
    <row r="378" spans="3:7">
      <c r="C378" t="s">
        <v>95</v>
      </c>
      <c r="D378">
        <v>1206</v>
      </c>
      <c r="E378">
        <v>577</v>
      </c>
      <c r="F378">
        <v>624</v>
      </c>
      <c r="G378">
        <v>685</v>
      </c>
    </row>
    <row r="379" spans="3:7">
      <c r="C379" t="s">
        <v>96</v>
      </c>
      <c r="D379">
        <v>1140</v>
      </c>
      <c r="E379">
        <v>543</v>
      </c>
      <c r="F379">
        <v>628</v>
      </c>
      <c r="G379">
        <v>630</v>
      </c>
    </row>
    <row r="380" spans="3:7">
      <c r="C380" t="s">
        <v>12</v>
      </c>
      <c r="D380">
        <v>589</v>
      </c>
      <c r="E380">
        <v>302</v>
      </c>
      <c r="F380">
        <v>588</v>
      </c>
      <c r="G380">
        <v>609</v>
      </c>
    </row>
    <row r="393" spans="1:5">
      <c r="A393" t="s">
        <v>31</v>
      </c>
    </row>
    <row r="394" spans="1:5">
      <c r="A394" t="s">
        <v>30</v>
      </c>
      <c r="B394" t="s">
        <v>35</v>
      </c>
    </row>
    <row r="395" spans="1:5">
      <c r="A395" t="s">
        <v>163</v>
      </c>
      <c r="B395">
        <v>142</v>
      </c>
      <c r="C395">
        <v>143</v>
      </c>
    </row>
    <row r="396" spans="1:5">
      <c r="A396" t="s">
        <v>53</v>
      </c>
    </row>
    <row r="397" spans="1:5">
      <c r="A397" t="s">
        <v>118</v>
      </c>
      <c r="B397">
        <f>540+48</f>
        <v>588</v>
      </c>
      <c r="C397">
        <f>540+47</f>
        <v>587</v>
      </c>
      <c r="D397" s="6">
        <v>592</v>
      </c>
      <c r="E397" s="6">
        <v>588</v>
      </c>
    </row>
    <row r="398" spans="1:5">
      <c r="A398" t="s">
        <v>139</v>
      </c>
      <c r="B398">
        <v>588.75</v>
      </c>
      <c r="C398">
        <v>588.75</v>
      </c>
      <c r="D398" s="6">
        <v>588.75</v>
      </c>
      <c r="E398" s="6">
        <v>588.75</v>
      </c>
    </row>
    <row r="399" spans="1:5">
      <c r="A399" t="s">
        <v>140</v>
      </c>
      <c r="B399">
        <f>(B398-B397)*(B398-B397)</f>
        <v>0.5625</v>
      </c>
      <c r="C399">
        <f t="shared" ref="C399:E399" si="59">(C398-C397)*(C398-C397)</f>
        <v>3.0625</v>
      </c>
      <c r="D399" s="6">
        <f>(D398-D397)*(D398-D397)</f>
        <v>10.5625</v>
      </c>
      <c r="E399" s="6">
        <f t="shared" si="59"/>
        <v>0.5625</v>
      </c>
    </row>
    <row r="400" spans="1:5">
      <c r="A400" t="s">
        <v>141</v>
      </c>
      <c r="B400" s="6">
        <v>1.920286436967152</v>
      </c>
      <c r="C400">
        <v>1.920286436967152</v>
      </c>
      <c r="D400" s="6">
        <v>1.920286436967152</v>
      </c>
      <c r="E400" s="6">
        <v>1.920286436967152</v>
      </c>
    </row>
    <row r="401" spans="1:5">
      <c r="A401" t="s">
        <v>142</v>
      </c>
      <c r="B401">
        <f>B400/2</f>
        <v>0.96014321848357598</v>
      </c>
      <c r="C401" s="6">
        <f t="shared" ref="C401:E401" si="60">C400/2</f>
        <v>0.96014321848357598</v>
      </c>
      <c r="D401" s="6">
        <f t="shared" si="60"/>
        <v>0.96014321848357598</v>
      </c>
      <c r="E401" s="6">
        <f t="shared" si="60"/>
        <v>0.96014321848357598</v>
      </c>
    </row>
    <row r="404" spans="1:5">
      <c r="A404" t="s">
        <v>30</v>
      </c>
      <c r="B404" t="s">
        <v>36</v>
      </c>
    </row>
    <row r="405" spans="1:5">
      <c r="A405" t="s">
        <v>163</v>
      </c>
      <c r="B405">
        <v>138</v>
      </c>
      <c r="C405">
        <v>139</v>
      </c>
    </row>
    <row r="406" spans="1:5">
      <c r="A406" t="s">
        <v>53</v>
      </c>
      <c r="E406" s="6"/>
    </row>
    <row r="407" spans="1:5">
      <c r="A407" t="s">
        <v>118</v>
      </c>
      <c r="B407">
        <v>614</v>
      </c>
      <c r="C407">
        <v>612</v>
      </c>
      <c r="D407" s="6"/>
      <c r="E407" s="6"/>
    </row>
    <row r="408" spans="1:5">
      <c r="A408" t="s">
        <v>139</v>
      </c>
      <c r="B408">
        <f>SUM(B407:C407)/2</f>
        <v>613</v>
      </c>
      <c r="C408">
        <v>613</v>
      </c>
      <c r="D408" s="6"/>
      <c r="E408" s="6"/>
    </row>
    <row r="409" spans="1:5">
      <c r="A409" t="s">
        <v>140</v>
      </c>
      <c r="B409">
        <f>(B408-B407)*(B408-B407)</f>
        <v>1</v>
      </c>
      <c r="C409">
        <f>(C408-C407)*(C408-C407)</f>
        <v>1</v>
      </c>
      <c r="D409" s="6"/>
      <c r="E409" s="6"/>
    </row>
    <row r="410" spans="1:5">
      <c r="A410" t="s">
        <v>141</v>
      </c>
      <c r="B410">
        <f>SUM(B409:C409)/2</f>
        <v>1</v>
      </c>
      <c r="C410">
        <f>SQRT(B410)</f>
        <v>1</v>
      </c>
      <c r="D410" s="6"/>
      <c r="E410" s="6"/>
    </row>
    <row r="411" spans="1:5">
      <c r="A411" t="s">
        <v>142</v>
      </c>
      <c r="B411">
        <v>1</v>
      </c>
      <c r="C411">
        <v>1</v>
      </c>
      <c r="D411" s="6"/>
      <c r="E411" s="6"/>
    </row>
    <row r="413" spans="1:5">
      <c r="A413" t="s">
        <v>29</v>
      </c>
      <c r="B413" t="s">
        <v>37</v>
      </c>
    </row>
    <row r="414" spans="1:5">
      <c r="A414" t="s">
        <v>74</v>
      </c>
      <c r="B414">
        <v>129</v>
      </c>
      <c r="C414">
        <v>130</v>
      </c>
      <c r="D414" s="6"/>
      <c r="E414" s="6"/>
    </row>
    <row r="415" spans="1:5">
      <c r="A415" s="22" t="s">
        <v>33</v>
      </c>
      <c r="B415" s="22"/>
      <c r="D415" s="6"/>
      <c r="E415" s="6"/>
    </row>
    <row r="416" spans="1:5">
      <c r="A416" t="s">
        <v>34</v>
      </c>
      <c r="B416">
        <v>712</v>
      </c>
      <c r="C416">
        <v>696</v>
      </c>
      <c r="D416" s="6"/>
      <c r="E416" s="6"/>
    </row>
    <row r="417" spans="1:14">
      <c r="A417" t="s">
        <v>114</v>
      </c>
      <c r="B417">
        <v>704</v>
      </c>
      <c r="C417">
        <v>704</v>
      </c>
      <c r="D417" s="6"/>
      <c r="E417" s="6"/>
    </row>
    <row r="418" spans="1:14">
      <c r="A418" t="s">
        <v>115</v>
      </c>
      <c r="B418">
        <f>(B417-B416)*(B417-B416)</f>
        <v>64</v>
      </c>
      <c r="C418">
        <f>(C417-C416)*(C417-C416)</f>
        <v>64</v>
      </c>
      <c r="D418" s="6"/>
      <c r="E418" s="6"/>
    </row>
    <row r="419" spans="1:14">
      <c r="A419" t="s">
        <v>116</v>
      </c>
      <c r="B419">
        <f>SUM(B418:C418)/2</f>
        <v>64</v>
      </c>
      <c r="C419">
        <v>64</v>
      </c>
      <c r="D419" s="6"/>
      <c r="E419" s="6"/>
    </row>
    <row r="420" spans="1:14">
      <c r="A420" t="s">
        <v>117</v>
      </c>
      <c r="B420">
        <f>B419/SQRT(2)</f>
        <v>45.254833995939038</v>
      </c>
      <c r="C420">
        <f>C419/SQRT(2)</f>
        <v>45.254833995939038</v>
      </c>
      <c r="D420" s="6"/>
      <c r="E420" s="6"/>
    </row>
    <row r="423" spans="1:14">
      <c r="A423" t="s">
        <v>38</v>
      </c>
      <c r="B423" t="s">
        <v>46</v>
      </c>
      <c r="J423" t="s">
        <v>189</v>
      </c>
    </row>
    <row r="424" spans="1:14">
      <c r="A424" t="s">
        <v>74</v>
      </c>
      <c r="B424">
        <v>144</v>
      </c>
      <c r="C424">
        <v>145</v>
      </c>
      <c r="D424">
        <v>149</v>
      </c>
      <c r="E424">
        <v>150</v>
      </c>
      <c r="F424">
        <v>151</v>
      </c>
      <c r="G424">
        <v>152</v>
      </c>
      <c r="H424">
        <v>153</v>
      </c>
      <c r="J424">
        <v>180</v>
      </c>
      <c r="K424" s="11">
        <v>181</v>
      </c>
      <c r="L424" s="11">
        <v>182</v>
      </c>
      <c r="M424" s="11">
        <v>183</v>
      </c>
      <c r="N424" s="11">
        <v>184</v>
      </c>
    </row>
    <row r="425" spans="1:14">
      <c r="A425" s="22" t="s">
        <v>33</v>
      </c>
      <c r="B425" s="22"/>
    </row>
    <row r="426" spans="1:14">
      <c r="A426" t="s">
        <v>34</v>
      </c>
      <c r="B426">
        <f>9*60+27</f>
        <v>567</v>
      </c>
      <c r="C426">
        <f>9*60+43</f>
        <v>583</v>
      </c>
      <c r="D426" s="7">
        <v>585</v>
      </c>
      <c r="E426" s="7">
        <v>586</v>
      </c>
      <c r="F426">
        <v>596</v>
      </c>
      <c r="G426">
        <v>585</v>
      </c>
      <c r="H426">
        <v>599</v>
      </c>
      <c r="J426">
        <v>573</v>
      </c>
      <c r="K426">
        <v>567</v>
      </c>
      <c r="L426">
        <v>570</v>
      </c>
      <c r="M426">
        <v>571</v>
      </c>
      <c r="N426">
        <v>570</v>
      </c>
    </row>
    <row r="427" spans="1:14">
      <c r="A427" t="s">
        <v>114</v>
      </c>
      <c r="B427">
        <v>585.85714285714289</v>
      </c>
      <c r="C427">
        <v>585.85714285714289</v>
      </c>
      <c r="D427" s="7">
        <v>585.85714285714289</v>
      </c>
      <c r="E427" s="7">
        <v>585.85714285714289</v>
      </c>
      <c r="F427">
        <v>585.85714285714289</v>
      </c>
      <c r="G427">
        <v>585.85714285714289</v>
      </c>
      <c r="H427">
        <v>585.85714285714289</v>
      </c>
      <c r="J427">
        <v>570.20000000000005</v>
      </c>
      <c r="K427">
        <v>570.20000000000005</v>
      </c>
      <c r="L427">
        <v>570.20000000000005</v>
      </c>
      <c r="M427">
        <v>570.20000000000005</v>
      </c>
      <c r="N427">
        <v>570.20000000000005</v>
      </c>
    </row>
    <row r="428" spans="1:14">
      <c r="A428" t="s">
        <v>115</v>
      </c>
      <c r="B428">
        <f>(B427-B426)*(B427-B426)</f>
        <v>355.59183673469511</v>
      </c>
      <c r="C428">
        <f>(C427-C426)*(C427-C426)</f>
        <v>8.1632653061226339</v>
      </c>
      <c r="D428" s="9">
        <f t="shared" ref="D428:N428" si="61">(D427-D426)*(D427-D426)</f>
        <v>0.73469387755107607</v>
      </c>
      <c r="E428" s="9">
        <f t="shared" si="61"/>
        <v>2.0408163265296844E-2</v>
      </c>
      <c r="F428" s="9">
        <f t="shared" si="61"/>
        <v>102.87755102040751</v>
      </c>
      <c r="G428" s="9">
        <f t="shared" si="61"/>
        <v>0.73469387755107607</v>
      </c>
      <c r="H428" s="9">
        <f t="shared" si="61"/>
        <v>172.73469387755017</v>
      </c>
      <c r="J428" s="11">
        <f t="shared" si="61"/>
        <v>7.839999999999745</v>
      </c>
      <c r="K428" s="11">
        <f t="shared" si="61"/>
        <v>10.240000000000292</v>
      </c>
      <c r="L428" s="11">
        <f t="shared" si="61"/>
        <v>4.0000000000018188E-2</v>
      </c>
      <c r="M428" s="11">
        <f t="shared" si="61"/>
        <v>0.63999999999992729</v>
      </c>
      <c r="N428" s="11">
        <f t="shared" si="61"/>
        <v>4.0000000000018188E-2</v>
      </c>
    </row>
    <row r="429" spans="1:14">
      <c r="A429" t="s">
        <v>116</v>
      </c>
      <c r="B429" s="9">
        <v>9.5682297426516296</v>
      </c>
      <c r="C429" s="9">
        <v>9.5682297426516296</v>
      </c>
      <c r="D429" s="9">
        <v>9.5682297426516296</v>
      </c>
      <c r="E429" s="9">
        <v>9.5682297426516296</v>
      </c>
      <c r="F429" s="9">
        <v>9.5682297426516296</v>
      </c>
      <c r="G429" s="9">
        <v>9.5682297426516296</v>
      </c>
      <c r="H429" s="9">
        <v>9.5682297426516296</v>
      </c>
      <c r="J429" s="11">
        <v>1.9390719429665315</v>
      </c>
      <c r="K429" s="11">
        <v>1.9390719429665315</v>
      </c>
      <c r="L429">
        <v>1.9390719429665315</v>
      </c>
      <c r="M429">
        <v>1.9390719429665315</v>
      </c>
      <c r="N429">
        <v>1.9390719429665315</v>
      </c>
    </row>
    <row r="430" spans="1:14">
      <c r="A430" t="s">
        <v>117</v>
      </c>
      <c r="B430">
        <f>B429/SQRT(7)</f>
        <v>3.616450912312537</v>
      </c>
      <c r="C430" s="9">
        <f t="shared" ref="C430:H430" si="62">C429/SQRT(7)</f>
        <v>3.616450912312537</v>
      </c>
      <c r="D430" s="9">
        <f t="shared" si="62"/>
        <v>3.616450912312537</v>
      </c>
      <c r="E430" s="9">
        <f t="shared" si="62"/>
        <v>3.616450912312537</v>
      </c>
      <c r="F430" s="9">
        <f t="shared" si="62"/>
        <v>3.616450912312537</v>
      </c>
      <c r="G430" s="9">
        <f t="shared" si="62"/>
        <v>3.616450912312537</v>
      </c>
      <c r="H430" s="9">
        <f t="shared" si="62"/>
        <v>3.616450912312537</v>
      </c>
      <c r="J430">
        <f>J429/SQRT(5)</f>
        <v>0.86717933554715187</v>
      </c>
      <c r="K430" s="11">
        <f t="shared" ref="K430:N430" si="63">K429/SQRT(5)</f>
        <v>0.86717933554715187</v>
      </c>
      <c r="L430" s="11">
        <f t="shared" si="63"/>
        <v>0.86717933554715187</v>
      </c>
      <c r="M430" s="11">
        <f t="shared" si="63"/>
        <v>0.86717933554715187</v>
      </c>
      <c r="N430" s="11">
        <f t="shared" si="63"/>
        <v>0.86717933554715187</v>
      </c>
    </row>
    <row r="433" spans="1:14">
      <c r="A433" t="s">
        <v>38</v>
      </c>
      <c r="B433" t="s">
        <v>39</v>
      </c>
    </row>
    <row r="434" spans="1:14">
      <c r="A434" t="s">
        <v>74</v>
      </c>
      <c r="B434">
        <v>131</v>
      </c>
      <c r="C434">
        <v>133</v>
      </c>
      <c r="D434">
        <v>154</v>
      </c>
      <c r="E434">
        <v>155</v>
      </c>
      <c r="F434">
        <v>156</v>
      </c>
      <c r="G434">
        <v>157</v>
      </c>
      <c r="H434">
        <v>158</v>
      </c>
      <c r="J434">
        <v>191</v>
      </c>
      <c r="K434" s="11">
        <v>192</v>
      </c>
      <c r="L434" s="11">
        <v>193</v>
      </c>
      <c r="M434" s="11">
        <v>194</v>
      </c>
      <c r="N434" s="11">
        <v>195</v>
      </c>
    </row>
    <row r="435" spans="1:14">
      <c r="A435" s="22" t="s">
        <v>33</v>
      </c>
      <c r="B435" s="22"/>
    </row>
    <row r="436" spans="1:14">
      <c r="A436" t="s">
        <v>34</v>
      </c>
      <c r="B436">
        <v>657</v>
      </c>
      <c r="C436">
        <v>584</v>
      </c>
      <c r="D436" s="7">
        <v>605</v>
      </c>
      <c r="E436" s="7">
        <v>603</v>
      </c>
      <c r="F436">
        <v>642</v>
      </c>
      <c r="G436">
        <v>656</v>
      </c>
      <c r="H436">
        <v>598</v>
      </c>
      <c r="J436">
        <v>590</v>
      </c>
      <c r="K436">
        <v>586</v>
      </c>
      <c r="L436">
        <v>581</v>
      </c>
      <c r="M436">
        <v>581</v>
      </c>
      <c r="N436">
        <v>583</v>
      </c>
    </row>
    <row r="437" spans="1:14">
      <c r="A437" t="s">
        <v>114</v>
      </c>
      <c r="B437">
        <v>620.71428571428567</v>
      </c>
      <c r="C437">
        <v>620.71428571428567</v>
      </c>
      <c r="D437" s="7">
        <v>620.71428571428567</v>
      </c>
      <c r="E437" s="7">
        <v>620.71428571428567</v>
      </c>
      <c r="F437">
        <v>620.71428571428567</v>
      </c>
      <c r="G437">
        <v>620.71428571428567</v>
      </c>
      <c r="H437">
        <v>620.71428571428567</v>
      </c>
      <c r="J437">
        <v>584.20000000000005</v>
      </c>
      <c r="K437">
        <v>584.20000000000005</v>
      </c>
      <c r="L437">
        <v>584.20000000000005</v>
      </c>
      <c r="M437">
        <v>584.20000000000005</v>
      </c>
      <c r="N437">
        <v>584.20000000000005</v>
      </c>
    </row>
    <row r="438" spans="1:14">
      <c r="A438" t="s">
        <v>115</v>
      </c>
      <c r="B438">
        <f>(B437-B436)*(B437-B436)</f>
        <v>1316.6530612244933</v>
      </c>
      <c r="C438">
        <f>(C437-C436)*(C437-C436)</f>
        <v>1347.9387755102005</v>
      </c>
      <c r="D438" s="9">
        <f t="shared" ref="D438:H438" si="64">(D437-D436)*(D437-D436)</f>
        <v>246.93877551020256</v>
      </c>
      <c r="E438" s="9">
        <f t="shared" si="64"/>
        <v>313.79591836734522</v>
      </c>
      <c r="F438" s="9">
        <f t="shared" si="64"/>
        <v>453.08163265306331</v>
      </c>
      <c r="G438" s="9">
        <f t="shared" si="64"/>
        <v>1245.0816326530646</v>
      </c>
      <c r="H438" s="9">
        <f t="shared" si="64"/>
        <v>515.93877551020182</v>
      </c>
      <c r="J438" s="11">
        <f t="shared" ref="J438:N438" si="65">(J437-J436)*(J437-J436)</f>
        <v>33.639999999999475</v>
      </c>
      <c r="K438" s="11">
        <f t="shared" si="65"/>
        <v>3.2399999999998363</v>
      </c>
      <c r="L438" s="11">
        <f t="shared" si="65"/>
        <v>10.240000000000292</v>
      </c>
      <c r="M438" s="11">
        <f t="shared" si="65"/>
        <v>10.240000000000292</v>
      </c>
      <c r="N438" s="11">
        <f t="shared" si="65"/>
        <v>1.4400000000001092</v>
      </c>
    </row>
    <row r="439" spans="1:14">
      <c r="A439" t="s">
        <v>116</v>
      </c>
      <c r="B439" s="9">
        <v>27.875817916068328</v>
      </c>
      <c r="C439" s="9">
        <v>27.875817916068328</v>
      </c>
      <c r="D439" s="7">
        <v>27.875817916068328</v>
      </c>
      <c r="E439" s="7">
        <v>27.875817916068328</v>
      </c>
      <c r="F439">
        <v>27.875817916068328</v>
      </c>
      <c r="G439">
        <v>27.875817916068328</v>
      </c>
      <c r="H439">
        <v>27.875817916068328</v>
      </c>
      <c r="J439" s="11">
        <v>3.4292856398964497</v>
      </c>
      <c r="K439" s="11">
        <v>3.4292856398964497</v>
      </c>
      <c r="L439">
        <v>3.4292856398964497</v>
      </c>
      <c r="M439">
        <v>3.4292856398964497</v>
      </c>
      <c r="N439">
        <v>3.4292856398964497</v>
      </c>
    </row>
    <row r="440" spans="1:14">
      <c r="A440" t="s">
        <v>117</v>
      </c>
      <c r="B440">
        <f>B439/SQRT(7)</f>
        <v>10.53606882834794</v>
      </c>
      <c r="C440" s="9">
        <f t="shared" ref="C440:H440" si="66">C439/SQRT(7)</f>
        <v>10.53606882834794</v>
      </c>
      <c r="D440" s="9">
        <f t="shared" si="66"/>
        <v>10.53606882834794</v>
      </c>
      <c r="E440" s="9">
        <f t="shared" si="66"/>
        <v>10.53606882834794</v>
      </c>
      <c r="F440" s="9">
        <f t="shared" si="66"/>
        <v>10.53606882834794</v>
      </c>
      <c r="G440" s="9">
        <f t="shared" si="66"/>
        <v>10.53606882834794</v>
      </c>
      <c r="H440" s="9">
        <f t="shared" si="66"/>
        <v>10.53606882834794</v>
      </c>
      <c r="J440">
        <f>J439/SQRT(5)</f>
        <v>1.5336231610144653</v>
      </c>
      <c r="K440" s="11">
        <f t="shared" ref="K440:N440" si="67">K439/SQRT(5)</f>
        <v>1.5336231610144653</v>
      </c>
      <c r="L440" s="11">
        <f t="shared" si="67"/>
        <v>1.5336231610144653</v>
      </c>
      <c r="M440" s="11">
        <f t="shared" si="67"/>
        <v>1.5336231610144653</v>
      </c>
      <c r="N440" s="11">
        <f t="shared" si="67"/>
        <v>1.5336231610144653</v>
      </c>
    </row>
    <row r="443" spans="1:14">
      <c r="A443" t="s">
        <v>32</v>
      </c>
      <c r="B443" t="s">
        <v>40</v>
      </c>
    </row>
    <row r="444" spans="1:14">
      <c r="A444" t="s">
        <v>74</v>
      </c>
      <c r="B444">
        <v>125</v>
      </c>
      <c r="C444">
        <v>127</v>
      </c>
      <c r="D444">
        <v>159</v>
      </c>
      <c r="E444">
        <v>190</v>
      </c>
      <c r="H444">
        <v>161</v>
      </c>
      <c r="I444">
        <v>160</v>
      </c>
    </row>
    <row r="445" spans="1:14">
      <c r="A445" t="s">
        <v>33</v>
      </c>
    </row>
    <row r="446" spans="1:14">
      <c r="A446" t="s">
        <v>34</v>
      </c>
      <c r="B446">
        <v>612</v>
      </c>
      <c r="C446">
        <v>654</v>
      </c>
      <c r="D446" s="6">
        <v>652</v>
      </c>
      <c r="E446">
        <v>634</v>
      </c>
      <c r="H446">
        <v>701</v>
      </c>
      <c r="I446" s="6">
        <v>694</v>
      </c>
    </row>
    <row r="447" spans="1:14">
      <c r="A447" t="s">
        <v>114</v>
      </c>
      <c r="B447">
        <v>638</v>
      </c>
      <c r="C447">
        <v>638</v>
      </c>
      <c r="D447" s="6">
        <v>638</v>
      </c>
      <c r="E447" s="6">
        <v>638</v>
      </c>
    </row>
    <row r="448" spans="1:14">
      <c r="A448" t="s">
        <v>115</v>
      </c>
      <c r="B448">
        <f>(B447-B446)*(B447-B446)</f>
        <v>676</v>
      </c>
      <c r="C448" s="15">
        <f t="shared" ref="C448:E448" si="68">(C447-C446)*(C447-C446)</f>
        <v>256</v>
      </c>
      <c r="D448" s="15">
        <f t="shared" si="68"/>
        <v>196</v>
      </c>
      <c r="E448" s="15">
        <f t="shared" si="68"/>
        <v>16</v>
      </c>
      <c r="F448" s="9"/>
    </row>
    <row r="449" spans="1:14">
      <c r="A449" t="s">
        <v>116</v>
      </c>
      <c r="B449" s="15">
        <v>16.911534525287763</v>
      </c>
      <c r="C449" s="15">
        <v>16.911534525287763</v>
      </c>
      <c r="D449" s="6">
        <v>16.911534525287763</v>
      </c>
      <c r="E449" s="6">
        <v>16.911534525287763</v>
      </c>
    </row>
    <row r="450" spans="1:14">
      <c r="A450" t="s">
        <v>117</v>
      </c>
      <c r="B450">
        <f>B449/SQRT(4)</f>
        <v>8.4557672626438816</v>
      </c>
      <c r="C450" s="15">
        <f t="shared" ref="C450:E450" si="69">C449/SQRT(4)</f>
        <v>8.4557672626438816</v>
      </c>
      <c r="D450" s="15">
        <f t="shared" si="69"/>
        <v>8.4557672626438816</v>
      </c>
      <c r="E450" s="15">
        <f t="shared" si="69"/>
        <v>8.4557672626438816</v>
      </c>
      <c r="F450" s="9"/>
    </row>
    <row r="454" spans="1:14">
      <c r="A454" t="s">
        <v>42</v>
      </c>
      <c r="B454" t="s">
        <v>43</v>
      </c>
    </row>
    <row r="455" spans="1:14">
      <c r="A455" t="s">
        <v>74</v>
      </c>
      <c r="B455">
        <v>134</v>
      </c>
      <c r="C455">
        <v>135</v>
      </c>
      <c r="D455">
        <v>167</v>
      </c>
      <c r="E455">
        <v>168</v>
      </c>
      <c r="F455">
        <v>169</v>
      </c>
      <c r="G455">
        <v>170</v>
      </c>
      <c r="H455">
        <v>171</v>
      </c>
      <c r="J455">
        <v>175</v>
      </c>
      <c r="K455" s="11">
        <v>176</v>
      </c>
      <c r="L455" s="11">
        <v>177</v>
      </c>
      <c r="M455" s="11">
        <v>178</v>
      </c>
      <c r="N455">
        <v>179</v>
      </c>
    </row>
    <row r="456" spans="1:14">
      <c r="A456" t="s">
        <v>33</v>
      </c>
    </row>
    <row r="457" spans="1:14">
      <c r="A457" t="s">
        <v>34</v>
      </c>
      <c r="B457">
        <v>570</v>
      </c>
      <c r="C457">
        <v>565</v>
      </c>
      <c r="D457" s="6">
        <v>642</v>
      </c>
      <c r="E457" s="6">
        <v>588</v>
      </c>
      <c r="F457">
        <v>597</v>
      </c>
      <c r="G457">
        <v>608</v>
      </c>
      <c r="H457">
        <v>581</v>
      </c>
      <c r="J457">
        <v>602</v>
      </c>
      <c r="K457">
        <v>590</v>
      </c>
      <c r="L457">
        <v>579</v>
      </c>
      <c r="M457">
        <v>587</v>
      </c>
      <c r="N457">
        <v>573</v>
      </c>
    </row>
    <row r="458" spans="1:14">
      <c r="A458" t="s">
        <v>114</v>
      </c>
      <c r="B458">
        <v>584.83333333333337</v>
      </c>
      <c r="C458">
        <v>584.83333333333337</v>
      </c>
      <c r="D458" s="6">
        <v>584.83333333333337</v>
      </c>
      <c r="E458" s="6">
        <v>584.83333333333337</v>
      </c>
      <c r="F458">
        <v>584.83333333333337</v>
      </c>
      <c r="G458">
        <v>584.83333333333337</v>
      </c>
      <c r="H458">
        <v>584.83333333333337</v>
      </c>
      <c r="J458">
        <v>586.20000000000005</v>
      </c>
      <c r="K458">
        <v>586.20000000000005</v>
      </c>
      <c r="L458">
        <v>586.20000000000005</v>
      </c>
      <c r="M458">
        <v>586.20000000000005</v>
      </c>
      <c r="N458">
        <v>586.20000000000005</v>
      </c>
    </row>
    <row r="459" spans="1:14">
      <c r="A459" t="s">
        <v>115</v>
      </c>
      <c r="B459">
        <f>(B458-B457)*(B458-B457)</f>
        <v>220.02777777777891</v>
      </c>
      <c r="C459">
        <f>(C458-C457)*(C458-C457)</f>
        <v>393.36111111111262</v>
      </c>
      <c r="D459" s="9">
        <f t="shared" ref="D459:N459" si="70">(D458-D457)*(D458-D457)</f>
        <v>3268.0277777777733</v>
      </c>
      <c r="E459" s="9">
        <f t="shared" si="70"/>
        <v>10.027777777777537</v>
      </c>
      <c r="F459" s="9">
        <f t="shared" si="70"/>
        <v>148.02777777777686</v>
      </c>
      <c r="G459" s="9">
        <f t="shared" si="70"/>
        <v>536.69444444444264</v>
      </c>
      <c r="H459" s="9">
        <f t="shared" si="70"/>
        <v>14.694444444444734</v>
      </c>
      <c r="J459" s="11">
        <f t="shared" si="70"/>
        <v>249.63999999999857</v>
      </c>
      <c r="K459" s="11">
        <f t="shared" si="70"/>
        <v>14.439999999999655</v>
      </c>
      <c r="L459" s="11">
        <f t="shared" si="70"/>
        <v>51.840000000000657</v>
      </c>
      <c r="M459" s="11">
        <f t="shared" si="70"/>
        <v>0.63999999999992729</v>
      </c>
      <c r="N459" s="11">
        <f t="shared" si="70"/>
        <v>174.2400000000012</v>
      </c>
    </row>
    <row r="460" spans="1:14">
      <c r="A460" t="s">
        <v>116</v>
      </c>
      <c r="B460" s="10">
        <v>14.848307049028259</v>
      </c>
      <c r="C460" s="10">
        <v>14.848307049028259</v>
      </c>
      <c r="D460" s="6">
        <v>14.848307049028259</v>
      </c>
      <c r="E460" s="6">
        <v>14.848307049028259</v>
      </c>
      <c r="F460">
        <v>14.848307049028259</v>
      </c>
      <c r="G460">
        <v>14.848307049028259</v>
      </c>
      <c r="H460">
        <v>14.848307049028259</v>
      </c>
      <c r="J460" s="11">
        <v>9.9075728612006682</v>
      </c>
      <c r="K460" s="11">
        <v>9.9075728612006682</v>
      </c>
      <c r="L460">
        <v>9.9075728612006682</v>
      </c>
      <c r="M460">
        <v>9.9075728612006682</v>
      </c>
      <c r="N460">
        <v>9.9075728612006682</v>
      </c>
    </row>
    <row r="461" spans="1:14">
      <c r="A461" t="s">
        <v>117</v>
      </c>
      <c r="B461">
        <f>B460/SQRT(6)</f>
        <v>6.0617959690483136</v>
      </c>
      <c r="C461" s="10">
        <f t="shared" ref="C461:H461" si="71">C460/SQRT(6)</f>
        <v>6.0617959690483136</v>
      </c>
      <c r="D461" s="10">
        <f t="shared" si="71"/>
        <v>6.0617959690483136</v>
      </c>
      <c r="E461" s="10">
        <f t="shared" si="71"/>
        <v>6.0617959690483136</v>
      </c>
      <c r="F461" s="10">
        <f t="shared" si="71"/>
        <v>6.0617959690483136</v>
      </c>
      <c r="G461" s="10">
        <f t="shared" si="71"/>
        <v>6.0617959690483136</v>
      </c>
      <c r="H461" s="10">
        <f t="shared" si="71"/>
        <v>6.0617959690483136</v>
      </c>
      <c r="J461">
        <f>J460/SQRT(5)</f>
        <v>4.4308012819353566</v>
      </c>
      <c r="K461" s="11">
        <f t="shared" ref="K461:N461" si="72">K460/SQRT(5)</f>
        <v>4.4308012819353566</v>
      </c>
      <c r="L461" s="11">
        <f t="shared" si="72"/>
        <v>4.4308012819353566</v>
      </c>
      <c r="M461" s="11">
        <f t="shared" si="72"/>
        <v>4.4308012819353566</v>
      </c>
      <c r="N461" s="11">
        <f t="shared" si="72"/>
        <v>4.4308012819353566</v>
      </c>
    </row>
    <row r="463" spans="1:14">
      <c r="A463" t="s">
        <v>42</v>
      </c>
      <c r="B463" t="s">
        <v>44</v>
      </c>
    </row>
    <row r="464" spans="1:14">
      <c r="A464" t="s">
        <v>74</v>
      </c>
      <c r="B464">
        <v>126</v>
      </c>
      <c r="C464">
        <v>128</v>
      </c>
      <c r="D464">
        <v>162</v>
      </c>
      <c r="E464">
        <v>163</v>
      </c>
      <c r="F464">
        <v>164</v>
      </c>
      <c r="G464">
        <v>165</v>
      </c>
      <c r="H464">
        <v>166</v>
      </c>
      <c r="J464">
        <v>185</v>
      </c>
      <c r="K464" s="11">
        <v>186</v>
      </c>
      <c r="L464" s="11">
        <v>187</v>
      </c>
      <c r="M464" s="11">
        <v>188</v>
      </c>
      <c r="N464" s="11">
        <v>189</v>
      </c>
    </row>
    <row r="465" spans="1:14">
      <c r="A465" t="s">
        <v>33</v>
      </c>
    </row>
    <row r="466" spans="1:14">
      <c r="A466" t="s">
        <v>34</v>
      </c>
      <c r="B466">
        <v>579</v>
      </c>
      <c r="C466">
        <v>603</v>
      </c>
      <c r="D466" s="6">
        <v>624</v>
      </c>
      <c r="E466" s="6">
        <v>637</v>
      </c>
      <c r="F466">
        <v>607</v>
      </c>
      <c r="G466">
        <v>599</v>
      </c>
      <c r="H466">
        <v>650</v>
      </c>
      <c r="J466">
        <v>588</v>
      </c>
      <c r="K466">
        <v>594</v>
      </c>
      <c r="L466">
        <v>589</v>
      </c>
      <c r="M466">
        <v>584</v>
      </c>
      <c r="N466">
        <v>585</v>
      </c>
    </row>
    <row r="467" spans="1:14">
      <c r="A467" t="s">
        <v>114</v>
      </c>
      <c r="B467">
        <v>608.16666666666663</v>
      </c>
      <c r="C467">
        <v>608.16666666666663</v>
      </c>
      <c r="D467" s="6">
        <v>608.16666666666663</v>
      </c>
      <c r="E467" s="6">
        <v>608.16666666666663</v>
      </c>
      <c r="F467">
        <v>608.16666666666663</v>
      </c>
      <c r="G467">
        <v>608.16666666666663</v>
      </c>
      <c r="H467">
        <v>614.14285714285711</v>
      </c>
      <c r="J467">
        <v>588</v>
      </c>
      <c r="K467">
        <v>588</v>
      </c>
      <c r="L467">
        <v>588</v>
      </c>
      <c r="M467">
        <v>588</v>
      </c>
      <c r="N467">
        <v>588</v>
      </c>
    </row>
    <row r="468" spans="1:14">
      <c r="A468" t="s">
        <v>115</v>
      </c>
      <c r="B468">
        <f>(B467-B466)*(B467-B466)</f>
        <v>850.69444444444218</v>
      </c>
      <c r="C468">
        <f>(C467-C466)*(C467-C466)</f>
        <v>26.694444444444052</v>
      </c>
      <c r="D468" s="9">
        <f t="shared" ref="D468:N468" si="73">(D467-D466)*(D467-D466)</f>
        <v>250.69444444444565</v>
      </c>
      <c r="E468" s="9">
        <f t="shared" si="73"/>
        <v>831.36111111111325</v>
      </c>
      <c r="F468" s="9">
        <f t="shared" si="73"/>
        <v>1.3611111111110228</v>
      </c>
      <c r="G468" s="9">
        <f t="shared" si="73"/>
        <v>84.027777777777089</v>
      </c>
      <c r="H468" s="9">
        <f t="shared" si="73"/>
        <v>1285.7346938775534</v>
      </c>
      <c r="J468" s="11">
        <f t="shared" si="73"/>
        <v>0</v>
      </c>
      <c r="K468" s="11">
        <f t="shared" si="73"/>
        <v>36</v>
      </c>
      <c r="L468" s="11">
        <f t="shared" si="73"/>
        <v>1</v>
      </c>
      <c r="M468" s="11">
        <f t="shared" si="73"/>
        <v>16</v>
      </c>
      <c r="N468" s="11">
        <f t="shared" si="73"/>
        <v>9</v>
      </c>
    </row>
    <row r="469" spans="1:14">
      <c r="A469" t="s">
        <v>116</v>
      </c>
      <c r="B469" s="10">
        <v>18.460919683362356</v>
      </c>
      <c r="C469" s="10">
        <v>18.460919683362356</v>
      </c>
      <c r="D469" s="6">
        <v>18.460919683362356</v>
      </c>
      <c r="E469" s="6">
        <v>18.460919683362356</v>
      </c>
      <c r="F469">
        <v>18.460919683362356</v>
      </c>
      <c r="G469">
        <v>18.460919683362356</v>
      </c>
      <c r="H469">
        <v>22.50351446475208</v>
      </c>
      <c r="J469" s="11">
        <v>3.5213633723318019</v>
      </c>
      <c r="K469" s="11">
        <v>3.5213633723318019</v>
      </c>
      <c r="L469">
        <v>3.5213633723318019</v>
      </c>
      <c r="M469">
        <v>3.5213633723318019</v>
      </c>
      <c r="N469">
        <v>3.5213633723318019</v>
      </c>
    </row>
    <row r="470" spans="1:14">
      <c r="A470" t="s">
        <v>117</v>
      </c>
      <c r="B470">
        <f>B469/SQRT(6)</f>
        <v>7.5366389011233617</v>
      </c>
      <c r="C470" s="10">
        <f t="shared" ref="C470:G470" si="74">C469/SQRT(6)</f>
        <v>7.5366389011233617</v>
      </c>
      <c r="D470" s="10">
        <f t="shared" si="74"/>
        <v>7.5366389011233617</v>
      </c>
      <c r="E470" s="10">
        <f t="shared" si="74"/>
        <v>7.5366389011233617</v>
      </c>
      <c r="F470" s="10">
        <f t="shared" si="74"/>
        <v>7.5366389011233617</v>
      </c>
      <c r="G470" s="10">
        <f t="shared" si="74"/>
        <v>7.5366389011233617</v>
      </c>
      <c r="H470" s="9">
        <f t="shared" ref="H470" si="75">H469/SQRT(7)</f>
        <v>8.505528985525542</v>
      </c>
      <c r="J470">
        <f>J469/SQRT(5)</f>
        <v>1.574801574802362</v>
      </c>
      <c r="K470" s="11">
        <f t="shared" ref="K470:N470" si="76">K469/SQRT(5)</f>
        <v>1.574801574802362</v>
      </c>
      <c r="L470" s="11">
        <f t="shared" si="76"/>
        <v>1.574801574802362</v>
      </c>
      <c r="M470" s="11">
        <f t="shared" si="76"/>
        <v>1.574801574802362</v>
      </c>
      <c r="N470" s="11">
        <f t="shared" si="76"/>
        <v>1.574801574802362</v>
      </c>
    </row>
    <row r="472" spans="1:14">
      <c r="A472" t="s">
        <v>41</v>
      </c>
      <c r="B472" t="s">
        <v>45</v>
      </c>
    </row>
    <row r="473" spans="1:14">
      <c r="A473" t="s">
        <v>74</v>
      </c>
      <c r="B473">
        <v>132</v>
      </c>
      <c r="C473">
        <v>141</v>
      </c>
      <c r="D473">
        <v>172</v>
      </c>
      <c r="E473">
        <v>173</v>
      </c>
      <c r="F473">
        <v>174</v>
      </c>
      <c r="J473">
        <v>196</v>
      </c>
      <c r="K473" s="12">
        <v>197</v>
      </c>
      <c r="L473" s="12">
        <v>198</v>
      </c>
      <c r="M473" s="12">
        <v>199</v>
      </c>
      <c r="N473" s="12">
        <v>200</v>
      </c>
    </row>
    <row r="474" spans="1:14">
      <c r="A474" t="s">
        <v>33</v>
      </c>
    </row>
    <row r="475" spans="1:14">
      <c r="A475" t="s">
        <v>34</v>
      </c>
      <c r="B475">
        <v>641</v>
      </c>
      <c r="C475">
        <v>634</v>
      </c>
      <c r="D475" s="6">
        <v>663</v>
      </c>
      <c r="E475" s="6">
        <v>652</v>
      </c>
      <c r="F475">
        <v>655</v>
      </c>
      <c r="J475">
        <v>642</v>
      </c>
      <c r="K475">
        <v>648</v>
      </c>
      <c r="L475">
        <v>653</v>
      </c>
      <c r="M475">
        <v>674</v>
      </c>
      <c r="N475">
        <v>662</v>
      </c>
    </row>
    <row r="476" spans="1:14">
      <c r="A476" t="s">
        <v>114</v>
      </c>
      <c r="B476">
        <v>649</v>
      </c>
      <c r="C476">
        <v>649</v>
      </c>
      <c r="D476" s="6">
        <v>649</v>
      </c>
      <c r="E476" s="6">
        <v>649</v>
      </c>
      <c r="F476">
        <v>649</v>
      </c>
      <c r="J476">
        <v>655.8</v>
      </c>
      <c r="K476">
        <v>655.8</v>
      </c>
      <c r="L476">
        <v>655.8</v>
      </c>
      <c r="M476">
        <v>655.8</v>
      </c>
      <c r="N476">
        <v>655.8</v>
      </c>
    </row>
    <row r="477" spans="1:14">
      <c r="A477" t="s">
        <v>115</v>
      </c>
      <c r="B477">
        <f>(B476-B475)*(B476-B475)</f>
        <v>64</v>
      </c>
      <c r="C477">
        <f>(C476-C475)*(C476-C475)</f>
        <v>225</v>
      </c>
      <c r="D477" s="9">
        <f t="shared" ref="D477:F477" si="77">(D476-D475)*(D476-D475)</f>
        <v>196</v>
      </c>
      <c r="E477" s="9">
        <f t="shared" si="77"/>
        <v>9</v>
      </c>
      <c r="F477" s="9">
        <f t="shared" si="77"/>
        <v>36</v>
      </c>
      <c r="J477" s="12">
        <f t="shared" ref="J477:N477" si="78">(J476-J475)*(J476-J475)</f>
        <v>190.43999999999875</v>
      </c>
      <c r="K477" s="12">
        <f t="shared" si="78"/>
        <v>60.839999999999293</v>
      </c>
      <c r="L477" s="12">
        <f t="shared" si="78"/>
        <v>7.839999999999745</v>
      </c>
      <c r="M477" s="12">
        <f t="shared" si="78"/>
        <v>331.24000000000166</v>
      </c>
      <c r="N477" s="12">
        <f t="shared" si="78"/>
        <v>38.440000000000566</v>
      </c>
    </row>
    <row r="478" spans="1:14">
      <c r="A478" t="s">
        <v>116</v>
      </c>
      <c r="B478" s="9">
        <v>10.295630140987001</v>
      </c>
      <c r="C478" s="9">
        <v>10.295630140987001</v>
      </c>
      <c r="D478" s="6">
        <v>10.295630140987001</v>
      </c>
      <c r="E478" s="6">
        <v>10.295630140987001</v>
      </c>
      <c r="F478">
        <v>10.295630140987001</v>
      </c>
      <c r="J478" s="12">
        <v>11.214276615100948</v>
      </c>
      <c r="K478" s="12">
        <v>11.214276615100948</v>
      </c>
      <c r="L478">
        <v>11.214276615100948</v>
      </c>
      <c r="M478">
        <v>11.214276615100948</v>
      </c>
      <c r="N478">
        <v>11.214276615100948</v>
      </c>
    </row>
    <row r="479" spans="1:14">
      <c r="A479" t="s">
        <v>117</v>
      </c>
      <c r="B479">
        <f>B478/SQRT(5)</f>
        <v>4.6043457732885349</v>
      </c>
      <c r="C479" s="9">
        <f t="shared" ref="C479:F479" si="79">C478/SQRT(5)</f>
        <v>4.6043457732885349</v>
      </c>
      <c r="D479" s="9">
        <f t="shared" si="79"/>
        <v>4.6043457732885349</v>
      </c>
      <c r="E479" s="9">
        <f t="shared" si="79"/>
        <v>4.6043457732885349</v>
      </c>
      <c r="F479" s="9">
        <f t="shared" si="79"/>
        <v>4.6043457732885349</v>
      </c>
      <c r="J479">
        <f>J478/SQRT(5)</f>
        <v>5.0151769659703929</v>
      </c>
      <c r="K479" s="12">
        <f t="shared" ref="K479:N479" si="80">K478/SQRT(5)</f>
        <v>5.0151769659703929</v>
      </c>
      <c r="L479" s="12">
        <f t="shared" si="80"/>
        <v>5.0151769659703929</v>
      </c>
      <c r="M479" s="12">
        <f t="shared" si="80"/>
        <v>5.0151769659703929</v>
      </c>
      <c r="N479" s="12">
        <f t="shared" si="80"/>
        <v>5.0151769659703929</v>
      </c>
    </row>
    <row r="483" spans="1:14">
      <c r="A483" s="8" t="s">
        <v>38</v>
      </c>
      <c r="B483" s="8" t="s">
        <v>46</v>
      </c>
    </row>
    <row r="484" spans="1:14">
      <c r="A484" s="8" t="s">
        <v>74</v>
      </c>
      <c r="B484" s="8">
        <v>101</v>
      </c>
      <c r="C484">
        <v>105</v>
      </c>
      <c r="D484">
        <v>106</v>
      </c>
      <c r="E484">
        <v>107</v>
      </c>
      <c r="F484">
        <v>108</v>
      </c>
      <c r="J484">
        <v>148</v>
      </c>
      <c r="K484" s="11">
        <v>149</v>
      </c>
      <c r="L484" s="11">
        <v>150</v>
      </c>
      <c r="M484" s="11">
        <v>151</v>
      </c>
      <c r="N484" s="11">
        <v>152</v>
      </c>
    </row>
    <row r="485" spans="1:14">
      <c r="A485" s="22" t="s">
        <v>33</v>
      </c>
      <c r="B485" s="22"/>
    </row>
    <row r="486" spans="1:14">
      <c r="A486" s="8" t="s">
        <v>184</v>
      </c>
      <c r="B486" s="8">
        <f>12*60+36</f>
        <v>756</v>
      </c>
      <c r="C486">
        <f>13*60+16</f>
        <v>796</v>
      </c>
      <c r="D486">
        <f>13*60+17</f>
        <v>797</v>
      </c>
      <c r="E486">
        <f>13*60+10</f>
        <v>790</v>
      </c>
      <c r="F486">
        <f>14*60+50</f>
        <v>890</v>
      </c>
      <c r="J486">
        <v>614</v>
      </c>
      <c r="K486">
        <v>604</v>
      </c>
      <c r="L486">
        <v>607</v>
      </c>
      <c r="M486">
        <v>609</v>
      </c>
      <c r="N486">
        <v>604</v>
      </c>
    </row>
    <row r="487" spans="1:14">
      <c r="A487" s="8" t="s">
        <v>114</v>
      </c>
      <c r="B487" s="8">
        <v>756.8</v>
      </c>
      <c r="C487">
        <v>756.8</v>
      </c>
      <c r="D487">
        <v>756.8</v>
      </c>
      <c r="E487">
        <v>756.8</v>
      </c>
      <c r="F487">
        <v>756.8</v>
      </c>
      <c r="J487">
        <v>607.6</v>
      </c>
      <c r="K487">
        <v>607.6</v>
      </c>
      <c r="L487">
        <v>607.6</v>
      </c>
      <c r="M487">
        <v>607.6</v>
      </c>
      <c r="N487">
        <v>607.6</v>
      </c>
    </row>
    <row r="488" spans="1:14">
      <c r="A488" s="8" t="s">
        <v>115</v>
      </c>
      <c r="B488" s="8">
        <f>(B487-B486)*(B487-B486)</f>
        <v>0.63999999999992729</v>
      </c>
      <c r="C488" s="9">
        <f t="shared" ref="C488:F488" si="81">(C487-C486)*(C487-C486)</f>
        <v>1536.6400000000035</v>
      </c>
      <c r="D488" s="9">
        <f t="shared" si="81"/>
        <v>1616.0400000000036</v>
      </c>
      <c r="E488" s="9">
        <f t="shared" si="81"/>
        <v>1102.240000000003</v>
      </c>
      <c r="F488" s="9">
        <f t="shared" si="81"/>
        <v>17742.240000000013</v>
      </c>
      <c r="J488" s="11">
        <f t="shared" ref="J488:N488" si="82">(J487-J486)*(J487-J486)</f>
        <v>40.95999999999971</v>
      </c>
      <c r="K488" s="11">
        <f t="shared" si="82"/>
        <v>12.960000000000164</v>
      </c>
      <c r="L488" s="11">
        <f t="shared" si="82"/>
        <v>0.3600000000000273</v>
      </c>
      <c r="M488" s="11">
        <f t="shared" si="82"/>
        <v>1.9599999999999362</v>
      </c>
      <c r="N488" s="11">
        <f t="shared" si="82"/>
        <v>12.960000000000164</v>
      </c>
    </row>
    <row r="489" spans="1:14" s="7" customFormat="1">
      <c r="A489" s="8" t="s">
        <v>116</v>
      </c>
      <c r="B489" s="9">
        <v>44.705256961569965</v>
      </c>
      <c r="C489" s="9">
        <v>44.705256961569965</v>
      </c>
      <c r="D489" s="7">
        <v>44.705256961569965</v>
      </c>
      <c r="E489" s="7">
        <v>44.705256961569965</v>
      </c>
      <c r="F489" s="7">
        <v>44.705256961569965</v>
      </c>
      <c r="J489" s="11">
        <v>3.7202150475476548</v>
      </c>
      <c r="K489" s="11">
        <v>3.7202150475476548</v>
      </c>
      <c r="L489" s="7">
        <v>3.7202150475476548</v>
      </c>
      <c r="M489" s="7">
        <v>3.7202150475476548</v>
      </c>
      <c r="N489" s="7">
        <v>3.7202150475476548</v>
      </c>
    </row>
    <row r="490" spans="1:14" s="7" customFormat="1">
      <c r="A490" s="8" t="s">
        <v>117</v>
      </c>
      <c r="B490" s="8">
        <f>B489/SQRT(5)</f>
        <v>19.992798703533229</v>
      </c>
      <c r="C490" s="9">
        <f t="shared" ref="C490:F490" si="83">C489/SQRT(5)</f>
        <v>19.992798703533229</v>
      </c>
      <c r="D490" s="9">
        <f t="shared" si="83"/>
        <v>19.992798703533229</v>
      </c>
      <c r="E490" s="9">
        <f t="shared" si="83"/>
        <v>19.992798703533229</v>
      </c>
      <c r="F490" s="9">
        <f t="shared" si="83"/>
        <v>19.992798703533229</v>
      </c>
      <c r="J490" s="7">
        <f>J489/SQRT(5)</f>
        <v>1.6637307474468337</v>
      </c>
      <c r="K490" s="11">
        <f t="shared" ref="K490:N490" si="84">K489/SQRT(5)</f>
        <v>1.6637307474468337</v>
      </c>
      <c r="L490" s="11">
        <f t="shared" si="84"/>
        <v>1.6637307474468337</v>
      </c>
      <c r="M490" s="11">
        <f t="shared" si="84"/>
        <v>1.6637307474468337</v>
      </c>
      <c r="N490" s="11">
        <f t="shared" si="84"/>
        <v>1.6637307474468337</v>
      </c>
    </row>
    <row r="491" spans="1:14" s="7" customFormat="1">
      <c r="A491" s="8"/>
      <c r="B491" s="8"/>
    </row>
    <row r="492" spans="1:14" s="7" customFormat="1">
      <c r="A492" s="8"/>
      <c r="B492" s="8"/>
    </row>
    <row r="493" spans="1:14" s="7" customFormat="1">
      <c r="A493" s="8" t="s">
        <v>38</v>
      </c>
      <c r="B493" s="8" t="s">
        <v>39</v>
      </c>
    </row>
    <row r="494" spans="1:14" s="7" customFormat="1">
      <c r="A494" s="8" t="s">
        <v>74</v>
      </c>
      <c r="B494" s="8">
        <v>102</v>
      </c>
      <c r="C494" s="7">
        <v>109</v>
      </c>
      <c r="D494" s="7">
        <v>110</v>
      </c>
      <c r="E494" s="7">
        <v>111</v>
      </c>
      <c r="F494" s="7">
        <v>112</v>
      </c>
      <c r="J494" s="7">
        <v>158</v>
      </c>
      <c r="K494" s="7">
        <v>159</v>
      </c>
      <c r="L494" s="7">
        <v>160</v>
      </c>
      <c r="M494" s="7">
        <v>163</v>
      </c>
      <c r="N494" s="7">
        <v>165</v>
      </c>
    </row>
    <row r="495" spans="1:14" s="7" customFormat="1">
      <c r="A495" s="22" t="s">
        <v>33</v>
      </c>
      <c r="B495" s="22"/>
    </row>
    <row r="496" spans="1:14" s="7" customFormat="1">
      <c r="A496" s="8" t="s">
        <v>184</v>
      </c>
      <c r="B496" s="8">
        <f>16*60+1</f>
        <v>961</v>
      </c>
      <c r="C496" s="7">
        <f>18*60+21</f>
        <v>1101</v>
      </c>
      <c r="D496" s="7">
        <f>17*60+4</f>
        <v>1024</v>
      </c>
      <c r="E496" s="7">
        <v>918</v>
      </c>
      <c r="F496" s="7">
        <f>16*60+38</f>
        <v>998</v>
      </c>
      <c r="J496" s="7">
        <v>663</v>
      </c>
      <c r="K496" s="7">
        <v>668</v>
      </c>
      <c r="L496" s="7">
        <v>666</v>
      </c>
      <c r="M496" s="7">
        <v>668</v>
      </c>
      <c r="N496" s="7">
        <v>688</v>
      </c>
    </row>
    <row r="497" spans="1:14" s="7" customFormat="1">
      <c r="A497" s="8" t="s">
        <v>114</v>
      </c>
      <c r="B497" s="8">
        <v>916.4</v>
      </c>
      <c r="C497" s="7">
        <v>916.4</v>
      </c>
      <c r="D497" s="7">
        <v>916.4</v>
      </c>
      <c r="E497" s="7">
        <v>916.4</v>
      </c>
      <c r="F497" s="7">
        <v>916.4</v>
      </c>
      <c r="J497" s="7">
        <v>670.6</v>
      </c>
      <c r="K497" s="7">
        <v>670.6</v>
      </c>
      <c r="L497" s="7">
        <v>670.6</v>
      </c>
      <c r="M497" s="7">
        <v>670.6</v>
      </c>
      <c r="N497" s="7">
        <v>670.6</v>
      </c>
    </row>
    <row r="498" spans="1:14" s="7" customFormat="1">
      <c r="A498" s="8" t="s">
        <v>115</v>
      </c>
      <c r="B498" s="8">
        <f>(B497-B496)*(B497-B496)</f>
        <v>1989.1600000000021</v>
      </c>
      <c r="C498" s="9">
        <f t="shared" ref="C498:F498" si="85">(C497-C496)*(C497-C496)</f>
        <v>34077.160000000011</v>
      </c>
      <c r="D498" s="9">
        <f t="shared" si="85"/>
        <v>11577.760000000006</v>
      </c>
      <c r="E498" s="9">
        <f t="shared" si="85"/>
        <v>2.5600000000000729</v>
      </c>
      <c r="F498" s="9">
        <f t="shared" si="85"/>
        <v>6658.560000000004</v>
      </c>
      <c r="J498" s="12">
        <f t="shared" ref="J498:N498" si="86">(J497-J496)*(J497-J496)</f>
        <v>57.760000000000346</v>
      </c>
      <c r="K498" s="12">
        <f t="shared" si="86"/>
        <v>6.7600000000001179</v>
      </c>
      <c r="L498" s="12">
        <f t="shared" si="86"/>
        <v>21.16000000000021</v>
      </c>
      <c r="M498" s="12">
        <f t="shared" si="86"/>
        <v>6.7600000000001179</v>
      </c>
      <c r="N498" s="12">
        <f t="shared" si="86"/>
        <v>302.7599999999992</v>
      </c>
    </row>
    <row r="499" spans="1:14" s="7" customFormat="1">
      <c r="A499" s="8" t="s">
        <v>116</v>
      </c>
      <c r="B499" s="9">
        <v>45.915574699659373</v>
      </c>
      <c r="C499" s="9">
        <v>45.915574699659373</v>
      </c>
      <c r="D499" s="7">
        <v>45.915574699659373</v>
      </c>
      <c r="E499" s="7">
        <v>45.915574699659373</v>
      </c>
      <c r="F499" s="7">
        <v>45.915574699659373</v>
      </c>
      <c r="J499" s="12">
        <v>8.8904443083571465</v>
      </c>
      <c r="K499" s="12">
        <v>8.8904443083571465</v>
      </c>
      <c r="L499" s="7">
        <v>8.8904443083571465</v>
      </c>
      <c r="M499" s="7">
        <v>8.8904443083571465</v>
      </c>
      <c r="N499" s="7">
        <v>8.8904443083571465</v>
      </c>
    </row>
    <row r="500" spans="1:14" s="7" customFormat="1">
      <c r="A500" s="8" t="s">
        <v>117</v>
      </c>
      <c r="B500" s="8">
        <f>B499/SQRT(5)</f>
        <v>20.534069250881569</v>
      </c>
      <c r="C500" s="9">
        <f t="shared" ref="C500:F500" si="87">C499/SQRT(5)</f>
        <v>20.534069250881569</v>
      </c>
      <c r="D500" s="9">
        <f t="shared" si="87"/>
        <v>20.534069250881569</v>
      </c>
      <c r="E500" s="9">
        <f t="shared" si="87"/>
        <v>20.534069250881569</v>
      </c>
      <c r="F500" s="9">
        <f t="shared" si="87"/>
        <v>20.534069250881569</v>
      </c>
      <c r="J500" s="7">
        <f>J499/SQRT(5)</f>
        <v>3.9759275647325358</v>
      </c>
      <c r="K500" s="12">
        <f t="shared" ref="K500:N500" si="88">K499/SQRT(5)</f>
        <v>3.9759275647325358</v>
      </c>
      <c r="L500" s="12">
        <f t="shared" si="88"/>
        <v>3.9759275647325358</v>
      </c>
      <c r="M500" s="12">
        <f t="shared" si="88"/>
        <v>3.9759275647325358</v>
      </c>
      <c r="N500" s="12">
        <f t="shared" si="88"/>
        <v>3.9759275647325358</v>
      </c>
    </row>
    <row r="501" spans="1:14" s="7" customFormat="1">
      <c r="A501" s="8"/>
      <c r="B501" s="8"/>
    </row>
    <row r="502" spans="1:14" s="7" customFormat="1">
      <c r="A502" s="8"/>
      <c r="B502" s="8"/>
    </row>
    <row r="503" spans="1:14" s="7" customFormat="1">
      <c r="A503" s="8" t="s">
        <v>32</v>
      </c>
      <c r="B503" s="8" t="s">
        <v>40</v>
      </c>
    </row>
    <row r="504" spans="1:14" s="7" customFormat="1">
      <c r="A504" s="8" t="s">
        <v>74</v>
      </c>
      <c r="B504" s="8">
        <v>103</v>
      </c>
      <c r="C504" s="7">
        <v>104</v>
      </c>
      <c r="D504" s="7">
        <v>113</v>
      </c>
      <c r="E504" s="7">
        <v>114</v>
      </c>
      <c r="F504" s="7">
        <v>115</v>
      </c>
      <c r="J504" s="7">
        <v>164</v>
      </c>
      <c r="K504" s="7">
        <v>173</v>
      </c>
      <c r="L504" s="7">
        <v>174</v>
      </c>
      <c r="M504">
        <v>172</v>
      </c>
    </row>
    <row r="505" spans="1:14" s="7" customFormat="1">
      <c r="A505" s="8" t="s">
        <v>33</v>
      </c>
      <c r="B505" s="8"/>
    </row>
    <row r="506" spans="1:14" s="7" customFormat="1">
      <c r="A506" s="8" t="s">
        <v>184</v>
      </c>
      <c r="B506" s="8">
        <f>22*60+24-217</f>
        <v>1127</v>
      </c>
      <c r="C506" s="7">
        <f>22*60+46-217</f>
        <v>1149</v>
      </c>
      <c r="D506" s="7">
        <f>26*60+11-217</f>
        <v>1354</v>
      </c>
      <c r="E506" s="7">
        <f>24*60+33-217</f>
        <v>1256</v>
      </c>
      <c r="F506" s="7">
        <v>1265</v>
      </c>
      <c r="J506" s="7">
        <f>19*60+26-217</f>
        <v>949</v>
      </c>
      <c r="K506" s="7">
        <f>19*60+30-217</f>
        <v>953</v>
      </c>
      <c r="L506" s="7">
        <f>18*60+13-217</f>
        <v>876</v>
      </c>
      <c r="M506" s="7">
        <f>19*60+23-217</f>
        <v>946</v>
      </c>
    </row>
    <row r="507" spans="1:14" s="7" customFormat="1">
      <c r="A507" s="8" t="s">
        <v>114</v>
      </c>
      <c r="B507" s="8">
        <f>SUM(B506:F506)/5</f>
        <v>1230.2</v>
      </c>
      <c r="C507" s="7">
        <v>1230.2</v>
      </c>
      <c r="D507" s="7">
        <v>1230.2</v>
      </c>
      <c r="E507" s="7">
        <v>1230.2</v>
      </c>
      <c r="F507" s="7">
        <v>1230.2</v>
      </c>
      <c r="J507" s="7">
        <v>931</v>
      </c>
      <c r="K507" s="7">
        <v>931</v>
      </c>
      <c r="L507" s="7">
        <v>931</v>
      </c>
      <c r="M507" s="7">
        <v>931</v>
      </c>
    </row>
    <row r="508" spans="1:14" s="7" customFormat="1">
      <c r="A508" s="8" t="s">
        <v>115</v>
      </c>
      <c r="B508" s="8">
        <f>(B507-B506)*(B507-B506)</f>
        <v>10650.240000000009</v>
      </c>
      <c r="C508" s="9">
        <f t="shared" ref="C508:F508" si="89">(C507-C506)*(C507-C506)</f>
        <v>6593.4400000000078</v>
      </c>
      <c r="D508" s="9">
        <f t="shared" si="89"/>
        <v>15326.43999999999</v>
      </c>
      <c r="E508" s="9">
        <f t="shared" si="89"/>
        <v>665.6399999999976</v>
      </c>
      <c r="F508" s="9">
        <f t="shared" si="89"/>
        <v>1211.0399999999968</v>
      </c>
      <c r="J508" s="15">
        <f t="shared" ref="J508:M508" si="90">(J507-J506)*(J507-J506)</f>
        <v>324</v>
      </c>
      <c r="K508" s="15">
        <f t="shared" si="90"/>
        <v>484</v>
      </c>
      <c r="L508" s="15">
        <f t="shared" si="90"/>
        <v>3025</v>
      </c>
      <c r="M508" s="15">
        <f t="shared" si="90"/>
        <v>225</v>
      </c>
    </row>
    <row r="509" spans="1:14" s="7" customFormat="1">
      <c r="A509" s="8" t="s">
        <v>116</v>
      </c>
      <c r="B509" s="9">
        <v>83.002168646367295</v>
      </c>
      <c r="C509" s="9">
        <v>83.002168646367295</v>
      </c>
      <c r="D509" s="7">
        <v>83.002168646367295</v>
      </c>
      <c r="E509" s="7">
        <v>83.002168646367295</v>
      </c>
      <c r="F509" s="7">
        <v>83.002168646367295</v>
      </c>
      <c r="J509" s="15">
        <v>31.851216617265973</v>
      </c>
      <c r="K509" s="15">
        <v>31.851216617265973</v>
      </c>
      <c r="L509" s="7">
        <v>31.851216617265973</v>
      </c>
      <c r="M509" s="7">
        <v>31.851216617265973</v>
      </c>
    </row>
    <row r="510" spans="1:14" s="7" customFormat="1">
      <c r="A510" s="8" t="s">
        <v>117</v>
      </c>
      <c r="B510" s="8">
        <f>B509/SQRT(5)</f>
        <v>37.119698274635795</v>
      </c>
      <c r="C510" s="9">
        <f t="shared" ref="C510:F510" si="91">C509/SQRT(5)</f>
        <v>37.119698274635795</v>
      </c>
      <c r="D510" s="9">
        <f t="shared" si="91"/>
        <v>37.119698274635795</v>
      </c>
      <c r="E510" s="9">
        <f t="shared" si="91"/>
        <v>37.119698274635795</v>
      </c>
      <c r="F510" s="9">
        <f t="shared" si="91"/>
        <v>37.119698274635795</v>
      </c>
      <c r="J510" s="15">
        <f>J509/SQRT(4)</f>
        <v>15.925608308632986</v>
      </c>
      <c r="K510" s="15">
        <f t="shared" ref="K510:M510" si="92">K509/SQRT(4)</f>
        <v>15.925608308632986</v>
      </c>
      <c r="L510" s="15">
        <f t="shared" si="92"/>
        <v>15.925608308632986</v>
      </c>
      <c r="M510" s="15">
        <f t="shared" si="92"/>
        <v>15.925608308632986</v>
      </c>
    </row>
    <row r="511" spans="1:14" s="7" customFormat="1"/>
    <row r="512" spans="1:14" s="7" customFormat="1"/>
    <row r="513" spans="1:22" s="8" customFormat="1">
      <c r="A513" s="8" t="s">
        <v>186</v>
      </c>
      <c r="B513" s="8" t="s">
        <v>46</v>
      </c>
    </row>
    <row r="514" spans="1:22" s="8" customFormat="1">
      <c r="A514" s="8" t="s">
        <v>74</v>
      </c>
      <c r="B514" s="8">
        <v>116</v>
      </c>
      <c r="C514" s="8">
        <v>117</v>
      </c>
      <c r="D514" s="8">
        <v>118</v>
      </c>
      <c r="E514" s="8">
        <v>119</v>
      </c>
      <c r="F514" s="8">
        <v>120</v>
      </c>
      <c r="J514" s="8">
        <v>143</v>
      </c>
      <c r="K514" s="11">
        <v>144</v>
      </c>
      <c r="L514" s="11">
        <v>145</v>
      </c>
      <c r="M514" s="11">
        <v>146</v>
      </c>
      <c r="N514" s="11">
        <v>147</v>
      </c>
    </row>
    <row r="515" spans="1:22" s="8" customFormat="1">
      <c r="A515" s="22" t="s">
        <v>33</v>
      </c>
      <c r="B515" s="22"/>
    </row>
    <row r="516" spans="1:22" s="8" customFormat="1">
      <c r="A516" s="8" t="s">
        <v>184</v>
      </c>
      <c r="B516" s="8">
        <f>12*60+44-24</f>
        <v>740</v>
      </c>
      <c r="C516" s="8">
        <f>12*60+30-24</f>
        <v>726</v>
      </c>
      <c r="D516" s="8">
        <f>12*60+16-24</f>
        <v>712</v>
      </c>
      <c r="E516" s="8">
        <v>722</v>
      </c>
      <c r="F516" s="8">
        <v>716</v>
      </c>
      <c r="J516" s="8">
        <v>626</v>
      </c>
      <c r="K516" s="8">
        <v>630</v>
      </c>
      <c r="L516" s="8">
        <v>625</v>
      </c>
      <c r="M516" s="8">
        <v>623</v>
      </c>
      <c r="N516" s="8">
        <v>612</v>
      </c>
    </row>
    <row r="517" spans="1:22" s="8" customFormat="1">
      <c r="A517" s="8" t="s">
        <v>114</v>
      </c>
      <c r="B517" s="8">
        <v>723.2</v>
      </c>
      <c r="C517" s="8">
        <v>723.2</v>
      </c>
      <c r="D517" s="8">
        <v>723.2</v>
      </c>
      <c r="E517" s="8">
        <v>723.2</v>
      </c>
      <c r="F517" s="8">
        <v>723.2</v>
      </c>
      <c r="J517" s="8">
        <v>623.20000000000005</v>
      </c>
      <c r="K517" s="8">
        <v>623.20000000000005</v>
      </c>
      <c r="L517" s="8">
        <v>623.20000000000005</v>
      </c>
      <c r="M517" s="8">
        <v>623.20000000000005</v>
      </c>
      <c r="N517" s="8">
        <v>623.20000000000005</v>
      </c>
    </row>
    <row r="518" spans="1:22" s="8" customFormat="1">
      <c r="A518" s="8" t="s">
        <v>115</v>
      </c>
      <c r="B518" s="8">
        <f>(B517-B516)*(B517-B516)</f>
        <v>282.23999999999847</v>
      </c>
      <c r="C518" s="9">
        <f t="shared" ref="C518:F518" si="93">(C517-C516)*(C517-C516)</f>
        <v>7.839999999999745</v>
      </c>
      <c r="D518" s="9">
        <f t="shared" si="93"/>
        <v>125.44000000000102</v>
      </c>
      <c r="E518" s="9">
        <f t="shared" si="93"/>
        <v>1.4400000000001092</v>
      </c>
      <c r="F518" s="9">
        <f t="shared" si="93"/>
        <v>51.840000000000657</v>
      </c>
      <c r="J518" s="11">
        <f t="shared" ref="J518:N518" si="94">(J517-J516)*(J517-J516)</f>
        <v>7.839999999999745</v>
      </c>
      <c r="K518" s="11">
        <f t="shared" si="94"/>
        <v>46.239999999999384</v>
      </c>
      <c r="L518" s="11">
        <f t="shared" si="94"/>
        <v>3.2399999999998363</v>
      </c>
      <c r="M518" s="11">
        <f t="shared" si="94"/>
        <v>4.0000000000018188E-2</v>
      </c>
      <c r="N518" s="11">
        <f t="shared" si="94"/>
        <v>125.44000000000102</v>
      </c>
    </row>
    <row r="519" spans="1:22" s="8" customFormat="1">
      <c r="A519" s="8" t="s">
        <v>116</v>
      </c>
      <c r="B519" s="9">
        <v>9.6829747495281637</v>
      </c>
      <c r="C519" s="9">
        <v>9.6829747495281637</v>
      </c>
      <c r="D519" s="8">
        <v>9.6829747495281637</v>
      </c>
      <c r="E519" s="8">
        <v>9.6829747495281637</v>
      </c>
      <c r="F519" s="8">
        <v>9.6829747495281637</v>
      </c>
      <c r="J519" s="11">
        <v>6.0464865831323902</v>
      </c>
      <c r="K519" s="11">
        <v>6.0464865831323902</v>
      </c>
      <c r="L519" s="8">
        <v>6.0464865831323902</v>
      </c>
      <c r="M519" s="8">
        <v>6.0464865831323902</v>
      </c>
      <c r="N519" s="8">
        <v>6.0464865831323902</v>
      </c>
    </row>
    <row r="520" spans="1:22" s="8" customFormat="1">
      <c r="A520" s="8" t="s">
        <v>117</v>
      </c>
      <c r="B520" s="8">
        <f>B519/SQRT(5)</f>
        <v>4.3303579528717941</v>
      </c>
      <c r="C520" s="9">
        <f t="shared" ref="C520:F520" si="95">C519/SQRT(5)</f>
        <v>4.3303579528717941</v>
      </c>
      <c r="D520" s="9">
        <f t="shared" si="95"/>
        <v>4.3303579528717941</v>
      </c>
      <c r="E520" s="9">
        <f t="shared" si="95"/>
        <v>4.3303579528717941</v>
      </c>
      <c r="F520" s="9">
        <f t="shared" si="95"/>
        <v>4.3303579528717941</v>
      </c>
      <c r="J520" s="8">
        <f>J519/SQRT(5)</f>
        <v>2.7040710049848915</v>
      </c>
      <c r="K520" s="11">
        <f t="shared" ref="K520:N520" si="96">K519/SQRT(5)</f>
        <v>2.7040710049848915</v>
      </c>
      <c r="L520" s="11">
        <f t="shared" si="96"/>
        <v>2.7040710049848915</v>
      </c>
      <c r="M520" s="11">
        <f t="shared" si="96"/>
        <v>2.7040710049848915</v>
      </c>
      <c r="N520" s="11">
        <f t="shared" si="96"/>
        <v>2.7040710049848915</v>
      </c>
    </row>
    <row r="521" spans="1:22" s="8" customFormat="1"/>
    <row r="522" spans="1:22" s="8" customFormat="1"/>
    <row r="523" spans="1:22" s="8" customFormat="1">
      <c r="A523" s="8" t="s">
        <v>186</v>
      </c>
      <c r="B523" s="8" t="s">
        <v>39</v>
      </c>
    </row>
    <row r="524" spans="1:22" s="8" customFormat="1">
      <c r="A524" s="8" t="s">
        <v>74</v>
      </c>
      <c r="B524" s="8">
        <v>121</v>
      </c>
      <c r="C524" s="8">
        <v>122</v>
      </c>
      <c r="D524" s="8">
        <v>123</v>
      </c>
      <c r="E524" s="8">
        <v>124</v>
      </c>
      <c r="F524" s="8">
        <v>125</v>
      </c>
      <c r="J524" s="8">
        <v>153</v>
      </c>
      <c r="K524" s="11">
        <v>154</v>
      </c>
      <c r="L524" s="11">
        <v>155</v>
      </c>
      <c r="M524" s="11">
        <v>156</v>
      </c>
      <c r="N524" s="11">
        <v>157</v>
      </c>
      <c r="Q524" s="8">
        <v>179</v>
      </c>
      <c r="R524" s="16">
        <v>180</v>
      </c>
      <c r="S524" s="16">
        <v>181</v>
      </c>
      <c r="T524" s="16">
        <v>182</v>
      </c>
      <c r="U524" s="16">
        <v>183</v>
      </c>
      <c r="V524" s="8">
        <v>184</v>
      </c>
    </row>
    <row r="525" spans="1:22" s="8" customFormat="1">
      <c r="A525" s="22" t="s">
        <v>33</v>
      </c>
      <c r="B525" s="22"/>
    </row>
    <row r="526" spans="1:22" s="8" customFormat="1">
      <c r="A526" s="8" t="s">
        <v>184</v>
      </c>
      <c r="B526" s="8">
        <f>17*60+15-53</f>
        <v>982</v>
      </c>
      <c r="C526" s="8">
        <f>16*60+46-53</f>
        <v>953</v>
      </c>
      <c r="D526" s="8">
        <f>18*60+13-53</f>
        <v>1040</v>
      </c>
      <c r="E526" s="8">
        <f>17*60+12-53</f>
        <v>979</v>
      </c>
      <c r="F526" s="8">
        <f>16*60+55-53</f>
        <v>962</v>
      </c>
      <c r="J526" s="8">
        <v>656</v>
      </c>
      <c r="K526" s="8">
        <v>643</v>
      </c>
      <c r="L526" s="8">
        <v>637</v>
      </c>
      <c r="M526" s="8">
        <v>636</v>
      </c>
      <c r="N526" s="8">
        <v>637</v>
      </c>
      <c r="Q526" s="8">
        <f>670</f>
        <v>670</v>
      </c>
      <c r="R526" s="8">
        <v>659</v>
      </c>
      <c r="S526" s="8">
        <f>11*60+43</f>
        <v>703</v>
      </c>
      <c r="T526" s="8">
        <v>699</v>
      </c>
      <c r="U526" s="8">
        <v>702</v>
      </c>
      <c r="V526" s="8">
        <v>712</v>
      </c>
    </row>
    <row r="527" spans="1:22" s="8" customFormat="1">
      <c r="A527" s="8" t="s">
        <v>114</v>
      </c>
      <c r="B527" s="8">
        <v>983.2</v>
      </c>
      <c r="C527" s="8">
        <v>983.2</v>
      </c>
      <c r="D527" s="8">
        <v>983.2</v>
      </c>
      <c r="E527" s="8">
        <v>983.2</v>
      </c>
      <c r="F527" s="8">
        <v>983.2</v>
      </c>
      <c r="J527" s="8">
        <v>641.79999999999995</v>
      </c>
      <c r="K527" s="8">
        <v>641.79999999999995</v>
      </c>
      <c r="L527" s="8">
        <v>641.79999999999995</v>
      </c>
      <c r="M527" s="8">
        <v>641.79999999999995</v>
      </c>
      <c r="N527" s="8">
        <v>641.79999999999995</v>
      </c>
      <c r="Q527" s="8">
        <v>690.83333333333337</v>
      </c>
      <c r="R527" s="17">
        <v>690.83333333333337</v>
      </c>
      <c r="S527" s="17">
        <v>690.83333333333337</v>
      </c>
      <c r="T527" s="17">
        <v>690.83333333333337</v>
      </c>
      <c r="U527" s="17">
        <v>690.83333333333337</v>
      </c>
      <c r="V527" s="17">
        <v>690.83333333333337</v>
      </c>
    </row>
    <row r="528" spans="1:22" s="8" customFormat="1">
      <c r="A528" s="8" t="s">
        <v>115</v>
      </c>
      <c r="B528" s="8">
        <f>(B527-B526)*(B527-B526)</f>
        <v>1.4400000000001092</v>
      </c>
      <c r="C528" s="9">
        <f t="shared" ref="C528:F528" si="97">(C527-C526)*(C527-C526)</f>
        <v>912.04000000000269</v>
      </c>
      <c r="D528" s="9">
        <f t="shared" si="97"/>
        <v>3226.2399999999948</v>
      </c>
      <c r="E528" s="9">
        <f t="shared" si="97"/>
        <v>17.640000000000381</v>
      </c>
      <c r="F528" s="9">
        <f t="shared" si="97"/>
        <v>449.44000000000193</v>
      </c>
      <c r="J528" s="11">
        <f t="shared" ref="J528:N528" si="98">(J527-J526)*(J527-J526)</f>
        <v>201.64000000000129</v>
      </c>
      <c r="K528" s="11">
        <f t="shared" si="98"/>
        <v>1.4400000000001092</v>
      </c>
      <c r="L528" s="11">
        <f t="shared" si="98"/>
        <v>23.039999999999562</v>
      </c>
      <c r="M528" s="11">
        <f t="shared" si="98"/>
        <v>33.639999999999475</v>
      </c>
      <c r="N528" s="11">
        <f t="shared" si="98"/>
        <v>23.039999999999562</v>
      </c>
      <c r="Q528" s="17">
        <f t="shared" ref="Q528:V528" si="99">(Q527-Q526)*(Q527-Q526)</f>
        <v>434.02777777777936</v>
      </c>
      <c r="R528" s="17">
        <f t="shared" si="99"/>
        <v>1013.3611111111135</v>
      </c>
      <c r="S528" s="17">
        <f t="shared" si="99"/>
        <v>148.02777777777686</v>
      </c>
      <c r="T528" s="17">
        <f t="shared" si="99"/>
        <v>66.694444444443832</v>
      </c>
      <c r="U528" s="17">
        <f t="shared" si="99"/>
        <v>124.6944444444436</v>
      </c>
      <c r="V528" s="17">
        <f t="shared" si="99"/>
        <v>448.02777777777618</v>
      </c>
    </row>
    <row r="529" spans="1:25" s="8" customFormat="1">
      <c r="A529" s="8" t="s">
        <v>116</v>
      </c>
      <c r="B529" s="9">
        <v>30.353912433160904</v>
      </c>
      <c r="C529" s="9">
        <v>30.353912433160904</v>
      </c>
      <c r="D529" s="8">
        <v>30.353912433160904</v>
      </c>
      <c r="E529" s="8">
        <v>30.353912433160904</v>
      </c>
      <c r="F529" s="8">
        <v>30.353912433160904</v>
      </c>
      <c r="J529" s="11">
        <v>7.5206382707852661</v>
      </c>
      <c r="K529" s="11">
        <v>7.5206382707852661</v>
      </c>
      <c r="L529" s="8">
        <v>7.5206382707852661</v>
      </c>
      <c r="M529" s="8">
        <v>7.5206382707852661</v>
      </c>
      <c r="N529" s="8">
        <v>7.5206382707852661</v>
      </c>
      <c r="Q529" s="17">
        <v>19.299539430313413</v>
      </c>
      <c r="R529" s="17">
        <v>19.299539430313413</v>
      </c>
      <c r="S529" s="8">
        <v>19.299539430313413</v>
      </c>
      <c r="T529" s="8">
        <v>19.299539430313413</v>
      </c>
      <c r="U529" s="8">
        <v>19.299539430313413</v>
      </c>
      <c r="V529" s="8">
        <v>19.299539430313413</v>
      </c>
    </row>
    <row r="530" spans="1:25" s="8" customFormat="1">
      <c r="A530" s="8" t="s">
        <v>117</v>
      </c>
      <c r="B530" s="8">
        <f>B529/SQRT(5)</f>
        <v>13.574682316724763</v>
      </c>
      <c r="C530" s="9">
        <f t="shared" ref="C530:F530" si="100">C529/SQRT(5)</f>
        <v>13.574682316724763</v>
      </c>
      <c r="D530" s="9">
        <f t="shared" si="100"/>
        <v>13.574682316724763</v>
      </c>
      <c r="E530" s="9">
        <f t="shared" si="100"/>
        <v>13.574682316724763</v>
      </c>
      <c r="F530" s="9">
        <f t="shared" si="100"/>
        <v>13.574682316724763</v>
      </c>
      <c r="J530" s="8">
        <f>J529/SQRT(5)</f>
        <v>3.3633316815324652</v>
      </c>
      <c r="K530" s="11">
        <f t="shared" ref="K530:N530" si="101">K529/SQRT(5)</f>
        <v>3.3633316815324652</v>
      </c>
      <c r="L530" s="11">
        <f t="shared" si="101"/>
        <v>3.3633316815324652</v>
      </c>
      <c r="M530" s="11">
        <f t="shared" si="101"/>
        <v>3.3633316815324652</v>
      </c>
      <c r="N530" s="11">
        <f t="shared" si="101"/>
        <v>3.3633316815324652</v>
      </c>
      <c r="Q530" s="17">
        <f>Q529/SQRT(6)</f>
        <v>7.8790039791653683</v>
      </c>
      <c r="R530" s="17">
        <f t="shared" ref="R530:V530" si="102">R529/SQRT(6)</f>
        <v>7.8790039791653683</v>
      </c>
      <c r="S530" s="17">
        <f t="shared" si="102"/>
        <v>7.8790039791653683</v>
      </c>
      <c r="T530" s="17">
        <f t="shared" si="102"/>
        <v>7.8790039791653683</v>
      </c>
      <c r="U530" s="17">
        <f t="shared" si="102"/>
        <v>7.8790039791653683</v>
      </c>
      <c r="V530" s="17">
        <f t="shared" si="102"/>
        <v>7.8790039791653683</v>
      </c>
    </row>
    <row r="531" spans="1:25" s="8" customFormat="1"/>
    <row r="532" spans="1:25" s="8" customFormat="1"/>
    <row r="533" spans="1:25" s="8" customFormat="1">
      <c r="A533" s="8" t="s">
        <v>186</v>
      </c>
      <c r="B533" s="8" t="s">
        <v>40</v>
      </c>
    </row>
    <row r="534" spans="1:25" s="8" customFormat="1">
      <c r="A534" s="8" t="s">
        <v>74</v>
      </c>
      <c r="B534" s="8">
        <v>126</v>
      </c>
      <c r="C534" s="8">
        <v>127</v>
      </c>
      <c r="D534" s="8">
        <v>128</v>
      </c>
      <c r="E534" s="8">
        <v>129</v>
      </c>
      <c r="F534" s="8">
        <v>130</v>
      </c>
      <c r="J534" s="8">
        <v>161</v>
      </c>
      <c r="K534" s="8">
        <v>162</v>
      </c>
      <c r="L534" s="8">
        <v>166</v>
      </c>
      <c r="M534" s="8">
        <v>167</v>
      </c>
      <c r="N534" s="8">
        <v>168</v>
      </c>
      <c r="Q534" s="8">
        <v>185</v>
      </c>
      <c r="R534" s="8">
        <v>186</v>
      </c>
      <c r="S534" s="8">
        <v>187</v>
      </c>
      <c r="T534" s="8">
        <v>188</v>
      </c>
      <c r="U534" s="8">
        <v>189</v>
      </c>
    </row>
    <row r="535" spans="1:25" s="8" customFormat="1">
      <c r="A535" s="8" t="s">
        <v>33</v>
      </c>
    </row>
    <row r="536" spans="1:25" s="8" customFormat="1">
      <c r="A536" s="8" t="s">
        <v>184</v>
      </c>
      <c r="B536" s="8">
        <f>24*60+9-113</f>
        <v>1336</v>
      </c>
      <c r="C536" s="8">
        <f>25*60+4-113</f>
        <v>1391</v>
      </c>
      <c r="D536" s="8">
        <f>24*60+7-113</f>
        <v>1334</v>
      </c>
      <c r="E536" s="8">
        <f>25*60+16-113</f>
        <v>1403</v>
      </c>
      <c r="F536" s="8">
        <f>25*60+31-113</f>
        <v>1418</v>
      </c>
      <c r="J536" s="8">
        <f>16*60+34</f>
        <v>994</v>
      </c>
      <c r="K536" s="8">
        <f>16*60+19</f>
        <v>979</v>
      </c>
      <c r="L536" s="8">
        <f>14*60+9</f>
        <v>849</v>
      </c>
      <c r="M536" s="8">
        <f>13*60+50</f>
        <v>830</v>
      </c>
      <c r="N536" s="8">
        <f>14*60+6</f>
        <v>846</v>
      </c>
      <c r="Q536" s="8">
        <f>15*60+43</f>
        <v>943</v>
      </c>
      <c r="R536" s="8">
        <f>947</f>
        <v>947</v>
      </c>
      <c r="S536" s="8">
        <f>16*60+25</f>
        <v>985</v>
      </c>
      <c r="T536" s="8">
        <f>17*60+17</f>
        <v>1037</v>
      </c>
      <c r="U536" s="8">
        <f>17*60+10</f>
        <v>1030</v>
      </c>
    </row>
    <row r="537" spans="1:25" s="8" customFormat="1">
      <c r="A537" s="8" t="s">
        <v>114</v>
      </c>
      <c r="B537" s="8">
        <v>1376.4</v>
      </c>
      <c r="C537" s="8">
        <v>1376.4</v>
      </c>
      <c r="D537" s="8">
        <v>1376.4</v>
      </c>
      <c r="E537" s="8">
        <v>1376.4</v>
      </c>
      <c r="F537" s="8">
        <v>1376.4</v>
      </c>
      <c r="J537" s="8">
        <v>899.6</v>
      </c>
      <c r="K537" s="8">
        <v>899.6</v>
      </c>
      <c r="L537" s="8">
        <v>899.6</v>
      </c>
      <c r="M537" s="8">
        <v>899.6</v>
      </c>
      <c r="N537" s="8">
        <v>899.6</v>
      </c>
      <c r="Q537" s="8">
        <v>988.4</v>
      </c>
      <c r="R537" s="8">
        <v>988.4</v>
      </c>
      <c r="S537" s="8">
        <v>988.4</v>
      </c>
      <c r="T537" s="8">
        <v>988.4</v>
      </c>
      <c r="U537" s="8">
        <v>988.4</v>
      </c>
    </row>
    <row r="538" spans="1:25" s="8" customFormat="1">
      <c r="A538" s="8" t="s">
        <v>115</v>
      </c>
      <c r="B538" s="8">
        <f>(B537-B536)*(B537-B536)</f>
        <v>1632.1600000000074</v>
      </c>
      <c r="C538" s="9">
        <f t="shared" ref="C538:F538" si="103">(C537-C536)*(C537-C536)</f>
        <v>213.15999999999735</v>
      </c>
      <c r="D538" s="9">
        <f t="shared" si="103"/>
        <v>1797.7600000000077</v>
      </c>
      <c r="E538" s="9">
        <f t="shared" si="103"/>
        <v>707.55999999999517</v>
      </c>
      <c r="F538" s="9">
        <f t="shared" si="103"/>
        <v>1730.5599999999924</v>
      </c>
      <c r="J538" s="8">
        <f>(J537-J536)*(J537-J536)</f>
        <v>8911.3599999999951</v>
      </c>
      <c r="K538" s="12">
        <f t="shared" ref="K538:N538" si="104">(K537-K536)*(K537-K536)</f>
        <v>6304.359999999996</v>
      </c>
      <c r="L538" s="12">
        <f t="shared" si="104"/>
        <v>2560.3600000000024</v>
      </c>
      <c r="M538" s="12">
        <f t="shared" si="104"/>
        <v>4844.1600000000035</v>
      </c>
      <c r="N538" s="12">
        <f t="shared" si="104"/>
        <v>2872.9600000000023</v>
      </c>
      <c r="Q538" s="17">
        <f t="shared" ref="Q538:U538" si="105">(Q537-Q536)*(Q537-Q536)</f>
        <v>2061.159999999998</v>
      </c>
      <c r="R538" s="17">
        <f t="shared" si="105"/>
        <v>1713.9599999999982</v>
      </c>
      <c r="S538" s="17">
        <f t="shared" si="105"/>
        <v>11.559999999999846</v>
      </c>
      <c r="T538" s="17">
        <f t="shared" si="105"/>
        <v>2361.9600000000023</v>
      </c>
      <c r="U538" s="17">
        <f t="shared" si="105"/>
        <v>1730.560000000002</v>
      </c>
    </row>
    <row r="539" spans="1:25" s="8" customFormat="1">
      <c r="A539" s="8" t="s">
        <v>116</v>
      </c>
      <c r="B539" s="9">
        <v>34.874632614552375</v>
      </c>
      <c r="C539" s="9">
        <v>34.874632614552375</v>
      </c>
      <c r="D539" s="8">
        <v>34.874632614552375</v>
      </c>
      <c r="E539" s="8">
        <v>34.874632614552375</v>
      </c>
      <c r="F539" s="8">
        <v>34.874632614552375</v>
      </c>
      <c r="J539" s="12">
        <v>71.404761745978817</v>
      </c>
      <c r="K539" s="12">
        <v>71.404761745978817</v>
      </c>
      <c r="L539" s="8">
        <v>71.404761745978817</v>
      </c>
      <c r="M539" s="8">
        <v>71.404761745978817</v>
      </c>
      <c r="N539" s="8">
        <v>71.404761745978817</v>
      </c>
      <c r="Q539" s="17">
        <v>39.69685126052191</v>
      </c>
      <c r="R539" s="17">
        <v>39.69685126052191</v>
      </c>
      <c r="S539" s="8">
        <v>39.69685126052191</v>
      </c>
      <c r="T539" s="8">
        <v>39.69685126052191</v>
      </c>
      <c r="U539" s="8">
        <v>39.69685126052191</v>
      </c>
    </row>
    <row r="540" spans="1:25" s="8" customFormat="1">
      <c r="A540" s="8" t="s">
        <v>117</v>
      </c>
      <c r="B540" s="8">
        <f>B539/SQRT(5)</f>
        <v>15.596409843294065</v>
      </c>
      <c r="C540" s="9">
        <f t="shared" ref="C540:F540" si="106">C539/SQRT(5)</f>
        <v>15.596409843294065</v>
      </c>
      <c r="D540" s="9">
        <f t="shared" si="106"/>
        <v>15.596409843294065</v>
      </c>
      <c r="E540" s="9">
        <f t="shared" si="106"/>
        <v>15.596409843294065</v>
      </c>
      <c r="F540" s="9">
        <f t="shared" si="106"/>
        <v>15.596409843294065</v>
      </c>
      <c r="J540" s="8">
        <f>J539/SQRT(5)</f>
        <v>31.933180236237039</v>
      </c>
      <c r="K540" s="12">
        <f t="shared" ref="K540:N540" si="107">K539/SQRT(5)</f>
        <v>31.933180236237039</v>
      </c>
      <c r="L540" s="12">
        <f t="shared" si="107"/>
        <v>31.933180236237039</v>
      </c>
      <c r="M540" s="12">
        <f t="shared" si="107"/>
        <v>31.933180236237039</v>
      </c>
      <c r="N540" s="12">
        <f t="shared" si="107"/>
        <v>31.933180236237039</v>
      </c>
      <c r="Q540" s="17">
        <f t="shared" ref="Q540:U540" si="108">Q539/SQRT(5)</f>
        <v>17.752971582245038</v>
      </c>
      <c r="R540" s="17">
        <f t="shared" si="108"/>
        <v>17.752971582245038</v>
      </c>
      <c r="S540" s="17">
        <f t="shared" si="108"/>
        <v>17.752971582245038</v>
      </c>
      <c r="T540" s="17">
        <f t="shared" si="108"/>
        <v>17.752971582245038</v>
      </c>
      <c r="U540" s="17">
        <f t="shared" si="108"/>
        <v>17.752971582245038</v>
      </c>
    </row>
    <row r="541" spans="1:25" s="8" customFormat="1"/>
    <row r="542" spans="1:25" s="8" customFormat="1"/>
    <row r="543" spans="1:25" s="8" customFormat="1">
      <c r="A543" s="8" t="s">
        <v>38</v>
      </c>
      <c r="B543" s="8" t="s">
        <v>46</v>
      </c>
    </row>
    <row r="544" spans="1:25" s="8" customFormat="1">
      <c r="A544" s="8" t="s">
        <v>74</v>
      </c>
      <c r="B544" s="8">
        <v>136</v>
      </c>
      <c r="C544" s="8">
        <v>140</v>
      </c>
      <c r="D544" s="8">
        <v>141</v>
      </c>
      <c r="E544" s="8">
        <v>142</v>
      </c>
      <c r="F544" s="8">
        <v>143</v>
      </c>
      <c r="J544" s="8">
        <v>172</v>
      </c>
      <c r="K544" s="11">
        <v>173</v>
      </c>
      <c r="L544" s="11">
        <v>174</v>
      </c>
      <c r="M544" s="11">
        <v>175</v>
      </c>
      <c r="N544" s="11">
        <v>176</v>
      </c>
      <c r="O544">
        <v>197</v>
      </c>
      <c r="P544" s="13">
        <v>199</v>
      </c>
      <c r="Q544" s="13">
        <v>201</v>
      </c>
      <c r="R544" s="13">
        <v>202</v>
      </c>
      <c r="S544">
        <v>203</v>
      </c>
      <c r="T544">
        <v>204</v>
      </c>
      <c r="U544">
        <v>205</v>
      </c>
      <c r="V544">
        <v>206</v>
      </c>
      <c r="W544">
        <v>207</v>
      </c>
      <c r="X544">
        <v>198</v>
      </c>
      <c r="Y544" s="13">
        <v>200</v>
      </c>
    </row>
    <row r="545" spans="1:23" s="8" customFormat="1">
      <c r="A545" s="22" t="s">
        <v>33</v>
      </c>
      <c r="B545" s="22"/>
      <c r="O545"/>
      <c r="P545"/>
      <c r="Q545"/>
      <c r="R545"/>
      <c r="S545"/>
      <c r="T545"/>
      <c r="U545"/>
      <c r="V545"/>
      <c r="W545"/>
    </row>
    <row r="546" spans="1:23" s="8" customFormat="1">
      <c r="A546" s="8" t="s">
        <v>187</v>
      </c>
      <c r="B546" s="8">
        <f>9*60+42</f>
        <v>582</v>
      </c>
      <c r="C546" s="8">
        <v>681</v>
      </c>
      <c r="D546" s="8">
        <f>540+39</f>
        <v>579</v>
      </c>
      <c r="E546" s="8">
        <v>590</v>
      </c>
      <c r="F546" s="8">
        <v>590</v>
      </c>
      <c r="J546" s="8">
        <v>557</v>
      </c>
      <c r="K546" s="8">
        <v>620</v>
      </c>
      <c r="L546" s="8">
        <v>565</v>
      </c>
      <c r="M546" s="8">
        <v>624</v>
      </c>
      <c r="N546" s="8">
        <v>563</v>
      </c>
      <c r="O546">
        <v>622</v>
      </c>
      <c r="P546">
        <v>614</v>
      </c>
      <c r="Q546">
        <v>558</v>
      </c>
      <c r="R546">
        <v>560</v>
      </c>
      <c r="S546">
        <v>597</v>
      </c>
      <c r="T546">
        <v>570</v>
      </c>
      <c r="U546">
        <v>580</v>
      </c>
      <c r="V546">
        <v>565</v>
      </c>
      <c r="W546">
        <v>570</v>
      </c>
    </row>
    <row r="547" spans="1:23" s="8" customFormat="1">
      <c r="A547" s="8" t="s">
        <v>114</v>
      </c>
      <c r="B547" s="8">
        <v>604.4</v>
      </c>
      <c r="C547" s="8">
        <v>604.4</v>
      </c>
      <c r="D547" s="8">
        <v>604.4</v>
      </c>
      <c r="E547" s="8">
        <v>604.4</v>
      </c>
      <c r="F547" s="8">
        <v>604.4</v>
      </c>
      <c r="J547" s="8">
        <v>583.21428571428567</v>
      </c>
      <c r="K547" s="8">
        <v>583.21428571428567</v>
      </c>
      <c r="L547" s="8">
        <v>583.21428571428567</v>
      </c>
      <c r="M547" s="8">
        <v>583.21428571428567</v>
      </c>
      <c r="N547" s="8">
        <v>583.21428571428567</v>
      </c>
      <c r="O547" s="8">
        <v>583.21428571428567</v>
      </c>
      <c r="P547" s="8">
        <v>583.21428571428567</v>
      </c>
      <c r="Q547" s="8">
        <v>583.21428571428567</v>
      </c>
      <c r="R547" s="8">
        <v>583.21428571428567</v>
      </c>
      <c r="S547" s="8">
        <v>583.21428571428567</v>
      </c>
      <c r="T547" s="8">
        <v>583.21428571428567</v>
      </c>
      <c r="U547" s="8">
        <v>583.21428571428567</v>
      </c>
      <c r="V547" s="8">
        <v>583.21428571428567</v>
      </c>
      <c r="W547" s="8">
        <v>583.21428571428567</v>
      </c>
    </row>
    <row r="548" spans="1:23" s="8" customFormat="1">
      <c r="A548" s="8" t="s">
        <v>115</v>
      </c>
      <c r="B548" s="8">
        <f>(B547-B546)*(B547-B546)</f>
        <v>501.75999999999897</v>
      </c>
      <c r="C548" s="9">
        <f t="shared" ref="C548:F548" si="109">(C547-C546)*(C547-C546)</f>
        <v>5867.5600000000031</v>
      </c>
      <c r="D548" s="9">
        <f t="shared" si="109"/>
        <v>645.15999999999883</v>
      </c>
      <c r="E548" s="9">
        <f t="shared" si="109"/>
        <v>207.35999999999933</v>
      </c>
      <c r="F548" s="9">
        <f t="shared" si="109"/>
        <v>207.35999999999933</v>
      </c>
      <c r="J548" s="11">
        <f t="shared" ref="J548:W548" si="110">(J547-J546)*(J547-J546)</f>
        <v>687.18877551020148</v>
      </c>
      <c r="K548" s="15">
        <f t="shared" si="110"/>
        <v>1353.1887755102077</v>
      </c>
      <c r="L548" s="15">
        <f t="shared" si="110"/>
        <v>331.76020408163089</v>
      </c>
      <c r="M548" s="15">
        <f t="shared" si="110"/>
        <v>1663.4744897959224</v>
      </c>
      <c r="N548" s="15">
        <f t="shared" si="110"/>
        <v>408.61734693877355</v>
      </c>
      <c r="O548" s="15">
        <f t="shared" si="110"/>
        <v>1504.3316326530651</v>
      </c>
      <c r="P548" s="15">
        <f t="shared" si="110"/>
        <v>947.76020408163561</v>
      </c>
      <c r="Q548" s="15">
        <f t="shared" si="110"/>
        <v>635.76020408163015</v>
      </c>
      <c r="R548" s="15">
        <f t="shared" si="110"/>
        <v>538.90306122448749</v>
      </c>
      <c r="S548" s="15">
        <f t="shared" si="110"/>
        <v>190.04591836734829</v>
      </c>
      <c r="T548" s="15">
        <f t="shared" si="110"/>
        <v>174.61734693877423</v>
      </c>
      <c r="U548" s="15">
        <f t="shared" si="110"/>
        <v>10.331632653060911</v>
      </c>
      <c r="V548" s="15">
        <f t="shared" si="110"/>
        <v>331.76020408163089</v>
      </c>
      <c r="W548" s="15">
        <f t="shared" si="110"/>
        <v>174.61734693877423</v>
      </c>
    </row>
    <row r="549" spans="1:23" s="8" customFormat="1">
      <c r="A549" s="8" t="s">
        <v>116</v>
      </c>
      <c r="B549" s="9">
        <v>38.546595180378773</v>
      </c>
      <c r="C549" s="9">
        <v>38.546595180378773</v>
      </c>
      <c r="D549" s="8">
        <v>38.546595180378773</v>
      </c>
      <c r="E549" s="8">
        <v>38.546595180378773</v>
      </c>
      <c r="F549" s="8">
        <v>38.546595180378773</v>
      </c>
      <c r="J549" s="15">
        <v>25.287429320368904</v>
      </c>
      <c r="K549" s="15">
        <v>25.287429320368904</v>
      </c>
      <c r="L549" s="8">
        <v>25.287429320368904</v>
      </c>
      <c r="M549" s="8">
        <v>25.287429320368904</v>
      </c>
      <c r="N549" s="8">
        <v>25.287429320368904</v>
      </c>
      <c r="O549" s="8">
        <v>25.287429320368904</v>
      </c>
      <c r="P549" s="8">
        <v>25.287429320368904</v>
      </c>
      <c r="Q549" s="8">
        <v>25.287429320368904</v>
      </c>
      <c r="R549" s="8">
        <v>25.287429320368904</v>
      </c>
      <c r="S549" s="8">
        <v>25.287429320368904</v>
      </c>
      <c r="T549" s="8">
        <v>25.287429320368904</v>
      </c>
      <c r="U549" s="8">
        <v>25.287429320368904</v>
      </c>
      <c r="V549" s="8">
        <v>25.287429320368904</v>
      </c>
      <c r="W549" s="8">
        <v>25.287429320368904</v>
      </c>
    </row>
    <row r="550" spans="1:23" s="8" customFormat="1">
      <c r="A550" s="8" t="s">
        <v>117</v>
      </c>
      <c r="B550" s="8">
        <f>B549/SQRT(5)</f>
        <v>17.238561424898538</v>
      </c>
      <c r="C550" s="9">
        <f t="shared" ref="C550:F550" si="111">C549/SQRT(5)</f>
        <v>17.238561424898538</v>
      </c>
      <c r="D550" s="9">
        <f t="shared" si="111"/>
        <v>17.238561424898538</v>
      </c>
      <c r="E550" s="9">
        <f t="shared" si="111"/>
        <v>17.238561424898538</v>
      </c>
      <c r="F550" s="9">
        <f t="shared" si="111"/>
        <v>17.238561424898538</v>
      </c>
      <c r="J550" s="8">
        <f>J549/SQRT(14)</f>
        <v>6.7583497649344473</v>
      </c>
      <c r="K550" s="15">
        <f t="shared" ref="K550:W550" si="112">K549/SQRT(14)</f>
        <v>6.7583497649344473</v>
      </c>
      <c r="L550" s="15">
        <f t="shared" si="112"/>
        <v>6.7583497649344473</v>
      </c>
      <c r="M550" s="15">
        <f t="shared" si="112"/>
        <v>6.7583497649344473</v>
      </c>
      <c r="N550" s="15">
        <f t="shared" si="112"/>
        <v>6.7583497649344473</v>
      </c>
      <c r="O550" s="15">
        <f t="shared" si="112"/>
        <v>6.7583497649344473</v>
      </c>
      <c r="P550" s="15">
        <f t="shared" si="112"/>
        <v>6.7583497649344473</v>
      </c>
      <c r="Q550" s="15">
        <f t="shared" si="112"/>
        <v>6.7583497649344473</v>
      </c>
      <c r="R550" s="15">
        <f t="shared" si="112"/>
        <v>6.7583497649344473</v>
      </c>
      <c r="S550" s="15">
        <f t="shared" si="112"/>
        <v>6.7583497649344473</v>
      </c>
      <c r="T550" s="15">
        <f t="shared" si="112"/>
        <v>6.7583497649344473</v>
      </c>
      <c r="U550" s="15">
        <f t="shared" si="112"/>
        <v>6.7583497649344473</v>
      </c>
      <c r="V550" s="15">
        <f t="shared" si="112"/>
        <v>6.7583497649344473</v>
      </c>
      <c r="W550" s="15">
        <f t="shared" si="112"/>
        <v>6.7583497649344473</v>
      </c>
    </row>
    <row r="551" spans="1:23" s="8" customFormat="1"/>
    <row r="552" spans="1:23" s="8" customFormat="1"/>
    <row r="553" spans="1:23" s="8" customFormat="1">
      <c r="A553" s="8" t="s">
        <v>38</v>
      </c>
      <c r="B553" s="8" t="s">
        <v>39</v>
      </c>
    </row>
    <row r="554" spans="1:23" s="8" customFormat="1">
      <c r="A554" s="8" t="s">
        <v>74</v>
      </c>
      <c r="B554" s="8">
        <v>135</v>
      </c>
      <c r="C554" s="8">
        <v>144</v>
      </c>
      <c r="D554" s="8">
        <v>145</v>
      </c>
      <c r="E554" s="8">
        <v>146</v>
      </c>
      <c r="F554" s="8">
        <v>147</v>
      </c>
      <c r="G554" s="8">
        <v>148</v>
      </c>
      <c r="J554" s="8">
        <v>182</v>
      </c>
      <c r="K554" s="8">
        <v>183</v>
      </c>
      <c r="L554" s="8">
        <v>184</v>
      </c>
      <c r="M554" s="8">
        <v>185</v>
      </c>
      <c r="N554" s="8">
        <v>186</v>
      </c>
    </row>
    <row r="555" spans="1:23" s="8" customFormat="1">
      <c r="A555" s="22" t="s">
        <v>33</v>
      </c>
      <c r="B555" s="22"/>
    </row>
    <row r="556" spans="1:23" s="8" customFormat="1">
      <c r="A556" s="8" t="s">
        <v>187</v>
      </c>
      <c r="B556" s="8">
        <v>602</v>
      </c>
      <c r="C556" s="8">
        <v>622</v>
      </c>
      <c r="D556" s="8">
        <v>613</v>
      </c>
      <c r="E556" s="8">
        <v>614</v>
      </c>
      <c r="F556" s="8">
        <v>634</v>
      </c>
      <c r="G556" s="8">
        <v>613</v>
      </c>
      <c r="J556" s="8">
        <v>620</v>
      </c>
      <c r="K556" s="8">
        <v>631</v>
      </c>
      <c r="L556" s="8">
        <v>580</v>
      </c>
      <c r="M556" s="8">
        <v>647</v>
      </c>
      <c r="N556" s="8">
        <v>554</v>
      </c>
    </row>
    <row r="557" spans="1:23" s="8" customFormat="1">
      <c r="A557" s="8" t="s">
        <v>114</v>
      </c>
      <c r="B557" s="8">
        <v>616.33333333333337</v>
      </c>
      <c r="C557" s="8">
        <v>616.33333333333337</v>
      </c>
      <c r="D557" s="8">
        <v>616.33333333333337</v>
      </c>
      <c r="E557" s="8">
        <v>616.33333333333337</v>
      </c>
      <c r="F557" s="8">
        <v>616.33333333333337</v>
      </c>
      <c r="G557" s="8">
        <v>616.33333333333337</v>
      </c>
      <c r="J557" s="8">
        <v>606.4</v>
      </c>
      <c r="K557" s="8">
        <v>606.4</v>
      </c>
      <c r="L557" s="8">
        <v>606.4</v>
      </c>
      <c r="M557" s="8">
        <v>606.4</v>
      </c>
      <c r="N557" s="8">
        <v>606.4</v>
      </c>
    </row>
    <row r="558" spans="1:23" s="8" customFormat="1">
      <c r="A558" s="8" t="s">
        <v>115</v>
      </c>
      <c r="B558" s="8">
        <f>(B557-B556)*(B557-B556)</f>
        <v>205.44444444444554</v>
      </c>
      <c r="C558" s="9">
        <f t="shared" ref="C558:G558" si="113">(C557-C556)*(C557-C556)</f>
        <v>32.111111111110681</v>
      </c>
      <c r="D558" s="9">
        <f t="shared" si="113"/>
        <v>11.111111111111363</v>
      </c>
      <c r="E558" s="9">
        <f t="shared" si="113"/>
        <v>5.4444444444446214</v>
      </c>
      <c r="F558" s="9">
        <f t="shared" si="113"/>
        <v>312.11111111110978</v>
      </c>
      <c r="G558" s="9">
        <f t="shared" si="113"/>
        <v>11.111111111111363</v>
      </c>
      <c r="J558" s="11">
        <f t="shared" ref="J558:N558" si="114">(J557-J556)*(J557-J556)</f>
        <v>184.9600000000006</v>
      </c>
      <c r="K558" s="12">
        <f t="shared" si="114"/>
        <v>605.16000000000111</v>
      </c>
      <c r="L558" s="12">
        <f t="shared" si="114"/>
        <v>696.95999999999879</v>
      </c>
      <c r="M558" s="12">
        <f t="shared" si="114"/>
        <v>1648.3600000000019</v>
      </c>
      <c r="N558" s="12">
        <f t="shared" si="114"/>
        <v>2745.7599999999975</v>
      </c>
    </row>
    <row r="559" spans="1:23" s="8" customFormat="1">
      <c r="A559" s="8" t="s">
        <v>116</v>
      </c>
      <c r="B559" s="9">
        <v>9.8092926463747734</v>
      </c>
      <c r="C559" s="9">
        <v>9.8092926463747734</v>
      </c>
      <c r="D559" s="8">
        <v>9.8092926463747734</v>
      </c>
      <c r="E559" s="8">
        <v>9.8092926463747734</v>
      </c>
      <c r="F559" s="8">
        <v>9.8092926463747734</v>
      </c>
      <c r="G559" s="8">
        <v>9.8092926463747734</v>
      </c>
      <c r="J559" s="12">
        <v>34.296355491509587</v>
      </c>
      <c r="K559" s="12">
        <v>34.296355491509587</v>
      </c>
      <c r="L559" s="8">
        <v>34.296355491509587</v>
      </c>
      <c r="M559" s="8">
        <v>34.296355491509587</v>
      </c>
      <c r="N559" s="8">
        <v>34.296355491509587</v>
      </c>
    </row>
    <row r="560" spans="1:23" s="8" customFormat="1">
      <c r="A560" s="8" t="s">
        <v>117</v>
      </c>
      <c r="B560" s="8">
        <f>B559/SQRT(6)</f>
        <v>4.0046269535422443</v>
      </c>
      <c r="C560" s="9">
        <f t="shared" ref="C560:G560" si="115">C559/SQRT(6)</f>
        <v>4.0046269535422443</v>
      </c>
      <c r="D560" s="9">
        <f t="shared" si="115"/>
        <v>4.0046269535422443</v>
      </c>
      <c r="E560" s="9">
        <f t="shared" si="115"/>
        <v>4.0046269535422443</v>
      </c>
      <c r="F560" s="9">
        <f t="shared" si="115"/>
        <v>4.0046269535422443</v>
      </c>
      <c r="G560" s="9">
        <f t="shared" si="115"/>
        <v>4.0046269535422443</v>
      </c>
      <c r="J560" s="8">
        <f>J559/SQRT(3)</f>
        <v>19.801010075246161</v>
      </c>
      <c r="K560" s="12">
        <f t="shared" ref="K560:N560" si="116">K559/SQRT(3)</f>
        <v>19.801010075246161</v>
      </c>
      <c r="L560" s="12">
        <f t="shared" si="116"/>
        <v>19.801010075246161</v>
      </c>
      <c r="M560" s="12">
        <f t="shared" si="116"/>
        <v>19.801010075246161</v>
      </c>
      <c r="N560" s="12">
        <f t="shared" si="116"/>
        <v>19.801010075246161</v>
      </c>
    </row>
    <row r="561" spans="1:14" s="8" customFormat="1"/>
    <row r="562" spans="1:14" s="8" customFormat="1"/>
    <row r="563" spans="1:14" s="8" customFormat="1">
      <c r="A563" s="8" t="s">
        <v>32</v>
      </c>
      <c r="B563" s="8" t="s">
        <v>40</v>
      </c>
    </row>
    <row r="564" spans="1:14" s="8" customFormat="1">
      <c r="A564" s="8" t="s">
        <v>74</v>
      </c>
      <c r="B564" s="8">
        <v>134</v>
      </c>
      <c r="C564" s="8">
        <v>149</v>
      </c>
      <c r="D564" s="8">
        <v>150</v>
      </c>
      <c r="E564" s="8">
        <v>151</v>
      </c>
      <c r="F564" s="8">
        <v>152</v>
      </c>
      <c r="J564" s="8">
        <v>189</v>
      </c>
      <c r="K564" s="8">
        <v>214</v>
      </c>
      <c r="L564" s="8">
        <v>215</v>
      </c>
    </row>
    <row r="565" spans="1:14" s="8" customFormat="1">
      <c r="A565" s="8" t="s">
        <v>33</v>
      </c>
    </row>
    <row r="566" spans="1:14" s="8" customFormat="1">
      <c r="A566" s="8" t="s">
        <v>187</v>
      </c>
      <c r="B566" s="8">
        <v>650</v>
      </c>
      <c r="C566" s="8">
        <v>648</v>
      </c>
      <c r="D566" s="8">
        <v>648</v>
      </c>
      <c r="E566" s="8">
        <v>660</v>
      </c>
      <c r="F566" s="8">
        <v>645</v>
      </c>
      <c r="J566" s="8">
        <v>616</v>
      </c>
      <c r="K566" s="8">
        <v>590</v>
      </c>
      <c r="L566" s="8">
        <v>619</v>
      </c>
    </row>
    <row r="567" spans="1:14" s="8" customFormat="1">
      <c r="A567" s="8" t="s">
        <v>114</v>
      </c>
      <c r="B567" s="8">
        <v>650.20000000000005</v>
      </c>
      <c r="C567" s="8">
        <v>650.20000000000005</v>
      </c>
      <c r="D567" s="8">
        <v>650.20000000000005</v>
      </c>
      <c r="E567" s="8">
        <v>650.20000000000005</v>
      </c>
      <c r="F567" s="8">
        <v>650.20000000000005</v>
      </c>
      <c r="J567" s="8">
        <v>608.33333333333337</v>
      </c>
      <c r="K567" s="8">
        <v>608.33333333333337</v>
      </c>
      <c r="L567" s="8">
        <v>608.33333333333337</v>
      </c>
    </row>
    <row r="568" spans="1:14" s="8" customFormat="1">
      <c r="A568" s="8" t="s">
        <v>115</v>
      </c>
      <c r="B568" s="8">
        <f>(B567-B566)*(B567-B566)</f>
        <v>4.0000000000018188E-2</v>
      </c>
      <c r="C568" s="9">
        <f t="shared" ref="C568:F568" si="117">(C567-C566)*(C567-C566)</f>
        <v>4.8400000000001997</v>
      </c>
      <c r="D568" s="9">
        <f t="shared" si="117"/>
        <v>4.8400000000001997</v>
      </c>
      <c r="E568" s="9">
        <f t="shared" si="117"/>
        <v>96.039999999999111</v>
      </c>
      <c r="F568" s="9">
        <f t="shared" si="117"/>
        <v>27.040000000000472</v>
      </c>
      <c r="J568" s="15">
        <f t="shared" ref="J568:L568" si="118">(J567-J566)*(J567-J566)</f>
        <v>58.777777777777196</v>
      </c>
      <c r="K568" s="15">
        <f t="shared" si="118"/>
        <v>336.11111111111251</v>
      </c>
      <c r="L568" s="15">
        <f t="shared" si="118"/>
        <v>113.77777777777698</v>
      </c>
    </row>
    <row r="569" spans="1:14" s="8" customFormat="1">
      <c r="A569" s="8" t="s">
        <v>116</v>
      </c>
      <c r="B569" s="9">
        <v>5.1536394906900505</v>
      </c>
      <c r="C569" s="9">
        <v>5.1536394906900505</v>
      </c>
      <c r="D569" s="8">
        <v>5.1536394906900505</v>
      </c>
      <c r="E569" s="8">
        <v>5.1536394906900505</v>
      </c>
      <c r="F569" s="8">
        <v>5.1536394906900505</v>
      </c>
      <c r="J569" s="15">
        <v>13.021349989749741</v>
      </c>
      <c r="K569" s="15">
        <v>13.021349989749741</v>
      </c>
      <c r="L569" s="8">
        <v>13.021349989749741</v>
      </c>
    </row>
    <row r="570" spans="1:14" s="8" customFormat="1">
      <c r="A570" s="8" t="s">
        <v>117</v>
      </c>
      <c r="B570" s="8">
        <f>B569/SQRT(5)</f>
        <v>2.3047776465420693</v>
      </c>
      <c r="C570" s="9">
        <f t="shared" ref="C570:F570" si="119">C569/SQRT(5)</f>
        <v>2.3047776465420693</v>
      </c>
      <c r="D570" s="9">
        <f t="shared" si="119"/>
        <v>2.3047776465420693</v>
      </c>
      <c r="E570" s="9">
        <f t="shared" si="119"/>
        <v>2.3047776465420693</v>
      </c>
      <c r="F570" s="9">
        <f t="shared" si="119"/>
        <v>2.3047776465420693</v>
      </c>
      <c r="J570" s="8">
        <f>J569/SQRT(3)</f>
        <v>7.5178799217943437</v>
      </c>
      <c r="K570" s="15">
        <f t="shared" ref="K570:L570" si="120">K569/SQRT(3)</f>
        <v>7.5178799217943437</v>
      </c>
      <c r="L570" s="15">
        <f t="shared" si="120"/>
        <v>7.5178799217943437</v>
      </c>
    </row>
    <row r="571" spans="1:14" s="8" customFormat="1"/>
    <row r="572" spans="1:14" s="8" customFormat="1"/>
    <row r="573" spans="1:14" s="8" customFormat="1">
      <c r="A573" s="8" t="s">
        <v>186</v>
      </c>
      <c r="B573" s="8" t="s">
        <v>46</v>
      </c>
    </row>
    <row r="574" spans="1:14" s="8" customFormat="1">
      <c r="A574" s="8" t="s">
        <v>74</v>
      </c>
      <c r="B574" s="8">
        <v>137</v>
      </c>
      <c r="C574" s="8">
        <v>138</v>
      </c>
      <c r="D574" s="8">
        <v>158</v>
      </c>
      <c r="E574" s="8">
        <v>159</v>
      </c>
      <c r="F574" s="8">
        <v>160</v>
      </c>
      <c r="J574" s="8">
        <v>167</v>
      </c>
      <c r="K574" s="11">
        <v>168</v>
      </c>
      <c r="L574" s="11">
        <v>169</v>
      </c>
      <c r="M574" s="11">
        <v>170</v>
      </c>
      <c r="N574" s="11">
        <v>171</v>
      </c>
    </row>
    <row r="575" spans="1:14" s="8" customFormat="1">
      <c r="A575" s="22" t="s">
        <v>33</v>
      </c>
      <c r="B575" s="22"/>
    </row>
    <row r="576" spans="1:14" s="8" customFormat="1">
      <c r="A576" s="8" t="s">
        <v>187</v>
      </c>
      <c r="B576" s="8">
        <v>596</v>
      </c>
      <c r="C576" s="8">
        <v>605</v>
      </c>
      <c r="D576" s="8">
        <v>605</v>
      </c>
      <c r="E576" s="8">
        <v>584</v>
      </c>
      <c r="F576" s="8">
        <v>598</v>
      </c>
      <c r="J576" s="8">
        <v>543</v>
      </c>
      <c r="K576" s="8">
        <v>540</v>
      </c>
      <c r="L576" s="8">
        <v>570</v>
      </c>
      <c r="M576" s="8">
        <v>582</v>
      </c>
      <c r="N576" s="8">
        <v>550</v>
      </c>
    </row>
    <row r="577" spans="1:14" s="8" customFormat="1">
      <c r="A577" s="8" t="s">
        <v>114</v>
      </c>
      <c r="B577" s="8">
        <v>597.6</v>
      </c>
      <c r="C577" s="8">
        <v>597.6</v>
      </c>
      <c r="D577" s="8">
        <v>597.6</v>
      </c>
      <c r="E577" s="8">
        <v>597.6</v>
      </c>
      <c r="F577" s="8">
        <v>597.6</v>
      </c>
      <c r="J577" s="8">
        <v>557</v>
      </c>
      <c r="K577" s="8">
        <v>557</v>
      </c>
      <c r="L577" s="8">
        <v>557</v>
      </c>
      <c r="M577" s="8">
        <v>557</v>
      </c>
      <c r="N577" s="8">
        <v>557</v>
      </c>
    </row>
    <row r="578" spans="1:14" s="8" customFormat="1">
      <c r="A578" s="8" t="s">
        <v>115</v>
      </c>
      <c r="B578" s="8">
        <f>(B577-B576)*(B577-B576)</f>
        <v>2.5600000000000729</v>
      </c>
      <c r="C578" s="9">
        <f t="shared" ref="C578:F578" si="121">(C577-C576)*(C577-C576)</f>
        <v>54.759999999999664</v>
      </c>
      <c r="D578" s="9">
        <f t="shared" si="121"/>
        <v>54.759999999999664</v>
      </c>
      <c r="E578" s="9">
        <f t="shared" si="121"/>
        <v>184.9600000000006</v>
      </c>
      <c r="F578" s="9">
        <f t="shared" si="121"/>
        <v>0.15999999999998182</v>
      </c>
      <c r="J578" s="11">
        <f t="shared" ref="J578:N578" si="122">(J577-J576)*(J577-J576)</f>
        <v>196</v>
      </c>
      <c r="K578" s="11">
        <f t="shared" si="122"/>
        <v>289</v>
      </c>
      <c r="L578" s="11">
        <f t="shared" si="122"/>
        <v>169</v>
      </c>
      <c r="M578" s="11">
        <f t="shared" si="122"/>
        <v>625</v>
      </c>
      <c r="N578" s="11">
        <f t="shared" si="122"/>
        <v>49</v>
      </c>
    </row>
    <row r="579" spans="1:14" s="8" customFormat="1">
      <c r="A579" s="8" t="s">
        <v>116</v>
      </c>
      <c r="B579" s="9">
        <v>7.7097341069585532</v>
      </c>
      <c r="C579" s="9">
        <v>7.7097341069585532</v>
      </c>
      <c r="D579" s="8">
        <v>7.7097341069585532</v>
      </c>
      <c r="E579" s="8">
        <v>7.7097341069585532</v>
      </c>
      <c r="F579" s="8">
        <v>7.7097341069585532</v>
      </c>
      <c r="J579" s="11">
        <v>16.29723902997069</v>
      </c>
      <c r="K579" s="11">
        <v>16.29723902997069</v>
      </c>
      <c r="L579" s="8">
        <v>16.29723902997069</v>
      </c>
      <c r="M579" s="8">
        <v>16.29723902997069</v>
      </c>
      <c r="N579" s="8">
        <v>16.29723902997069</v>
      </c>
    </row>
    <row r="580" spans="1:14" s="8" customFormat="1">
      <c r="A580" s="8" t="s">
        <v>117</v>
      </c>
      <c r="B580" s="8">
        <f>B579/SQRT(5)</f>
        <v>3.4478979103215917</v>
      </c>
      <c r="C580" s="9">
        <f t="shared" ref="C580:F580" si="123">C579/SQRT(5)</f>
        <v>3.4478979103215917</v>
      </c>
      <c r="D580" s="9">
        <f t="shared" si="123"/>
        <v>3.4478979103215917</v>
      </c>
      <c r="E580" s="9">
        <f t="shared" si="123"/>
        <v>3.4478979103215917</v>
      </c>
      <c r="F580" s="9">
        <f t="shared" si="123"/>
        <v>3.4478979103215917</v>
      </c>
      <c r="J580" s="8">
        <f>J579/SQRT(5)</f>
        <v>7.2883468633154385</v>
      </c>
      <c r="K580" s="11">
        <f t="shared" ref="K580:N580" si="124">K579/SQRT(5)</f>
        <v>7.2883468633154385</v>
      </c>
      <c r="L580" s="11">
        <f t="shared" si="124"/>
        <v>7.2883468633154385</v>
      </c>
      <c r="M580" s="11">
        <f t="shared" si="124"/>
        <v>7.2883468633154385</v>
      </c>
      <c r="N580" s="11">
        <f t="shared" si="124"/>
        <v>7.2883468633154385</v>
      </c>
    </row>
    <row r="581" spans="1:14" s="8" customFormat="1"/>
    <row r="582" spans="1:14" s="8" customFormat="1"/>
    <row r="583" spans="1:14" s="8" customFormat="1">
      <c r="A583" s="8" t="s">
        <v>186</v>
      </c>
      <c r="B583" s="8" t="s">
        <v>39</v>
      </c>
    </row>
    <row r="584" spans="1:14" s="8" customFormat="1">
      <c r="A584" s="8" t="s">
        <v>74</v>
      </c>
      <c r="B584" s="8">
        <v>153</v>
      </c>
      <c r="C584" s="8">
        <v>154</v>
      </c>
      <c r="D584" s="8">
        <v>155</v>
      </c>
      <c r="E584" s="8">
        <v>156</v>
      </c>
      <c r="F584" s="8">
        <v>157</v>
      </c>
      <c r="J584" s="8">
        <v>177</v>
      </c>
      <c r="K584" s="11">
        <v>178</v>
      </c>
      <c r="L584" s="11">
        <v>179</v>
      </c>
      <c r="M584" s="11">
        <v>180</v>
      </c>
      <c r="N584" s="11">
        <v>181</v>
      </c>
    </row>
    <row r="585" spans="1:14" s="8" customFormat="1">
      <c r="A585" s="22" t="s">
        <v>33</v>
      </c>
      <c r="B585" s="22"/>
    </row>
    <row r="586" spans="1:14" s="8" customFormat="1">
      <c r="A586" s="8" t="s">
        <v>187</v>
      </c>
      <c r="B586" s="8">
        <v>615</v>
      </c>
      <c r="C586" s="8">
        <v>611</v>
      </c>
      <c r="D586" s="8">
        <v>645</v>
      </c>
      <c r="E586" s="8">
        <v>614</v>
      </c>
      <c r="F586" s="8">
        <v>639</v>
      </c>
      <c r="J586" s="8">
        <v>582</v>
      </c>
      <c r="K586" s="8">
        <v>589</v>
      </c>
      <c r="L586" s="8">
        <v>562</v>
      </c>
      <c r="M586" s="8">
        <v>556</v>
      </c>
      <c r="N586" s="8">
        <v>599</v>
      </c>
    </row>
    <row r="587" spans="1:14" s="8" customFormat="1">
      <c r="A587" s="8" t="s">
        <v>114</v>
      </c>
      <c r="B587" s="8">
        <v>624.79999999999995</v>
      </c>
      <c r="C587" s="8">
        <v>624.79999999999995</v>
      </c>
      <c r="D587" s="8">
        <v>624.79999999999995</v>
      </c>
      <c r="E587" s="8">
        <v>624.79999999999995</v>
      </c>
      <c r="F587" s="8">
        <v>624.79999999999995</v>
      </c>
      <c r="J587" s="8">
        <v>577.6</v>
      </c>
      <c r="K587" s="8">
        <v>577.6</v>
      </c>
      <c r="L587" s="8">
        <v>577.6</v>
      </c>
      <c r="M587" s="8">
        <v>577.6</v>
      </c>
      <c r="N587" s="8">
        <v>577.6</v>
      </c>
    </row>
    <row r="588" spans="1:14" s="8" customFormat="1">
      <c r="A588" s="8" t="s">
        <v>115</v>
      </c>
      <c r="B588" s="8">
        <f>(B587-B586)*(B587-B586)</f>
        <v>96.039999999999111</v>
      </c>
      <c r="C588" s="9">
        <f t="shared" ref="C588:F588" si="125">(C587-C586)*(C587-C586)</f>
        <v>190.43999999999875</v>
      </c>
      <c r="D588" s="9">
        <f t="shared" si="125"/>
        <v>408.04000000000184</v>
      </c>
      <c r="E588" s="9">
        <f t="shared" si="125"/>
        <v>116.63999999999902</v>
      </c>
      <c r="F588" s="9">
        <f t="shared" si="125"/>
        <v>201.64000000000129</v>
      </c>
      <c r="J588" s="11">
        <f t="shared" ref="J588:N588" si="126">(J587-J586)*(J587-J586)</f>
        <v>19.3599999999998</v>
      </c>
      <c r="K588" s="11">
        <f t="shared" si="126"/>
        <v>129.95999999999947</v>
      </c>
      <c r="L588" s="11">
        <f t="shared" si="126"/>
        <v>243.3600000000007</v>
      </c>
      <c r="M588" s="11">
        <f t="shared" si="126"/>
        <v>466.56000000000097</v>
      </c>
      <c r="N588" s="11">
        <f t="shared" si="126"/>
        <v>457.95999999999901</v>
      </c>
    </row>
    <row r="589" spans="1:14" s="8" customFormat="1">
      <c r="A589" s="8" t="s">
        <v>116</v>
      </c>
      <c r="B589" s="9">
        <v>14.232357499725756</v>
      </c>
      <c r="C589" s="9">
        <v>14.232357499725756</v>
      </c>
      <c r="D589" s="8">
        <v>14.232357499725756</v>
      </c>
      <c r="E589" s="8">
        <v>14.232357499725756</v>
      </c>
      <c r="F589" s="8">
        <v>14.232357499725756</v>
      </c>
      <c r="J589" s="11">
        <v>16.230834852218784</v>
      </c>
      <c r="K589" s="11">
        <v>16.230834852218784</v>
      </c>
      <c r="L589" s="8">
        <v>16.230834852218784</v>
      </c>
      <c r="M589" s="8">
        <v>16.230834852218784</v>
      </c>
      <c r="N589" s="8">
        <v>16.230834852218784</v>
      </c>
    </row>
    <row r="590" spans="1:14" s="8" customFormat="1">
      <c r="A590" s="8" t="s">
        <v>117</v>
      </c>
      <c r="B590" s="8">
        <f>B589/SQRT(5)</f>
        <v>6.3649037698931465</v>
      </c>
      <c r="C590" s="9">
        <f t="shared" ref="C590:F590" si="127">C589/SQRT(5)</f>
        <v>6.3649037698931465</v>
      </c>
      <c r="D590" s="9">
        <f t="shared" si="127"/>
        <v>6.3649037698931465</v>
      </c>
      <c r="E590" s="9">
        <f t="shared" si="127"/>
        <v>6.3649037698931465</v>
      </c>
      <c r="F590" s="9">
        <f t="shared" si="127"/>
        <v>6.3649037698931465</v>
      </c>
      <c r="J590" s="8">
        <f>J589/SQRT(5)</f>
        <v>7.2586500122267905</v>
      </c>
      <c r="K590" s="11">
        <f t="shared" ref="K590:N590" si="128">K589/SQRT(5)</f>
        <v>7.2586500122267905</v>
      </c>
      <c r="L590" s="11">
        <f t="shared" si="128"/>
        <v>7.2586500122267905</v>
      </c>
      <c r="M590" s="11">
        <f t="shared" si="128"/>
        <v>7.2586500122267905</v>
      </c>
      <c r="N590" s="11">
        <f t="shared" si="128"/>
        <v>7.2586500122267905</v>
      </c>
    </row>
    <row r="591" spans="1:14" s="8" customFormat="1"/>
    <row r="592" spans="1:14" s="7" customFormat="1">
      <c r="A592" s="8"/>
      <c r="B592" s="8"/>
    </row>
    <row r="593" spans="1:14" s="7" customFormat="1">
      <c r="A593" s="8" t="s">
        <v>186</v>
      </c>
      <c r="B593" s="8" t="s">
        <v>40</v>
      </c>
    </row>
    <row r="594" spans="1:14" s="7" customFormat="1">
      <c r="A594" s="8" t="s">
        <v>74</v>
      </c>
      <c r="B594" s="8">
        <v>139</v>
      </c>
      <c r="C594" s="7">
        <v>163</v>
      </c>
      <c r="D594" s="7">
        <v>164</v>
      </c>
      <c r="E594" s="7">
        <v>165</v>
      </c>
      <c r="F594" s="7">
        <v>166</v>
      </c>
      <c r="H594" s="7" t="s">
        <v>190</v>
      </c>
      <c r="J594" s="7">
        <v>187</v>
      </c>
      <c r="K594" s="12">
        <v>188</v>
      </c>
      <c r="L594" s="12">
        <v>190</v>
      </c>
      <c r="M594" s="12">
        <v>191</v>
      </c>
      <c r="N594" s="7">
        <v>192</v>
      </c>
    </row>
    <row r="595" spans="1:14" s="7" customFormat="1">
      <c r="A595" s="8" t="s">
        <v>33</v>
      </c>
      <c r="B595" s="8"/>
    </row>
    <row r="596" spans="1:14" s="7" customFormat="1">
      <c r="A596" s="8" t="s">
        <v>187</v>
      </c>
      <c r="B596" s="8" t="s">
        <v>188</v>
      </c>
      <c r="C596" s="7">
        <v>648</v>
      </c>
      <c r="D596" s="7">
        <v>639</v>
      </c>
      <c r="E596" s="7">
        <v>649</v>
      </c>
      <c r="F596" s="7">
        <v>646</v>
      </c>
      <c r="J596" s="7">
        <v>623</v>
      </c>
      <c r="K596" s="7">
        <v>600</v>
      </c>
      <c r="L596" s="7">
        <v>614</v>
      </c>
      <c r="M596" s="7">
        <v>619</v>
      </c>
      <c r="N596" s="7">
        <v>611</v>
      </c>
    </row>
    <row r="597" spans="1:14" s="7" customFormat="1">
      <c r="A597" s="8" t="s">
        <v>114</v>
      </c>
      <c r="B597" s="8"/>
      <c r="C597" s="7">
        <f>SUM(C596:F596)/4</f>
        <v>645.5</v>
      </c>
      <c r="D597" s="7">
        <v>645.5</v>
      </c>
      <c r="E597" s="7">
        <v>645.5</v>
      </c>
      <c r="F597" s="7">
        <v>645.5</v>
      </c>
      <c r="J597" s="7">
        <v>613.4</v>
      </c>
      <c r="K597" s="7">
        <v>613.4</v>
      </c>
      <c r="L597" s="7">
        <v>613.4</v>
      </c>
      <c r="M597" s="7">
        <v>613.4</v>
      </c>
      <c r="N597" s="7">
        <v>613.4</v>
      </c>
    </row>
    <row r="598" spans="1:14" s="7" customFormat="1">
      <c r="A598" s="8" t="s">
        <v>115</v>
      </c>
      <c r="B598" s="8"/>
      <c r="C598" s="7">
        <f>(C597-C596)*(C597-C596)</f>
        <v>6.25</v>
      </c>
      <c r="D598" s="9">
        <f t="shared" ref="D598:F598" si="129">(D597-D596)*(D597-D596)</f>
        <v>42.25</v>
      </c>
      <c r="E598" s="9">
        <f t="shared" si="129"/>
        <v>12.25</v>
      </c>
      <c r="F598" s="9">
        <f t="shared" si="129"/>
        <v>0.25</v>
      </c>
      <c r="J598" s="12">
        <f t="shared" ref="J598:N598" si="130">(J597-J596)*(J597-J596)</f>
        <v>92.160000000000437</v>
      </c>
      <c r="K598" s="12">
        <f t="shared" si="130"/>
        <v>179.55999999999938</v>
      </c>
      <c r="L598" s="12">
        <f t="shared" si="130"/>
        <v>0.3600000000000273</v>
      </c>
      <c r="M598" s="12">
        <f t="shared" si="130"/>
        <v>31.360000000000255</v>
      </c>
      <c r="N598" s="12">
        <f t="shared" si="130"/>
        <v>5.7599999999998905</v>
      </c>
    </row>
    <row r="599" spans="1:14" s="7" customFormat="1">
      <c r="A599" s="8" t="s">
        <v>116</v>
      </c>
      <c r="B599" s="8"/>
      <c r="C599" s="9">
        <v>3.905124837953327</v>
      </c>
      <c r="D599" s="9">
        <v>3.905124837953327</v>
      </c>
      <c r="E599" s="9">
        <v>3.905124837953327</v>
      </c>
      <c r="F599" s="9">
        <v>3.905124837953327</v>
      </c>
      <c r="J599" s="12">
        <v>7.8638413005349994</v>
      </c>
      <c r="K599" s="12">
        <v>7.8638413005349994</v>
      </c>
      <c r="L599" s="7">
        <v>7.8638413005349994</v>
      </c>
      <c r="M599" s="7">
        <v>7.8638413005349994</v>
      </c>
      <c r="N599" s="7">
        <v>7.8638413005349994</v>
      </c>
    </row>
    <row r="600" spans="1:14" s="7" customFormat="1">
      <c r="A600" s="8" t="s">
        <v>117</v>
      </c>
      <c r="B600" s="8"/>
      <c r="C600" s="7">
        <f>C599/SQRT(4)</f>
        <v>1.9525624189766635</v>
      </c>
      <c r="D600" s="9">
        <f t="shared" ref="D600:F600" si="131">D599/SQRT(4)</f>
        <v>1.9525624189766635</v>
      </c>
      <c r="E600" s="9">
        <f t="shared" si="131"/>
        <v>1.9525624189766635</v>
      </c>
      <c r="F600" s="9">
        <f t="shared" si="131"/>
        <v>1.9525624189766635</v>
      </c>
      <c r="J600" s="7">
        <f>J599/SQRT(5)</f>
        <v>3.5168167424533223</v>
      </c>
      <c r="K600" s="12">
        <f t="shared" ref="K600:N600" si="132">K599/SQRT(5)</f>
        <v>3.5168167424533223</v>
      </c>
      <c r="L600" s="12">
        <f t="shared" si="132"/>
        <v>3.5168167424533223</v>
      </c>
      <c r="M600" s="12">
        <f t="shared" si="132"/>
        <v>3.5168167424533223</v>
      </c>
      <c r="N600" s="12">
        <f t="shared" si="132"/>
        <v>3.5168167424533223</v>
      </c>
    </row>
    <row r="601" spans="1:14" s="8" customFormat="1"/>
    <row r="602" spans="1:14" s="8" customFormat="1"/>
    <row r="603" spans="1:14" s="7" customFormat="1"/>
    <row r="604" spans="1:14" s="7" customFormat="1">
      <c r="A604" t="s">
        <v>47</v>
      </c>
      <c r="B604" t="s">
        <v>48</v>
      </c>
      <c r="C604"/>
      <c r="D604"/>
      <c r="E604"/>
      <c r="F604"/>
      <c r="G604"/>
    </row>
    <row r="605" spans="1:14" s="7" customFormat="1">
      <c r="A605" t="s">
        <v>74</v>
      </c>
      <c r="B605">
        <v>115</v>
      </c>
      <c r="C605">
        <v>116</v>
      </c>
      <c r="D605">
        <v>117</v>
      </c>
      <c r="E605">
        <v>118</v>
      </c>
      <c r="F605">
        <v>119</v>
      </c>
      <c r="G605">
        <v>120</v>
      </c>
    </row>
    <row r="606" spans="1:14" s="7" customFormat="1">
      <c r="A606" t="s">
        <v>33</v>
      </c>
      <c r="B606"/>
      <c r="C606"/>
      <c r="D606"/>
      <c r="E606"/>
      <c r="F606"/>
      <c r="G606"/>
    </row>
    <row r="607" spans="1:14" s="7" customFormat="1">
      <c r="A607" t="s">
        <v>34</v>
      </c>
      <c r="B607">
        <v>577</v>
      </c>
      <c r="C607">
        <v>601</v>
      </c>
      <c r="D607">
        <v>641</v>
      </c>
      <c r="E607">
        <v>595</v>
      </c>
      <c r="F607">
        <v>606</v>
      </c>
      <c r="G607">
        <v>583</v>
      </c>
    </row>
    <row r="608" spans="1:14" s="7" customFormat="1">
      <c r="A608" t="s">
        <v>114</v>
      </c>
      <c r="B608">
        <v>600.5</v>
      </c>
      <c r="C608">
        <v>600.5</v>
      </c>
      <c r="D608">
        <v>600.5</v>
      </c>
      <c r="E608">
        <v>600.5</v>
      </c>
      <c r="F608">
        <v>600.5</v>
      </c>
      <c r="G608">
        <v>600.5</v>
      </c>
    </row>
    <row r="609" spans="1:7" s="7" customFormat="1">
      <c r="A609" t="s">
        <v>115</v>
      </c>
      <c r="B609">
        <f t="shared" ref="B609:G609" si="133">(B608-B607)*(B608-B607)</f>
        <v>552.25</v>
      </c>
      <c r="C609" s="4">
        <f t="shared" si="133"/>
        <v>0.25</v>
      </c>
      <c r="D609" s="4">
        <f t="shared" si="133"/>
        <v>1640.25</v>
      </c>
      <c r="E609" s="4">
        <f t="shared" si="133"/>
        <v>30.25</v>
      </c>
      <c r="F609" s="4">
        <f t="shared" si="133"/>
        <v>30.25</v>
      </c>
      <c r="G609" s="4">
        <f t="shared" si="133"/>
        <v>306.25</v>
      </c>
    </row>
    <row r="610" spans="1:7" s="7" customFormat="1">
      <c r="A610" t="s">
        <v>116</v>
      </c>
      <c r="B610" s="4">
        <v>20.653893902442061</v>
      </c>
      <c r="C610" s="4">
        <v>20.653893902442061</v>
      </c>
      <c r="D610">
        <v>20.653893902442061</v>
      </c>
      <c r="E610">
        <v>20.653893902442061</v>
      </c>
      <c r="F610">
        <v>20.653893902442061</v>
      </c>
      <c r="G610">
        <v>20.653893902442061</v>
      </c>
    </row>
    <row r="611" spans="1:7" s="7" customFormat="1">
      <c r="A611" t="s">
        <v>117</v>
      </c>
      <c r="B611">
        <f t="shared" ref="B611:G611" si="134">B610/SQRT(6)</f>
        <v>8.4319168770939772</v>
      </c>
      <c r="C611" s="4">
        <f t="shared" si="134"/>
        <v>8.4319168770939772</v>
      </c>
      <c r="D611" s="4">
        <f t="shared" si="134"/>
        <v>8.4319168770939772</v>
      </c>
      <c r="E611" s="4">
        <f t="shared" si="134"/>
        <v>8.4319168770939772</v>
      </c>
      <c r="F611" s="4">
        <f t="shared" si="134"/>
        <v>8.4319168770939772</v>
      </c>
      <c r="G611" s="4">
        <f t="shared" si="134"/>
        <v>8.4319168770939772</v>
      </c>
    </row>
    <row r="612" spans="1:7" s="7" customFormat="1"/>
    <row r="613" spans="1:7" s="7" customFormat="1"/>
    <row r="614" spans="1:7" s="7" customFormat="1"/>
    <row r="616" spans="1:7">
      <c r="A616" t="s">
        <v>47</v>
      </c>
      <c r="B616" t="s">
        <v>51</v>
      </c>
    </row>
    <row r="617" spans="1:7">
      <c r="A617" t="s">
        <v>74</v>
      </c>
      <c r="B617">
        <v>90</v>
      </c>
      <c r="C617">
        <v>99</v>
      </c>
      <c r="D617">
        <v>100</v>
      </c>
      <c r="E617">
        <v>171</v>
      </c>
    </row>
    <row r="618" spans="1:7">
      <c r="A618" t="s">
        <v>33</v>
      </c>
    </row>
    <row r="619" spans="1:7">
      <c r="A619" t="s">
        <v>49</v>
      </c>
      <c r="B619">
        <v>660</v>
      </c>
      <c r="C619">
        <v>621</v>
      </c>
      <c r="D619">
        <v>619</v>
      </c>
      <c r="E619">
        <v>672</v>
      </c>
    </row>
    <row r="620" spans="1:7">
      <c r="A620" t="s">
        <v>114</v>
      </c>
      <c r="B620">
        <v>643</v>
      </c>
      <c r="C620">
        <v>643</v>
      </c>
      <c r="D620">
        <v>643</v>
      </c>
      <c r="E620" s="15">
        <v>643</v>
      </c>
    </row>
    <row r="621" spans="1:7">
      <c r="A621" t="s">
        <v>115</v>
      </c>
      <c r="B621">
        <f>(B620-B619)*(B620-B619)</f>
        <v>289</v>
      </c>
      <c r="C621" s="4">
        <f t="shared" ref="C621:E621" si="135">(C620-C619)*(C620-C619)</f>
        <v>484</v>
      </c>
      <c r="D621" s="4">
        <f t="shared" si="135"/>
        <v>576</v>
      </c>
      <c r="E621" s="15">
        <f t="shared" si="135"/>
        <v>841</v>
      </c>
    </row>
    <row r="622" spans="1:7">
      <c r="A622" t="s">
        <v>116</v>
      </c>
      <c r="B622" s="15">
        <v>23.398717913595181</v>
      </c>
      <c r="C622" s="15">
        <v>23.398717913595181</v>
      </c>
      <c r="D622" s="15">
        <v>23.398717913595181</v>
      </c>
      <c r="E622" s="15">
        <v>23.398717913595181</v>
      </c>
    </row>
    <row r="623" spans="1:7">
      <c r="A623" t="s">
        <v>117</v>
      </c>
      <c r="B623">
        <f>B622/SQRT(4)</f>
        <v>11.699358956797591</v>
      </c>
      <c r="C623" s="15">
        <f t="shared" ref="C623:E623" si="136">C622/SQRT(4)</f>
        <v>11.699358956797591</v>
      </c>
      <c r="D623" s="15">
        <f t="shared" si="136"/>
        <v>11.699358956797591</v>
      </c>
      <c r="E623" s="15">
        <f t="shared" si="136"/>
        <v>11.699358956797591</v>
      </c>
    </row>
    <row r="624" spans="1:7">
      <c r="G624" s="7"/>
    </row>
    <row r="625" spans="1:17">
      <c r="A625" t="s">
        <v>47</v>
      </c>
      <c r="B625" t="s">
        <v>185</v>
      </c>
    </row>
    <row r="626" spans="1:17">
      <c r="A626" t="s">
        <v>74</v>
      </c>
      <c r="B626">
        <v>126</v>
      </c>
      <c r="C626">
        <v>127</v>
      </c>
      <c r="D626">
        <v>128</v>
      </c>
      <c r="E626">
        <v>195</v>
      </c>
      <c r="F626">
        <v>196</v>
      </c>
      <c r="I626">
        <v>208</v>
      </c>
      <c r="J626">
        <v>209</v>
      </c>
      <c r="K626">
        <v>210</v>
      </c>
      <c r="L626">
        <v>211</v>
      </c>
      <c r="M626">
        <v>212</v>
      </c>
    </row>
    <row r="627" spans="1:17">
      <c r="A627" t="s">
        <v>33</v>
      </c>
    </row>
    <row r="628" spans="1:17">
      <c r="A628" t="s">
        <v>50</v>
      </c>
      <c r="B628">
        <v>579</v>
      </c>
      <c r="C628">
        <f>8*60+26</f>
        <v>506</v>
      </c>
      <c r="D628">
        <v>619</v>
      </c>
      <c r="E628">
        <v>566</v>
      </c>
      <c r="F628">
        <v>521</v>
      </c>
      <c r="I628">
        <v>570</v>
      </c>
      <c r="J628">
        <v>559</v>
      </c>
      <c r="K628">
        <v>578</v>
      </c>
      <c r="L628">
        <v>570</v>
      </c>
      <c r="M628">
        <v>571</v>
      </c>
    </row>
    <row r="629" spans="1:17">
      <c r="A629" t="s">
        <v>114</v>
      </c>
      <c r="B629">
        <v>558.20000000000005</v>
      </c>
      <c r="C629">
        <v>558.20000000000005</v>
      </c>
      <c r="D629">
        <v>558.20000000000005</v>
      </c>
      <c r="E629">
        <v>558.20000000000005</v>
      </c>
      <c r="F629">
        <v>558.20000000000005</v>
      </c>
      <c r="I629">
        <v>569.6</v>
      </c>
      <c r="J629">
        <v>569.6</v>
      </c>
      <c r="K629">
        <v>569.6</v>
      </c>
      <c r="L629">
        <v>569.6</v>
      </c>
      <c r="M629">
        <v>569.6</v>
      </c>
    </row>
    <row r="630" spans="1:17">
      <c r="A630" t="s">
        <v>115</v>
      </c>
      <c r="B630">
        <f>(B629-B628)*(B629-B628)</f>
        <v>432.63999999999811</v>
      </c>
      <c r="C630" s="12">
        <f t="shared" ref="C630:F630" si="137">(C629-C628)*(C629-C628)</f>
        <v>2724.8400000000047</v>
      </c>
      <c r="D630" s="12">
        <f t="shared" si="137"/>
        <v>3696.6399999999944</v>
      </c>
      <c r="E630" s="12">
        <f t="shared" si="137"/>
        <v>60.839999999999293</v>
      </c>
      <c r="F630" s="12">
        <f t="shared" si="137"/>
        <v>1383.8400000000033</v>
      </c>
      <c r="I630">
        <f>(I629-I628)*(I629-I628)</f>
        <v>0.15999999999998182</v>
      </c>
      <c r="J630" s="14">
        <f t="shared" ref="J630:M630" si="138">(J629-J628)*(J629-J628)</f>
        <v>112.36000000000048</v>
      </c>
      <c r="K630" s="14">
        <f t="shared" si="138"/>
        <v>70.559999999999619</v>
      </c>
      <c r="L630" s="14">
        <f t="shared" si="138"/>
        <v>0.15999999999998182</v>
      </c>
      <c r="M630" s="14">
        <f t="shared" si="138"/>
        <v>1.9599999999999362</v>
      </c>
    </row>
    <row r="631" spans="1:17">
      <c r="A631" t="s">
        <v>116</v>
      </c>
      <c r="B631" s="12">
        <v>40.740152184300932</v>
      </c>
      <c r="C631" s="12">
        <v>40.740152184300932</v>
      </c>
      <c r="D631">
        <v>40.740152184300932</v>
      </c>
      <c r="E631">
        <v>40.740152184300932</v>
      </c>
      <c r="F631">
        <v>40.740152184300932</v>
      </c>
      <c r="I631" s="14">
        <v>6.0860496218811759</v>
      </c>
      <c r="J631" s="14">
        <v>6.0860496218811759</v>
      </c>
      <c r="K631">
        <v>6.0860496218811759</v>
      </c>
      <c r="L631">
        <v>6.0860496218811759</v>
      </c>
      <c r="M631">
        <v>6.0860496218811759</v>
      </c>
    </row>
    <row r="632" spans="1:17">
      <c r="A632" t="s">
        <v>117</v>
      </c>
      <c r="B632">
        <f>B631/SQRT(3)</f>
        <v>23.521337830432465</v>
      </c>
      <c r="C632" s="12">
        <f t="shared" ref="C632:F632" si="139">C631/SQRT(3)</f>
        <v>23.521337830432465</v>
      </c>
      <c r="D632" s="12">
        <f t="shared" si="139"/>
        <v>23.521337830432465</v>
      </c>
      <c r="E632" s="12">
        <f t="shared" si="139"/>
        <v>23.521337830432465</v>
      </c>
      <c r="F632" s="12">
        <f t="shared" si="139"/>
        <v>23.521337830432465</v>
      </c>
      <c r="I632" s="14">
        <f t="shared" ref="I632:M632" si="140">I631/SQRT(3)</f>
        <v>3.5137823874945173</v>
      </c>
      <c r="J632" s="14">
        <f t="shared" si="140"/>
        <v>3.5137823874945173</v>
      </c>
      <c r="K632" s="14">
        <f t="shared" si="140"/>
        <v>3.5137823874945173</v>
      </c>
      <c r="L632" s="14">
        <f t="shared" si="140"/>
        <v>3.5137823874945173</v>
      </c>
      <c r="M632" s="14">
        <f t="shared" si="140"/>
        <v>3.5137823874945173</v>
      </c>
    </row>
    <row r="635" spans="1:17">
      <c r="A635" t="s">
        <v>109</v>
      </c>
      <c r="C635" t="s">
        <v>113</v>
      </c>
      <c r="F635" t="s">
        <v>110</v>
      </c>
    </row>
    <row r="637" spans="1:17">
      <c r="A637" t="s">
        <v>163</v>
      </c>
      <c r="B637">
        <v>64</v>
      </c>
      <c r="C637">
        <v>65</v>
      </c>
      <c r="D637">
        <v>66</v>
      </c>
      <c r="E637">
        <v>67</v>
      </c>
      <c r="F637">
        <v>68</v>
      </c>
      <c r="G637">
        <v>69</v>
      </c>
      <c r="H637">
        <v>70</v>
      </c>
      <c r="I637">
        <v>71</v>
      </c>
      <c r="K637">
        <v>121</v>
      </c>
      <c r="L637">
        <v>122</v>
      </c>
      <c r="M637">
        <v>123</v>
      </c>
      <c r="N637">
        <v>124</v>
      </c>
      <c r="O637">
        <v>146</v>
      </c>
      <c r="P637">
        <v>147</v>
      </c>
      <c r="Q637">
        <v>148</v>
      </c>
    </row>
    <row r="638" spans="1:17">
      <c r="A638" t="s">
        <v>53</v>
      </c>
      <c r="B638">
        <v>50</v>
      </c>
      <c r="C638">
        <v>40</v>
      </c>
      <c r="E638">
        <v>50</v>
      </c>
      <c r="F638">
        <v>60</v>
      </c>
      <c r="G638">
        <v>40</v>
      </c>
      <c r="H638">
        <v>60</v>
      </c>
      <c r="I638">
        <v>60</v>
      </c>
    </row>
    <row r="639" spans="1:17">
      <c r="A639" t="s">
        <v>118</v>
      </c>
      <c r="B639">
        <v>665</v>
      </c>
      <c r="C639">
        <v>703</v>
      </c>
      <c r="E639">
        <v>668</v>
      </c>
      <c r="F639">
        <v>713</v>
      </c>
      <c r="G639">
        <v>663</v>
      </c>
      <c r="H639">
        <v>687</v>
      </c>
      <c r="I639">
        <v>699</v>
      </c>
      <c r="L639">
        <f>540+45</f>
        <v>585</v>
      </c>
      <c r="M639">
        <v>608</v>
      </c>
      <c r="N639">
        <v>616</v>
      </c>
      <c r="O639">
        <v>618</v>
      </c>
      <c r="P639">
        <v>610</v>
      </c>
      <c r="Q639">
        <v>599</v>
      </c>
    </row>
    <row r="640" spans="1:17">
      <c r="A640" t="s">
        <v>139</v>
      </c>
      <c r="B640">
        <v>660.7</v>
      </c>
      <c r="C640">
        <v>660.7</v>
      </c>
      <c r="D640">
        <v>660.7</v>
      </c>
      <c r="E640">
        <v>660.7</v>
      </c>
      <c r="F640">
        <v>660.7</v>
      </c>
      <c r="G640">
        <v>660.7</v>
      </c>
      <c r="H640">
        <v>660.7</v>
      </c>
      <c r="I640">
        <v>660.7</v>
      </c>
      <c r="L640">
        <v>606</v>
      </c>
      <c r="M640">
        <v>606</v>
      </c>
      <c r="N640">
        <v>606</v>
      </c>
      <c r="O640">
        <v>606</v>
      </c>
      <c r="P640">
        <v>606</v>
      </c>
      <c r="Q640">
        <v>606</v>
      </c>
    </row>
    <row r="641" spans="1:17">
      <c r="A641" t="s">
        <v>140</v>
      </c>
      <c r="B641">
        <f>(B639-B640)*(B639-B640)</f>
        <v>18.489999999999608</v>
      </c>
      <c r="C641">
        <f t="shared" ref="C641:I641" si="141">(C639-C640)*(C639-C640)</f>
        <v>1789.2899999999961</v>
      </c>
      <c r="E641">
        <f t="shared" si="141"/>
        <v>53.289999999999338</v>
      </c>
      <c r="F641">
        <f t="shared" si="141"/>
        <v>2735.2899999999954</v>
      </c>
      <c r="G641">
        <f t="shared" si="141"/>
        <v>5.2899999999997904</v>
      </c>
      <c r="H641">
        <f t="shared" si="141"/>
        <v>691.68999999999755</v>
      </c>
      <c r="I641">
        <f t="shared" si="141"/>
        <v>1466.8899999999965</v>
      </c>
      <c r="L641">
        <f>(L640-L639)*(L640-L639)</f>
        <v>441</v>
      </c>
      <c r="M641" s="5">
        <f t="shared" ref="M641:Q641" si="142">(M640-M639)*(M640-M639)</f>
        <v>4</v>
      </c>
      <c r="N641" s="5">
        <f t="shared" si="142"/>
        <v>100</v>
      </c>
      <c r="O641" s="5">
        <f t="shared" si="142"/>
        <v>144</v>
      </c>
      <c r="P641" s="5">
        <f t="shared" si="142"/>
        <v>16</v>
      </c>
      <c r="Q641" s="5">
        <f t="shared" si="142"/>
        <v>49</v>
      </c>
    </row>
    <row r="642" spans="1:17">
      <c r="A642" t="s">
        <v>141</v>
      </c>
      <c r="B642">
        <v>18.82139468687652</v>
      </c>
      <c r="C642">
        <v>18.82139468687652</v>
      </c>
      <c r="E642">
        <v>18.82139468687652</v>
      </c>
      <c r="F642">
        <v>18.82139468687652</v>
      </c>
      <c r="G642">
        <v>18.82139468687652</v>
      </c>
      <c r="H642">
        <v>18.82139468687652</v>
      </c>
      <c r="I642">
        <v>18.82139468687652</v>
      </c>
      <c r="L642" s="5">
        <v>11.210114480533491</v>
      </c>
      <c r="M642" s="5">
        <v>11.210114480533491</v>
      </c>
      <c r="N642">
        <v>11.210114480533491</v>
      </c>
      <c r="O642">
        <v>11.210114480533491</v>
      </c>
      <c r="P642">
        <v>11.210114480533491</v>
      </c>
      <c r="Q642">
        <v>11.210114480533491</v>
      </c>
    </row>
    <row r="643" spans="1:17">
      <c r="A643" t="s">
        <v>142</v>
      </c>
      <c r="B643">
        <f>B642/SQRT(7)</f>
        <v>7.1138185241239524</v>
      </c>
      <c r="C643">
        <f t="shared" ref="C643:I643" si="143">C642/SQRT(7)</f>
        <v>7.1138185241239524</v>
      </c>
      <c r="E643">
        <f t="shared" si="143"/>
        <v>7.1138185241239524</v>
      </c>
      <c r="F643">
        <f t="shared" si="143"/>
        <v>7.1138185241239524</v>
      </c>
      <c r="G643">
        <f t="shared" si="143"/>
        <v>7.1138185241239524</v>
      </c>
      <c r="H643">
        <f t="shared" si="143"/>
        <v>7.1138185241239524</v>
      </c>
      <c r="I643">
        <f t="shared" si="143"/>
        <v>7.1138185241239524</v>
      </c>
      <c r="L643">
        <f>L642/SQRT(6)</f>
        <v>4.5765100725819936</v>
      </c>
      <c r="M643" s="5">
        <f t="shared" ref="M643:Q643" si="144">M642/SQRT(6)</f>
        <v>4.5765100725819936</v>
      </c>
      <c r="N643" s="5">
        <f t="shared" si="144"/>
        <v>4.5765100725819936</v>
      </c>
      <c r="O643" s="5">
        <f t="shared" si="144"/>
        <v>4.5765100725819936</v>
      </c>
      <c r="P643" s="5">
        <f t="shared" si="144"/>
        <v>4.5765100725819936</v>
      </c>
      <c r="Q643" s="5">
        <f t="shared" si="144"/>
        <v>4.5765100725819936</v>
      </c>
    </row>
    <row r="646" spans="1:17">
      <c r="A646" t="s">
        <v>163</v>
      </c>
      <c r="B646">
        <v>61</v>
      </c>
      <c r="C646">
        <v>62</v>
      </c>
      <c r="D646">
        <v>63</v>
      </c>
      <c r="E646">
        <v>64</v>
      </c>
      <c r="F646">
        <v>65</v>
      </c>
      <c r="G646">
        <v>66</v>
      </c>
      <c r="H646">
        <v>67</v>
      </c>
      <c r="J646">
        <v>129</v>
      </c>
      <c r="K646">
        <v>130</v>
      </c>
      <c r="L646">
        <v>131</v>
      </c>
      <c r="M646">
        <v>193</v>
      </c>
      <c r="N646">
        <v>194</v>
      </c>
    </row>
    <row r="647" spans="1:17">
      <c r="A647" t="s">
        <v>130</v>
      </c>
      <c r="C647">
        <v>64</v>
      </c>
      <c r="D647">
        <v>40</v>
      </c>
      <c r="E647">
        <v>45</v>
      </c>
      <c r="F647">
        <v>45</v>
      </c>
      <c r="G647">
        <v>20</v>
      </c>
      <c r="H647">
        <v>45</v>
      </c>
    </row>
    <row r="648" spans="1:17">
      <c r="A648" t="s">
        <v>52</v>
      </c>
      <c r="C648">
        <v>626</v>
      </c>
      <c r="D648">
        <v>635</v>
      </c>
      <c r="E648">
        <v>656</v>
      </c>
      <c r="F648">
        <v>632</v>
      </c>
      <c r="G648">
        <v>643</v>
      </c>
      <c r="H648">
        <v>655</v>
      </c>
      <c r="J648">
        <v>582</v>
      </c>
      <c r="K648">
        <v>580</v>
      </c>
      <c r="L648">
        <v>622</v>
      </c>
      <c r="M648">
        <v>588</v>
      </c>
      <c r="N648">
        <v>569</v>
      </c>
    </row>
    <row r="649" spans="1:17">
      <c r="A649" t="s">
        <v>114</v>
      </c>
      <c r="C649">
        <f>SUM(C648:H648)/6</f>
        <v>641.16666666666663</v>
      </c>
      <c r="D649">
        <v>641.16666666666697</v>
      </c>
      <c r="E649">
        <v>641.16666666666663</v>
      </c>
      <c r="F649">
        <v>641.16666666666663</v>
      </c>
      <c r="G649">
        <v>641.16666666666663</v>
      </c>
      <c r="H649">
        <v>641.16666666666663</v>
      </c>
      <c r="J649">
        <v>588.20000000000005</v>
      </c>
      <c r="K649">
        <v>588.20000000000005</v>
      </c>
      <c r="L649">
        <v>588.20000000000005</v>
      </c>
      <c r="M649">
        <v>588.20000000000005</v>
      </c>
      <c r="N649">
        <v>588.20000000000005</v>
      </c>
    </row>
    <row r="650" spans="1:17">
      <c r="A650" t="s">
        <v>115</v>
      </c>
      <c r="C650">
        <f>(C649-C648)*(C649-C648)</f>
        <v>230.02777777777663</v>
      </c>
      <c r="D650">
        <f t="shared" ref="D650:H650" si="145">(D649-D648)*(D649-D648)</f>
        <v>38.027777777781516</v>
      </c>
      <c r="E650">
        <f t="shared" si="145"/>
        <v>220.02777777777891</v>
      </c>
      <c r="F650">
        <f t="shared" si="145"/>
        <v>84.027777777777089</v>
      </c>
      <c r="G650">
        <f t="shared" si="145"/>
        <v>3.3611111111112502</v>
      </c>
      <c r="H650">
        <f t="shared" si="145"/>
        <v>191.36111111111217</v>
      </c>
      <c r="J650">
        <f>(J649-J648)*(J649-J648)</f>
        <v>38.440000000000566</v>
      </c>
      <c r="K650" s="15">
        <f t="shared" ref="K650:N650" si="146">(K649-K648)*(K649-K648)</f>
        <v>67.240000000000748</v>
      </c>
      <c r="L650" s="15">
        <f t="shared" si="146"/>
        <v>1142.4399999999969</v>
      </c>
      <c r="M650" s="15">
        <f t="shared" si="146"/>
        <v>4.0000000000018188E-2</v>
      </c>
      <c r="N650" s="15">
        <f t="shared" si="146"/>
        <v>368.64000000000175</v>
      </c>
    </row>
    <row r="651" spans="1:17">
      <c r="A651" t="s">
        <v>116</v>
      </c>
      <c r="C651" s="4">
        <v>11.305111921407779</v>
      </c>
      <c r="D651" s="4">
        <v>11.305111921407779</v>
      </c>
      <c r="E651">
        <v>11.305111921407779</v>
      </c>
      <c r="F651">
        <v>11.305111921407779</v>
      </c>
      <c r="G651">
        <v>11.305111921407779</v>
      </c>
      <c r="H651">
        <v>11.305111921407779</v>
      </c>
      <c r="J651" s="15">
        <v>17.982213434391216</v>
      </c>
      <c r="K651" s="15">
        <v>17.982213434391216</v>
      </c>
      <c r="L651">
        <v>17.982213434391216</v>
      </c>
      <c r="M651">
        <v>17.982213434391216</v>
      </c>
      <c r="N651">
        <v>17.982213434391216</v>
      </c>
    </row>
    <row r="652" spans="1:17">
      <c r="A652" t="s">
        <v>117</v>
      </c>
      <c r="C652">
        <f>C651/SQRT(6)</f>
        <v>4.6152926154173635</v>
      </c>
      <c r="D652">
        <f t="shared" ref="D652:H652" si="147">D651/SQRT(6)</f>
        <v>4.6152926154173635</v>
      </c>
      <c r="E652">
        <f t="shared" si="147"/>
        <v>4.6152926154173635</v>
      </c>
      <c r="F652">
        <f t="shared" si="147"/>
        <v>4.6152926154173635</v>
      </c>
      <c r="G652">
        <f t="shared" si="147"/>
        <v>4.6152926154173635</v>
      </c>
      <c r="H652">
        <f t="shared" si="147"/>
        <v>4.6152926154173635</v>
      </c>
      <c r="J652">
        <f>J651/SQRT(5)</f>
        <v>8.0418903250417415</v>
      </c>
      <c r="K652" s="15">
        <f t="shared" ref="K652:N652" si="148">K651/SQRT(5)</f>
        <v>8.0418903250417415</v>
      </c>
      <c r="L652" s="15">
        <f t="shared" si="148"/>
        <v>8.0418903250417415</v>
      </c>
      <c r="M652" s="15">
        <f t="shared" si="148"/>
        <v>8.0418903250417415</v>
      </c>
      <c r="N652" s="15">
        <f t="shared" si="148"/>
        <v>8.0418903250417415</v>
      </c>
    </row>
    <row r="654" spans="1:17">
      <c r="A654" t="s">
        <v>163</v>
      </c>
      <c r="B654">
        <v>66</v>
      </c>
      <c r="C654">
        <v>67</v>
      </c>
      <c r="D654">
        <v>68</v>
      </c>
      <c r="E654">
        <v>69</v>
      </c>
      <c r="F654">
        <v>70</v>
      </c>
      <c r="G654">
        <v>71</v>
      </c>
      <c r="I654">
        <v>84</v>
      </c>
      <c r="J654">
        <v>85</v>
      </c>
      <c r="K654">
        <v>86</v>
      </c>
      <c r="L654">
        <v>169</v>
      </c>
      <c r="M654">
        <v>170</v>
      </c>
    </row>
    <row r="655" spans="1:17">
      <c r="A655" t="s">
        <v>130</v>
      </c>
      <c r="B655">
        <v>60</v>
      </c>
      <c r="C655">
        <v>30</v>
      </c>
      <c r="D655">
        <v>50</v>
      </c>
      <c r="E655">
        <v>30</v>
      </c>
      <c r="F655">
        <v>14</v>
      </c>
      <c r="G655">
        <v>50</v>
      </c>
    </row>
    <row r="656" spans="1:17">
      <c r="A656" t="s">
        <v>73</v>
      </c>
      <c r="B656">
        <f>19*60+41</f>
        <v>1181</v>
      </c>
      <c r="C656">
        <v>1187</v>
      </c>
      <c r="D656">
        <f>20*60+25</f>
        <v>1225</v>
      </c>
      <c r="E656">
        <f>19*60+49</f>
        <v>1189</v>
      </c>
      <c r="F656">
        <f>19*60+50</f>
        <v>1190</v>
      </c>
      <c r="G656">
        <f>18*60+27</f>
        <v>1107</v>
      </c>
      <c r="I656">
        <v>720</v>
      </c>
      <c r="J656">
        <v>726</v>
      </c>
      <c r="K656">
        <v>710</v>
      </c>
      <c r="L656">
        <v>738</v>
      </c>
      <c r="M656">
        <v>711</v>
      </c>
    </row>
    <row r="657" spans="1:13">
      <c r="A657" t="s">
        <v>114</v>
      </c>
      <c r="B657">
        <v>1179.8333333333333</v>
      </c>
      <c r="C657">
        <v>1179.8333333333333</v>
      </c>
      <c r="D657">
        <v>1179.8333333333333</v>
      </c>
      <c r="E657">
        <v>1179.8333333333333</v>
      </c>
      <c r="F657">
        <v>1179.8333333333333</v>
      </c>
      <c r="G657">
        <v>1179.8333333333333</v>
      </c>
      <c r="I657">
        <v>721</v>
      </c>
      <c r="J657">
        <v>721</v>
      </c>
      <c r="K657">
        <v>721</v>
      </c>
      <c r="L657">
        <v>721</v>
      </c>
      <c r="M657">
        <v>721</v>
      </c>
    </row>
    <row r="658" spans="1:13">
      <c r="A658" t="s">
        <v>115</v>
      </c>
      <c r="B658">
        <f>(B656-B657)*(B656-B657)</f>
        <v>1.3611111111112879</v>
      </c>
      <c r="C658">
        <f t="shared" ref="C658:G658" si="149">(C656-C657)*(C656-C657)</f>
        <v>51.361111111112194</v>
      </c>
      <c r="D658">
        <f t="shared" si="149"/>
        <v>2040.0277777777846</v>
      </c>
      <c r="E658">
        <f t="shared" si="149"/>
        <v>84.027777777779164</v>
      </c>
      <c r="F658">
        <f t="shared" si="149"/>
        <v>103.36111111111265</v>
      </c>
      <c r="G658">
        <f t="shared" si="149"/>
        <v>5304.6944444444334</v>
      </c>
      <c r="I658">
        <f>(I656-I657)*(I656-I657)</f>
        <v>1</v>
      </c>
      <c r="J658" s="15">
        <f t="shared" ref="J658:M658" si="150">(J656-J657)*(J656-J657)</f>
        <v>25</v>
      </c>
      <c r="K658" s="15">
        <f t="shared" si="150"/>
        <v>121</v>
      </c>
      <c r="L658" s="15">
        <f t="shared" si="150"/>
        <v>289</v>
      </c>
      <c r="M658" s="15">
        <f t="shared" si="150"/>
        <v>100</v>
      </c>
    </row>
    <row r="659" spans="1:13">
      <c r="A659" t="s">
        <v>116</v>
      </c>
      <c r="B659">
        <v>35.55473089321432</v>
      </c>
      <c r="C659">
        <v>35.55473089321432</v>
      </c>
      <c r="D659">
        <v>35.55473089321432</v>
      </c>
      <c r="E659">
        <v>35.55473089321432</v>
      </c>
      <c r="F659">
        <v>35.55473089321432</v>
      </c>
      <c r="G659">
        <v>35.55473089321432</v>
      </c>
      <c r="I659" s="15">
        <v>10.353743284435827</v>
      </c>
      <c r="J659" s="15">
        <v>10.353743284435827</v>
      </c>
      <c r="K659">
        <v>10.353743284435827</v>
      </c>
      <c r="L659">
        <v>10.353743284435827</v>
      </c>
      <c r="M659">
        <v>10.353743284435827</v>
      </c>
    </row>
    <row r="660" spans="1:13">
      <c r="A660" t="s">
        <v>117</v>
      </c>
      <c r="B660">
        <f>B659/SQRT(6)</f>
        <v>14.515158105057445</v>
      </c>
      <c r="C660">
        <f t="shared" ref="C660:G660" si="151">C659/SQRT(6)</f>
        <v>14.515158105057445</v>
      </c>
      <c r="D660">
        <f t="shared" si="151"/>
        <v>14.515158105057445</v>
      </c>
      <c r="E660">
        <f t="shared" si="151"/>
        <v>14.515158105057445</v>
      </c>
      <c r="F660">
        <f t="shared" si="151"/>
        <v>14.515158105057445</v>
      </c>
      <c r="G660">
        <f t="shared" si="151"/>
        <v>14.515158105057445</v>
      </c>
      <c r="I660">
        <f>I659/SQRT(5)</f>
        <v>4.6303347611160897</v>
      </c>
      <c r="J660" s="15">
        <f t="shared" ref="J660:M660" si="152">J659/SQRT(5)</f>
        <v>4.6303347611160897</v>
      </c>
      <c r="K660" s="15">
        <f t="shared" si="152"/>
        <v>4.6303347611160897</v>
      </c>
      <c r="L660" s="15">
        <f t="shared" si="152"/>
        <v>4.6303347611160897</v>
      </c>
      <c r="M660" s="15">
        <f t="shared" si="152"/>
        <v>4.6303347611160897</v>
      </c>
    </row>
    <row r="662" spans="1:13">
      <c r="A662" t="s">
        <v>162</v>
      </c>
      <c r="C662" t="s">
        <v>113</v>
      </c>
      <c r="F662" t="s">
        <v>111</v>
      </c>
    </row>
    <row r="664" spans="1:13">
      <c r="A664" t="s">
        <v>163</v>
      </c>
      <c r="B664">
        <v>72</v>
      </c>
      <c r="C664">
        <v>73</v>
      </c>
      <c r="D664">
        <v>74</v>
      </c>
      <c r="E664">
        <v>75</v>
      </c>
      <c r="F664">
        <v>76</v>
      </c>
      <c r="G664">
        <v>77</v>
      </c>
      <c r="H664" s="5"/>
    </row>
    <row r="665" spans="1:13">
      <c r="A665" t="s">
        <v>53</v>
      </c>
      <c r="B665">
        <v>17</v>
      </c>
      <c r="C665">
        <v>18</v>
      </c>
      <c r="D665">
        <v>31</v>
      </c>
      <c r="E665">
        <v>12</v>
      </c>
      <c r="F665">
        <v>43</v>
      </c>
      <c r="G665">
        <v>4</v>
      </c>
      <c r="H665" s="5"/>
    </row>
    <row r="666" spans="1:13">
      <c r="A666" t="s">
        <v>22</v>
      </c>
      <c r="B666">
        <v>632</v>
      </c>
      <c r="C666">
        <v>637</v>
      </c>
      <c r="D666">
        <v>628</v>
      </c>
      <c r="E666">
        <v>633</v>
      </c>
      <c r="F666">
        <v>645</v>
      </c>
      <c r="G666">
        <v>600</v>
      </c>
      <c r="H666" s="5"/>
    </row>
    <row r="667" spans="1:13">
      <c r="A667" t="s">
        <v>171</v>
      </c>
      <c r="B667">
        <v>632</v>
      </c>
      <c r="C667">
        <v>632</v>
      </c>
      <c r="D667">
        <v>632</v>
      </c>
      <c r="E667">
        <v>632</v>
      </c>
      <c r="F667">
        <v>632</v>
      </c>
      <c r="G667">
        <v>632</v>
      </c>
      <c r="H667" s="5"/>
    </row>
    <row r="668" spans="1:13">
      <c r="A668" t="s">
        <v>85</v>
      </c>
      <c r="B668">
        <f>(B666-B667)*(B666-B667)</f>
        <v>0</v>
      </c>
      <c r="C668">
        <f t="shared" ref="C668:G668" si="153">(C666-C667)*(C666-C667)</f>
        <v>25</v>
      </c>
      <c r="D668">
        <f t="shared" si="153"/>
        <v>16</v>
      </c>
      <c r="E668">
        <f t="shared" si="153"/>
        <v>1</v>
      </c>
      <c r="F668">
        <f t="shared" si="153"/>
        <v>169</v>
      </c>
      <c r="G668">
        <f t="shared" si="153"/>
        <v>1024</v>
      </c>
      <c r="H668" s="5"/>
    </row>
    <row r="669" spans="1:13">
      <c r="A669" t="s">
        <v>28</v>
      </c>
      <c r="B669">
        <v>14.755144381343264</v>
      </c>
      <c r="C669">
        <v>14.755144381343264</v>
      </c>
      <c r="D669">
        <v>14.755144381343264</v>
      </c>
      <c r="E669">
        <v>14.755144381343264</v>
      </c>
      <c r="F669">
        <v>14.755144381343264</v>
      </c>
      <c r="G669">
        <v>14.755144381343264</v>
      </c>
      <c r="H669" s="5"/>
    </row>
    <row r="670" spans="1:13">
      <c r="A670" t="s">
        <v>173</v>
      </c>
      <c r="B670">
        <f>B669/SQRT(7)</f>
        <v>5.576920370269467</v>
      </c>
      <c r="C670">
        <f t="shared" ref="C670:G670" si="154">C669/SQRT(7)</f>
        <v>5.576920370269467</v>
      </c>
      <c r="D670">
        <f t="shared" si="154"/>
        <v>5.576920370269467</v>
      </c>
      <c r="E670">
        <f t="shared" si="154"/>
        <v>5.576920370269467</v>
      </c>
      <c r="F670">
        <f t="shared" si="154"/>
        <v>5.576920370269467</v>
      </c>
      <c r="G670">
        <f t="shared" si="154"/>
        <v>5.576920370269467</v>
      </c>
      <c r="H670" s="5"/>
    </row>
    <row r="673" spans="1:12">
      <c r="A673" t="s">
        <v>163</v>
      </c>
      <c r="B673">
        <v>68</v>
      </c>
      <c r="C673">
        <v>69</v>
      </c>
      <c r="D673">
        <v>71</v>
      </c>
      <c r="E673">
        <v>72</v>
      </c>
      <c r="F673">
        <v>73</v>
      </c>
      <c r="G673">
        <v>74</v>
      </c>
      <c r="H673">
        <v>75</v>
      </c>
      <c r="I673">
        <v>76</v>
      </c>
    </row>
    <row r="674" spans="1:12">
      <c r="A674" t="s">
        <v>130</v>
      </c>
      <c r="B674">
        <v>54</v>
      </c>
      <c r="C674">
        <v>33</v>
      </c>
      <c r="D674">
        <v>5</v>
      </c>
      <c r="E674">
        <v>13</v>
      </c>
      <c r="F674">
        <v>20</v>
      </c>
      <c r="G674">
        <v>41</v>
      </c>
      <c r="H674">
        <v>38</v>
      </c>
      <c r="I674">
        <v>2</v>
      </c>
    </row>
    <row r="675" spans="1:12">
      <c r="A675" t="s">
        <v>23</v>
      </c>
      <c r="B675">
        <v>621</v>
      </c>
      <c r="C675">
        <v>608</v>
      </c>
      <c r="D675">
        <v>586</v>
      </c>
      <c r="E675">
        <v>592</v>
      </c>
      <c r="F675">
        <v>571</v>
      </c>
      <c r="G675">
        <v>622</v>
      </c>
      <c r="H675">
        <v>631</v>
      </c>
      <c r="I675">
        <v>578</v>
      </c>
    </row>
    <row r="676" spans="1:12">
      <c r="A676" t="s">
        <v>114</v>
      </c>
      <c r="B676">
        <f>SUM(B675:I675)/8</f>
        <v>601.125</v>
      </c>
      <c r="C676">
        <v>601.125</v>
      </c>
      <c r="D676" s="5">
        <v>601.125</v>
      </c>
      <c r="E676" s="5">
        <v>601.125</v>
      </c>
      <c r="F676" s="5">
        <v>601.125</v>
      </c>
      <c r="G676" s="5">
        <v>601.125</v>
      </c>
      <c r="H676" s="5">
        <v>601.125</v>
      </c>
      <c r="I676" s="5">
        <v>601.125</v>
      </c>
    </row>
    <row r="677" spans="1:12">
      <c r="A677" t="s">
        <v>115</v>
      </c>
      <c r="B677">
        <f>(B675-B676)*(B675-B676)</f>
        <v>395.015625</v>
      </c>
      <c r="C677">
        <f t="shared" ref="C677" si="155">(C675-C676)*(C675-C676)</f>
        <v>47.265625</v>
      </c>
      <c r="D677">
        <f t="shared" ref="D677:I677" si="156">(D675-D676)*(D675-D676)</f>
        <v>228.765625</v>
      </c>
      <c r="E677">
        <f t="shared" si="156"/>
        <v>83.265625</v>
      </c>
      <c r="F677">
        <f t="shared" si="156"/>
        <v>907.515625</v>
      </c>
      <c r="G677">
        <f t="shared" si="156"/>
        <v>435.765625</v>
      </c>
      <c r="H677">
        <f t="shared" si="156"/>
        <v>892.515625</v>
      </c>
      <c r="I677">
        <f t="shared" si="156"/>
        <v>534.765625</v>
      </c>
    </row>
    <row r="678" spans="1:12">
      <c r="A678" t="s">
        <v>116</v>
      </c>
      <c r="B678" s="5">
        <v>20.990697344299928</v>
      </c>
      <c r="C678">
        <v>20.990697344299928</v>
      </c>
      <c r="D678">
        <v>20.990697344299928</v>
      </c>
      <c r="E678">
        <v>20.990697344299928</v>
      </c>
      <c r="F678">
        <v>20.990697344299928</v>
      </c>
      <c r="G678">
        <v>20.990697344299928</v>
      </c>
      <c r="H678">
        <v>20.990697344299928</v>
      </c>
      <c r="I678">
        <v>20.990697344299928</v>
      </c>
    </row>
    <row r="679" spans="1:12">
      <c r="A679" t="s">
        <v>117</v>
      </c>
      <c r="B679">
        <f>B678/3</f>
        <v>6.9968991147666424</v>
      </c>
      <c r="C679">
        <f t="shared" ref="C679" si="157">C678/3</f>
        <v>6.9968991147666424</v>
      </c>
      <c r="D679">
        <f t="shared" ref="D679:I679" si="158">D678/3</f>
        <v>6.9968991147666424</v>
      </c>
      <c r="E679">
        <f t="shared" si="158"/>
        <v>6.9968991147666424</v>
      </c>
      <c r="F679">
        <f t="shared" si="158"/>
        <v>6.9968991147666424</v>
      </c>
      <c r="G679">
        <f t="shared" si="158"/>
        <v>6.9968991147666424</v>
      </c>
      <c r="H679">
        <f t="shared" si="158"/>
        <v>6.9968991147666424</v>
      </c>
      <c r="I679">
        <f t="shared" si="158"/>
        <v>6.9968991147666424</v>
      </c>
    </row>
    <row r="681" spans="1:12">
      <c r="A681" t="s">
        <v>74</v>
      </c>
      <c r="B681">
        <v>59</v>
      </c>
      <c r="C681">
        <v>60</v>
      </c>
      <c r="D681">
        <v>61</v>
      </c>
      <c r="E681">
        <v>62</v>
      </c>
      <c r="F681">
        <v>63</v>
      </c>
      <c r="G681">
        <v>64</v>
      </c>
      <c r="H681">
        <v>65</v>
      </c>
      <c r="J681">
        <v>87</v>
      </c>
      <c r="K681">
        <v>88</v>
      </c>
      <c r="L681">
        <v>89</v>
      </c>
    </row>
    <row r="682" spans="1:12">
      <c r="A682" t="s">
        <v>75</v>
      </c>
      <c r="B682">
        <v>8</v>
      </c>
      <c r="C682">
        <v>50</v>
      </c>
      <c r="D682">
        <v>40</v>
      </c>
      <c r="E682">
        <v>1</v>
      </c>
      <c r="F682">
        <v>10</v>
      </c>
      <c r="G682">
        <v>9</v>
      </c>
      <c r="H682">
        <v>2</v>
      </c>
    </row>
    <row r="683" spans="1:12">
      <c r="A683" t="s">
        <v>76</v>
      </c>
      <c r="B683">
        <f>13*60+25</f>
        <v>805</v>
      </c>
      <c r="C683">
        <f>14*60+30</f>
        <v>870</v>
      </c>
      <c r="D683">
        <f>14*60+45</f>
        <v>885</v>
      </c>
      <c r="E683">
        <f>14*60+42</f>
        <v>882</v>
      </c>
      <c r="F683">
        <f>14*60+46</f>
        <v>886</v>
      </c>
      <c r="G683">
        <f>14*60+24</f>
        <v>864</v>
      </c>
      <c r="H683">
        <f>15*60+37</f>
        <v>937</v>
      </c>
      <c r="J683">
        <v>657</v>
      </c>
      <c r="K683">
        <v>644</v>
      </c>
      <c r="L683">
        <v>653</v>
      </c>
    </row>
    <row r="684" spans="1:12">
      <c r="A684" t="s">
        <v>114</v>
      </c>
      <c r="B684">
        <v>875.57142857142856</v>
      </c>
      <c r="C684">
        <v>875.57142857142856</v>
      </c>
      <c r="D684">
        <v>875.57142857142856</v>
      </c>
      <c r="E684">
        <v>875.57142857142856</v>
      </c>
      <c r="F684">
        <v>875.57142857142856</v>
      </c>
      <c r="G684">
        <v>875.57142857142856</v>
      </c>
      <c r="H684">
        <v>875.57142857142856</v>
      </c>
      <c r="J684">
        <v>651.33333333333337</v>
      </c>
      <c r="K684">
        <v>651.33333333333337</v>
      </c>
      <c r="L684">
        <v>651.33333333333337</v>
      </c>
    </row>
    <row r="685" spans="1:12">
      <c r="A685" t="s">
        <v>115</v>
      </c>
      <c r="B685">
        <f>(B683-B684)*(B683-B684)</f>
        <v>4980.326530612243</v>
      </c>
      <c r="C685">
        <f t="shared" ref="C685:H685" si="159">(C683-C684)*(C683-C684)</f>
        <v>31.040816326530432</v>
      </c>
      <c r="D685">
        <f t="shared" si="159"/>
        <v>88.897959183673777</v>
      </c>
      <c r="E685">
        <f t="shared" si="159"/>
        <v>41.326530612245108</v>
      </c>
      <c r="F685">
        <f t="shared" si="159"/>
        <v>108.75510204081667</v>
      </c>
      <c r="G685">
        <f t="shared" si="159"/>
        <v>133.89795918367309</v>
      </c>
      <c r="H685">
        <f t="shared" si="159"/>
        <v>3773.469387755104</v>
      </c>
      <c r="J685">
        <f>(J683-J684)*(J683-J684)</f>
        <v>32.111111111110681</v>
      </c>
      <c r="K685">
        <f t="shared" ref="K685:L685" si="160">(K683-K684)*(K683-K684)</f>
        <v>53.777777777778333</v>
      </c>
      <c r="L685">
        <f t="shared" si="160"/>
        <v>2.7777777777776516</v>
      </c>
    </row>
    <row r="686" spans="1:12">
      <c r="A686" t="s">
        <v>116</v>
      </c>
      <c r="B686">
        <v>26.673492809508318</v>
      </c>
      <c r="C686">
        <v>26.673492809508318</v>
      </c>
      <c r="D686">
        <v>26.673492809508318</v>
      </c>
      <c r="E686">
        <v>26.673492809508318</v>
      </c>
      <c r="F686">
        <v>26.673492809508318</v>
      </c>
      <c r="G686">
        <v>26.673492809508318</v>
      </c>
      <c r="H686">
        <v>26.673492809508318</v>
      </c>
      <c r="J686">
        <v>5.4365021434333638</v>
      </c>
      <c r="K686">
        <v>5.4365021434333638</v>
      </c>
      <c r="L686">
        <v>5.4365021434333638</v>
      </c>
    </row>
    <row r="687" spans="1:12">
      <c r="A687" t="s">
        <v>117</v>
      </c>
      <c r="B687">
        <f>B686/SQRT(7)</f>
        <v>10.081632653061222</v>
      </c>
      <c r="C687">
        <f t="shared" ref="C687:H687" si="161">C686/SQRT(7)</f>
        <v>10.081632653061222</v>
      </c>
      <c r="D687">
        <f t="shared" si="161"/>
        <v>10.081632653061222</v>
      </c>
      <c r="E687">
        <f t="shared" si="161"/>
        <v>10.081632653061222</v>
      </c>
      <c r="F687">
        <f t="shared" si="161"/>
        <v>10.081632653061222</v>
      </c>
      <c r="G687">
        <f t="shared" si="161"/>
        <v>10.081632653061222</v>
      </c>
      <c r="H687">
        <f t="shared" si="161"/>
        <v>10.081632653061222</v>
      </c>
      <c r="J687">
        <f>J686/SQRT(3)</f>
        <v>3.1387659759612303</v>
      </c>
      <c r="K687">
        <f t="shared" ref="K687:L687" si="162">K686/SQRT(3)</f>
        <v>3.1387659759612303</v>
      </c>
      <c r="L687">
        <f t="shared" si="162"/>
        <v>3.1387659759612303</v>
      </c>
    </row>
    <row r="692" spans="1:12">
      <c r="A692" t="s">
        <v>109</v>
      </c>
      <c r="C692" t="s">
        <v>113</v>
      </c>
      <c r="F692" t="s">
        <v>112</v>
      </c>
    </row>
    <row r="694" spans="1:12">
      <c r="A694" t="s">
        <v>163</v>
      </c>
      <c r="B694">
        <v>107</v>
      </c>
      <c r="C694">
        <v>108</v>
      </c>
      <c r="D694">
        <v>109</v>
      </c>
      <c r="E694">
        <v>110</v>
      </c>
      <c r="H694">
        <v>202</v>
      </c>
      <c r="I694">
        <v>203</v>
      </c>
      <c r="J694">
        <v>204</v>
      </c>
      <c r="K694">
        <v>205</v>
      </c>
      <c r="L694">
        <v>206</v>
      </c>
    </row>
    <row r="695" spans="1:12">
      <c r="A695" t="s">
        <v>53</v>
      </c>
      <c r="B695">
        <v>80</v>
      </c>
      <c r="C695">
        <v>33</v>
      </c>
      <c r="D695">
        <v>80</v>
      </c>
      <c r="E695">
        <v>65</v>
      </c>
    </row>
    <row r="696" spans="1:12">
      <c r="A696" t="s">
        <v>118</v>
      </c>
      <c r="B696">
        <v>631</v>
      </c>
      <c r="C696">
        <v>639</v>
      </c>
      <c r="D696">
        <v>631</v>
      </c>
      <c r="E696">
        <v>639</v>
      </c>
      <c r="H696">
        <v>654</v>
      </c>
      <c r="I696">
        <v>653</v>
      </c>
      <c r="J696">
        <v>660</v>
      </c>
      <c r="K696">
        <v>645</v>
      </c>
      <c r="L696">
        <v>651</v>
      </c>
    </row>
    <row r="697" spans="1:12">
      <c r="A697" t="s">
        <v>139</v>
      </c>
      <c r="B697">
        <v>635</v>
      </c>
      <c r="C697">
        <v>635</v>
      </c>
      <c r="D697">
        <v>635</v>
      </c>
      <c r="E697">
        <v>635</v>
      </c>
      <c r="H697">
        <v>652.6</v>
      </c>
      <c r="I697">
        <v>652.6</v>
      </c>
      <c r="J697">
        <v>652.6</v>
      </c>
      <c r="K697">
        <v>652.6</v>
      </c>
      <c r="L697">
        <v>652.6</v>
      </c>
    </row>
    <row r="698" spans="1:12">
      <c r="A698" t="s">
        <v>140</v>
      </c>
      <c r="B698">
        <f>(B696-B697)*(B696-B697)</f>
        <v>16</v>
      </c>
      <c r="C698">
        <f t="shared" ref="C698:E698" si="163">(C696-C697)*(C696-C697)</f>
        <v>16</v>
      </c>
      <c r="D698">
        <f t="shared" si="163"/>
        <v>16</v>
      </c>
      <c r="E698">
        <f t="shared" si="163"/>
        <v>16</v>
      </c>
      <c r="H698" s="17">
        <f t="shared" ref="H698:L698" si="164">(H696-H697)*(H696-H697)</f>
        <v>1.9599999999999362</v>
      </c>
      <c r="I698" s="17">
        <f t="shared" si="164"/>
        <v>0.15999999999998182</v>
      </c>
      <c r="J698" s="17">
        <f t="shared" si="164"/>
        <v>54.759999999999664</v>
      </c>
      <c r="K698" s="17">
        <f t="shared" si="164"/>
        <v>57.760000000000346</v>
      </c>
      <c r="L698" s="17">
        <f t="shared" si="164"/>
        <v>2.5600000000000729</v>
      </c>
    </row>
    <row r="699" spans="1:12">
      <c r="A699" t="s">
        <v>141</v>
      </c>
      <c r="B699">
        <v>4</v>
      </c>
      <c r="C699">
        <v>4</v>
      </c>
      <c r="D699">
        <v>4</v>
      </c>
      <c r="E699">
        <v>4</v>
      </c>
      <c r="H699" s="17">
        <v>4.8414873747640819</v>
      </c>
      <c r="I699" s="17">
        <v>4.8414873747640819</v>
      </c>
      <c r="J699" s="17">
        <v>4.8414873747640819</v>
      </c>
      <c r="K699" s="17">
        <v>4.8414873747640819</v>
      </c>
      <c r="L699" s="17">
        <v>4.8414873747640819</v>
      </c>
    </row>
    <row r="700" spans="1:12">
      <c r="A700" t="s">
        <v>142</v>
      </c>
      <c r="B700">
        <f>B699/SQRT(4)</f>
        <v>2</v>
      </c>
      <c r="C700">
        <f t="shared" ref="C700:E700" si="165">C699/SQRT(4)</f>
        <v>2</v>
      </c>
      <c r="D700">
        <f t="shared" si="165"/>
        <v>2</v>
      </c>
      <c r="E700">
        <f t="shared" si="165"/>
        <v>2</v>
      </c>
      <c r="H700" s="17">
        <f>H699/SQRT(5)</f>
        <v>2.1651789764358971</v>
      </c>
      <c r="I700" s="17">
        <f t="shared" ref="I700:L700" si="166">I699/SQRT(5)</f>
        <v>2.1651789764358971</v>
      </c>
      <c r="J700" s="17">
        <f t="shared" si="166"/>
        <v>2.1651789764358971</v>
      </c>
      <c r="K700" s="17">
        <f t="shared" si="166"/>
        <v>2.1651789764358971</v>
      </c>
      <c r="L700" s="17">
        <f t="shared" si="166"/>
        <v>2.1651789764358971</v>
      </c>
    </row>
    <row r="703" spans="1:12">
      <c r="A703" t="s">
        <v>163</v>
      </c>
      <c r="B703">
        <v>109</v>
      </c>
      <c r="C703">
        <v>110</v>
      </c>
      <c r="D703">
        <v>111</v>
      </c>
    </row>
    <row r="704" spans="1:12">
      <c r="A704" t="s">
        <v>130</v>
      </c>
      <c r="B704">
        <v>30</v>
      </c>
      <c r="C704">
        <v>20</v>
      </c>
      <c r="D704">
        <v>55</v>
      </c>
    </row>
    <row r="705" spans="1:11">
      <c r="A705" t="s">
        <v>52</v>
      </c>
      <c r="B705">
        <v>624</v>
      </c>
      <c r="C705">
        <v>618</v>
      </c>
      <c r="D705">
        <v>591</v>
      </c>
    </row>
    <row r="706" spans="1:11">
      <c r="A706" t="s">
        <v>114</v>
      </c>
      <c r="B706">
        <v>611</v>
      </c>
      <c r="C706">
        <v>611</v>
      </c>
      <c r="D706">
        <v>611</v>
      </c>
    </row>
    <row r="707" spans="1:11">
      <c r="A707" t="s">
        <v>115</v>
      </c>
      <c r="B707">
        <f>(B705-B706)*(B705-B706)</f>
        <v>169</v>
      </c>
      <c r="C707">
        <f t="shared" ref="C707:D707" si="167">(C705-C706)*(C705-C706)</f>
        <v>49</v>
      </c>
      <c r="D707">
        <f t="shared" si="167"/>
        <v>400</v>
      </c>
    </row>
    <row r="708" spans="1:11">
      <c r="A708" t="s">
        <v>116</v>
      </c>
      <c r="B708">
        <f>SQRT(206)</f>
        <v>14.352700094407323</v>
      </c>
      <c r="C708">
        <f t="shared" ref="C708:D708" si="168">SQRT(206)</f>
        <v>14.352700094407323</v>
      </c>
      <c r="D708">
        <f t="shared" si="168"/>
        <v>14.352700094407323</v>
      </c>
    </row>
    <row r="709" spans="1:11">
      <c r="A709" t="s">
        <v>117</v>
      </c>
      <c r="B709">
        <f>B708/SQRT(3)</f>
        <v>8.2865352631040352</v>
      </c>
      <c r="C709">
        <f t="shared" ref="C709:D709" si="169">C708/SQRT(3)</f>
        <v>8.2865352631040352</v>
      </c>
      <c r="D709">
        <f t="shared" si="169"/>
        <v>8.2865352631040352</v>
      </c>
    </row>
    <row r="711" spans="1:11">
      <c r="A711" t="s">
        <v>163</v>
      </c>
      <c r="B711">
        <v>78</v>
      </c>
      <c r="C711">
        <v>79</v>
      </c>
      <c r="D711">
        <v>80</v>
      </c>
      <c r="G711">
        <v>176</v>
      </c>
      <c r="H711">
        <v>177</v>
      </c>
      <c r="I711">
        <v>178</v>
      </c>
      <c r="J711">
        <v>190</v>
      </c>
      <c r="K711">
        <v>191</v>
      </c>
    </row>
    <row r="712" spans="1:11">
      <c r="A712" t="s">
        <v>130</v>
      </c>
    </row>
    <row r="713" spans="1:11">
      <c r="A713" t="s">
        <v>73</v>
      </c>
      <c r="B713">
        <f>14*60+17</f>
        <v>857</v>
      </c>
      <c r="C713">
        <f>15*60+25</f>
        <v>925</v>
      </c>
      <c r="D713">
        <f>14*60+16</f>
        <v>856</v>
      </c>
      <c r="G713">
        <f>16*60+24</f>
        <v>984</v>
      </c>
      <c r="H713">
        <f>18*60+31</f>
        <v>1111</v>
      </c>
      <c r="I713">
        <f>16*60+22</f>
        <v>982</v>
      </c>
      <c r="J713">
        <f>16*60+37</f>
        <v>997</v>
      </c>
      <c r="K713">
        <f>16*60+54</f>
        <v>1014</v>
      </c>
    </row>
    <row r="714" spans="1:11">
      <c r="A714" t="s">
        <v>114</v>
      </c>
      <c r="B714">
        <v>879.33333333333337</v>
      </c>
      <c r="C714">
        <v>879.33333333333337</v>
      </c>
      <c r="D714">
        <v>879.33333333333337</v>
      </c>
      <c r="G714">
        <v>1017.6</v>
      </c>
      <c r="H714">
        <v>1017.6</v>
      </c>
      <c r="I714">
        <v>1017.6</v>
      </c>
      <c r="J714">
        <v>1017.6</v>
      </c>
      <c r="K714">
        <v>1017.6</v>
      </c>
    </row>
    <row r="715" spans="1:11">
      <c r="A715" t="s">
        <v>115</v>
      </c>
      <c r="B715">
        <f>(B713-B714)*(B713-B714)</f>
        <v>498.77777777777948</v>
      </c>
      <c r="C715">
        <f t="shared" ref="C715:D715" si="170">(C713-C714)*(C713-C714)</f>
        <v>2085.4444444444412</v>
      </c>
      <c r="D715">
        <f t="shared" si="170"/>
        <v>544.44444444444616</v>
      </c>
      <c r="G715" s="17">
        <f t="shared" ref="G715:K715" si="171">(G713-G714)*(G713-G714)</f>
        <v>1128.9600000000016</v>
      </c>
      <c r="H715" s="17">
        <f t="shared" si="171"/>
        <v>8723.5599999999959</v>
      </c>
      <c r="I715" s="17">
        <f t="shared" si="171"/>
        <v>1267.3600000000017</v>
      </c>
      <c r="J715" s="17">
        <f t="shared" si="171"/>
        <v>424.36000000000092</v>
      </c>
      <c r="K715" s="17">
        <f t="shared" si="171"/>
        <v>12.960000000000164</v>
      </c>
    </row>
    <row r="716" spans="1:11">
      <c r="A716" t="s">
        <v>116</v>
      </c>
      <c r="B716">
        <v>32.293790252754306</v>
      </c>
      <c r="C716">
        <v>32.293790252754306</v>
      </c>
      <c r="D716">
        <v>32.293790252754306</v>
      </c>
      <c r="G716" s="17">
        <v>48.077437535708995</v>
      </c>
      <c r="H716" s="17">
        <v>48.077437535708995</v>
      </c>
      <c r="I716">
        <v>48.077437535708995</v>
      </c>
      <c r="J716">
        <v>48.077437535708995</v>
      </c>
      <c r="K716">
        <v>48.077437535708995</v>
      </c>
    </row>
    <row r="717" spans="1:11">
      <c r="A717" t="s">
        <v>117</v>
      </c>
      <c r="B717">
        <f>B716/SQRT(3)</f>
        <v>18.644828495581013</v>
      </c>
      <c r="C717">
        <f t="shared" ref="C717:D717" si="172">C716/SQRT(3)</f>
        <v>18.644828495581013</v>
      </c>
      <c r="D717">
        <f t="shared" si="172"/>
        <v>18.644828495581013</v>
      </c>
      <c r="G717" s="17">
        <f>G716/SQRT(5)</f>
        <v>21.500883702769055</v>
      </c>
      <c r="H717" s="17">
        <f t="shared" ref="H717:K717" si="173">H716/SQRT(5)</f>
        <v>21.500883702769055</v>
      </c>
      <c r="I717" s="17">
        <f t="shared" si="173"/>
        <v>21.500883702769055</v>
      </c>
      <c r="J717" s="17">
        <f t="shared" si="173"/>
        <v>21.500883702769055</v>
      </c>
      <c r="K717" s="17">
        <f t="shared" si="173"/>
        <v>21.500883702769055</v>
      </c>
    </row>
    <row r="720" spans="1:11">
      <c r="A720" t="s">
        <v>126</v>
      </c>
      <c r="C720" t="s">
        <v>113</v>
      </c>
      <c r="F720" t="s">
        <v>127</v>
      </c>
    </row>
    <row r="722" spans="1:6">
      <c r="A722" t="s">
        <v>163</v>
      </c>
      <c r="B722">
        <v>100</v>
      </c>
      <c r="C722">
        <v>102</v>
      </c>
      <c r="D722">
        <v>103</v>
      </c>
      <c r="E722">
        <v>104</v>
      </c>
    </row>
    <row r="723" spans="1:6">
      <c r="A723" t="s">
        <v>53</v>
      </c>
      <c r="B723">
        <v>2</v>
      </c>
      <c r="C723">
        <v>70</v>
      </c>
      <c r="D723">
        <v>15</v>
      </c>
      <c r="E723">
        <v>35</v>
      </c>
    </row>
    <row r="724" spans="1:6">
      <c r="A724" t="s">
        <v>118</v>
      </c>
      <c r="B724">
        <v>649</v>
      </c>
      <c r="C724">
        <v>668</v>
      </c>
      <c r="D724">
        <v>647</v>
      </c>
      <c r="E724">
        <v>645</v>
      </c>
    </row>
    <row r="725" spans="1:6">
      <c r="A725" t="s">
        <v>139</v>
      </c>
      <c r="B725">
        <v>652.25</v>
      </c>
      <c r="C725">
        <v>652.25</v>
      </c>
      <c r="D725">
        <v>652.25</v>
      </c>
      <c r="E725">
        <v>652.25</v>
      </c>
    </row>
    <row r="726" spans="1:6">
      <c r="A726" t="s">
        <v>140</v>
      </c>
      <c r="B726">
        <f>(B724-B725)*(B724-B725)</f>
        <v>10.5625</v>
      </c>
      <c r="C726">
        <f t="shared" ref="C726:E726" si="174">(C724-C725)*(C724-C725)</f>
        <v>248.0625</v>
      </c>
      <c r="D726">
        <f t="shared" si="174"/>
        <v>27.5625</v>
      </c>
      <c r="E726">
        <f t="shared" si="174"/>
        <v>52.5625</v>
      </c>
    </row>
    <row r="727" spans="1:6">
      <c r="A727" t="s">
        <v>141</v>
      </c>
      <c r="B727">
        <v>9.202581159652981</v>
      </c>
      <c r="C727">
        <v>9.202581159652981</v>
      </c>
      <c r="D727">
        <v>9.202581159652981</v>
      </c>
      <c r="E727">
        <v>9.202581159652981</v>
      </c>
    </row>
    <row r="728" spans="1:6">
      <c r="A728" t="s">
        <v>142</v>
      </c>
      <c r="B728">
        <f>B727/SQRT(4)</f>
        <v>4.6012905798264905</v>
      </c>
      <c r="C728">
        <f t="shared" ref="C728:E728" si="175">C727/SQRT(4)</f>
        <v>4.6012905798264905</v>
      </c>
      <c r="D728">
        <f t="shared" si="175"/>
        <v>4.6012905798264905</v>
      </c>
      <c r="E728">
        <f t="shared" si="175"/>
        <v>4.6012905798264905</v>
      </c>
    </row>
    <row r="731" spans="1:6">
      <c r="A731" t="s">
        <v>163</v>
      </c>
      <c r="B731">
        <v>104</v>
      </c>
      <c r="C731">
        <v>105</v>
      </c>
      <c r="D731">
        <v>106</v>
      </c>
      <c r="E731">
        <v>108</v>
      </c>
      <c r="F731">
        <v>132</v>
      </c>
    </row>
    <row r="732" spans="1:6">
      <c r="A732" t="s">
        <v>130</v>
      </c>
      <c r="B732">
        <v>70</v>
      </c>
      <c r="C732">
        <v>20</v>
      </c>
      <c r="D732">
        <v>4</v>
      </c>
      <c r="E732">
        <v>25</v>
      </c>
    </row>
    <row r="733" spans="1:6">
      <c r="A733" t="s">
        <v>52</v>
      </c>
      <c r="B733">
        <v>640</v>
      </c>
      <c r="C733">
        <v>637</v>
      </c>
      <c r="D733">
        <v>628</v>
      </c>
      <c r="E733">
        <v>627</v>
      </c>
      <c r="F733">
        <v>574</v>
      </c>
    </row>
    <row r="734" spans="1:6">
      <c r="A734" t="s">
        <v>114</v>
      </c>
      <c r="B734">
        <v>621.20000000000005</v>
      </c>
      <c r="C734">
        <v>621.20000000000005</v>
      </c>
      <c r="D734">
        <v>621.20000000000005</v>
      </c>
      <c r="E734">
        <v>621.20000000000005</v>
      </c>
      <c r="F734">
        <v>621.20000000000005</v>
      </c>
    </row>
    <row r="735" spans="1:6">
      <c r="A735" t="s">
        <v>115</v>
      </c>
      <c r="B735">
        <f>(B733-B734)*(B733-B734)</f>
        <v>353.43999999999829</v>
      </c>
      <c r="C735" s="5">
        <f t="shared" ref="C735:F735" si="176">(C733-C734)*(C733-C734)</f>
        <v>249.63999999999857</v>
      </c>
      <c r="D735" s="5">
        <f t="shared" si="176"/>
        <v>46.239999999999384</v>
      </c>
      <c r="E735" s="5">
        <f t="shared" si="176"/>
        <v>33.639999999999475</v>
      </c>
      <c r="F735" s="5">
        <f t="shared" si="176"/>
        <v>2227.8400000000042</v>
      </c>
    </row>
    <row r="736" spans="1:6">
      <c r="A736" t="s">
        <v>116</v>
      </c>
      <c r="B736" s="5">
        <v>24.127992042439008</v>
      </c>
      <c r="C736" s="5">
        <v>24.127992042439008</v>
      </c>
      <c r="D736">
        <v>24.127992042439008</v>
      </c>
      <c r="E736">
        <v>24.127992042439008</v>
      </c>
      <c r="F736">
        <v>24.127992042439008</v>
      </c>
    </row>
    <row r="737" spans="1:6">
      <c r="A737" t="s">
        <v>117</v>
      </c>
      <c r="B737">
        <f>B736/SQRT(5)</f>
        <v>10.790366073493521</v>
      </c>
      <c r="C737" s="5">
        <f t="shared" ref="C737:F737" si="177">C736/SQRT(5)</f>
        <v>10.790366073493521</v>
      </c>
      <c r="D737" s="5">
        <f t="shared" si="177"/>
        <v>10.790366073493521</v>
      </c>
      <c r="E737" s="5">
        <f t="shared" si="177"/>
        <v>10.790366073493521</v>
      </c>
      <c r="F737" s="5">
        <f t="shared" si="177"/>
        <v>10.790366073493521</v>
      </c>
    </row>
    <row r="739" spans="1:6">
      <c r="A739" t="s">
        <v>163</v>
      </c>
      <c r="B739">
        <v>73</v>
      </c>
      <c r="C739">
        <v>74</v>
      </c>
      <c r="D739">
        <v>75</v>
      </c>
      <c r="E739">
        <v>76</v>
      </c>
      <c r="F739">
        <v>77</v>
      </c>
    </row>
    <row r="740" spans="1:6">
      <c r="A740" t="s">
        <v>130</v>
      </c>
    </row>
    <row r="741" spans="1:6">
      <c r="A741" t="s">
        <v>73</v>
      </c>
      <c r="B741">
        <f>12*60+12</f>
        <v>732</v>
      </c>
      <c r="C741">
        <f>12*60+21</f>
        <v>741</v>
      </c>
      <c r="D741">
        <f>14*60+20</f>
        <v>860</v>
      </c>
      <c r="E741">
        <f>11*60+58</f>
        <v>718</v>
      </c>
      <c r="F741">
        <v>719</v>
      </c>
    </row>
    <row r="742" spans="1:6">
      <c r="A742" t="s">
        <v>114</v>
      </c>
      <c r="B742">
        <v>754</v>
      </c>
      <c r="C742">
        <v>754</v>
      </c>
      <c r="D742">
        <v>754</v>
      </c>
      <c r="E742">
        <v>754</v>
      </c>
      <c r="F742">
        <v>754</v>
      </c>
    </row>
    <row r="743" spans="1:6">
      <c r="A743" t="s">
        <v>115</v>
      </c>
      <c r="B743">
        <f>(B741-B742)*(B741-B742)</f>
        <v>484</v>
      </c>
      <c r="C743">
        <f t="shared" ref="C743:F743" si="178">(C741-C742)*(C741-C742)</f>
        <v>169</v>
      </c>
      <c r="D743">
        <f t="shared" si="178"/>
        <v>11236</v>
      </c>
      <c r="E743">
        <f t="shared" si="178"/>
        <v>1296</v>
      </c>
      <c r="F743">
        <f t="shared" si="178"/>
        <v>1225</v>
      </c>
    </row>
    <row r="744" spans="1:6">
      <c r="A744" t="s">
        <v>116</v>
      </c>
      <c r="B744">
        <v>53.684262125878192</v>
      </c>
      <c r="C744">
        <v>53.684262125878192</v>
      </c>
      <c r="D744">
        <v>53.684262125878192</v>
      </c>
      <c r="E744">
        <v>53.684262125878192</v>
      </c>
      <c r="F744">
        <v>53.684262125878192</v>
      </c>
    </row>
    <row r="745" spans="1:6">
      <c r="A745" t="s">
        <v>117</v>
      </c>
      <c r="B745">
        <f>B744/SQRT(5)</f>
        <v>24.008331887076199</v>
      </c>
      <c r="C745">
        <f t="shared" ref="C745:F745" si="179">C744/SQRT(5)</f>
        <v>24.008331887076199</v>
      </c>
      <c r="D745">
        <f t="shared" si="179"/>
        <v>24.008331887076199</v>
      </c>
      <c r="E745">
        <f t="shared" si="179"/>
        <v>24.008331887076199</v>
      </c>
      <c r="F745">
        <f t="shared" si="179"/>
        <v>24.008331887076199</v>
      </c>
    </row>
    <row r="748" spans="1:6">
      <c r="A748" t="s">
        <v>126</v>
      </c>
      <c r="C748" t="s">
        <v>113</v>
      </c>
      <c r="F748" t="s">
        <v>128</v>
      </c>
    </row>
    <row r="750" spans="1:6">
      <c r="A750" t="s">
        <v>163</v>
      </c>
      <c r="B750">
        <v>111</v>
      </c>
      <c r="C750">
        <v>112</v>
      </c>
      <c r="D750">
        <v>113</v>
      </c>
      <c r="E750">
        <v>114</v>
      </c>
    </row>
    <row r="751" spans="1:6">
      <c r="A751" t="s">
        <v>53</v>
      </c>
      <c r="B751">
        <v>60</v>
      </c>
      <c r="C751">
        <v>90</v>
      </c>
      <c r="D751">
        <v>100</v>
      </c>
      <c r="E751">
        <v>80</v>
      </c>
    </row>
    <row r="752" spans="1:6">
      <c r="A752" t="s">
        <v>118</v>
      </c>
      <c r="B752">
        <f>13*60+32</f>
        <v>812</v>
      </c>
      <c r="C752">
        <v>691</v>
      </c>
      <c r="D752">
        <f>12*60+4</f>
        <v>724</v>
      </c>
      <c r="E752">
        <v>669</v>
      </c>
    </row>
    <row r="753" spans="1:9">
      <c r="A753" t="s">
        <v>139</v>
      </c>
      <c r="B753">
        <v>724</v>
      </c>
      <c r="C753">
        <v>724</v>
      </c>
      <c r="D753">
        <v>724</v>
      </c>
      <c r="E753">
        <v>724</v>
      </c>
    </row>
    <row r="754" spans="1:9">
      <c r="A754" t="s">
        <v>140</v>
      </c>
      <c r="B754">
        <f>(B752-B753)*(B752-B753)</f>
        <v>7744</v>
      </c>
      <c r="C754">
        <f t="shared" ref="C754:E754" si="180">(C752-C753)*(C752-C753)</f>
        <v>1089</v>
      </c>
      <c r="D754">
        <f t="shared" si="180"/>
        <v>0</v>
      </c>
      <c r="E754">
        <f t="shared" si="180"/>
        <v>3025</v>
      </c>
    </row>
    <row r="755" spans="1:9">
      <c r="A755" t="s">
        <v>141</v>
      </c>
      <c r="B755">
        <v>54.447222151364159</v>
      </c>
      <c r="C755">
        <v>54.447222151364159</v>
      </c>
      <c r="D755">
        <v>54.447222151364159</v>
      </c>
      <c r="E755">
        <v>54.447222151364159</v>
      </c>
    </row>
    <row r="756" spans="1:9">
      <c r="A756" t="s">
        <v>142</v>
      </c>
      <c r="B756">
        <f>B755/SQRT(4)</f>
        <v>27.223611075682079</v>
      </c>
      <c r="C756">
        <f t="shared" ref="C756:E756" si="181">C755/SQRT(4)</f>
        <v>27.223611075682079</v>
      </c>
      <c r="D756">
        <f t="shared" si="181"/>
        <v>27.223611075682079</v>
      </c>
      <c r="E756">
        <f t="shared" si="181"/>
        <v>27.223611075682079</v>
      </c>
    </row>
    <row r="759" spans="1:9">
      <c r="A759" t="s">
        <v>163</v>
      </c>
      <c r="B759">
        <v>113</v>
      </c>
      <c r="C759">
        <v>114</v>
      </c>
      <c r="D759">
        <v>115</v>
      </c>
      <c r="E759">
        <v>116</v>
      </c>
    </row>
    <row r="760" spans="1:9">
      <c r="A760" t="s">
        <v>130</v>
      </c>
      <c r="B760">
        <v>90</v>
      </c>
      <c r="C760">
        <v>100</v>
      </c>
      <c r="D760">
        <v>60</v>
      </c>
      <c r="E760">
        <v>100</v>
      </c>
    </row>
    <row r="761" spans="1:9">
      <c r="A761" t="s">
        <v>52</v>
      </c>
      <c r="B761">
        <v>630</v>
      </c>
      <c r="C761">
        <v>613</v>
      </c>
      <c r="D761">
        <v>627</v>
      </c>
      <c r="E761">
        <v>636</v>
      </c>
    </row>
    <row r="762" spans="1:9">
      <c r="A762" t="s">
        <v>114</v>
      </c>
      <c r="B762">
        <v>626.5</v>
      </c>
      <c r="C762">
        <v>626.5</v>
      </c>
      <c r="D762">
        <v>626.5</v>
      </c>
      <c r="E762">
        <v>626.5</v>
      </c>
    </row>
    <row r="763" spans="1:9">
      <c r="A763" t="s">
        <v>115</v>
      </c>
      <c r="B763">
        <f>(B761-B762)*(B761-B762)</f>
        <v>12.25</v>
      </c>
      <c r="C763">
        <f t="shared" ref="C763:E763" si="182">(C761-C762)*(C761-C762)</f>
        <v>182.25</v>
      </c>
      <c r="D763">
        <f t="shared" si="182"/>
        <v>0.25</v>
      </c>
      <c r="E763">
        <f t="shared" si="182"/>
        <v>90.25</v>
      </c>
    </row>
    <row r="764" spans="1:9">
      <c r="A764" t="s">
        <v>116</v>
      </c>
      <c r="B764">
        <v>8.4409715080670669</v>
      </c>
      <c r="C764">
        <v>8.4409715080670669</v>
      </c>
      <c r="D764">
        <v>8.4409715080670669</v>
      </c>
      <c r="E764">
        <v>8.4409715080670669</v>
      </c>
    </row>
    <row r="765" spans="1:9">
      <c r="A765" t="s">
        <v>117</v>
      </c>
      <c r="B765">
        <f>B764/SQRT(4)</f>
        <v>4.2204857540335334</v>
      </c>
      <c r="C765">
        <f t="shared" ref="C765:E765" si="183">C764/SQRT(4)</f>
        <v>4.2204857540335334</v>
      </c>
      <c r="D765">
        <f t="shared" si="183"/>
        <v>4.2204857540335334</v>
      </c>
      <c r="E765">
        <f t="shared" si="183"/>
        <v>4.2204857540335334</v>
      </c>
    </row>
    <row r="767" spans="1:9">
      <c r="A767" t="s">
        <v>163</v>
      </c>
      <c r="B767">
        <v>81</v>
      </c>
      <c r="C767">
        <v>82</v>
      </c>
      <c r="D767">
        <v>83</v>
      </c>
      <c r="F767">
        <v>91</v>
      </c>
      <c r="G767">
        <v>92</v>
      </c>
      <c r="H767">
        <v>93</v>
      </c>
      <c r="I767">
        <v>94</v>
      </c>
    </row>
    <row r="768" spans="1:9">
      <c r="A768" t="s">
        <v>130</v>
      </c>
    </row>
    <row r="769" spans="1:11">
      <c r="A769" t="s">
        <v>73</v>
      </c>
      <c r="B769">
        <f>18*60+25</f>
        <v>1105</v>
      </c>
      <c r="C769">
        <f>17*60+43</f>
        <v>1063</v>
      </c>
      <c r="D769">
        <f>17*60+55</f>
        <v>1075</v>
      </c>
      <c r="F769">
        <v>961</v>
      </c>
      <c r="G769">
        <f>15*60+35</f>
        <v>935</v>
      </c>
      <c r="H769">
        <f>16*60+31</f>
        <v>991</v>
      </c>
      <c r="I769">
        <f>16*60+15</f>
        <v>975</v>
      </c>
    </row>
    <row r="770" spans="1:11">
      <c r="A770" t="s">
        <v>114</v>
      </c>
      <c r="B770">
        <v>1081</v>
      </c>
      <c r="C770">
        <v>1081</v>
      </c>
      <c r="D770">
        <v>1081</v>
      </c>
      <c r="F770">
        <v>965.5</v>
      </c>
      <c r="G770">
        <v>965.5</v>
      </c>
      <c r="H770">
        <v>965.5</v>
      </c>
      <c r="I770">
        <v>965.5</v>
      </c>
    </row>
    <row r="771" spans="1:11">
      <c r="A771" t="s">
        <v>115</v>
      </c>
      <c r="B771">
        <f>(B769-B770)*(B769-B770)</f>
        <v>576</v>
      </c>
      <c r="C771">
        <f t="shared" ref="C771:D771" si="184">(C769-C770)*(C769-C770)</f>
        <v>324</v>
      </c>
      <c r="D771">
        <f t="shared" si="184"/>
        <v>36</v>
      </c>
      <c r="F771">
        <f>(F770-F769)*(F770-F769)</f>
        <v>20.25</v>
      </c>
      <c r="G771">
        <f t="shared" ref="G771:I771" si="185">(G770-G769)*(G770-G769)</f>
        <v>930.25</v>
      </c>
      <c r="H771">
        <f t="shared" si="185"/>
        <v>650.25</v>
      </c>
      <c r="I771">
        <f t="shared" si="185"/>
        <v>90.25</v>
      </c>
    </row>
    <row r="772" spans="1:11">
      <c r="A772" t="s">
        <v>116</v>
      </c>
      <c r="B772">
        <v>17.663521732655695</v>
      </c>
      <c r="C772">
        <v>17.663521732655695</v>
      </c>
      <c r="D772">
        <v>17.663521732655695</v>
      </c>
      <c r="F772">
        <v>20.560885194952089</v>
      </c>
      <c r="G772">
        <v>20.560885194952089</v>
      </c>
      <c r="H772">
        <v>20.560885194952089</v>
      </c>
      <c r="I772">
        <v>20.560885194952089</v>
      </c>
    </row>
    <row r="773" spans="1:11">
      <c r="A773" t="s">
        <v>117</v>
      </c>
      <c r="B773">
        <f>B772/SQRT(3)</f>
        <v>10.198039027185571</v>
      </c>
      <c r="C773">
        <f t="shared" ref="C773:D773" si="186">C772/SQRT(3)</f>
        <v>10.198039027185571</v>
      </c>
      <c r="D773">
        <f t="shared" si="186"/>
        <v>10.198039027185571</v>
      </c>
      <c r="F773">
        <f>F772/SQRT(4)</f>
        <v>10.280442597476044</v>
      </c>
      <c r="G773">
        <f t="shared" ref="G773:I773" si="187">G772/SQRT(4)</f>
        <v>10.280442597476044</v>
      </c>
      <c r="H773">
        <f t="shared" si="187"/>
        <v>10.280442597476044</v>
      </c>
      <c r="I773">
        <f t="shared" si="187"/>
        <v>10.280442597476044</v>
      </c>
    </row>
    <row r="779" spans="1:11">
      <c r="A779" t="s">
        <v>129</v>
      </c>
      <c r="C779" t="s">
        <v>175</v>
      </c>
    </row>
    <row r="781" spans="1:11">
      <c r="B781">
        <v>0</v>
      </c>
      <c r="C781">
        <v>1</v>
      </c>
      <c r="D781">
        <v>2</v>
      </c>
      <c r="E781">
        <v>3</v>
      </c>
      <c r="F781">
        <v>4</v>
      </c>
      <c r="G781">
        <v>5</v>
      </c>
      <c r="H781">
        <v>6</v>
      </c>
      <c r="I781">
        <v>7</v>
      </c>
      <c r="J781" t="s">
        <v>176</v>
      </c>
      <c r="K781" t="s">
        <v>177</v>
      </c>
    </row>
    <row r="782" spans="1:11">
      <c r="A782">
        <v>0</v>
      </c>
      <c r="C782">
        <v>4</v>
      </c>
      <c r="D782">
        <v>149</v>
      </c>
      <c r="E782">
        <v>20</v>
      </c>
      <c r="F782">
        <v>148</v>
      </c>
      <c r="G782">
        <v>7</v>
      </c>
      <c r="H782">
        <v>15</v>
      </c>
      <c r="I782">
        <v>16</v>
      </c>
      <c r="J782">
        <v>256</v>
      </c>
      <c r="K782">
        <v>7</v>
      </c>
    </row>
    <row r="783" spans="1:11">
      <c r="A783">
        <v>1</v>
      </c>
      <c r="D783">
        <v>1</v>
      </c>
      <c r="E783">
        <v>14</v>
      </c>
      <c r="F783">
        <v>308</v>
      </c>
      <c r="G783">
        <v>41</v>
      </c>
      <c r="H783">
        <v>8</v>
      </c>
      <c r="I783">
        <v>112</v>
      </c>
      <c r="J783">
        <v>256</v>
      </c>
      <c r="K783">
        <v>7</v>
      </c>
    </row>
    <row r="784" spans="1:11">
      <c r="A784">
        <v>2</v>
      </c>
      <c r="E784">
        <v>3</v>
      </c>
      <c r="F784">
        <v>34</v>
      </c>
      <c r="G784">
        <v>16</v>
      </c>
      <c r="H784">
        <v>20</v>
      </c>
      <c r="I784">
        <v>9</v>
      </c>
      <c r="J784">
        <v>256</v>
      </c>
      <c r="K784">
        <v>7</v>
      </c>
    </row>
    <row r="785" spans="1:19">
      <c r="A785">
        <v>3</v>
      </c>
      <c r="F785">
        <v>2</v>
      </c>
      <c r="G785">
        <v>113</v>
      </c>
      <c r="H785">
        <v>42</v>
      </c>
      <c r="I785">
        <v>34</v>
      </c>
      <c r="J785">
        <v>256</v>
      </c>
      <c r="K785">
        <v>7</v>
      </c>
    </row>
    <row r="786" spans="1:19">
      <c r="A786">
        <v>4</v>
      </c>
      <c r="G786">
        <v>101</v>
      </c>
      <c r="H786">
        <v>24</v>
      </c>
      <c r="I786">
        <v>65</v>
      </c>
      <c r="J786">
        <v>256</v>
      </c>
      <c r="K786">
        <v>7</v>
      </c>
    </row>
    <row r="787" spans="1:19">
      <c r="A787">
        <v>5</v>
      </c>
      <c r="H787">
        <v>6</v>
      </c>
      <c r="I787">
        <v>13</v>
      </c>
      <c r="J787">
        <v>256</v>
      </c>
      <c r="K787">
        <v>7</v>
      </c>
    </row>
    <row r="788" spans="1:19">
      <c r="A788">
        <v>6</v>
      </c>
      <c r="I788">
        <v>4</v>
      </c>
      <c r="J788">
        <v>256</v>
      </c>
      <c r="K788">
        <v>7</v>
      </c>
    </row>
    <row r="789" spans="1:19">
      <c r="A789">
        <v>7</v>
      </c>
      <c r="J789">
        <v>256</v>
      </c>
      <c r="K789">
        <v>7</v>
      </c>
    </row>
    <row r="793" spans="1:19">
      <c r="A793" t="s">
        <v>131</v>
      </c>
      <c r="C793" t="s">
        <v>175</v>
      </c>
    </row>
    <row r="795" spans="1:19">
      <c r="B795">
        <v>0</v>
      </c>
      <c r="C795">
        <v>1</v>
      </c>
      <c r="D795">
        <v>2</v>
      </c>
      <c r="E795">
        <v>3</v>
      </c>
      <c r="F795">
        <v>4</v>
      </c>
      <c r="G795">
        <v>5</v>
      </c>
      <c r="H795">
        <v>6</v>
      </c>
      <c r="I795">
        <v>7</v>
      </c>
      <c r="J795">
        <v>8</v>
      </c>
      <c r="K795">
        <v>9</v>
      </c>
      <c r="L795">
        <v>10</v>
      </c>
      <c r="M795">
        <v>11</v>
      </c>
      <c r="N795">
        <v>12</v>
      </c>
      <c r="O795">
        <v>13</v>
      </c>
      <c r="P795">
        <v>14</v>
      </c>
      <c r="Q795">
        <v>15</v>
      </c>
      <c r="R795" t="s">
        <v>176</v>
      </c>
      <c r="S795" t="s">
        <v>177</v>
      </c>
    </row>
    <row r="796" spans="1:19">
      <c r="A796">
        <v>0</v>
      </c>
      <c r="C796">
        <v>35</v>
      </c>
      <c r="D796">
        <v>672</v>
      </c>
      <c r="E796">
        <v>292</v>
      </c>
      <c r="F796">
        <v>143</v>
      </c>
      <c r="G796">
        <v>27</v>
      </c>
      <c r="H796">
        <v>310</v>
      </c>
      <c r="I796">
        <v>83</v>
      </c>
      <c r="J796">
        <v>512</v>
      </c>
      <c r="K796">
        <v>439</v>
      </c>
      <c r="L796">
        <v>508</v>
      </c>
      <c r="M796">
        <v>28</v>
      </c>
      <c r="N796">
        <v>156</v>
      </c>
      <c r="O796">
        <v>137</v>
      </c>
      <c r="P796">
        <v>110</v>
      </c>
      <c r="Q796">
        <v>3</v>
      </c>
      <c r="R796">
        <v>128</v>
      </c>
      <c r="S796">
        <v>7</v>
      </c>
    </row>
    <row r="797" spans="1:19">
      <c r="A797">
        <v>1</v>
      </c>
      <c r="D797">
        <v>24</v>
      </c>
      <c r="E797">
        <v>298</v>
      </c>
      <c r="F797">
        <v>331</v>
      </c>
      <c r="G797">
        <v>11</v>
      </c>
      <c r="H797">
        <v>86</v>
      </c>
      <c r="I797">
        <v>240</v>
      </c>
      <c r="J797">
        <v>102</v>
      </c>
      <c r="K797">
        <v>40</v>
      </c>
      <c r="L797">
        <v>1005</v>
      </c>
      <c r="M797">
        <v>744</v>
      </c>
      <c r="N797">
        <v>411</v>
      </c>
      <c r="O797">
        <v>518</v>
      </c>
      <c r="P797">
        <v>542</v>
      </c>
      <c r="Q797">
        <v>97</v>
      </c>
      <c r="R797">
        <v>128</v>
      </c>
      <c r="S797">
        <v>7</v>
      </c>
    </row>
    <row r="798" spans="1:19">
      <c r="A798">
        <v>2</v>
      </c>
      <c r="E798">
        <v>108</v>
      </c>
      <c r="F798">
        <v>14</v>
      </c>
      <c r="G798">
        <v>256</v>
      </c>
      <c r="H798">
        <v>73</v>
      </c>
      <c r="I798">
        <v>437</v>
      </c>
      <c r="J798">
        <v>32</v>
      </c>
      <c r="K798">
        <v>61</v>
      </c>
      <c r="L798">
        <v>19</v>
      </c>
      <c r="M798">
        <v>243</v>
      </c>
      <c r="N798">
        <v>279</v>
      </c>
      <c r="O798">
        <v>453</v>
      </c>
      <c r="P798">
        <v>284</v>
      </c>
      <c r="Q798">
        <v>340</v>
      </c>
      <c r="R798">
        <v>128</v>
      </c>
      <c r="S798">
        <v>7</v>
      </c>
    </row>
    <row r="799" spans="1:19">
      <c r="A799">
        <v>3</v>
      </c>
      <c r="F799">
        <v>95</v>
      </c>
      <c r="G799">
        <v>82</v>
      </c>
      <c r="H799">
        <v>45</v>
      </c>
      <c r="I799">
        <v>25</v>
      </c>
      <c r="J799">
        <v>8</v>
      </c>
      <c r="K799">
        <v>111</v>
      </c>
      <c r="L799">
        <v>180</v>
      </c>
      <c r="M799">
        <v>58</v>
      </c>
      <c r="N799">
        <v>245</v>
      </c>
      <c r="O799">
        <v>261</v>
      </c>
      <c r="P799">
        <v>814</v>
      </c>
      <c r="Q799">
        <v>202</v>
      </c>
      <c r="R799">
        <v>128</v>
      </c>
      <c r="S799">
        <v>7</v>
      </c>
    </row>
    <row r="800" spans="1:19">
      <c r="A800">
        <v>4</v>
      </c>
      <c r="G800">
        <v>77</v>
      </c>
      <c r="H800">
        <v>29</v>
      </c>
      <c r="I800">
        <v>46</v>
      </c>
      <c r="J800">
        <v>1</v>
      </c>
      <c r="K800">
        <v>5</v>
      </c>
      <c r="L800">
        <v>190</v>
      </c>
      <c r="M800">
        <v>26</v>
      </c>
      <c r="N800" t="s">
        <v>64</v>
      </c>
      <c r="O800">
        <v>67</v>
      </c>
      <c r="P800" t="s">
        <v>64</v>
      </c>
      <c r="Q800">
        <v>784</v>
      </c>
      <c r="R800">
        <v>128</v>
      </c>
      <c r="S800">
        <v>7</v>
      </c>
    </row>
    <row r="801" spans="1:19">
      <c r="A801">
        <v>5</v>
      </c>
      <c r="H801">
        <v>114</v>
      </c>
      <c r="I801">
        <v>415</v>
      </c>
      <c r="J801">
        <v>173</v>
      </c>
      <c r="K801">
        <v>341</v>
      </c>
      <c r="L801">
        <v>135</v>
      </c>
      <c r="M801">
        <v>119</v>
      </c>
      <c r="N801">
        <v>70</v>
      </c>
      <c r="O801">
        <v>74</v>
      </c>
      <c r="P801">
        <v>244</v>
      </c>
      <c r="Q801">
        <v>56</v>
      </c>
      <c r="R801">
        <v>128</v>
      </c>
      <c r="S801">
        <v>7</v>
      </c>
    </row>
    <row r="802" spans="1:19">
      <c r="A802">
        <v>6</v>
      </c>
      <c r="I802">
        <v>4</v>
      </c>
      <c r="J802">
        <v>416</v>
      </c>
      <c r="K802">
        <v>7</v>
      </c>
      <c r="L802">
        <v>76</v>
      </c>
      <c r="M802">
        <v>37</v>
      </c>
      <c r="N802">
        <v>175</v>
      </c>
      <c r="O802">
        <v>125</v>
      </c>
      <c r="P802">
        <v>556</v>
      </c>
      <c r="Q802">
        <v>220</v>
      </c>
      <c r="R802">
        <v>128</v>
      </c>
      <c r="S802">
        <v>7</v>
      </c>
    </row>
    <row r="803" spans="1:19">
      <c r="A803">
        <v>7</v>
      </c>
      <c r="J803">
        <v>374</v>
      </c>
      <c r="K803">
        <v>15</v>
      </c>
      <c r="L803">
        <v>152</v>
      </c>
      <c r="M803">
        <v>133</v>
      </c>
      <c r="N803">
        <v>33</v>
      </c>
      <c r="O803">
        <v>111</v>
      </c>
      <c r="P803">
        <v>22</v>
      </c>
      <c r="Q803">
        <v>555</v>
      </c>
      <c r="R803">
        <v>128</v>
      </c>
      <c r="S803">
        <v>7</v>
      </c>
    </row>
    <row r="804" spans="1:19">
      <c r="A804">
        <v>8</v>
      </c>
      <c r="K804">
        <v>188</v>
      </c>
      <c r="L804">
        <v>36</v>
      </c>
      <c r="M804">
        <v>48</v>
      </c>
      <c r="N804">
        <v>233</v>
      </c>
      <c r="O804">
        <v>222</v>
      </c>
      <c r="P804">
        <v>288</v>
      </c>
      <c r="Q804">
        <v>285</v>
      </c>
    </row>
    <row r="805" spans="1:19">
      <c r="A805">
        <v>9</v>
      </c>
      <c r="L805">
        <v>100</v>
      </c>
      <c r="M805">
        <v>288</v>
      </c>
      <c r="N805" t="s">
        <v>64</v>
      </c>
      <c r="O805" t="s">
        <v>64</v>
      </c>
      <c r="P805" t="s">
        <v>64</v>
      </c>
      <c r="Q805">
        <v>88</v>
      </c>
    </row>
    <row r="806" spans="1:19">
      <c r="A806">
        <v>10</v>
      </c>
      <c r="M806">
        <v>28</v>
      </c>
      <c r="N806" t="s">
        <v>66</v>
      </c>
      <c r="O806" t="s">
        <v>66</v>
      </c>
      <c r="P806" t="s">
        <v>66</v>
      </c>
      <c r="Q806">
        <v>563</v>
      </c>
    </row>
    <row r="807" spans="1:19">
      <c r="A807">
        <v>11</v>
      </c>
      <c r="N807">
        <v>2</v>
      </c>
      <c r="O807">
        <v>6</v>
      </c>
      <c r="P807">
        <v>1009</v>
      </c>
      <c r="Q807" t="s">
        <v>65</v>
      </c>
    </row>
    <row r="808" spans="1:19">
      <c r="A808">
        <v>12</v>
      </c>
      <c r="O808">
        <v>17</v>
      </c>
      <c r="P808">
        <v>34</v>
      </c>
      <c r="Q808">
        <v>106</v>
      </c>
    </row>
    <row r="809" spans="1:19">
      <c r="A809">
        <v>13</v>
      </c>
      <c r="P809">
        <v>39</v>
      </c>
      <c r="Q809">
        <v>30</v>
      </c>
    </row>
    <row r="810" spans="1:19">
      <c r="A810">
        <v>14</v>
      </c>
      <c r="Q810">
        <v>51</v>
      </c>
    </row>
    <row r="811" spans="1:19">
      <c r="A811">
        <v>15</v>
      </c>
    </row>
    <row r="813" spans="1:19">
      <c r="A813" t="s">
        <v>67</v>
      </c>
    </row>
    <row r="814" spans="1:19">
      <c r="A814" t="s">
        <v>68</v>
      </c>
    </row>
    <row r="821" spans="1:6">
      <c r="A821" s="3" t="s">
        <v>191</v>
      </c>
    </row>
    <row r="822" spans="1:6">
      <c r="A822" t="s">
        <v>192</v>
      </c>
      <c r="B822">
        <v>195</v>
      </c>
      <c r="C822">
        <v>196</v>
      </c>
      <c r="D822">
        <v>197</v>
      </c>
      <c r="E822">
        <v>198</v>
      </c>
      <c r="F822">
        <v>199</v>
      </c>
    </row>
    <row r="823" spans="1:6">
      <c r="A823" t="s">
        <v>184</v>
      </c>
      <c r="B823">
        <f>26*60+49-217</f>
        <v>1392</v>
      </c>
      <c r="C823">
        <f>26*60+45-217</f>
        <v>1388</v>
      </c>
      <c r="D823">
        <f>25*60+38-217</f>
        <v>1321</v>
      </c>
      <c r="E823">
        <f>26*60+41-217</f>
        <v>1384</v>
      </c>
      <c r="F823">
        <f>26*60+28-217</f>
        <v>1371</v>
      </c>
    </row>
    <row r="824" spans="1:6">
      <c r="A824" s="20" t="s">
        <v>114</v>
      </c>
      <c r="B824">
        <v>1371.2</v>
      </c>
      <c r="C824">
        <v>1371.2</v>
      </c>
      <c r="D824">
        <v>1371.2</v>
      </c>
      <c r="E824">
        <v>1371.2</v>
      </c>
      <c r="F824">
        <v>1371.2</v>
      </c>
    </row>
    <row r="825" spans="1:6">
      <c r="A825" s="20" t="s">
        <v>115</v>
      </c>
      <c r="B825">
        <f>(B824-B823)*(B824-B823)</f>
        <v>432.63999999999811</v>
      </c>
      <c r="C825" s="20">
        <f t="shared" ref="C825:F825" si="188">(C824-C823)*(C824-C823)</f>
        <v>282.23999999999847</v>
      </c>
      <c r="D825" s="20">
        <f t="shared" si="188"/>
        <v>2520.0400000000045</v>
      </c>
      <c r="E825" s="20">
        <f t="shared" si="188"/>
        <v>163.83999999999884</v>
      </c>
      <c r="F825" s="20">
        <f t="shared" si="188"/>
        <v>4.0000000000018188E-2</v>
      </c>
    </row>
    <row r="826" spans="1:6">
      <c r="A826" s="20" t="s">
        <v>116</v>
      </c>
      <c r="B826" s="20">
        <v>26.072207424765551</v>
      </c>
      <c r="C826" s="20">
        <v>26.072207424765551</v>
      </c>
      <c r="D826">
        <v>26.072207424765551</v>
      </c>
      <c r="E826">
        <v>26.072207424765551</v>
      </c>
      <c r="F826">
        <v>26.072207424765551</v>
      </c>
    </row>
    <row r="827" spans="1:6">
      <c r="A827" s="20" t="s">
        <v>117</v>
      </c>
      <c r="B827">
        <f>B826/SQRT(5)</f>
        <v>11.659845625050101</v>
      </c>
      <c r="C827" s="20">
        <f t="shared" ref="C827:F827" si="189">C826/SQRT(5)</f>
        <v>11.659845625050101</v>
      </c>
      <c r="D827" s="20">
        <f t="shared" si="189"/>
        <v>11.659845625050101</v>
      </c>
      <c r="E827" s="20">
        <f t="shared" si="189"/>
        <v>11.659845625050101</v>
      </c>
      <c r="F827" s="20">
        <f t="shared" si="189"/>
        <v>11.659845625050101</v>
      </c>
    </row>
    <row r="830" spans="1:6">
      <c r="A830" t="s">
        <v>193</v>
      </c>
      <c r="B830">
        <v>212</v>
      </c>
      <c r="C830" s="20">
        <v>213</v>
      </c>
      <c r="D830" s="20">
        <v>214</v>
      </c>
      <c r="E830" s="20">
        <v>215</v>
      </c>
      <c r="F830" s="20">
        <v>216</v>
      </c>
    </row>
    <row r="831" spans="1:6">
      <c r="A831" t="s">
        <v>34</v>
      </c>
      <c r="B831">
        <f>14*60+40</f>
        <v>880</v>
      </c>
      <c r="C831">
        <f>14*60+46</f>
        <v>886</v>
      </c>
      <c r="D831">
        <f>14*60+21</f>
        <v>861</v>
      </c>
      <c r="E831">
        <f>14*60+56</f>
        <v>896</v>
      </c>
      <c r="F831">
        <v>901</v>
      </c>
    </row>
    <row r="832" spans="1:6">
      <c r="A832" s="20" t="s">
        <v>114</v>
      </c>
      <c r="B832" s="20">
        <v>884.8</v>
      </c>
      <c r="C832">
        <v>884.8</v>
      </c>
      <c r="D832">
        <v>884.8</v>
      </c>
      <c r="E832">
        <v>884.8</v>
      </c>
      <c r="F832">
        <v>884.8</v>
      </c>
    </row>
    <row r="833" spans="1:7">
      <c r="A833" s="20" t="s">
        <v>115</v>
      </c>
      <c r="B833" s="20">
        <f>(B832-B831)*(B832-B831)</f>
        <v>23.039999999999562</v>
      </c>
      <c r="C833" s="20">
        <f t="shared" ref="C833:F833" si="190">(C832-C831)*(C832-C831)</f>
        <v>1.4400000000001092</v>
      </c>
      <c r="D833" s="20">
        <f t="shared" si="190"/>
        <v>566.43999999999778</v>
      </c>
      <c r="E833" s="20">
        <f t="shared" si="190"/>
        <v>125.44000000000102</v>
      </c>
      <c r="F833" s="20">
        <f t="shared" si="190"/>
        <v>262.44000000000148</v>
      </c>
    </row>
    <row r="834" spans="1:7">
      <c r="A834" s="20" t="s">
        <v>116</v>
      </c>
      <c r="B834" s="20">
        <v>13.991425945914161</v>
      </c>
      <c r="C834" s="20">
        <v>13.991425945914161</v>
      </c>
      <c r="D834">
        <v>13.991425945914161</v>
      </c>
      <c r="E834">
        <v>13.991425945914161</v>
      </c>
      <c r="F834">
        <v>13.991425945914161</v>
      </c>
    </row>
    <row r="835" spans="1:7">
      <c r="A835" s="20" t="s">
        <v>117</v>
      </c>
      <c r="B835">
        <f>B834/SQRT(5)</f>
        <v>6.2571559034436719</v>
      </c>
      <c r="C835" s="20">
        <f t="shared" ref="C835:F835" si="191">C834/SQRT(5)</f>
        <v>6.2571559034436719</v>
      </c>
      <c r="D835" s="20">
        <f t="shared" si="191"/>
        <v>6.2571559034436719</v>
      </c>
      <c r="E835" s="20">
        <f t="shared" si="191"/>
        <v>6.2571559034436719</v>
      </c>
      <c r="F835" s="20">
        <f t="shared" si="191"/>
        <v>6.2571559034436719</v>
      </c>
    </row>
    <row r="838" spans="1:7">
      <c r="A838" t="s">
        <v>193</v>
      </c>
      <c r="B838">
        <v>220</v>
      </c>
      <c r="C838" s="20">
        <v>221</v>
      </c>
      <c r="D838" s="20">
        <v>222</v>
      </c>
      <c r="E838" s="20">
        <v>223</v>
      </c>
      <c r="F838" s="20">
        <v>224</v>
      </c>
    </row>
    <row r="839" spans="1:7">
      <c r="A839" t="s">
        <v>187</v>
      </c>
      <c r="B839">
        <f>13*60</f>
        <v>780</v>
      </c>
      <c r="C839">
        <v>782</v>
      </c>
      <c r="D839">
        <v>783</v>
      </c>
      <c r="E839">
        <v>775</v>
      </c>
      <c r="F839">
        <v>783</v>
      </c>
    </row>
    <row r="840" spans="1:7">
      <c r="A840" s="20" t="s">
        <v>114</v>
      </c>
      <c r="B840">
        <v>780.6</v>
      </c>
      <c r="C840">
        <v>780.6</v>
      </c>
      <c r="D840">
        <v>780.6</v>
      </c>
      <c r="E840">
        <v>780.6</v>
      </c>
      <c r="F840">
        <v>780.6</v>
      </c>
    </row>
    <row r="841" spans="1:7">
      <c r="A841" s="20" t="s">
        <v>115</v>
      </c>
      <c r="B841" s="20">
        <f t="shared" ref="B841:F841" si="192">(B840-B839)*(B840-B839)</f>
        <v>0.3600000000000273</v>
      </c>
      <c r="C841" s="20">
        <f t="shared" si="192"/>
        <v>1.9599999999999362</v>
      </c>
      <c r="D841" s="20">
        <f t="shared" si="192"/>
        <v>5.7599999999998905</v>
      </c>
      <c r="E841" s="20">
        <f t="shared" si="192"/>
        <v>31.360000000000255</v>
      </c>
      <c r="F841" s="20">
        <f t="shared" si="192"/>
        <v>5.7599999999998905</v>
      </c>
    </row>
    <row r="842" spans="1:7">
      <c r="A842" s="20" t="s">
        <v>116</v>
      </c>
      <c r="B842" s="20">
        <v>3.0066592756745818</v>
      </c>
      <c r="C842" s="20">
        <v>3.0066592756745818</v>
      </c>
      <c r="D842">
        <v>3.0066592756745818</v>
      </c>
      <c r="E842">
        <v>3.0066592756745818</v>
      </c>
      <c r="F842">
        <v>3.0066592756745818</v>
      </c>
    </row>
    <row r="843" spans="1:7">
      <c r="A843" s="20" t="s">
        <v>117</v>
      </c>
      <c r="B843">
        <f>B842/SQRT(5)</f>
        <v>1.3446189051177289</v>
      </c>
      <c r="C843" s="20">
        <f t="shared" ref="C843:F843" si="193">C842/SQRT(5)</f>
        <v>1.3446189051177289</v>
      </c>
      <c r="D843" s="20">
        <f t="shared" si="193"/>
        <v>1.3446189051177289</v>
      </c>
      <c r="E843" s="20">
        <f t="shared" si="193"/>
        <v>1.3446189051177289</v>
      </c>
      <c r="F843" s="20">
        <f t="shared" si="193"/>
        <v>1.3446189051177289</v>
      </c>
    </row>
    <row r="846" spans="1:7">
      <c r="A846" s="21"/>
      <c r="B846" s="21"/>
      <c r="C846" s="21"/>
      <c r="D846" s="21"/>
      <c r="E846" s="21"/>
      <c r="F846" s="21"/>
      <c r="G846" s="21"/>
    </row>
    <row r="847" spans="1:7">
      <c r="A847" s="21"/>
      <c r="B847" s="21"/>
      <c r="C847" s="21"/>
      <c r="D847" s="21"/>
      <c r="E847" s="21"/>
      <c r="F847" s="21"/>
      <c r="G847" s="21"/>
    </row>
    <row r="848" spans="1:7">
      <c r="A848" s="21"/>
      <c r="B848" s="21"/>
      <c r="C848" s="21"/>
      <c r="D848" s="21"/>
      <c r="E848" s="21"/>
      <c r="F848" s="21"/>
      <c r="G848" s="21"/>
    </row>
    <row r="849" spans="1:12">
      <c r="A849" s="21"/>
      <c r="B849" s="21"/>
      <c r="C849" s="21"/>
      <c r="D849" s="21"/>
      <c r="E849" s="21"/>
      <c r="F849" s="21"/>
      <c r="G849" s="21"/>
    </row>
    <row r="850" spans="1:12">
      <c r="A850" s="21"/>
      <c r="B850" s="21"/>
      <c r="C850" s="21"/>
      <c r="D850" s="21"/>
      <c r="E850" s="21"/>
      <c r="F850" s="21"/>
      <c r="G850" s="21"/>
    </row>
    <row r="851" spans="1:12">
      <c r="A851" s="21"/>
      <c r="B851" s="21"/>
      <c r="C851" s="21"/>
      <c r="D851" s="21"/>
      <c r="E851" s="21"/>
      <c r="F851" s="21"/>
      <c r="G851" s="21"/>
    </row>
    <row r="852" spans="1:12">
      <c r="A852" s="21"/>
      <c r="B852" s="21"/>
      <c r="C852" s="21"/>
      <c r="D852" s="21"/>
      <c r="E852" s="21"/>
      <c r="F852" s="21"/>
      <c r="G852" s="21"/>
      <c r="J852" t="s">
        <v>196</v>
      </c>
      <c r="K852" t="s">
        <v>197</v>
      </c>
      <c r="L852" t="s">
        <v>198</v>
      </c>
    </row>
    <row r="853" spans="1:12">
      <c r="A853" s="21"/>
      <c r="B853" s="21"/>
      <c r="C853" s="21"/>
      <c r="D853" s="21"/>
      <c r="E853" s="21"/>
      <c r="F853" s="21"/>
      <c r="G853" s="21"/>
      <c r="I853" s="21" t="s">
        <v>194</v>
      </c>
      <c r="J853" s="21">
        <v>1008</v>
      </c>
      <c r="K853" s="21">
        <v>816</v>
      </c>
      <c r="L853" s="21">
        <v>642</v>
      </c>
    </row>
    <row r="854" spans="1:12">
      <c r="A854" s="21"/>
      <c r="B854" s="21"/>
      <c r="C854" s="21"/>
      <c r="D854" s="21"/>
      <c r="E854" s="21"/>
      <c r="F854" s="21"/>
      <c r="G854" s="21"/>
      <c r="I854" s="21" t="s">
        <v>195</v>
      </c>
      <c r="J854" s="21">
        <v>1371</v>
      </c>
      <c r="K854" s="21">
        <v>885</v>
      </c>
      <c r="L854" s="21">
        <v>781</v>
      </c>
    </row>
    <row r="855" spans="1:12">
      <c r="A855" s="21"/>
      <c r="B855" s="21"/>
      <c r="C855" s="21"/>
      <c r="D855" s="21"/>
      <c r="E855" s="21"/>
      <c r="F855" s="21"/>
      <c r="G855" s="21"/>
    </row>
    <row r="856" spans="1:12">
      <c r="A856" s="21"/>
      <c r="B856" s="21"/>
      <c r="C856" s="21"/>
      <c r="D856" s="21"/>
      <c r="E856" s="21"/>
      <c r="F856" s="21"/>
      <c r="G856" s="21"/>
      <c r="I856" t="s">
        <v>199</v>
      </c>
      <c r="J856">
        <v>19</v>
      </c>
      <c r="K856">
        <v>15</v>
      </c>
      <c r="L856">
        <v>1</v>
      </c>
    </row>
    <row r="857" spans="1:12">
      <c r="A857" s="21"/>
      <c r="B857" s="21"/>
      <c r="C857" s="21"/>
      <c r="D857" s="21"/>
      <c r="E857" s="21"/>
      <c r="F857" s="21"/>
      <c r="G857" s="21"/>
      <c r="I857" t="s">
        <v>199</v>
      </c>
      <c r="J857">
        <v>12</v>
      </c>
      <c r="K857">
        <v>6.25</v>
      </c>
      <c r="L857">
        <v>1.34</v>
      </c>
    </row>
    <row r="858" spans="1:12">
      <c r="A858" s="21"/>
      <c r="B858" s="21"/>
      <c r="C858" s="21"/>
      <c r="D858" s="21"/>
      <c r="E858" s="21"/>
      <c r="F858" s="21"/>
      <c r="G858" s="21"/>
    </row>
    <row r="859" spans="1:12">
      <c r="A859" s="21"/>
      <c r="B859" s="21"/>
      <c r="C859" s="21"/>
      <c r="D859" s="21"/>
      <c r="E859" s="21"/>
      <c r="F859" s="21"/>
      <c r="G859" s="21"/>
    </row>
    <row r="860" spans="1:12">
      <c r="A860" s="21"/>
      <c r="B860" s="21"/>
      <c r="C860" s="21"/>
      <c r="D860" s="21"/>
      <c r="E860" s="21"/>
      <c r="F860" s="21"/>
      <c r="G860" s="21"/>
    </row>
    <row r="861" spans="1:12">
      <c r="A861" s="21"/>
      <c r="B861" s="21"/>
      <c r="C861" s="21"/>
      <c r="D861" s="21"/>
      <c r="E861" s="21"/>
      <c r="F861" s="21"/>
      <c r="G861" s="21"/>
    </row>
    <row r="862" spans="1:12">
      <c r="A862" s="21"/>
      <c r="B862" s="21"/>
      <c r="C862" s="21"/>
      <c r="D862" s="21"/>
      <c r="E862" s="21"/>
      <c r="F862" s="21"/>
      <c r="G862" s="21"/>
    </row>
    <row r="863" spans="1:12">
      <c r="A863" s="21"/>
      <c r="B863" s="21"/>
      <c r="C863" s="21"/>
      <c r="D863" s="21"/>
      <c r="E863" s="21"/>
      <c r="F863" s="21"/>
      <c r="G863" s="21"/>
    </row>
    <row r="864" spans="1:12">
      <c r="A864" s="21"/>
      <c r="B864" s="21"/>
      <c r="C864" s="21"/>
      <c r="D864" s="21"/>
      <c r="E864" s="21"/>
      <c r="F864" s="21"/>
      <c r="G864" s="21"/>
    </row>
    <row r="865" spans="1:7">
      <c r="A865" s="21"/>
      <c r="B865" s="21"/>
      <c r="C865" s="21"/>
      <c r="D865" s="21"/>
      <c r="E865" s="21"/>
      <c r="F865" s="21"/>
      <c r="G865" s="21"/>
    </row>
    <row r="866" spans="1:7">
      <c r="A866" s="21"/>
      <c r="B866" s="21"/>
      <c r="C866" s="21"/>
      <c r="D866" s="21"/>
      <c r="E866" s="21"/>
      <c r="F866" s="21"/>
      <c r="G866" s="21"/>
    </row>
    <row r="867" spans="1:7">
      <c r="A867" s="21"/>
      <c r="B867" s="21"/>
      <c r="C867" s="21"/>
      <c r="D867" s="21"/>
      <c r="E867" s="21"/>
      <c r="F867" s="21"/>
      <c r="G867" s="21"/>
    </row>
    <row r="868" spans="1:7">
      <c r="A868" s="21"/>
      <c r="B868" s="21"/>
      <c r="C868" s="21"/>
      <c r="D868" s="21"/>
      <c r="E868" s="21"/>
      <c r="F868" s="21"/>
      <c r="G868" s="21"/>
    </row>
    <row r="869" spans="1:7">
      <c r="A869" s="21"/>
      <c r="B869" s="21"/>
      <c r="C869" s="21"/>
      <c r="D869" s="21"/>
      <c r="E869" s="21"/>
      <c r="F869" s="21"/>
      <c r="G869" s="21"/>
    </row>
    <row r="870" spans="1:7">
      <c r="A870" s="21"/>
      <c r="B870" s="21"/>
      <c r="C870" s="21"/>
      <c r="D870" s="21"/>
      <c r="E870" s="21"/>
      <c r="F870" s="21"/>
    </row>
  </sheetData>
  <mergeCells count="11">
    <mergeCell ref="A575:B575"/>
    <mergeCell ref="A585:B585"/>
    <mergeCell ref="A515:B515"/>
    <mergeCell ref="A525:B525"/>
    <mergeCell ref="A545:B545"/>
    <mergeCell ref="A555:B555"/>
    <mergeCell ref="A415:B415"/>
    <mergeCell ref="A435:B435"/>
    <mergeCell ref="A425:B425"/>
    <mergeCell ref="A485:B485"/>
    <mergeCell ref="A495:B495"/>
  </mergeCells>
  <phoneticPr fontId="4" type="noConversion"/>
  <pageMargins left="0.75" right="0.75" top="1" bottom="1" header="0.5" footer="0.5"/>
  <ignoredErrors>
    <ignoredError sqref="B50 B87 B93 B99 B129 B136 B143 B195 B202 B346 B353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2010-07-18T18:32:48Z</dcterms:created>
  <dcterms:modified xsi:type="dcterms:W3CDTF">2011-04-14T21:14:25Z</dcterms:modified>
</cp:coreProperties>
</file>