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worksheets/sheet9.xml" ContentType="application/vnd.openxmlformats-officedocument.spreadsheetml.worksheet+xml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780" yWindow="-7940" windowWidth="25040" windowHeight="14240" tabRatio="500" firstSheet="3" activeTab="6"/>
  </bookViews>
  <sheets>
    <sheet name="wc hadoop-pmr" sheetId="1" r:id="rId1"/>
    <sheet name="2 machines" sheetId="2" r:id="rId2"/>
    <sheet name="10GB" sheetId="3" r:id="rId3"/>
    <sheet name="20GB" sheetId="4" r:id="rId4"/>
    <sheet name="40GB" sheetId="5" r:id="rId5"/>
    <sheet name="3 machines" sheetId="6" r:id="rId6"/>
    <sheet name="10GB-3machines" sheetId="7" r:id="rId7"/>
    <sheet name="20GB-3machines" sheetId="8" r:id="rId8"/>
    <sheet name="40GB-3machines" sheetId="9" r:id="rId9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6" i="3"/>
  <c r="L22"/>
  <c r="K43"/>
  <c r="H42"/>
  <c r="E42"/>
  <c r="D42"/>
  <c r="K41"/>
  <c r="E41"/>
  <c r="I41"/>
  <c r="H41"/>
  <c r="D41"/>
  <c r="K16" i="7"/>
  <c r="L12"/>
  <c r="E9"/>
  <c r="E10"/>
  <c r="E8"/>
  <c r="H14" i="2"/>
  <c r="H37"/>
  <c r="I15"/>
  <c r="G78"/>
  <c r="H72"/>
  <c r="H63"/>
  <c r="H32"/>
  <c r="N23"/>
  <c r="N24"/>
  <c r="N25"/>
  <c r="N22"/>
  <c r="A30"/>
  <c r="A31"/>
  <c r="A41"/>
  <c r="A29"/>
  <c r="I60"/>
  <c r="I43"/>
  <c r="C56"/>
  <c r="C57"/>
  <c r="C55"/>
  <c r="B55"/>
  <c r="E55"/>
  <c r="E56"/>
  <c r="E57"/>
  <c r="G57"/>
  <c r="G56"/>
  <c r="C9"/>
  <c r="E9"/>
  <c r="C10"/>
  <c r="E10"/>
  <c r="C11"/>
  <c r="E11"/>
  <c r="G11"/>
  <c r="G10"/>
  <c r="A17"/>
  <c r="C17"/>
  <c r="E17"/>
  <c r="A18"/>
  <c r="E18"/>
  <c r="A19"/>
  <c r="E19"/>
  <c r="G19"/>
  <c r="G18"/>
  <c r="C29"/>
  <c r="E29"/>
  <c r="C30"/>
  <c r="E30"/>
  <c r="C31"/>
  <c r="E31"/>
  <c r="G31"/>
  <c r="G30"/>
  <c r="C41"/>
  <c r="E41"/>
  <c r="C42"/>
  <c r="E42"/>
  <c r="E43"/>
  <c r="G43"/>
  <c r="G42"/>
  <c r="A60"/>
  <c r="A71"/>
  <c r="B71"/>
  <c r="C71"/>
  <c r="E71"/>
  <c r="C72"/>
  <c r="E72"/>
  <c r="C73"/>
  <c r="E73"/>
  <c r="G73"/>
  <c r="G72"/>
  <c r="C60"/>
  <c r="E60"/>
  <c r="A61"/>
  <c r="C61"/>
  <c r="E61"/>
  <c r="A62"/>
  <c r="C62"/>
  <c r="E62"/>
  <c r="G62"/>
  <c r="G61"/>
  <c r="G41"/>
  <c r="L2" i="4"/>
  <c r="K4"/>
  <c r="D2"/>
  <c r="D3"/>
  <c r="H3"/>
  <c r="E3"/>
  <c r="K2"/>
  <c r="H2"/>
  <c r="E2"/>
  <c r="E18" i="8"/>
  <c r="E17"/>
  <c r="E14"/>
  <c r="E13"/>
  <c r="E12"/>
  <c r="K16"/>
  <c r="L12"/>
  <c r="E10"/>
  <c r="E9"/>
  <c r="E8"/>
  <c r="A46" i="6"/>
  <c r="A45"/>
  <c r="O7"/>
  <c r="P7"/>
  <c r="C31"/>
  <c r="C30"/>
  <c r="B38"/>
  <c r="C38"/>
  <c r="F38"/>
  <c r="C39"/>
  <c r="F39"/>
  <c r="C40"/>
  <c r="F40"/>
  <c r="H40"/>
  <c r="H39"/>
  <c r="A30"/>
  <c r="A14"/>
  <c r="A13"/>
  <c r="A12"/>
  <c r="O6"/>
  <c r="P6"/>
  <c r="E30"/>
  <c r="E31"/>
  <c r="E32"/>
  <c r="G32"/>
  <c r="G31"/>
  <c r="A23"/>
  <c r="C23"/>
  <c r="F23"/>
  <c r="A24"/>
  <c r="C24"/>
  <c r="F24"/>
  <c r="A25"/>
  <c r="C25"/>
  <c r="F25"/>
  <c r="H25"/>
  <c r="H24"/>
  <c r="C12"/>
  <c r="E12"/>
  <c r="E13"/>
  <c r="E14"/>
  <c r="G14"/>
  <c r="G13"/>
  <c r="P5"/>
  <c r="O4"/>
  <c r="O3"/>
  <c r="C3"/>
  <c r="F3"/>
  <c r="C4"/>
  <c r="F4"/>
  <c r="C5"/>
  <c r="F5"/>
  <c r="H5"/>
  <c r="H4"/>
  <c r="H20" i="5"/>
  <c r="H19"/>
  <c r="H18"/>
  <c r="H17"/>
  <c r="H14"/>
  <c r="H13"/>
  <c r="H12"/>
  <c r="H11"/>
  <c r="K4"/>
  <c r="D2"/>
  <c r="D3"/>
  <c r="H3"/>
  <c r="E3"/>
  <c r="K2"/>
  <c r="H2"/>
  <c r="E2"/>
  <c r="F46" i="1"/>
  <c r="F47"/>
  <c r="F18"/>
  <c r="F29"/>
  <c r="F28"/>
  <c r="F27"/>
  <c r="F26"/>
  <c r="F25"/>
  <c r="F15"/>
  <c r="F16"/>
  <c r="F17"/>
  <c r="F14"/>
</calcChain>
</file>

<file path=xl/sharedStrings.xml><?xml version="1.0" encoding="utf-8"?>
<sst xmlns="http://schemas.openxmlformats.org/spreadsheetml/2006/main" count="357" uniqueCount="192">
  <si>
    <t>98% intermediate data generated.</t>
    <phoneticPr fontId="4" type="noConversion"/>
  </si>
  <si>
    <t>22% of intermediate data</t>
    <phoneticPr fontId="4" type="noConversion"/>
  </si>
  <si>
    <t>40GB</t>
    <phoneticPr fontId="4" type="noConversion"/>
  </si>
  <si>
    <t>40GB</t>
    <phoneticPr fontId="4" type="noConversion"/>
  </si>
  <si>
    <t>concurrent transfers - 4*1+4*1</t>
    <phoneticPr fontId="4" type="noConversion"/>
  </si>
  <si>
    <t>3*2+3*2+2*2</t>
    <phoneticPr fontId="4" type="noConversion"/>
  </si>
  <si>
    <t>16 data units are created</t>
    <phoneticPr fontId="4" type="noConversion"/>
  </si>
  <si>
    <t>Time taken to transfer 5952 MB from India-&gt;hotel</t>
    <phoneticPr fontId="4" type="noConversion"/>
  </si>
  <si>
    <t>Combine LMR on (5952*2) MB</t>
    <phoneticPr fontId="4" type="noConversion"/>
  </si>
  <si>
    <t>Chunk</t>
    <phoneticPr fontId="4" type="noConversion"/>
  </si>
  <si>
    <t>Map</t>
    <phoneticPr fontId="4" type="noConversion"/>
  </si>
  <si>
    <t>shuffletime</t>
    <phoneticPr fontId="4" type="noConversion"/>
  </si>
  <si>
    <t>reduce phase</t>
    <phoneticPr fontId="4" type="noConversion"/>
  </si>
  <si>
    <t>tts</t>
    <phoneticPr fontId="4" type="noConversion"/>
  </si>
  <si>
    <t>Combine LMR on (5932*2) MB</t>
    <phoneticPr fontId="4" type="noConversion"/>
  </si>
  <si>
    <t>Time taken to transfer 5932 MB from India-&gt;hotel</t>
    <phoneticPr fontId="4" type="noConversion"/>
  </si>
  <si>
    <t>40GB</t>
    <phoneticPr fontId="4" type="noConversion"/>
  </si>
  <si>
    <t>40GB</t>
    <phoneticPr fontId="4" type="noConversion"/>
  </si>
  <si>
    <t>29minutes</t>
    <phoneticPr fontId="4" type="noConversion"/>
  </si>
  <si>
    <t xml:space="preserve"> in 29 minutes</t>
    <phoneticPr fontId="4" type="noConversion"/>
  </si>
  <si>
    <t>29mins</t>
    <phoneticPr fontId="4" type="noConversion"/>
  </si>
  <si>
    <t>Local Data in MB transferred within India</t>
    <phoneticPr fontId="4" type="noConversion"/>
  </si>
  <si>
    <t>time taken to distribute data to remote machines</t>
    <phoneticPr fontId="4" type="noConversion"/>
  </si>
  <si>
    <t>14mins</t>
    <phoneticPr fontId="4" type="noConversion"/>
  </si>
  <si>
    <t>&lt;1min</t>
    <phoneticPr fontId="4" type="noConversion"/>
  </si>
  <si>
    <t xml:space="preserve">Remote Data in MB transferred to </t>
    <phoneticPr fontId="4" type="noConversion"/>
  </si>
  <si>
    <t xml:space="preserve"> effective data transfer in MB</t>
    <phoneticPr fontId="4" type="noConversion"/>
  </si>
  <si>
    <t>DMR</t>
    <phoneticPr fontId="4" type="noConversion"/>
  </si>
  <si>
    <t>PMR</t>
    <phoneticPr fontId="4" type="noConversion"/>
  </si>
  <si>
    <t>PMR</t>
    <phoneticPr fontId="4" type="noConversion"/>
  </si>
  <si>
    <t>DMR</t>
    <phoneticPr fontId="4" type="noConversion"/>
  </si>
  <si>
    <t>Local data</t>
    <phoneticPr fontId="4" type="noConversion"/>
  </si>
  <si>
    <t>remote data distribution= 7mins</t>
    <phoneticPr fontId="4" type="noConversion"/>
  </si>
  <si>
    <t>Local-PMR on India</t>
    <phoneticPr fontId="4" type="noConversion"/>
  </si>
  <si>
    <t>Local-PMR on Hotel</t>
    <phoneticPr fontId="4" type="noConversion"/>
  </si>
  <si>
    <t>Time taken to transfer 3120MB from India-&gt;hotel</t>
    <phoneticPr fontId="4" type="noConversion"/>
  </si>
  <si>
    <t>tts</t>
    <phoneticPr fontId="4" type="noConversion"/>
  </si>
  <si>
    <t>effective data transfer involved in MB</t>
    <phoneticPr fontId="4" type="noConversion"/>
  </si>
  <si>
    <t>Total intermediate data produced in MB</t>
    <phoneticPr fontId="4" type="noConversion"/>
  </si>
  <si>
    <t>Local-PMR on India</t>
    <phoneticPr fontId="4" type="noConversion"/>
  </si>
  <si>
    <t>Local-PMR on Hotel</t>
    <phoneticPr fontId="4" type="noConversion"/>
  </si>
  <si>
    <t>Input data</t>
    <phoneticPr fontId="4" type="noConversion"/>
  </si>
  <si>
    <t>total</t>
    <phoneticPr fontId="4" type="noConversion"/>
  </si>
  <si>
    <t>Input data</t>
    <phoneticPr fontId="4" type="noConversion"/>
  </si>
  <si>
    <t>Hadoop MR</t>
    <phoneticPr fontId="4" type="noConversion"/>
  </si>
  <si>
    <t>Total</t>
    <phoneticPr fontId="4" type="noConversion"/>
  </si>
  <si>
    <t>stderr for total</t>
    <phoneticPr fontId="4" type="noConversion"/>
  </si>
  <si>
    <t>stderr ofr pmr</t>
    <phoneticPr fontId="4" type="noConversion"/>
  </si>
  <si>
    <t>stderr for hmr</t>
    <phoneticPr fontId="4" type="noConversion"/>
  </si>
  <si>
    <t>Local-PMR</t>
    <phoneticPr fontId="4" type="noConversion"/>
  </si>
  <si>
    <t>Hadoop</t>
    <phoneticPr fontId="4" type="noConversion"/>
  </si>
  <si>
    <t>India,8workers,1woker/node, 128MB chunk, 8 reduces,varying input data size(GB)</t>
    <phoneticPr fontId="4" type="noConversion"/>
  </si>
  <si>
    <t>default replication factor - 2</t>
    <phoneticPr fontId="4" type="noConversion"/>
  </si>
  <si>
    <t>chunk</t>
    <phoneticPr fontId="4" type="noConversion"/>
  </si>
  <si>
    <t>2500000 lines which is  625000 sequences</t>
    <phoneticPr fontId="4" type="noConversion"/>
  </si>
  <si>
    <t>Workers</t>
    <phoneticPr fontId="4" type="noConversion"/>
  </si>
  <si>
    <t>shuffle starts after map phase</t>
    <phoneticPr fontId="4" type="noConversion"/>
  </si>
  <si>
    <t>Setup</t>
  </si>
  <si>
    <t>Map</t>
  </si>
  <si>
    <t>Shuffle</t>
  </si>
  <si>
    <t>Reduce</t>
  </si>
  <si>
    <t>Local-PMR</t>
    <phoneticPr fontId="4" type="noConversion"/>
  </si>
  <si>
    <t>Setup-load data time</t>
    <phoneticPr fontId="4" type="noConversion"/>
  </si>
  <si>
    <t>Input data</t>
    <phoneticPr fontId="4" type="noConversion"/>
  </si>
  <si>
    <t>PMR</t>
    <phoneticPr fontId="4" type="noConversion"/>
  </si>
  <si>
    <t>DMR</t>
    <phoneticPr fontId="4" type="noConversion"/>
  </si>
  <si>
    <t>12.48% of intermediate transfer</t>
    <phoneticPr fontId="4" type="noConversion"/>
  </si>
  <si>
    <t>31.2% of intermediate transfer</t>
    <phoneticPr fontId="4" type="noConversion"/>
  </si>
  <si>
    <t>Actual data transfer time is 610 seconcds.. But local data transfer is considered as negligible..</t>
    <phoneticPr fontId="4" type="noConversion"/>
  </si>
  <si>
    <t>10GB</t>
    <phoneticPr fontId="4" type="noConversion"/>
  </si>
  <si>
    <t>18 minutes</t>
    <phoneticPr fontId="4" type="noConversion"/>
  </si>
  <si>
    <t>14 mintues remote</t>
    <phoneticPr fontId="4" type="noConversion"/>
  </si>
  <si>
    <t>4 minutes local</t>
    <phoneticPr fontId="4" type="noConversion"/>
  </si>
  <si>
    <t>20GB</t>
    <phoneticPr fontId="4" type="noConversion"/>
  </si>
  <si>
    <t>India</t>
    <phoneticPr fontId="4" type="noConversion"/>
  </si>
  <si>
    <t>Hotel</t>
    <phoneticPr fontId="4" type="noConversion"/>
  </si>
  <si>
    <t>14minutes</t>
    <phoneticPr fontId="4" type="noConversion"/>
  </si>
  <si>
    <t xml:space="preserve"> in 14 minutes</t>
    <phoneticPr fontId="4" type="noConversion"/>
  </si>
  <si>
    <t>Remote Data in MB transferred to India</t>
    <phoneticPr fontId="4" type="noConversion"/>
  </si>
  <si>
    <t>Machines</t>
    <phoneticPr fontId="4" type="noConversion"/>
  </si>
  <si>
    <t>Input Data</t>
    <phoneticPr fontId="4" type="noConversion"/>
  </si>
  <si>
    <t>10GB</t>
    <phoneticPr fontId="4" type="noConversion"/>
  </si>
  <si>
    <t>India</t>
    <phoneticPr fontId="4" type="noConversion"/>
  </si>
  <si>
    <t>Hotel</t>
    <phoneticPr fontId="4" type="noConversion"/>
  </si>
  <si>
    <t>Intermdiate data generated in MB</t>
    <phoneticPr fontId="4" type="noConversion"/>
  </si>
  <si>
    <t>Time taken to transfer local data</t>
    <phoneticPr fontId="4" type="noConversion"/>
  </si>
  <si>
    <t>&lt;1sec</t>
    <phoneticPr fontId="4" type="noConversion"/>
  </si>
  <si>
    <t>Average reduce data</t>
    <phoneticPr fontId="4" type="noConversion"/>
  </si>
  <si>
    <t xml:space="preserve">Total data exchanged is </t>
    <phoneticPr fontId="4" type="noConversion"/>
  </si>
  <si>
    <t>1. if its reduce intensive , then it takes more time.</t>
    <phoneticPr fontId="4" type="noConversion"/>
  </si>
  <si>
    <t>2. it is forced to move the data to location where data transfer is high..</t>
    <phoneticPr fontId="4" type="noConversion"/>
  </si>
  <si>
    <t>3. With efficient file transfer protocols, pilot-DMR proves to be better.</t>
    <phoneticPr fontId="4" type="noConversion"/>
  </si>
  <si>
    <t>10GB</t>
    <phoneticPr fontId="4" type="noConversion"/>
  </si>
  <si>
    <t>10GB</t>
    <phoneticPr fontId="4" type="noConversion"/>
  </si>
  <si>
    <t>10GB</t>
    <phoneticPr fontId="4" type="noConversion"/>
  </si>
  <si>
    <t>Local-PMR</t>
    <phoneticPr fontId="4" type="noConversion"/>
  </si>
  <si>
    <t>Local PMR on 6240MB</t>
    <phoneticPr fontId="4" type="noConversion"/>
  </si>
  <si>
    <t>Transfer 3120MB using SCP</t>
    <phoneticPr fontId="4" type="noConversion"/>
  </si>
  <si>
    <t>9GB</t>
    <phoneticPr fontId="4" type="noConversion"/>
  </si>
  <si>
    <t>4.5 LOCAL</t>
    <phoneticPr fontId="4" type="noConversion"/>
  </si>
  <si>
    <t>A</t>
    <phoneticPr fontId="4" type="noConversion"/>
  </si>
  <si>
    <t>B</t>
    <phoneticPr fontId="4" type="noConversion"/>
  </si>
  <si>
    <t>B</t>
    <phoneticPr fontId="4" type="noConversion"/>
  </si>
  <si>
    <t>4.5 to B</t>
    <phoneticPr fontId="4" type="noConversion"/>
  </si>
  <si>
    <t>4.5 to LOCAL</t>
    <phoneticPr fontId="4" type="noConversion"/>
  </si>
  <si>
    <t>4.5 to A</t>
    <phoneticPr fontId="4" type="noConversion"/>
  </si>
  <si>
    <t>negligible file transfer time</t>
    <phoneticPr fontId="4" type="noConversion"/>
  </si>
  <si>
    <t>4.5 has to be distributed to 8 reduces on B</t>
    <phoneticPr fontId="4" type="noConversion"/>
  </si>
  <si>
    <t>4.5 has to be distiuted to 8 reduces on A</t>
    <phoneticPr fontId="4" type="noConversion"/>
  </si>
  <si>
    <t>Distribution of data to each Reduce</t>
    <phoneticPr fontId="4" type="noConversion"/>
  </si>
  <si>
    <t>&lt;1minute</t>
    <phoneticPr fontId="4" type="noConversion"/>
  </si>
  <si>
    <t>Remote Data in MB transferred</t>
    <phoneticPr fontId="4" type="noConversion"/>
  </si>
  <si>
    <t>Local Data in MB transferred</t>
    <phoneticPr fontId="4" type="noConversion"/>
  </si>
  <si>
    <t>MB</t>
  </si>
  <si>
    <t>exchanged.</t>
    <phoneticPr fontId="4" type="noConversion"/>
  </si>
  <si>
    <t xml:space="preserve">Type of MR </t>
    <phoneticPr fontId="4" type="noConversion"/>
  </si>
  <si>
    <t>Local-PMR for  jon's DMR and distibuted-PMR.</t>
    <phoneticPr fontId="4" type="noConversion"/>
  </si>
  <si>
    <t>Map</t>
    <phoneticPr fontId="4" type="noConversion"/>
  </si>
  <si>
    <t>16GB wordcount , local mr, 8 workers, 128MB chunk</t>
    <phoneticPr fontId="4" type="noConversion"/>
  </si>
  <si>
    <t>Data transferred between map and reduce phase</t>
    <phoneticPr fontId="4" type="noConversion"/>
  </si>
  <si>
    <t>Machines used India, hotel</t>
    <phoneticPr fontId="4" type="noConversion"/>
  </si>
  <si>
    <t>tts</t>
    <phoneticPr fontId="4" type="noConversion"/>
  </si>
  <si>
    <t>Chunk</t>
    <phoneticPr fontId="4" type="noConversion"/>
  </si>
  <si>
    <t>Map</t>
    <phoneticPr fontId="4" type="noConversion"/>
  </si>
  <si>
    <t>shuffletime</t>
    <phoneticPr fontId="4" type="noConversion"/>
  </si>
  <si>
    <t>reduce phase</t>
    <phoneticPr fontId="4" type="noConversion"/>
  </si>
  <si>
    <t>tts</t>
    <phoneticPr fontId="4" type="noConversion"/>
  </si>
  <si>
    <t>Intermediatedata</t>
    <phoneticPr fontId="4" type="noConversion"/>
  </si>
  <si>
    <t>reduces</t>
    <phoneticPr fontId="4" type="noConversion"/>
  </si>
  <si>
    <t>reduce-1</t>
    <phoneticPr fontId="4" type="noConversion"/>
  </si>
  <si>
    <t>reduce-2</t>
    <phoneticPr fontId="4" type="noConversion"/>
  </si>
  <si>
    <t>reduce-3</t>
    <phoneticPr fontId="4" type="noConversion"/>
  </si>
  <si>
    <t>reduce-4</t>
    <phoneticPr fontId="4" type="noConversion"/>
  </si>
  <si>
    <t>reduce-5r</t>
    <phoneticPr fontId="4" type="noConversion"/>
  </si>
  <si>
    <t>rreduce-6</t>
    <phoneticPr fontId="4" type="noConversion"/>
  </si>
  <si>
    <t>reduce-7</t>
    <phoneticPr fontId="4" type="noConversion"/>
  </si>
  <si>
    <t>number of concurent transfers</t>
    <phoneticPr fontId="4" type="noConversion"/>
  </si>
  <si>
    <t>effective data transfer</t>
    <phoneticPr fontId="4" type="noConversion"/>
  </si>
  <si>
    <t>total intermediate data</t>
    <phoneticPr fontId="4" type="noConversion"/>
  </si>
  <si>
    <t>30GB</t>
    <phoneticPr fontId="4" type="noConversion"/>
  </si>
  <si>
    <t>60GB</t>
    <phoneticPr fontId="4" type="noConversion"/>
  </si>
  <si>
    <t>60GB</t>
    <phoneticPr fontId="4" type="noConversion"/>
  </si>
  <si>
    <t>Time taken to transfer 5932 MB from hotel-&gt;hotel</t>
    <phoneticPr fontId="4" type="noConversion"/>
  </si>
  <si>
    <t>Combine LMR on (5932*3) MB</t>
    <phoneticPr fontId="4" type="noConversion"/>
  </si>
  <si>
    <t>20GB</t>
    <phoneticPr fontId="4" type="noConversion"/>
  </si>
  <si>
    <t>reduce-5</t>
    <phoneticPr fontId="4" type="noConversion"/>
  </si>
  <si>
    <t>reduce-6</t>
    <phoneticPr fontId="4" type="noConversion"/>
  </si>
  <si>
    <t>average</t>
    <phoneticPr fontId="4" type="noConversion"/>
  </si>
  <si>
    <t>stderr</t>
    <phoneticPr fontId="4" type="noConversion"/>
  </si>
  <si>
    <t>120GB</t>
    <phoneticPr fontId="4" type="noConversion"/>
  </si>
  <si>
    <t>30GB</t>
    <phoneticPr fontId="4" type="noConversion"/>
  </si>
  <si>
    <t>Time taken to transfer 8946 MB from hotel-&gt;hotel</t>
    <phoneticPr fontId="4" type="noConversion"/>
  </si>
  <si>
    <t>Combine LMR on (8946*3) MB</t>
    <phoneticPr fontId="4" type="noConversion"/>
  </si>
  <si>
    <t>DMR</t>
    <phoneticPr fontId="4" type="noConversion"/>
  </si>
  <si>
    <t>Distributed-PMR</t>
    <phoneticPr fontId="4" type="noConversion"/>
  </si>
  <si>
    <t>120GB</t>
    <phoneticPr fontId="4" type="noConversion"/>
  </si>
  <si>
    <t>stderr of DMR</t>
    <phoneticPr fontId="4" type="noConversion"/>
  </si>
  <si>
    <t>stderr of PMR</t>
    <phoneticPr fontId="4" type="noConversion"/>
  </si>
  <si>
    <t>Number of concurrent pilot transfers are 8*(2-1)</t>
    <phoneticPr fontId="4" type="noConversion"/>
  </si>
  <si>
    <t>20GB divided into 10GB on india, 10GB hotel</t>
    <phoneticPr fontId="4" type="noConversion"/>
  </si>
  <si>
    <t>Hadoop MR</t>
    <phoneticPr fontId="4" type="noConversion"/>
  </si>
  <si>
    <t>PMR</t>
    <phoneticPr fontId="4" type="noConversion"/>
  </si>
  <si>
    <t>average</t>
    <phoneticPr fontId="4" type="noConversion"/>
  </si>
  <si>
    <t>stderr</t>
    <phoneticPr fontId="4" type="noConversion"/>
  </si>
  <si>
    <t>20GB</t>
    <phoneticPr fontId="4" type="noConversion"/>
  </si>
  <si>
    <t>40GB</t>
    <phoneticPr fontId="4" type="noConversion"/>
  </si>
  <si>
    <t>80GB</t>
    <phoneticPr fontId="4" type="noConversion"/>
  </si>
  <si>
    <t>DMR</t>
    <phoneticPr fontId="4" type="noConversion"/>
  </si>
  <si>
    <t>distributed-PMR</t>
    <phoneticPr fontId="4" type="noConversion"/>
  </si>
  <si>
    <t>Time taken to transfer 8946 MB from India-&gt;hotel</t>
    <phoneticPr fontId="4" type="noConversion"/>
  </si>
  <si>
    <t>Combine LMR on (8946*2) MB</t>
    <phoneticPr fontId="4" type="noConversion"/>
  </si>
  <si>
    <t>80GB(replicated)</t>
    <phoneticPr fontId="4" type="noConversion"/>
  </si>
  <si>
    <t>sequences</t>
    <phoneticPr fontId="4" type="noConversion"/>
  </si>
  <si>
    <t>seqeuences</t>
    <phoneticPr fontId="4" type="noConversion"/>
  </si>
  <si>
    <t>80GB(replicated)</t>
    <phoneticPr fontId="4" type="noConversion"/>
  </si>
  <si>
    <t>40GB</t>
    <phoneticPr fontId="4" type="noConversion"/>
  </si>
  <si>
    <t>20GB</t>
    <phoneticPr fontId="4" type="noConversion"/>
  </si>
  <si>
    <t>80GB</t>
    <phoneticPr fontId="4" type="noConversion"/>
  </si>
  <si>
    <t>dmr stderr</t>
    <phoneticPr fontId="4" type="noConversion"/>
  </si>
  <si>
    <t>pmrstderr</t>
    <phoneticPr fontId="4" type="noConversion"/>
  </si>
  <si>
    <t>Combine LMR on 9360 MB</t>
    <phoneticPr fontId="4" type="noConversion"/>
  </si>
  <si>
    <t>Combine LMR on 6240 MB</t>
    <phoneticPr fontId="4" type="noConversion"/>
  </si>
  <si>
    <t>Time taken to transfer 3120MB from hotel-&gt;hotel</t>
    <phoneticPr fontId="4" type="noConversion"/>
  </si>
  <si>
    <t>Chunk</t>
    <phoneticPr fontId="4" type="noConversion"/>
  </si>
  <si>
    <t>Map</t>
    <phoneticPr fontId="4" type="noConversion"/>
  </si>
  <si>
    <t>shuffletime</t>
    <phoneticPr fontId="4" type="noConversion"/>
  </si>
  <si>
    <t>reduce phase</t>
    <phoneticPr fontId="4" type="noConversion"/>
  </si>
  <si>
    <t>tts</t>
    <phoneticPr fontId="4" type="noConversion"/>
  </si>
  <si>
    <t>effective data transfer involved in MB</t>
    <phoneticPr fontId="4" type="noConversion"/>
  </si>
  <si>
    <t>Total intermediate data produced in MB</t>
    <phoneticPr fontId="4" type="noConversion"/>
  </si>
  <si>
    <t>Hotel</t>
    <phoneticPr fontId="4" type="noConversion"/>
  </si>
  <si>
    <t>reduce-0</t>
    <phoneticPr fontId="4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</si>
</sst>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206"/>
      <name val="Verdana"/>
    </font>
    <font>
      <b/>
      <sz val="10"/>
      <color indexed="10"/>
      <name val="Verdana"/>
    </font>
    <font>
      <sz val="10"/>
      <color indexed="10"/>
      <name val="Verdana"/>
    </font>
    <font>
      <sz val="10"/>
      <color indexed="17"/>
      <name val="Verdana"/>
    </font>
    <font>
      <b/>
      <sz val="10"/>
      <color indexed="17"/>
      <name val="Verdana"/>
    </font>
    <font>
      <sz val="10"/>
      <color indexed="60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2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NumberFormat="1" applyAlignment="1">
      <alignment wrapText="1"/>
    </xf>
    <xf numFmtId="2" fontId="0" fillId="0" borderId="0" xfId="0" applyNumberFormat="1"/>
    <xf numFmtId="0" fontId="10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/>
    <xf numFmtId="0" fontId="2" fillId="0" borderId="0" xfId="0" applyNumberFormat="1" applyFont="1" applyAlignment="1">
      <alignment wrapText="1"/>
    </xf>
    <xf numFmtId="0" fontId="1" fillId="0" borderId="0" xfId="0" applyFont="1"/>
    <xf numFmtId="0" fontId="1" fillId="4" borderId="0" xfId="0" applyFont="1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>
        <c:manualLayout>
          <c:layoutTarget val="inner"/>
          <c:xMode val="edge"/>
          <c:yMode val="edge"/>
          <c:x val="0.14041447944007"/>
          <c:y val="0.0555555555555555"/>
          <c:w val="0.826295275590551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'wc hadoop-pmr'!$A$46</c:f>
              <c:strCache>
                <c:ptCount val="1"/>
                <c:pt idx="0">
                  <c:v>Hadoop MR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hadoop-pmr'!$G$14:$G$18</c:f>
                <c:numCache>
                  <c:formatCode>General</c:formatCode>
                  <c:ptCount val="5"/>
                  <c:pt idx="0">
                    <c:v>4.126326667889293</c:v>
                  </c:pt>
                  <c:pt idx="1">
                    <c:v>5.418356574657594</c:v>
                  </c:pt>
                  <c:pt idx="2">
                    <c:v>3.690539476884701</c:v>
                  </c:pt>
                  <c:pt idx="3">
                    <c:v>11.11258567301327</c:v>
                  </c:pt>
                  <c:pt idx="4">
                    <c:v>69.65201125</c:v>
                  </c:pt>
                </c:numCache>
              </c:numRef>
            </c:plus>
            <c:minus>
              <c:numRef>
                <c:f>'wc hadoop-pmr'!$G$14:$G$18</c:f>
                <c:numCache>
                  <c:formatCode>General</c:formatCode>
                  <c:ptCount val="5"/>
                  <c:pt idx="0">
                    <c:v>4.126326667889293</c:v>
                  </c:pt>
                  <c:pt idx="1">
                    <c:v>5.418356574657594</c:v>
                  </c:pt>
                  <c:pt idx="2">
                    <c:v>3.690539476884701</c:v>
                  </c:pt>
                  <c:pt idx="3">
                    <c:v>11.11258567301327</c:v>
                  </c:pt>
                  <c:pt idx="4">
                    <c:v>69.65201125</c:v>
                  </c:pt>
                </c:numCache>
              </c:numRef>
            </c:minus>
          </c:errBars>
          <c:cat>
            <c:numRef>
              <c:f>'wc hadoop-pmr'!$B$45:$F$45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'wc hadoop-pmr'!$B$46:$F$46</c:f>
              <c:numCache>
                <c:formatCode>General</c:formatCode>
                <c:ptCount val="5"/>
                <c:pt idx="0">
                  <c:v>164.373</c:v>
                </c:pt>
                <c:pt idx="1">
                  <c:v>308.743</c:v>
                </c:pt>
                <c:pt idx="2">
                  <c:v>592.0550000000001</c:v>
                </c:pt>
                <c:pt idx="3">
                  <c:v>1142.873333333333</c:v>
                </c:pt>
                <c:pt idx="4" formatCode="0.00">
                  <c:v>2208.044333333333</c:v>
                </c:pt>
              </c:numCache>
            </c:numRef>
          </c:val>
        </c:ser>
        <c:ser>
          <c:idx val="1"/>
          <c:order val="1"/>
          <c:tx>
            <c:v>PMR</c:v>
          </c:tx>
          <c:errBars>
            <c:errBarType val="both"/>
            <c:errValType val="cust"/>
            <c:plus>
              <c:numRef>
                <c:f>'wc hadoop-pmr'!$H$25:$H$29</c:f>
                <c:numCache>
                  <c:formatCode>General</c:formatCode>
                  <c:ptCount val="5"/>
                  <c:pt idx="0">
                    <c:v>3.953759741972034</c:v>
                  </c:pt>
                  <c:pt idx="1">
                    <c:v>9.332887156</c:v>
                  </c:pt>
                  <c:pt idx="2">
                    <c:v>29.36557082838298</c:v>
                  </c:pt>
                  <c:pt idx="3">
                    <c:v>45.9101954757698</c:v>
                  </c:pt>
                  <c:pt idx="4">
                    <c:v>22.8454969</c:v>
                  </c:pt>
                </c:numCache>
              </c:numRef>
            </c:plus>
            <c:minus>
              <c:numRef>
                <c:f>'wc hadoop-pmr'!$H$25:$H$29</c:f>
                <c:numCache>
                  <c:formatCode>General</c:formatCode>
                  <c:ptCount val="5"/>
                  <c:pt idx="0">
                    <c:v>3.953759741972034</c:v>
                  </c:pt>
                  <c:pt idx="1">
                    <c:v>9.332887156</c:v>
                  </c:pt>
                  <c:pt idx="2">
                    <c:v>29.36557082838298</c:v>
                  </c:pt>
                  <c:pt idx="3">
                    <c:v>45.9101954757698</c:v>
                  </c:pt>
                  <c:pt idx="4">
                    <c:v>22.8454969</c:v>
                  </c:pt>
                </c:numCache>
              </c:numRef>
            </c:minus>
          </c:errBars>
          <c:cat>
            <c:numRef>
              <c:f>'wc hadoop-pmr'!$B$45:$F$45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'wc hadoop-pmr'!$B$47:$F$47</c:f>
              <c:numCache>
                <c:formatCode>0.00</c:formatCode>
                <c:ptCount val="5"/>
                <c:pt idx="0">
                  <c:v>138.967</c:v>
                </c:pt>
                <c:pt idx="1">
                  <c:v>292.25</c:v>
                </c:pt>
                <c:pt idx="2">
                  <c:v>555.4693333333333</c:v>
                </c:pt>
                <c:pt idx="3">
                  <c:v>1137.135</c:v>
                </c:pt>
                <c:pt idx="4">
                  <c:v>2123.821333333333</c:v>
                </c:pt>
              </c:numCache>
            </c:numRef>
          </c:val>
        </c:ser>
        <c:axId val="464698408"/>
        <c:axId val="464689272"/>
      </c:barChart>
      <c:catAx>
        <c:axId val="464698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Data in GB</a:t>
                </a:r>
              </a:p>
            </c:rich>
          </c:tx>
          <c:layout/>
        </c:title>
        <c:numFmt formatCode="General" sourceLinked="1"/>
        <c:tickLblPos val="nextTo"/>
        <c:crossAx val="464689272"/>
        <c:crosses val="autoZero"/>
        <c:auto val="1"/>
        <c:lblAlgn val="ctr"/>
        <c:lblOffset val="100"/>
      </c:catAx>
      <c:valAx>
        <c:axId val="4646892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 in secs)</a:t>
                </a:r>
              </a:p>
            </c:rich>
          </c:tx>
          <c:layout/>
        </c:title>
        <c:numFmt formatCode="General" sourceLinked="1"/>
        <c:tickLblPos val="nextTo"/>
        <c:crossAx val="464698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0043088363954"/>
          <c:y val="0.0505420676582094"/>
          <c:w val="0.330512467191601"/>
          <c:h val="0.102619568387285"/>
        </c:manualLayout>
      </c:layout>
    </c:legend>
    <c:plotVisOnly val="1"/>
  </c:chart>
  <c:txPr>
    <a:bodyPr/>
    <a:lstStyle/>
    <a:p>
      <a:pPr>
        <a:defRPr sz="11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'wc hadoop-pmr'!$I$45</c:f>
              <c:strCache>
                <c:ptCount val="1"/>
                <c:pt idx="0">
                  <c:v>Setup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hadoop-pmr'!$I$48:$I$49</c:f>
                <c:numCache>
                  <c:formatCode>General</c:formatCode>
                  <c:ptCount val="2"/>
                  <c:pt idx="0">
                    <c:v>33.9930990018406</c:v>
                  </c:pt>
                  <c:pt idx="1">
                    <c:v>127.5738160968764</c:v>
                  </c:pt>
                </c:numCache>
              </c:numRef>
            </c:plus>
            <c:minus>
              <c:numRef>
                <c:f>'wc hadoop-pmr'!$I$48:$I$49</c:f>
                <c:numCache>
                  <c:formatCode>General</c:formatCode>
                  <c:ptCount val="2"/>
                  <c:pt idx="0">
                    <c:v>33.9930990018406</c:v>
                  </c:pt>
                  <c:pt idx="1">
                    <c:v>127.5738160968764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hadoop-pmr'!$I$46:$I$47</c:f>
              <c:numCache>
                <c:formatCode>0.00</c:formatCode>
                <c:ptCount val="2"/>
                <c:pt idx="0">
                  <c:v>684.2379999999999</c:v>
                </c:pt>
                <c:pt idx="1">
                  <c:v>473.4563333333333</c:v>
                </c:pt>
              </c:numCache>
            </c:numRef>
          </c:val>
        </c:ser>
        <c:ser>
          <c:idx val="1"/>
          <c:order val="1"/>
          <c:tx>
            <c:strRef>
              <c:f>'wc hadoop-pmr'!$J$45</c:f>
              <c:strCache>
                <c:ptCount val="1"/>
                <c:pt idx="0">
                  <c:v>Map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hadoop-pmr'!$J$48:$J$49</c:f>
                <c:numCache>
                  <c:formatCode>General</c:formatCode>
                  <c:ptCount val="2"/>
                  <c:pt idx="0">
                    <c:v>47.1125366660649</c:v>
                  </c:pt>
                  <c:pt idx="1">
                    <c:v>42.942032990222</c:v>
                  </c:pt>
                </c:numCache>
              </c:numRef>
            </c:plus>
            <c:minus>
              <c:numRef>
                <c:f>'wc hadoop-pmr'!$J$48:$J$49</c:f>
                <c:numCache>
                  <c:formatCode>General</c:formatCode>
                  <c:ptCount val="2"/>
                  <c:pt idx="0">
                    <c:v>47.1125366660649</c:v>
                  </c:pt>
                  <c:pt idx="1">
                    <c:v>42.942032990222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hadoop-pmr'!$J$46:$J$47</c:f>
              <c:numCache>
                <c:formatCode>0.00</c:formatCode>
                <c:ptCount val="2"/>
                <c:pt idx="0">
                  <c:v>1541.666666666667</c:v>
                </c:pt>
                <c:pt idx="1">
                  <c:v>1087.486666666667</c:v>
                </c:pt>
              </c:numCache>
            </c:numRef>
          </c:val>
        </c:ser>
        <c:ser>
          <c:idx val="2"/>
          <c:order val="2"/>
          <c:tx>
            <c:strRef>
              <c:f>'wc hadoop-pmr'!$K$45</c:f>
              <c:strCache>
                <c:ptCount val="1"/>
                <c:pt idx="0">
                  <c:v>Shuffle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hadoop-pmr'!$K$48:$K$49</c:f>
                <c:numCache>
                  <c:formatCode>General</c:formatCode>
                  <c:ptCount val="2"/>
                  <c:pt idx="0">
                    <c:v>50.1153939534659</c:v>
                  </c:pt>
                  <c:pt idx="1">
                    <c:v>1.660642892858063</c:v>
                  </c:pt>
                </c:numCache>
              </c:numRef>
            </c:plus>
            <c:minus>
              <c:numRef>
                <c:f>'wc hadoop-pmr'!$K$48:$K$49</c:f>
                <c:numCache>
                  <c:formatCode>General</c:formatCode>
                  <c:ptCount val="2"/>
                  <c:pt idx="0">
                    <c:v>50.1153939534659</c:v>
                  </c:pt>
                  <c:pt idx="1">
                    <c:v>1.660642892858063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hadoop-pmr'!$K$46:$K$47</c:f>
              <c:numCache>
                <c:formatCode>0.00</c:formatCode>
                <c:ptCount val="2"/>
                <c:pt idx="0">
                  <c:v>560.3333333333333</c:v>
                </c:pt>
                <c:pt idx="1">
                  <c:v>3.47</c:v>
                </c:pt>
              </c:numCache>
            </c:numRef>
          </c:val>
        </c:ser>
        <c:ser>
          <c:idx val="3"/>
          <c:order val="3"/>
          <c:tx>
            <c:strRef>
              <c:f>'wc hadoop-pmr'!$L$45</c:f>
              <c:strCache>
                <c:ptCount val="1"/>
                <c:pt idx="0">
                  <c:v>Reduce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hadoop-pmr'!$L$48:$L$49</c:f>
                <c:numCache>
                  <c:formatCode>General</c:formatCode>
                  <c:ptCount val="2"/>
                  <c:pt idx="0">
                    <c:v>70.5690734906824</c:v>
                  </c:pt>
                  <c:pt idx="1">
                    <c:v>10.8552754220793</c:v>
                  </c:pt>
                </c:numCache>
              </c:numRef>
            </c:plus>
            <c:minus>
              <c:numRef>
                <c:f>'wc hadoop-pmr'!$L$48:$L$49</c:f>
                <c:numCache>
                  <c:formatCode>General</c:formatCode>
                  <c:ptCount val="2"/>
                  <c:pt idx="0">
                    <c:v>70.5690734906824</c:v>
                  </c:pt>
                  <c:pt idx="1">
                    <c:v>10.8552754220793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hadoop-pmr'!$L$46:$L$47</c:f>
              <c:numCache>
                <c:formatCode>0.00</c:formatCode>
                <c:ptCount val="2"/>
                <c:pt idx="0">
                  <c:v>143.0</c:v>
                </c:pt>
                <c:pt idx="1">
                  <c:v>873.0476666666667</c:v>
                </c:pt>
              </c:numCache>
            </c:numRef>
          </c:val>
        </c:ser>
        <c:overlap val="100"/>
        <c:axId val="542508216"/>
        <c:axId val="542505064"/>
      </c:barChart>
      <c:catAx>
        <c:axId val="542508216"/>
        <c:scaling>
          <c:orientation val="minMax"/>
        </c:scaling>
        <c:axPos val="b"/>
        <c:tickLblPos val="nextTo"/>
        <c:crossAx val="542505064"/>
        <c:crosses val="autoZero"/>
        <c:auto val="1"/>
        <c:lblAlgn val="ctr"/>
        <c:lblOffset val="100"/>
      </c:catAx>
      <c:valAx>
        <c:axId val="542505064"/>
        <c:scaling>
          <c:orientation val="minMax"/>
        </c:scaling>
        <c:axPos val="l"/>
        <c:majorGridlines/>
        <c:numFmt formatCode="0.00" sourceLinked="1"/>
        <c:tickLblPos val="nextTo"/>
        <c:crossAx val="542508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27972690122595"/>
          <c:y val="0.0509259259259259"/>
          <c:w val="0.793585567626831"/>
          <c:h val="0.7261402741324"/>
        </c:manualLayout>
      </c:layout>
      <c:barChart>
        <c:barDir val="col"/>
        <c:grouping val="clustered"/>
        <c:ser>
          <c:idx val="0"/>
          <c:order val="0"/>
          <c:tx>
            <c:strRef>
              <c:f>'2 machines'!$J$21</c:f>
              <c:strCache>
                <c:ptCount val="1"/>
                <c:pt idx="0">
                  <c:v>DMR</c:v>
                </c:pt>
              </c:strCache>
            </c:strRef>
          </c:tx>
          <c:errBars>
            <c:errBarType val="both"/>
            <c:errValType val="cust"/>
            <c:plus>
              <c:numRef>
                <c:f>'2 machines'!$L$22:$L$25</c:f>
                <c:numCache>
                  <c:formatCode>General</c:formatCode>
                  <c:ptCount val="4"/>
                  <c:pt idx="0">
                    <c:v>81.44266875789288</c:v>
                  </c:pt>
                  <c:pt idx="1">
                    <c:v>74.78648649790395</c:v>
                  </c:pt>
                  <c:pt idx="2">
                    <c:v>32.5780795376588</c:v>
                  </c:pt>
                  <c:pt idx="3">
                    <c:v>21.41389208309275</c:v>
                  </c:pt>
                </c:numCache>
              </c:numRef>
            </c:plus>
            <c:minus>
              <c:numRef>
                <c:f>'2 machines'!$L$22:$L$25</c:f>
                <c:numCache>
                  <c:formatCode>General</c:formatCode>
                  <c:ptCount val="4"/>
                  <c:pt idx="0">
                    <c:v>81.44266875789288</c:v>
                  </c:pt>
                  <c:pt idx="1">
                    <c:v>74.78648649790395</c:v>
                  </c:pt>
                  <c:pt idx="2">
                    <c:v>32.5780795376588</c:v>
                  </c:pt>
                  <c:pt idx="3">
                    <c:v>21.41389208309275</c:v>
                  </c:pt>
                </c:numCache>
              </c:numRef>
            </c:minus>
          </c:errBars>
          <c:cat>
            <c:strRef>
              <c:f>'2 machines'!$I$22:$I$25</c:f>
              <c:strCache>
                <c:ptCount val="4"/>
                <c:pt idx="0">
                  <c:v>20GB</c:v>
                </c:pt>
                <c:pt idx="1">
                  <c:v>40GB</c:v>
                </c:pt>
                <c:pt idx="2">
                  <c:v>80GB</c:v>
                </c:pt>
                <c:pt idx="3">
                  <c:v>80GB(replicated)</c:v>
                </c:pt>
              </c:strCache>
            </c:strRef>
          </c:cat>
          <c:val>
            <c:numRef>
              <c:f>'2 machines'!$J$22:$J$25</c:f>
              <c:numCache>
                <c:formatCode>General</c:formatCode>
                <c:ptCount val="4"/>
                <c:pt idx="0">
                  <c:v>2652.282551056035</c:v>
                </c:pt>
                <c:pt idx="1">
                  <c:v>4528.822149425286</c:v>
                </c:pt>
                <c:pt idx="2">
                  <c:v>8375.575505747127</c:v>
                </c:pt>
                <c:pt idx="3">
                  <c:v>7606.747919540229</c:v>
                </c:pt>
              </c:numCache>
            </c:numRef>
          </c:val>
        </c:ser>
        <c:ser>
          <c:idx val="1"/>
          <c:order val="1"/>
          <c:tx>
            <c:strRef>
              <c:f>'2 machines'!$K$21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'2 machines'!$M$22:$M$25</c:f>
                <c:numCache>
                  <c:formatCode>General</c:formatCode>
                  <c:ptCount val="4"/>
                  <c:pt idx="0">
                    <c:v>56.4235742079842</c:v>
                  </c:pt>
                  <c:pt idx="1">
                    <c:v>63.99143797488644</c:v>
                  </c:pt>
                  <c:pt idx="2">
                    <c:v>91.17493071590467</c:v>
                  </c:pt>
                  <c:pt idx="3">
                    <c:v>91.17493071590467</c:v>
                  </c:pt>
                </c:numCache>
              </c:numRef>
            </c:plus>
            <c:minus>
              <c:numRef>
                <c:f>'2 machines'!$M$22:$M$25</c:f>
                <c:numCache>
                  <c:formatCode>General</c:formatCode>
                  <c:ptCount val="4"/>
                  <c:pt idx="0">
                    <c:v>56.4235742079842</c:v>
                  </c:pt>
                  <c:pt idx="1">
                    <c:v>63.99143797488644</c:v>
                  </c:pt>
                  <c:pt idx="2">
                    <c:v>91.17493071590467</c:v>
                  </c:pt>
                  <c:pt idx="3">
                    <c:v>91.17493071590467</c:v>
                  </c:pt>
                </c:numCache>
              </c:numRef>
            </c:minus>
          </c:errBars>
          <c:cat>
            <c:strRef>
              <c:f>'2 machines'!$I$22:$I$25</c:f>
              <c:strCache>
                <c:ptCount val="4"/>
                <c:pt idx="0">
                  <c:v>20GB</c:v>
                </c:pt>
                <c:pt idx="1">
                  <c:v>40GB</c:v>
                </c:pt>
                <c:pt idx="2">
                  <c:v>80GB</c:v>
                </c:pt>
                <c:pt idx="3">
                  <c:v>80GB(replicated)</c:v>
                </c:pt>
              </c:strCache>
            </c:strRef>
          </c:cat>
          <c:val>
            <c:numRef>
              <c:f>'2 machines'!$K$22:$K$25</c:f>
              <c:numCache>
                <c:formatCode>General</c:formatCode>
                <c:ptCount val="4"/>
                <c:pt idx="0">
                  <c:v>2279.393333333333</c:v>
                </c:pt>
                <c:pt idx="1">
                  <c:v>4239.813333333334</c:v>
                </c:pt>
                <c:pt idx="2">
                  <c:v>7884.053333333333</c:v>
                </c:pt>
                <c:pt idx="3">
                  <c:v>7884.053333333333</c:v>
                </c:pt>
              </c:numCache>
            </c:numRef>
          </c:val>
        </c:ser>
        <c:axId val="542437128"/>
        <c:axId val="542427368"/>
      </c:barChart>
      <c:catAx>
        <c:axId val="542437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seqeuence file size in GB</a:t>
                </a:r>
              </a:p>
            </c:rich>
          </c:tx>
          <c:layout/>
        </c:title>
        <c:tickLblPos val="nextTo"/>
        <c:crossAx val="542427368"/>
        <c:crosses val="autoZero"/>
        <c:auto val="1"/>
        <c:lblAlgn val="ctr"/>
        <c:lblOffset val="100"/>
      </c:catAx>
      <c:valAx>
        <c:axId val="5424273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Runtime(in seconds)</a:t>
                </a:r>
              </a:p>
            </c:rich>
          </c:tx>
          <c:layout/>
        </c:title>
        <c:numFmt formatCode="General" sourceLinked="1"/>
        <c:tickLblPos val="nextTo"/>
        <c:crossAx val="542437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7381042559553"/>
          <c:y val="0.0829494750656168"/>
          <c:w val="0.212618957440447"/>
          <c:h val="0.173874167171411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'3 machines'!$K$13</c:f>
              <c:strCache>
                <c:ptCount val="1"/>
                <c:pt idx="0">
                  <c:v>DMR</c:v>
                </c:pt>
              </c:strCache>
            </c:strRef>
          </c:tx>
          <c:errBars>
            <c:errBarType val="both"/>
            <c:errValType val="cust"/>
            <c:plus>
              <c:numRef>
                <c:f>'3 machines'!$L$17:$N$17</c:f>
                <c:numCache>
                  <c:formatCode>General</c:formatCode>
                  <c:ptCount val="3"/>
                  <c:pt idx="0">
                    <c:v>102.6674448645904</c:v>
                  </c:pt>
                  <c:pt idx="1">
                    <c:v>92.90108111421308</c:v>
                  </c:pt>
                  <c:pt idx="2">
                    <c:v>100.5843915758151</c:v>
                  </c:pt>
                </c:numCache>
              </c:numRef>
            </c:plus>
            <c:minus>
              <c:numRef>
                <c:f>'3 machines'!$L$17:$N$17</c:f>
                <c:numCache>
                  <c:formatCode>General</c:formatCode>
                  <c:ptCount val="3"/>
                  <c:pt idx="0">
                    <c:v>102.6674448645904</c:v>
                  </c:pt>
                  <c:pt idx="1">
                    <c:v>92.90108111421308</c:v>
                  </c:pt>
                  <c:pt idx="2">
                    <c:v>100.5843915758151</c:v>
                  </c:pt>
                </c:numCache>
              </c:numRef>
            </c:minus>
          </c:errBars>
          <c:cat>
            <c:strRef>
              <c:f>'3 machines'!$L$12:$N$12</c:f>
              <c:strCache>
                <c:ptCount val="3"/>
                <c:pt idx="0">
                  <c:v>30GB</c:v>
                </c:pt>
                <c:pt idx="1">
                  <c:v>60GB</c:v>
                </c:pt>
                <c:pt idx="2">
                  <c:v>120GB</c:v>
                </c:pt>
              </c:strCache>
            </c:strRef>
          </c:cat>
          <c:val>
            <c:numRef>
              <c:f>'3 machines'!$L$13:$N$13</c:f>
              <c:numCache>
                <c:formatCode>General</c:formatCode>
                <c:ptCount val="3"/>
                <c:pt idx="0">
                  <c:v>2984.350139597701</c:v>
                </c:pt>
                <c:pt idx="1">
                  <c:v>5538.118927203065</c:v>
                </c:pt>
                <c:pt idx="2">
                  <c:v>9359.532172</c:v>
                </c:pt>
              </c:numCache>
            </c:numRef>
          </c:val>
        </c:ser>
        <c:ser>
          <c:idx val="1"/>
          <c:order val="1"/>
          <c:tx>
            <c:strRef>
              <c:f>'3 machines'!$K$14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'3 machines'!$L$18:$M$18</c:f>
                <c:numCache>
                  <c:formatCode>General</c:formatCode>
                  <c:ptCount val="2"/>
                  <c:pt idx="0">
                    <c:v>53.54597837390223</c:v>
                  </c:pt>
                  <c:pt idx="1">
                    <c:v>93.06836154855999</c:v>
                  </c:pt>
                </c:numCache>
              </c:numRef>
            </c:plus>
            <c:minus>
              <c:numRef>
                <c:f>'3 machines'!$L$18:$M$18</c:f>
                <c:numCache>
                  <c:formatCode>General</c:formatCode>
                  <c:ptCount val="2"/>
                  <c:pt idx="0">
                    <c:v>53.54597837390223</c:v>
                  </c:pt>
                  <c:pt idx="1">
                    <c:v>93.06836154855999</c:v>
                  </c:pt>
                </c:numCache>
              </c:numRef>
            </c:minus>
          </c:errBars>
          <c:cat>
            <c:strRef>
              <c:f>'3 machines'!$L$12:$N$12</c:f>
              <c:strCache>
                <c:ptCount val="3"/>
                <c:pt idx="0">
                  <c:v>30GB</c:v>
                </c:pt>
                <c:pt idx="1">
                  <c:v>60GB</c:v>
                </c:pt>
                <c:pt idx="2">
                  <c:v>120GB</c:v>
                </c:pt>
              </c:strCache>
            </c:strRef>
          </c:cat>
          <c:val>
            <c:numRef>
              <c:f>'3 machines'!$L$14:$N$14</c:f>
              <c:numCache>
                <c:formatCode>General</c:formatCode>
                <c:ptCount val="3"/>
                <c:pt idx="0">
                  <c:v>2416.86</c:v>
                </c:pt>
                <c:pt idx="1">
                  <c:v>4321.204444444445</c:v>
                </c:pt>
              </c:numCache>
            </c:numRef>
          </c:val>
        </c:ser>
        <c:axId val="542338328"/>
        <c:axId val="542335256"/>
      </c:barChart>
      <c:catAx>
        <c:axId val="542338328"/>
        <c:scaling>
          <c:orientation val="minMax"/>
        </c:scaling>
        <c:axPos val="b"/>
        <c:tickLblPos val="nextTo"/>
        <c:crossAx val="542335256"/>
        <c:crosses val="autoZero"/>
        <c:auto val="1"/>
        <c:lblAlgn val="ctr"/>
        <c:lblOffset val="100"/>
      </c:catAx>
      <c:valAx>
        <c:axId val="542335256"/>
        <c:scaling>
          <c:orientation val="minMax"/>
        </c:scaling>
        <c:axPos val="l"/>
        <c:numFmt formatCode="General" sourceLinked="1"/>
        <c:tickLblPos val="nextTo"/>
        <c:crossAx val="542338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51</xdr:row>
      <xdr:rowOff>0</xdr:rowOff>
    </xdr:from>
    <xdr:to>
      <xdr:col>5</xdr:col>
      <xdr:colOff>596900</xdr:colOff>
      <xdr:row>68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53</xdr:row>
      <xdr:rowOff>101600</xdr:rowOff>
    </xdr:from>
    <xdr:to>
      <xdr:col>12</xdr:col>
      <xdr:colOff>88900</xdr:colOff>
      <xdr:row>70</xdr:row>
      <xdr:rowOff>38100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1143000</xdr:colOff>
      <xdr:row>28</xdr:row>
      <xdr:rowOff>0</xdr:rowOff>
    </xdr:from>
    <xdr:to>
      <xdr:col>14</xdr:col>
      <xdr:colOff>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21</xdr:row>
      <xdr:rowOff>469900</xdr:rowOff>
    </xdr:from>
    <xdr:to>
      <xdr:col>14</xdr:col>
      <xdr:colOff>266700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N81"/>
  <sheetViews>
    <sheetView topLeftCell="A34" workbookViewId="0">
      <selection activeCell="L52" sqref="L52"/>
    </sheetView>
  </sheetViews>
  <sheetFormatPr baseColWidth="10" defaultRowHeight="13"/>
  <sheetData>
    <row r="2" spans="1:7">
      <c r="B2" s="9" t="s">
        <v>51</v>
      </c>
      <c r="C2" s="8"/>
      <c r="D2" s="8"/>
      <c r="E2" s="8"/>
      <c r="F2" s="8"/>
      <c r="G2" s="8"/>
    </row>
    <row r="6" spans="1:7">
      <c r="A6" s="6" t="s">
        <v>50</v>
      </c>
    </row>
    <row r="8" spans="1:7">
      <c r="A8" t="s">
        <v>52</v>
      </c>
    </row>
    <row r="9" spans="1:7">
      <c r="A9" t="s">
        <v>56</v>
      </c>
    </row>
    <row r="10" spans="1:7">
      <c r="A10" t="s">
        <v>62</v>
      </c>
    </row>
    <row r="13" spans="1:7" ht="26">
      <c r="A13" s="3" t="s">
        <v>43</v>
      </c>
      <c r="B13" s="3" t="s">
        <v>57</v>
      </c>
      <c r="C13" s="3" t="s">
        <v>58</v>
      </c>
      <c r="D13" s="3" t="s">
        <v>59</v>
      </c>
      <c r="E13" s="3" t="s">
        <v>60</v>
      </c>
      <c r="F13" s="3" t="s">
        <v>42</v>
      </c>
      <c r="G13" s="2" t="s">
        <v>46</v>
      </c>
    </row>
    <row r="14" spans="1:7">
      <c r="A14">
        <v>1</v>
      </c>
      <c r="B14" s="5">
        <v>36.706333333333333</v>
      </c>
      <c r="C14" s="5">
        <v>81.666666666666671</v>
      </c>
      <c r="D14" s="5">
        <v>14.666666666666666</v>
      </c>
      <c r="E14" s="5">
        <v>31.333333333333332</v>
      </c>
      <c r="F14" s="5">
        <f>SUM(B14:E14)</f>
        <v>164.37300000000002</v>
      </c>
      <c r="G14" s="5">
        <v>4.1263266678892929</v>
      </c>
    </row>
    <row r="15" spans="1:7">
      <c r="A15">
        <v>2</v>
      </c>
      <c r="B15" s="5">
        <v>70.242999999999995</v>
      </c>
      <c r="C15" s="5">
        <v>156.5</v>
      </c>
      <c r="D15" s="5">
        <v>55</v>
      </c>
      <c r="E15" s="5">
        <v>27</v>
      </c>
      <c r="F15" s="5">
        <f t="shared" ref="F15:F18" si="0">SUM(B15:E15)</f>
        <v>308.74299999999999</v>
      </c>
      <c r="G15" s="5">
        <v>5.4183565746575937</v>
      </c>
    </row>
    <row r="16" spans="1:7">
      <c r="A16">
        <v>4</v>
      </c>
      <c r="B16" s="5">
        <v>140.55500000000001</v>
      </c>
      <c r="C16" s="5">
        <v>304</v>
      </c>
      <c r="D16" s="5">
        <v>115.5</v>
      </c>
      <c r="E16" s="5">
        <v>32</v>
      </c>
      <c r="F16" s="5">
        <f t="shared" si="0"/>
        <v>592.05500000000006</v>
      </c>
      <c r="G16" s="5">
        <v>3.6905394768847009</v>
      </c>
    </row>
    <row r="17" spans="1:9">
      <c r="A17">
        <v>8</v>
      </c>
      <c r="B17" s="5">
        <v>267.87333333333333</v>
      </c>
      <c r="C17" s="5">
        <v>596.33333333333337</v>
      </c>
      <c r="D17" s="5">
        <v>212.33333333333334</v>
      </c>
      <c r="E17" s="5">
        <v>66.333333333333329</v>
      </c>
      <c r="F17" s="5">
        <f t="shared" si="0"/>
        <v>1142.8733333333332</v>
      </c>
      <c r="G17" s="5">
        <v>11.112585673013266</v>
      </c>
    </row>
    <row r="18" spans="1:9">
      <c r="A18">
        <v>16</v>
      </c>
      <c r="B18" s="5">
        <v>684.23799999999994</v>
      </c>
      <c r="C18" s="5">
        <v>1541.6666666666667</v>
      </c>
      <c r="D18" s="5">
        <v>560.33333333333337</v>
      </c>
      <c r="E18" s="5">
        <v>143</v>
      </c>
      <c r="F18" s="5">
        <f t="shared" si="0"/>
        <v>2929.2380000000003</v>
      </c>
      <c r="G18" s="5">
        <v>69.652011250000001</v>
      </c>
    </row>
    <row r="19" spans="1:9">
      <c r="H19" s="1"/>
      <c r="I19" s="1"/>
    </row>
    <row r="22" spans="1:9" s="7" customFormat="1">
      <c r="A22" s="6" t="s">
        <v>49</v>
      </c>
    </row>
    <row r="24" spans="1:9" s="2" customFormat="1" ht="78">
      <c r="A24" s="4" t="s">
        <v>41</v>
      </c>
      <c r="B24" s="4" t="s">
        <v>57</v>
      </c>
      <c r="C24" s="4" t="s">
        <v>58</v>
      </c>
      <c r="D24" s="4" t="s">
        <v>59</v>
      </c>
      <c r="E24" s="4" t="s">
        <v>60</v>
      </c>
      <c r="F24" s="3" t="s">
        <v>42</v>
      </c>
      <c r="G24" s="4" t="s">
        <v>119</v>
      </c>
      <c r="H24" s="2" t="s">
        <v>46</v>
      </c>
    </row>
    <row r="25" spans="1:9">
      <c r="A25">
        <v>1</v>
      </c>
      <c r="B25" s="5">
        <v>13.225333333333333</v>
      </c>
      <c r="C25" s="5">
        <v>70.463999999999999</v>
      </c>
      <c r="D25" s="5">
        <v>0.12366666666666666</v>
      </c>
      <c r="E25" s="5">
        <v>55.153999999999996</v>
      </c>
      <c r="F25" s="5">
        <f>SUM(B25:E25)</f>
        <v>138.96699999999998</v>
      </c>
      <c r="G25" s="5">
        <v>1972.79775</v>
      </c>
      <c r="H25" s="5">
        <v>3.9537597419720347</v>
      </c>
    </row>
    <row r="26" spans="1:9">
      <c r="A26">
        <v>2</v>
      </c>
      <c r="B26" s="5">
        <v>43.638333333333328</v>
      </c>
      <c r="C26" s="5">
        <v>140.70033333333333</v>
      </c>
      <c r="D26" s="5">
        <v>0.29399999999999998</v>
      </c>
      <c r="E26" s="5">
        <v>107.61733333333335</v>
      </c>
      <c r="F26" s="5">
        <f t="shared" ref="F26:F29" si="1">SUM(B26:E26)</f>
        <v>292.25</v>
      </c>
      <c r="G26" s="5">
        <v>3945.5954999999999</v>
      </c>
      <c r="H26" s="5">
        <v>9.332887156</v>
      </c>
    </row>
    <row r="27" spans="1:9">
      <c r="A27">
        <v>4</v>
      </c>
      <c r="B27" s="5">
        <v>64.720000000000013</v>
      </c>
      <c r="C27" s="5">
        <v>275.64799999999997</v>
      </c>
      <c r="D27" s="5">
        <v>0.57500000000000007</v>
      </c>
      <c r="E27" s="5">
        <v>214.52633333333333</v>
      </c>
      <c r="F27" s="5">
        <f t="shared" si="1"/>
        <v>555.46933333333334</v>
      </c>
      <c r="G27" s="5">
        <v>7891.1909999999998</v>
      </c>
      <c r="H27" s="5">
        <v>29.365570828382978</v>
      </c>
    </row>
    <row r="28" spans="1:9">
      <c r="A28">
        <v>8</v>
      </c>
      <c r="B28" s="5">
        <v>154.98133333333334</v>
      </c>
      <c r="C28" s="5">
        <v>541.96666666666658</v>
      </c>
      <c r="D28" s="5">
        <v>1.2026666666666666</v>
      </c>
      <c r="E28" s="5">
        <v>438.98433333333332</v>
      </c>
      <c r="F28" s="5">
        <f t="shared" si="1"/>
        <v>1137.1349999999998</v>
      </c>
      <c r="G28" s="5">
        <v>15782.382</v>
      </c>
      <c r="H28" s="5">
        <v>45.910195475769797</v>
      </c>
    </row>
    <row r="29" spans="1:9">
      <c r="A29">
        <v>16</v>
      </c>
      <c r="B29" s="5">
        <v>473.4563333333333</v>
      </c>
      <c r="C29" s="5">
        <v>1087.4866666666667</v>
      </c>
      <c r="D29" s="5">
        <v>3.47</v>
      </c>
      <c r="E29" s="5">
        <v>873.04766666666671</v>
      </c>
      <c r="F29" s="5">
        <f t="shared" si="1"/>
        <v>2437.4606666666668</v>
      </c>
      <c r="G29" s="5">
        <v>31564.764999999999</v>
      </c>
      <c r="H29" s="5">
        <v>22.845496900000001</v>
      </c>
    </row>
    <row r="33" spans="1:14">
      <c r="A33" t="s">
        <v>65</v>
      </c>
    </row>
    <row r="37" spans="1:14" s="2" customFormat="1"/>
    <row r="43" spans="1:14">
      <c r="J43" t="s">
        <v>118</v>
      </c>
    </row>
    <row r="44" spans="1:1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>
      <c r="A45" s="2"/>
      <c r="B45" s="4">
        <v>1</v>
      </c>
      <c r="C45" s="4">
        <v>2</v>
      </c>
      <c r="D45" s="4">
        <v>4</v>
      </c>
      <c r="E45" s="4">
        <v>8</v>
      </c>
      <c r="F45" s="4">
        <v>16</v>
      </c>
      <c r="H45" s="1"/>
      <c r="I45" s="3" t="s">
        <v>57</v>
      </c>
      <c r="J45" s="3" t="s">
        <v>58</v>
      </c>
      <c r="K45" s="3" t="s">
        <v>59</v>
      </c>
      <c r="L45" s="3" t="s">
        <v>60</v>
      </c>
      <c r="M45" s="3" t="s">
        <v>45</v>
      </c>
    </row>
    <row r="46" spans="1:14">
      <c r="A46" s="3" t="s">
        <v>160</v>
      </c>
      <c r="B46">
        <v>164.37300000000002</v>
      </c>
      <c r="C46">
        <v>308.74299999999999</v>
      </c>
      <c r="D46">
        <v>592.05500000000006</v>
      </c>
      <c r="E46">
        <v>1142.8733333333332</v>
      </c>
      <c r="F46" s="5">
        <f t="shared" ref="F46" si="2">SUM(B46:E46)</f>
        <v>2208.0443333333333</v>
      </c>
      <c r="H46" t="s">
        <v>44</v>
      </c>
      <c r="I46" s="5">
        <v>684.23799999999994</v>
      </c>
      <c r="J46" s="5">
        <v>1541.6666666666667</v>
      </c>
      <c r="K46" s="5">
        <v>560.33333333333337</v>
      </c>
      <c r="L46" s="5">
        <v>143</v>
      </c>
      <c r="M46" s="5">
        <v>2929.2380000000003</v>
      </c>
    </row>
    <row r="47" spans="1:14">
      <c r="A47" s="3" t="s">
        <v>161</v>
      </c>
      <c r="B47" s="1">
        <v>138.96699999999998</v>
      </c>
      <c r="C47" s="1">
        <v>292.25</v>
      </c>
      <c r="D47" s="1">
        <v>555.46933333333334</v>
      </c>
      <c r="E47" s="1">
        <v>1137.1349999999998</v>
      </c>
      <c r="F47" s="5">
        <f t="shared" ref="F47" si="3">SUM(B47:E47)</f>
        <v>2123.8213333333333</v>
      </c>
      <c r="H47" t="s">
        <v>64</v>
      </c>
      <c r="I47" s="5">
        <v>473.4563333333333</v>
      </c>
      <c r="J47" s="5">
        <v>1087.4866666666667</v>
      </c>
      <c r="K47" s="5">
        <v>3.47</v>
      </c>
      <c r="L47" s="5">
        <v>873.04766666666671</v>
      </c>
      <c r="M47" s="5">
        <v>2437.4606666666668</v>
      </c>
    </row>
    <row r="48" spans="1:14">
      <c r="H48" t="s">
        <v>48</v>
      </c>
      <c r="I48">
        <v>33.993099001840605</v>
      </c>
      <c r="J48">
        <v>47.112536666064905</v>
      </c>
      <c r="K48">
        <v>50.115393953465905</v>
      </c>
      <c r="L48">
        <v>70.569073490682399</v>
      </c>
      <c r="M48">
        <v>69.652011250000001</v>
      </c>
    </row>
    <row r="49" spans="8:13">
      <c r="H49" t="s">
        <v>47</v>
      </c>
      <c r="I49">
        <v>127.57381609687643</v>
      </c>
      <c r="J49">
        <v>42.942032990221996</v>
      </c>
      <c r="K49">
        <v>1.6606428928580632</v>
      </c>
      <c r="L49">
        <v>10.855275422079302</v>
      </c>
      <c r="M49">
        <v>22.845496903318764</v>
      </c>
    </row>
    <row r="54" spans="8:13">
      <c r="I54" s="5"/>
      <c r="J54" s="5"/>
    </row>
    <row r="55" spans="8:13">
      <c r="I55" s="5"/>
      <c r="J55" s="5"/>
    </row>
    <row r="56" spans="8:13">
      <c r="I56" s="5"/>
      <c r="J56" s="5"/>
    </row>
    <row r="57" spans="8:13">
      <c r="I57" s="5"/>
      <c r="J57" s="5"/>
    </row>
    <row r="76" spans="7:13">
      <c r="I76" s="5"/>
      <c r="J76" s="5"/>
      <c r="K76" s="5"/>
      <c r="L76" s="5"/>
      <c r="M76" s="5"/>
    </row>
    <row r="77" spans="7:13">
      <c r="G77" s="5"/>
      <c r="I77" s="5"/>
      <c r="J77" s="5"/>
      <c r="K77" s="5"/>
      <c r="L77" s="5"/>
      <c r="M77" s="5"/>
    </row>
    <row r="78" spans="7:13">
      <c r="G78" s="5"/>
    </row>
    <row r="79" spans="7:13">
      <c r="G79" s="5"/>
    </row>
    <row r="80" spans="7:13">
      <c r="G80" s="5"/>
    </row>
    <row r="81" spans="7:7">
      <c r="G81" s="5"/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78"/>
  <sheetViews>
    <sheetView workbookViewId="0">
      <selection activeCell="F71" sqref="F71"/>
    </sheetView>
  </sheetViews>
  <sheetFormatPr baseColWidth="10" defaultRowHeight="13"/>
  <cols>
    <col min="5" max="5" width="15.28515625" bestFit="1" customWidth="1"/>
    <col min="9" max="9" width="15.7109375" customWidth="1"/>
  </cols>
  <sheetData>
    <row r="1" spans="1:12">
      <c r="A1" t="s">
        <v>120</v>
      </c>
    </row>
    <row r="2" spans="1:12">
      <c r="A2" t="s">
        <v>55</v>
      </c>
      <c r="B2">
        <v>32</v>
      </c>
    </row>
    <row r="3" spans="1:12">
      <c r="A3" t="s">
        <v>115</v>
      </c>
      <c r="B3" t="s">
        <v>116</v>
      </c>
    </row>
    <row r="4" spans="1:12">
      <c r="A4" t="s">
        <v>53</v>
      </c>
      <c r="B4" t="s">
        <v>54</v>
      </c>
    </row>
    <row r="6" spans="1:12">
      <c r="A6" t="s">
        <v>159</v>
      </c>
    </row>
    <row r="7" spans="1:12">
      <c r="A7" s="21"/>
      <c r="B7" s="21"/>
      <c r="C7" s="21"/>
      <c r="D7" s="21"/>
      <c r="E7" s="21" t="s">
        <v>176</v>
      </c>
      <c r="F7" s="21"/>
      <c r="G7" s="21"/>
      <c r="H7" s="21"/>
      <c r="I7" s="21"/>
      <c r="J7" s="21"/>
      <c r="K7" s="21"/>
      <c r="L7" s="21"/>
    </row>
    <row r="8" spans="1:12" s="10" customFormat="1" ht="65">
      <c r="A8" s="19" t="s">
        <v>33</v>
      </c>
      <c r="B8" s="19" t="s">
        <v>34</v>
      </c>
      <c r="C8" s="16" t="s">
        <v>35</v>
      </c>
      <c r="D8" s="16" t="s">
        <v>181</v>
      </c>
      <c r="E8" s="19" t="s">
        <v>36</v>
      </c>
      <c r="F8" s="16" t="s">
        <v>37</v>
      </c>
      <c r="G8" s="19"/>
      <c r="I8" s="19" t="s">
        <v>172</v>
      </c>
    </row>
    <row r="9" spans="1:12">
      <c r="A9" s="11">
        <v>1996.0322450000001</v>
      </c>
      <c r="B9" s="11">
        <v>1742.8240000000001</v>
      </c>
      <c r="C9" s="11">
        <f>3120/43.5</f>
        <v>71.724137931034477</v>
      </c>
      <c r="D9" s="11">
        <v>637.42506249999997</v>
      </c>
      <c r="E9" s="11">
        <f>MAX(A9:B9)+C9+D9</f>
        <v>2705.1814454310347</v>
      </c>
      <c r="F9" s="17">
        <v>3120</v>
      </c>
      <c r="K9" t="s">
        <v>89</v>
      </c>
    </row>
    <row r="10" spans="1:12">
      <c r="A10" s="11">
        <v>1960.294715</v>
      </c>
      <c r="B10" s="11">
        <v>1813.597</v>
      </c>
      <c r="C10" s="11">
        <f>3120/43.5</f>
        <v>71.724137931034477</v>
      </c>
      <c r="D10" s="11">
        <v>649.32174218750004</v>
      </c>
      <c r="E10" s="11">
        <f>MAX(A10:B10)+C10+D10</f>
        <v>2681.3405951185346</v>
      </c>
      <c r="F10" t="s">
        <v>162</v>
      </c>
      <c r="G10">
        <f>AVERAGE(E9:E11)</f>
        <v>2652.2825510560347</v>
      </c>
      <c r="H10" t="s">
        <v>67</v>
      </c>
      <c r="I10">
        <v>19029605</v>
      </c>
    </row>
    <row r="11" spans="1:12">
      <c r="A11" s="11">
        <v>1875.3710450000001</v>
      </c>
      <c r="B11" s="11">
        <v>1738.2349999999999</v>
      </c>
      <c r="C11" s="11">
        <f>3120/43.5</f>
        <v>71.724137931034477</v>
      </c>
      <c r="D11" s="11">
        <v>623.23042968749996</v>
      </c>
      <c r="E11" s="11">
        <f>MAX(A11:B11)+C11+D11</f>
        <v>2570.3256126185343</v>
      </c>
      <c r="F11" t="s">
        <v>163</v>
      </c>
      <c r="G11">
        <f>1.96*(STDEV(E9:E11)/SQRT(3))</f>
        <v>81.442668757892889</v>
      </c>
      <c r="K11" t="s">
        <v>90</v>
      </c>
    </row>
    <row r="12" spans="1:12">
      <c r="K12" t="s">
        <v>91</v>
      </c>
    </row>
    <row r="14" spans="1:12">
      <c r="E14" t="s">
        <v>69</v>
      </c>
      <c r="H14">
        <f>(F9-F17)/F17*100</f>
        <v>150</v>
      </c>
    </row>
    <row r="15" spans="1:12">
      <c r="I15">
        <f>(G10-G18)/G18*100</f>
        <v>16.359143122411279</v>
      </c>
    </row>
    <row r="16" spans="1:12" ht="65">
      <c r="A16" s="22" t="s">
        <v>183</v>
      </c>
      <c r="B16" s="22" t="s">
        <v>184</v>
      </c>
      <c r="C16" s="22" t="s">
        <v>185</v>
      </c>
      <c r="D16" s="22" t="s">
        <v>186</v>
      </c>
      <c r="E16" s="22" t="s">
        <v>187</v>
      </c>
      <c r="F16" s="22" t="s">
        <v>188</v>
      </c>
      <c r="G16" s="22" t="s">
        <v>189</v>
      </c>
    </row>
    <row r="17" spans="1:14">
      <c r="A17">
        <f>263.31/2</f>
        <v>131.655</v>
      </c>
      <c r="B17">
        <v>1542.21</v>
      </c>
      <c r="C17">
        <f>7*60</f>
        <v>420</v>
      </c>
      <c r="D17">
        <v>242.78</v>
      </c>
      <c r="E17">
        <f>SUM(A17:D17)</f>
        <v>2336.645</v>
      </c>
      <c r="F17" s="17">
        <v>1248</v>
      </c>
      <c r="G17">
        <v>19100</v>
      </c>
      <c r="H17" t="s">
        <v>66</v>
      </c>
    </row>
    <row r="18" spans="1:14">
      <c r="A18">
        <f xml:space="preserve"> 304.59/2</f>
        <v>152.29499999999999</v>
      </c>
      <c r="B18">
        <v>1441.11</v>
      </c>
      <c r="C18">
        <v>423</v>
      </c>
      <c r="D18">
        <v>239.64</v>
      </c>
      <c r="E18">
        <f>SUM(A18:D18)</f>
        <v>2256.0450000000001</v>
      </c>
      <c r="F18" t="s">
        <v>162</v>
      </c>
      <c r="G18">
        <f>AVERAGE(E17:E19)</f>
        <v>2279.3933333333334</v>
      </c>
    </row>
    <row r="19" spans="1:14">
      <c r="A19">
        <f>268.72/2</f>
        <v>134.36000000000001</v>
      </c>
      <c r="B19">
        <v>1446.79</v>
      </c>
      <c r="C19">
        <v>424</v>
      </c>
      <c r="D19">
        <v>240.34</v>
      </c>
      <c r="E19">
        <f>SUM(A19:D19)</f>
        <v>2245.4900000000002</v>
      </c>
      <c r="F19" t="s">
        <v>163</v>
      </c>
      <c r="G19">
        <f>1.96*(STDEV(E17:E19)/SQRT(3))</f>
        <v>56.423574207984203</v>
      </c>
    </row>
    <row r="21" spans="1:14">
      <c r="J21" t="s">
        <v>167</v>
      </c>
      <c r="K21" t="s">
        <v>168</v>
      </c>
      <c r="L21" t="s">
        <v>178</v>
      </c>
      <c r="M21" t="s">
        <v>179</v>
      </c>
    </row>
    <row r="22" spans="1:14">
      <c r="I22" t="s">
        <v>164</v>
      </c>
      <c r="J22">
        <v>2652.2825510560347</v>
      </c>
      <c r="K22">
        <v>2279.3933333333334</v>
      </c>
      <c r="L22">
        <v>81.442668757892889</v>
      </c>
      <c r="M22">
        <v>56.423574207984203</v>
      </c>
      <c r="N22">
        <f>(J22-K22)/J22*100</f>
        <v>14.059181499129171</v>
      </c>
    </row>
    <row r="23" spans="1:14">
      <c r="I23" t="s">
        <v>165</v>
      </c>
      <c r="J23">
        <v>4528.8221494252866</v>
      </c>
      <c r="K23">
        <v>4239.8133333333335</v>
      </c>
      <c r="L23">
        <v>74.786486497903951</v>
      </c>
      <c r="M23">
        <v>63.991437974886438</v>
      </c>
      <c r="N23">
        <f t="shared" ref="N23:N25" si="0">(J23-K23)/J23*100</f>
        <v>6.3815448378477111</v>
      </c>
    </row>
    <row r="24" spans="1:14">
      <c r="I24" t="s">
        <v>166</v>
      </c>
      <c r="J24">
        <v>8375.575505747127</v>
      </c>
      <c r="K24">
        <v>7884.0533333333333</v>
      </c>
      <c r="L24">
        <v>32.578079537658802</v>
      </c>
      <c r="M24">
        <v>91.174930715904665</v>
      </c>
      <c r="N24">
        <f t="shared" si="0"/>
        <v>5.8685181940813802</v>
      </c>
    </row>
    <row r="25" spans="1:14">
      <c r="I25" t="s">
        <v>171</v>
      </c>
      <c r="J25">
        <v>7606.7479195402293</v>
      </c>
      <c r="K25">
        <v>7884.0533333333333</v>
      </c>
      <c r="L25">
        <v>21.413892083092751</v>
      </c>
      <c r="M25">
        <v>91.174930715904665</v>
      </c>
      <c r="N25">
        <f t="shared" si="0"/>
        <v>-3.6455186464213076</v>
      </c>
    </row>
    <row r="27" spans="1:14">
      <c r="A27" s="21"/>
      <c r="B27" s="21"/>
      <c r="C27" s="21"/>
      <c r="D27" s="21"/>
      <c r="E27" s="21" t="s">
        <v>175</v>
      </c>
      <c r="F27" s="21"/>
      <c r="G27" s="21"/>
      <c r="H27" s="21"/>
      <c r="I27" s="21"/>
      <c r="J27" s="21"/>
      <c r="K27" s="21"/>
      <c r="L27" s="21"/>
    </row>
    <row r="28" spans="1:14" ht="65">
      <c r="A28" s="19" t="s">
        <v>39</v>
      </c>
      <c r="B28" s="19" t="s">
        <v>40</v>
      </c>
      <c r="C28" s="16" t="s">
        <v>15</v>
      </c>
      <c r="D28" s="16" t="s">
        <v>14</v>
      </c>
      <c r="E28" s="19" t="s">
        <v>121</v>
      </c>
      <c r="F28" s="16" t="s">
        <v>37</v>
      </c>
    </row>
    <row r="29" spans="1:14">
      <c r="A29">
        <f>B41+D41+A41</f>
        <v>3428.83</v>
      </c>
      <c r="B29">
        <v>2914.9259999999999</v>
      </c>
      <c r="C29" s="11">
        <f>5932/43.5</f>
        <v>136.36781609195401</v>
      </c>
      <c r="D29">
        <v>1254.23</v>
      </c>
      <c r="E29" s="11">
        <f>MAX(A29:B29)+C29+D29</f>
        <v>4819.4278160919539</v>
      </c>
      <c r="F29" s="17">
        <v>5932</v>
      </c>
    </row>
    <row r="30" spans="1:14">
      <c r="A30">
        <f>B42+D42+A42</f>
        <v>3433.0899999999997</v>
      </c>
      <c r="B30">
        <v>2837.6559999999999</v>
      </c>
      <c r="C30" s="11">
        <f t="shared" ref="C30:C31" si="1">5932/43.5</f>
        <v>136.36781609195401</v>
      </c>
      <c r="D30">
        <v>1263.3399999999999</v>
      </c>
      <c r="E30" s="11">
        <f>MAX(A30:B30)+C30+D30</f>
        <v>4832.7978160919538</v>
      </c>
      <c r="F30" t="s">
        <v>162</v>
      </c>
      <c r="G30">
        <f>AVERAGE(E29:E31)</f>
        <v>4788.1521494252875</v>
      </c>
    </row>
    <row r="31" spans="1:14" s="2" customFormat="1">
      <c r="A31">
        <f>B43+D43+A43</f>
        <v>3328.52</v>
      </c>
      <c r="B31">
        <v>2869.0210000000002</v>
      </c>
      <c r="C31" s="11">
        <f t="shared" si="1"/>
        <v>136.36781609195401</v>
      </c>
      <c r="D31" s="2">
        <v>1247.3430000000001</v>
      </c>
      <c r="E31" s="11">
        <f>MAX(A31:B31)+C31+D31</f>
        <v>4712.2308160919538</v>
      </c>
      <c r="F31" t="s">
        <v>163</v>
      </c>
      <c r="G31">
        <f>1.96*(STDEV(E29:E31)/SQRT(3))</f>
        <v>74.786486497903951</v>
      </c>
    </row>
    <row r="32" spans="1:14">
      <c r="E32" s="11"/>
      <c r="H32">
        <f>(F29-F41)/F41*100</f>
        <v>138.52030558906313</v>
      </c>
    </row>
    <row r="37" spans="1:9">
      <c r="H37">
        <f>(G30-G42)/G42*100</f>
        <v>12.933088628712127</v>
      </c>
    </row>
    <row r="40" spans="1:9" ht="65">
      <c r="A40" s="16" t="s">
        <v>122</v>
      </c>
      <c r="B40" s="16" t="s">
        <v>123</v>
      </c>
      <c r="C40" s="16" t="s">
        <v>124</v>
      </c>
      <c r="D40" s="16" t="s">
        <v>125</v>
      </c>
      <c r="E40" s="16" t="s">
        <v>126</v>
      </c>
      <c r="F40" s="16" t="s">
        <v>37</v>
      </c>
      <c r="G40" s="2" t="s">
        <v>38</v>
      </c>
    </row>
    <row r="41" spans="1:9">
      <c r="A41">
        <f>506.48/2</f>
        <v>253.24</v>
      </c>
      <c r="B41">
        <v>2759.67</v>
      </c>
      <c r="C41">
        <f>14*60+3</f>
        <v>843</v>
      </c>
      <c r="D41">
        <v>415.92</v>
      </c>
      <c r="E41">
        <f>SUM(A41:D41)</f>
        <v>4271.83</v>
      </c>
      <c r="F41" s="17">
        <v>2487</v>
      </c>
      <c r="G41">
        <f>18456+
18456</f>
        <v>36912</v>
      </c>
    </row>
    <row r="42" spans="1:9">
      <c r="A42">
        <v>260.43</v>
      </c>
      <c r="B42">
        <v>2768.13</v>
      </c>
      <c r="C42">
        <f>14*60</f>
        <v>840</v>
      </c>
      <c r="D42">
        <v>404.53</v>
      </c>
      <c r="E42">
        <f t="shared" ref="E42:E43" si="2">SUM(A42:D42)</f>
        <v>4273.09</v>
      </c>
      <c r="F42" t="s">
        <v>162</v>
      </c>
      <c r="G42">
        <f>AVERAGE(E41:E43)</f>
        <v>4239.8133333333335</v>
      </c>
      <c r="I42" s="20" t="s">
        <v>173</v>
      </c>
    </row>
    <row r="43" spans="1:9">
      <c r="A43">
        <v>264.32</v>
      </c>
      <c r="B43">
        <v>2668.96</v>
      </c>
      <c r="C43">
        <v>846</v>
      </c>
      <c r="D43">
        <v>395.24</v>
      </c>
      <c r="E43">
        <f t="shared" si="2"/>
        <v>4174.5200000000004</v>
      </c>
      <c r="F43" t="s">
        <v>163</v>
      </c>
      <c r="G43">
        <f>1.96*(STDEV(E41:E43)/SQRT(3))</f>
        <v>63.991437974886438</v>
      </c>
      <c r="I43">
        <f>19029605*2</f>
        <v>38059210</v>
      </c>
    </row>
    <row r="45" spans="1:9">
      <c r="H45" t="s">
        <v>158</v>
      </c>
    </row>
    <row r="46" spans="1:9">
      <c r="C46" t="s">
        <v>70</v>
      </c>
      <c r="D46" t="s">
        <v>71</v>
      </c>
      <c r="F46" t="s">
        <v>72</v>
      </c>
    </row>
    <row r="52" spans="1:12" s="21" customFormat="1">
      <c r="E52" s="21" t="s">
        <v>177</v>
      </c>
    </row>
    <row r="53" spans="1:12">
      <c r="L53" s="2"/>
    </row>
    <row r="54" spans="1:12" ht="65">
      <c r="A54" s="19" t="s">
        <v>39</v>
      </c>
      <c r="B54" s="19" t="s">
        <v>40</v>
      </c>
      <c r="C54" s="16" t="s">
        <v>169</v>
      </c>
      <c r="D54" s="16" t="s">
        <v>170</v>
      </c>
      <c r="E54" s="19" t="s">
        <v>121</v>
      </c>
      <c r="F54" s="16" t="s">
        <v>37</v>
      </c>
    </row>
    <row r="55" spans="1:12">
      <c r="A55">
        <v>6208.59</v>
      </c>
      <c r="B55">
        <f>895+70*60+767</f>
        <v>5862</v>
      </c>
      <c r="C55" s="11">
        <f>8946/43.5</f>
        <v>205.65517241379311</v>
      </c>
      <c r="D55">
        <v>1978.21</v>
      </c>
      <c r="E55" s="11">
        <f>MAX(A55:B55)+C55+D55</f>
        <v>8392.4551724137928</v>
      </c>
      <c r="F55" s="20">
        <v>8946</v>
      </c>
    </row>
    <row r="56" spans="1:12">
      <c r="A56">
        <v>6234.8459999999995</v>
      </c>
      <c r="B56">
        <v>5863.4129999999996</v>
      </c>
      <c r="C56" s="11">
        <f t="shared" ref="C56:C57" si="3">8946/43.5</f>
        <v>205.65517241379311</v>
      </c>
      <c r="D56">
        <v>1970.36</v>
      </c>
      <c r="E56" s="11">
        <f t="shared" ref="E56:E57" si="4">MAX(A56:B56)+C56+D56</f>
        <v>8410.8611724137936</v>
      </c>
      <c r="F56" t="s">
        <v>162</v>
      </c>
      <c r="G56">
        <f>AVERAGE(E55:E57)</f>
        <v>8385.9088390804609</v>
      </c>
    </row>
    <row r="57" spans="1:12">
      <c r="A57">
        <v>6163.4449999999997</v>
      </c>
      <c r="B57">
        <v>5811.2950000000001</v>
      </c>
      <c r="C57" s="11">
        <f t="shared" si="3"/>
        <v>205.65517241379311</v>
      </c>
      <c r="D57" s="2">
        <v>1985.31</v>
      </c>
      <c r="E57" s="11">
        <f t="shared" si="4"/>
        <v>8354.4101724137927</v>
      </c>
      <c r="F57" t="s">
        <v>163</v>
      </c>
      <c r="G57">
        <f>1.96*(STDEV(E55:E57)/SQRT(3))</f>
        <v>32.578079537658802</v>
      </c>
    </row>
    <row r="59" spans="1:12" ht="65">
      <c r="A59" s="16" t="s">
        <v>9</v>
      </c>
      <c r="B59" s="16" t="s">
        <v>10</v>
      </c>
      <c r="C59" s="16" t="s">
        <v>11</v>
      </c>
      <c r="D59" s="16" t="s">
        <v>12</v>
      </c>
      <c r="E59" s="16" t="s">
        <v>13</v>
      </c>
      <c r="F59" s="16" t="s">
        <v>37</v>
      </c>
      <c r="I59" s="20" t="s">
        <v>173</v>
      </c>
    </row>
    <row r="60" spans="1:12">
      <c r="A60">
        <f>1106/2</f>
        <v>553</v>
      </c>
      <c r="B60">
        <v>4859.67</v>
      </c>
      <c r="C60">
        <f>29*60+3</f>
        <v>1743</v>
      </c>
      <c r="D60">
        <v>795.92</v>
      </c>
      <c r="E60">
        <f>SUM(A60:D60)</f>
        <v>7951.59</v>
      </c>
      <c r="F60" s="17">
        <v>4425</v>
      </c>
      <c r="I60">
        <f>38059210*2</f>
        <v>76118420</v>
      </c>
      <c r="K60" s="17"/>
    </row>
    <row r="61" spans="1:12">
      <c r="A61">
        <f>1120/2</f>
        <v>560</v>
      </c>
      <c r="B61">
        <v>4790.34</v>
      </c>
      <c r="C61">
        <f>28*60</f>
        <v>1680</v>
      </c>
      <c r="D61">
        <v>764.53</v>
      </c>
      <c r="E61">
        <f t="shared" ref="E61:E62" si="5">SUM(A61:D61)</f>
        <v>7794.87</v>
      </c>
      <c r="F61" t="s">
        <v>162</v>
      </c>
      <c r="G61">
        <f>AVERAGE(E60:E62)</f>
        <v>7884.0533333333333</v>
      </c>
    </row>
    <row r="62" spans="1:12">
      <c r="A62">
        <f>1103/2</f>
        <v>551.5</v>
      </c>
      <c r="B62">
        <v>4798.96</v>
      </c>
      <c r="C62">
        <f>29*60</f>
        <v>1740</v>
      </c>
      <c r="D62">
        <v>815.24</v>
      </c>
      <c r="E62">
        <f t="shared" si="5"/>
        <v>7905.7</v>
      </c>
      <c r="F62" t="s">
        <v>163</v>
      </c>
      <c r="G62">
        <f>1.96*(STDEV(E60:E62)/SQRT(3))</f>
        <v>91.174930715904665</v>
      </c>
    </row>
    <row r="63" spans="1:12">
      <c r="H63">
        <f>(F55-F60)/F60*100</f>
        <v>102.16949152542374</v>
      </c>
    </row>
    <row r="66" spans="1:10" s="21" customFormat="1">
      <c r="E66" s="21" t="s">
        <v>174</v>
      </c>
    </row>
    <row r="70" spans="1:10" ht="65">
      <c r="A70" s="19" t="s">
        <v>39</v>
      </c>
      <c r="B70" s="19" t="s">
        <v>40</v>
      </c>
      <c r="C70" s="16" t="s">
        <v>7</v>
      </c>
      <c r="D70" s="16" t="s">
        <v>8</v>
      </c>
      <c r="E70" s="19" t="s">
        <v>121</v>
      </c>
      <c r="F70" s="16" t="s">
        <v>37</v>
      </c>
    </row>
    <row r="71" spans="1:10">
      <c r="A71">
        <f>A60+B60+D60</f>
        <v>6208.59</v>
      </c>
      <c r="B71">
        <f>895+70*60+767</f>
        <v>5862</v>
      </c>
      <c r="C71" s="11">
        <f>5952/43.5</f>
        <v>136.82758620689654</v>
      </c>
      <c r="D71">
        <v>1267.21</v>
      </c>
      <c r="E71" s="11">
        <f>MAX(A71:B71)+C71+D71</f>
        <v>7612.6275862068969</v>
      </c>
      <c r="F71" s="20">
        <v>5952</v>
      </c>
      <c r="J71">
        <v>6120</v>
      </c>
    </row>
    <row r="72" spans="1:10">
      <c r="A72">
        <v>6234.8459999999995</v>
      </c>
      <c r="B72">
        <v>5863.4129999999996</v>
      </c>
      <c r="C72" s="11">
        <f t="shared" ref="C72:C73" si="6">5952/43.5</f>
        <v>136.82758620689654</v>
      </c>
      <c r="D72">
        <v>1250.3599999999999</v>
      </c>
      <c r="E72" s="11">
        <f t="shared" ref="E72:E73" si="7">MAX(A72:B72)+C72+D72</f>
        <v>7622.033586206896</v>
      </c>
      <c r="F72" t="s">
        <v>162</v>
      </c>
      <c r="G72">
        <f>AVERAGE(E71:E73)</f>
        <v>7606.7479195402293</v>
      </c>
      <c r="H72">
        <f>(F71-F60)/F60*100</f>
        <v>34.508474576271183</v>
      </c>
      <c r="J72" s="11">
        <v>637.42506249999997</v>
      </c>
    </row>
    <row r="73" spans="1:10">
      <c r="A73">
        <v>6163.4449999999997</v>
      </c>
      <c r="B73">
        <v>5811.2950000000001</v>
      </c>
      <c r="C73" s="11">
        <f t="shared" si="6"/>
        <v>136.82758620689654</v>
      </c>
      <c r="D73" s="2">
        <v>1285.31</v>
      </c>
      <c r="E73" s="11">
        <f t="shared" si="7"/>
        <v>7585.5825862068959</v>
      </c>
      <c r="F73" t="s">
        <v>163</v>
      </c>
      <c r="G73">
        <f>1.96*(STDEV(E71:E73)/SQRT(3))</f>
        <v>21.413892083092751</v>
      </c>
    </row>
    <row r="78" spans="1:10">
      <c r="G78">
        <f>AVERAGE(D55:D57)</f>
        <v>1977.9599999999998</v>
      </c>
    </row>
  </sheetData>
  <phoneticPr fontId="4" type="noConversion"/>
  <pageMargins left="0.75" right="0.75" top="1" bottom="1" header="0.5" footer="0.5"/>
  <pageSetup orientation="portrait" horizontalDpi="4294967292" verticalDpi="4294967292"/>
  <rowBreaks count="1" manualBreakCount="1">
    <brk id="37" max="16383" man="1"/>
  </row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43"/>
  <sheetViews>
    <sheetView topLeftCell="A10" workbookViewId="0">
      <selection activeCell="F21" sqref="F21:F24"/>
    </sheetView>
  </sheetViews>
  <sheetFormatPr baseColWidth="10" defaultRowHeight="13"/>
  <sheetData>
    <row r="1" spans="2:8">
      <c r="C1" t="s">
        <v>100</v>
      </c>
      <c r="D1" s="12" t="s">
        <v>93</v>
      </c>
      <c r="E1" s="13" t="s">
        <v>95</v>
      </c>
    </row>
    <row r="2" spans="2:8">
      <c r="B2" t="s">
        <v>30</v>
      </c>
      <c r="F2" s="14" t="s">
        <v>97</v>
      </c>
      <c r="G2" s="14"/>
      <c r="H2" t="s">
        <v>96</v>
      </c>
    </row>
    <row r="3" spans="2:8">
      <c r="C3" t="s">
        <v>101</v>
      </c>
      <c r="D3" s="12" t="s">
        <v>94</v>
      </c>
      <c r="E3" s="13" t="s">
        <v>61</v>
      </c>
    </row>
    <row r="7" spans="2:8">
      <c r="G7" t="s">
        <v>99</v>
      </c>
      <c r="H7" s="15" t="s">
        <v>106</v>
      </c>
    </row>
    <row r="8" spans="2:8">
      <c r="C8" t="s">
        <v>100</v>
      </c>
      <c r="D8" t="s">
        <v>92</v>
      </c>
      <c r="E8" t="s">
        <v>117</v>
      </c>
      <c r="F8" t="s">
        <v>98</v>
      </c>
      <c r="G8" t="s">
        <v>103</v>
      </c>
      <c r="H8" t="s">
        <v>107</v>
      </c>
    </row>
    <row r="9" spans="2:8">
      <c r="B9" t="s">
        <v>29</v>
      </c>
    </row>
    <row r="10" spans="2:8">
      <c r="C10" t="s">
        <v>102</v>
      </c>
      <c r="D10" t="s">
        <v>92</v>
      </c>
      <c r="E10" t="s">
        <v>117</v>
      </c>
      <c r="F10" t="s">
        <v>98</v>
      </c>
      <c r="G10" t="s">
        <v>105</v>
      </c>
      <c r="H10" t="s">
        <v>108</v>
      </c>
    </row>
    <row r="11" spans="2:8">
      <c r="G11" t="s">
        <v>104</v>
      </c>
      <c r="H11" s="15" t="s">
        <v>106</v>
      </c>
    </row>
    <row r="20" spans="1:12" ht="39">
      <c r="A20" s="2" t="s">
        <v>63</v>
      </c>
      <c r="B20" s="2" t="s">
        <v>79</v>
      </c>
      <c r="D20" s="2" t="s">
        <v>112</v>
      </c>
      <c r="E20" s="2" t="s">
        <v>111</v>
      </c>
      <c r="F20" s="2" t="s">
        <v>109</v>
      </c>
    </row>
    <row r="21" spans="1:12" s="2" customFormat="1">
      <c r="A21" t="s">
        <v>92</v>
      </c>
      <c r="B21" t="s">
        <v>74</v>
      </c>
      <c r="C21">
        <v>9862</v>
      </c>
      <c r="D21">
        <v>1109</v>
      </c>
      <c r="E21">
        <v>1106</v>
      </c>
      <c r="F21">
        <v>2215</v>
      </c>
      <c r="G21"/>
      <c r="H21"/>
      <c r="I21" t="s">
        <v>0</v>
      </c>
      <c r="J21"/>
      <c r="K21"/>
      <c r="L21"/>
    </row>
    <row r="22" spans="1:12">
      <c r="D22">
        <v>1139</v>
      </c>
      <c r="E22">
        <v>1132</v>
      </c>
      <c r="F22">
        <v>2271</v>
      </c>
      <c r="L22">
        <f>(98+92+93)/3</f>
        <v>94.333333333333329</v>
      </c>
    </row>
    <row r="23" spans="1:12">
      <c r="D23">
        <v>1162</v>
      </c>
      <c r="E23">
        <v>1160</v>
      </c>
      <c r="F23">
        <v>2322</v>
      </c>
    </row>
    <row r="24" spans="1:12">
      <c r="D24">
        <v>1189</v>
      </c>
      <c r="E24">
        <v>1206</v>
      </c>
      <c r="F24">
        <v>2395</v>
      </c>
    </row>
    <row r="26" spans="1:12">
      <c r="G26">
        <f>SUM(E21:E24,E27:E30)</f>
        <v>9267</v>
      </c>
      <c r="H26" t="s">
        <v>113</v>
      </c>
      <c r="I26" t="s">
        <v>114</v>
      </c>
    </row>
    <row r="27" spans="1:12">
      <c r="D27">
        <v>1114</v>
      </c>
      <c r="E27">
        <v>1107</v>
      </c>
      <c r="F27">
        <v>2349</v>
      </c>
    </row>
    <row r="28" spans="1:12">
      <c r="B28" t="s">
        <v>75</v>
      </c>
      <c r="C28">
        <v>9838</v>
      </c>
      <c r="D28">
        <v>1141</v>
      </c>
      <c r="E28">
        <v>1158</v>
      </c>
      <c r="F28">
        <v>2427</v>
      </c>
    </row>
    <row r="29" spans="1:12">
      <c r="D29">
        <v>1144</v>
      </c>
      <c r="E29">
        <v>1150</v>
      </c>
      <c r="F29">
        <v>2422</v>
      </c>
    </row>
    <row r="30" spans="1:12">
      <c r="D30">
        <v>1264</v>
      </c>
      <c r="E30">
        <v>1248</v>
      </c>
      <c r="F30">
        <v>2640</v>
      </c>
    </row>
    <row r="32" spans="1:12">
      <c r="D32" t="s">
        <v>68</v>
      </c>
    </row>
    <row r="34" spans="1:11">
      <c r="C34" t="s">
        <v>31</v>
      </c>
      <c r="D34" t="s">
        <v>110</v>
      </c>
      <c r="E34" t="s">
        <v>32</v>
      </c>
    </row>
    <row r="40" spans="1:11" ht="52">
      <c r="A40" s="2" t="s">
        <v>80</v>
      </c>
      <c r="B40" s="2" t="s">
        <v>79</v>
      </c>
      <c r="C40" s="2" t="s">
        <v>84</v>
      </c>
      <c r="D40" s="2" t="s">
        <v>112</v>
      </c>
      <c r="E40" s="2" t="s">
        <v>111</v>
      </c>
      <c r="F40" s="2" t="s">
        <v>85</v>
      </c>
      <c r="G40" s="2" t="s">
        <v>109</v>
      </c>
      <c r="H40" s="2" t="s">
        <v>87</v>
      </c>
      <c r="I40" s="2" t="s">
        <v>88</v>
      </c>
      <c r="K40" s="16" t="s">
        <v>26</v>
      </c>
    </row>
    <row r="41" spans="1:11">
      <c r="A41" t="s">
        <v>81</v>
      </c>
      <c r="B41" t="s">
        <v>82</v>
      </c>
      <c r="C41">
        <v>9862</v>
      </c>
      <c r="D41">
        <f>SUM('10GB'!D21:D24)</f>
        <v>4599</v>
      </c>
      <c r="E41">
        <f>SUM('10GB'!E21:E24)</f>
        <v>4604</v>
      </c>
      <c r="F41" t="s">
        <v>86</v>
      </c>
      <c r="G41">
        <v>7</v>
      </c>
      <c r="H41">
        <f>AVERAGE('10GB'!F21:F24)</f>
        <v>2300.75</v>
      </c>
      <c r="I41">
        <f>SUM(E41:E42)</f>
        <v>9267</v>
      </c>
      <c r="J41" s="18" t="s">
        <v>28</v>
      </c>
      <c r="K41" s="17">
        <f>MAX('10GB'!E21:E24,'10GB'!E27:E30)</f>
        <v>1248</v>
      </c>
    </row>
    <row r="42" spans="1:11">
      <c r="A42" t="s">
        <v>92</v>
      </c>
      <c r="B42" t="s">
        <v>83</v>
      </c>
      <c r="C42">
        <v>9838</v>
      </c>
      <c r="D42">
        <f>SUM('10GB'!D27:D30)</f>
        <v>4663</v>
      </c>
      <c r="E42">
        <f>SUM('10GB'!E27:E30)</f>
        <v>4663</v>
      </c>
      <c r="F42" t="s">
        <v>86</v>
      </c>
      <c r="G42">
        <v>7</v>
      </c>
      <c r="H42">
        <f>AVERAGE('10GB'!F27:F30)</f>
        <v>2459.5</v>
      </c>
      <c r="K42" s="17"/>
    </row>
    <row r="43" spans="1:11">
      <c r="J43" s="18" t="s">
        <v>27</v>
      </c>
      <c r="K43" s="17">
        <f>3120</f>
        <v>3120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0"/>
  <sheetViews>
    <sheetView workbookViewId="0">
      <selection activeCell="J19" sqref="J19"/>
    </sheetView>
  </sheetViews>
  <sheetFormatPr baseColWidth="10" defaultRowHeight="13"/>
  <sheetData>
    <row r="1" spans="1:12" ht="65">
      <c r="A1" s="2" t="s">
        <v>80</v>
      </c>
      <c r="B1" s="2" t="s">
        <v>79</v>
      </c>
      <c r="C1" s="2" t="s">
        <v>84</v>
      </c>
      <c r="D1" s="2" t="s">
        <v>112</v>
      </c>
      <c r="E1" s="2" t="s">
        <v>25</v>
      </c>
      <c r="F1" s="2" t="s">
        <v>85</v>
      </c>
      <c r="G1" s="2" t="s">
        <v>22</v>
      </c>
      <c r="H1" s="2" t="s">
        <v>88</v>
      </c>
      <c r="K1" s="16" t="s">
        <v>26</v>
      </c>
    </row>
    <row r="2" spans="1:12">
      <c r="A2" t="s">
        <v>73</v>
      </c>
      <c r="B2" t="s">
        <v>82</v>
      </c>
      <c r="C2">
        <v>18468</v>
      </c>
      <c r="D2">
        <f>SUM(D11:D14)</f>
        <v>9172</v>
      </c>
      <c r="E2">
        <f>SUM(E11:E14)</f>
        <v>9184</v>
      </c>
      <c r="F2" t="s">
        <v>24</v>
      </c>
      <c r="G2" t="s">
        <v>23</v>
      </c>
      <c r="H2">
        <f>SUM(D2:D3)</f>
        <v>18456</v>
      </c>
      <c r="J2" s="18" t="s">
        <v>28</v>
      </c>
      <c r="K2" s="17">
        <f>MAX(E11:E14,E17:E20)</f>
        <v>2487</v>
      </c>
      <c r="L2">
        <f>18.46/20</f>
        <v>0.92300000000000004</v>
      </c>
    </row>
    <row r="3" spans="1:12">
      <c r="A3" t="s">
        <v>73</v>
      </c>
      <c r="B3" t="s">
        <v>83</v>
      </c>
      <c r="C3">
        <v>18468</v>
      </c>
      <c r="D3">
        <f>SUM(D17:D20)</f>
        <v>9284</v>
      </c>
      <c r="E3">
        <f>SUM(E17:E20)</f>
        <v>9296</v>
      </c>
      <c r="F3" t="s">
        <v>24</v>
      </c>
      <c r="G3" t="s">
        <v>23</v>
      </c>
      <c r="H3">
        <f>SUM(D2:D3)</f>
        <v>18456</v>
      </c>
      <c r="K3" s="17"/>
    </row>
    <row r="4" spans="1:12">
      <c r="J4" s="18" t="s">
        <v>27</v>
      </c>
      <c r="K4" s="17">
        <f>2980+2985</f>
        <v>5965</v>
      </c>
    </row>
    <row r="10" spans="1:12" ht="52">
      <c r="A10" s="2" t="s">
        <v>63</v>
      </c>
      <c r="B10" s="2" t="s">
        <v>79</v>
      </c>
      <c r="D10" s="2" t="s">
        <v>21</v>
      </c>
      <c r="E10" s="2" t="s">
        <v>78</v>
      </c>
      <c r="F10" s="2" t="s">
        <v>109</v>
      </c>
    </row>
    <row r="11" spans="1:12">
      <c r="A11" t="s">
        <v>73</v>
      </c>
      <c r="B11" t="s">
        <v>74</v>
      </c>
      <c r="C11">
        <v>18468</v>
      </c>
      <c r="D11">
        <v>2209</v>
      </c>
      <c r="E11">
        <v>2205</v>
      </c>
      <c r="F11">
        <v>4434</v>
      </c>
    </row>
    <row r="12" spans="1:12">
      <c r="D12">
        <v>2374</v>
      </c>
      <c r="E12">
        <v>2405</v>
      </c>
      <c r="F12">
        <v>4799</v>
      </c>
    </row>
    <row r="13" spans="1:12">
      <c r="D13">
        <v>2318</v>
      </c>
      <c r="E13">
        <v>2313</v>
      </c>
      <c r="F13">
        <v>4651</v>
      </c>
    </row>
    <row r="14" spans="1:12">
      <c r="D14">
        <v>2271</v>
      </c>
      <c r="E14">
        <v>2261</v>
      </c>
      <c r="F14">
        <v>4552</v>
      </c>
      <c r="I14" t="s">
        <v>4</v>
      </c>
    </row>
    <row r="16" spans="1:12">
      <c r="D16" t="s">
        <v>110</v>
      </c>
      <c r="E16" t="s">
        <v>76</v>
      </c>
      <c r="F16" t="s">
        <v>77</v>
      </c>
    </row>
    <row r="17" spans="2:6">
      <c r="D17">
        <v>2218</v>
      </c>
      <c r="E17">
        <v>2207</v>
      </c>
      <c r="F17">
        <v>4553</v>
      </c>
    </row>
    <row r="18" spans="2:6">
      <c r="B18" t="s">
        <v>75</v>
      </c>
      <c r="C18">
        <v>18468</v>
      </c>
      <c r="D18">
        <v>2274</v>
      </c>
      <c r="E18">
        <v>2308</v>
      </c>
      <c r="F18">
        <v>4710</v>
      </c>
    </row>
    <row r="19" spans="2:6">
      <c r="D19">
        <v>2277</v>
      </c>
      <c r="E19">
        <v>2294</v>
      </c>
      <c r="F19">
        <v>4699</v>
      </c>
    </row>
    <row r="20" spans="2:6">
      <c r="D20">
        <v>2515</v>
      </c>
      <c r="E20">
        <v>2487</v>
      </c>
      <c r="F20">
        <v>5130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20"/>
  <sheetViews>
    <sheetView workbookViewId="0">
      <selection activeCell="D23" sqref="D23"/>
    </sheetView>
  </sheetViews>
  <sheetFormatPr baseColWidth="10" defaultRowHeight="13"/>
  <sheetData>
    <row r="1" spans="1:11" ht="65">
      <c r="A1" s="2" t="s">
        <v>80</v>
      </c>
      <c r="B1" s="2" t="s">
        <v>79</v>
      </c>
      <c r="C1" s="2" t="s">
        <v>84</v>
      </c>
      <c r="D1" s="2" t="s">
        <v>112</v>
      </c>
      <c r="E1" s="2" t="s">
        <v>25</v>
      </c>
      <c r="F1" s="2" t="s">
        <v>85</v>
      </c>
      <c r="G1" s="2" t="s">
        <v>22</v>
      </c>
      <c r="H1" s="2" t="s">
        <v>88</v>
      </c>
      <c r="K1" s="16" t="s">
        <v>26</v>
      </c>
    </row>
    <row r="2" spans="1:11">
      <c r="A2" t="s">
        <v>16</v>
      </c>
      <c r="B2" t="s">
        <v>82</v>
      </c>
      <c r="C2">
        <v>36454.269</v>
      </c>
      <c r="D2">
        <f>SUM(D11:D14)</f>
        <v>17462</v>
      </c>
      <c r="E2">
        <f>SUM(E11:E14)</f>
        <v>17233</v>
      </c>
      <c r="F2" t="s">
        <v>24</v>
      </c>
      <c r="G2" t="s">
        <v>20</v>
      </c>
      <c r="H2">
        <f>SUM(D2:D3)</f>
        <v>34978</v>
      </c>
      <c r="J2" s="18" t="s">
        <v>28</v>
      </c>
      <c r="K2" s="17">
        <f>MAX(E11:E14,E17:E20)</f>
        <v>4425</v>
      </c>
    </row>
    <row r="3" spans="1:11">
      <c r="A3" t="s">
        <v>17</v>
      </c>
      <c r="B3" t="s">
        <v>83</v>
      </c>
      <c r="C3">
        <v>36454.269</v>
      </c>
      <c r="D3">
        <f>SUM(D17:D20)</f>
        <v>17516</v>
      </c>
      <c r="E3">
        <f>SUM(E17:E20)</f>
        <v>17123</v>
      </c>
      <c r="F3" t="s">
        <v>24</v>
      </c>
      <c r="G3" t="s">
        <v>20</v>
      </c>
      <c r="H3">
        <f>SUM(D2:D3)</f>
        <v>34978</v>
      </c>
      <c r="K3" s="17"/>
    </row>
    <row r="4" spans="1:11">
      <c r="J4" s="18" t="s">
        <v>27</v>
      </c>
      <c r="K4" s="17">
        <f>5952</f>
        <v>5952</v>
      </c>
    </row>
    <row r="10" spans="1:11" ht="52">
      <c r="A10" s="2" t="s">
        <v>63</v>
      </c>
      <c r="B10" s="2" t="s">
        <v>79</v>
      </c>
      <c r="D10" s="2" t="s">
        <v>21</v>
      </c>
      <c r="E10" s="2" t="s">
        <v>78</v>
      </c>
      <c r="F10" s="2" t="s">
        <v>109</v>
      </c>
    </row>
    <row r="11" spans="1:11">
      <c r="A11" t="s">
        <v>2</v>
      </c>
      <c r="B11" t="s">
        <v>74</v>
      </c>
      <c r="C11">
        <v>36454.269</v>
      </c>
      <c r="D11">
        <v>4211</v>
      </c>
      <c r="E11">
        <v>4216</v>
      </c>
      <c r="F11">
        <v>8427</v>
      </c>
      <c r="H11">
        <f>'40GB'!E11/'40GB'!C11*100</f>
        <v>11.565174986775897</v>
      </c>
    </row>
    <row r="12" spans="1:11">
      <c r="D12">
        <v>4743</v>
      </c>
      <c r="E12">
        <v>4425</v>
      </c>
      <c r="F12">
        <v>9168</v>
      </c>
      <c r="H12">
        <f>'40GB'!E12/'40GB'!C11*100</f>
        <v>12.138496042809143</v>
      </c>
      <c r="I12" t="s">
        <v>1</v>
      </c>
    </row>
    <row r="13" spans="1:11">
      <c r="D13">
        <v>4381</v>
      </c>
      <c r="E13">
        <v>4331</v>
      </c>
      <c r="F13">
        <v>8712</v>
      </c>
      <c r="H13">
        <f>'40GB'!E13/'40GB'!C11*100</f>
        <v>11.880638725741559</v>
      </c>
    </row>
    <row r="14" spans="1:11">
      <c r="D14">
        <v>4127</v>
      </c>
      <c r="E14">
        <v>4261</v>
      </c>
      <c r="F14">
        <v>8388</v>
      </c>
      <c r="H14">
        <f>'40GB'!E14/'40GB'!C11*100</f>
        <v>11.688617319414634</v>
      </c>
    </row>
    <row r="16" spans="1:11">
      <c r="D16" t="s">
        <v>110</v>
      </c>
      <c r="E16" t="s">
        <v>18</v>
      </c>
      <c r="F16" t="s">
        <v>19</v>
      </c>
    </row>
    <row r="17" spans="1:8">
      <c r="D17">
        <v>4224</v>
      </c>
      <c r="E17">
        <v>4229</v>
      </c>
      <c r="F17">
        <v>8453</v>
      </c>
      <c r="H17">
        <f>'40GB'!E17/'40GB'!C18*100</f>
        <v>11.600836105093755</v>
      </c>
    </row>
    <row r="18" spans="1:8">
      <c r="A18" t="s">
        <v>3</v>
      </c>
      <c r="B18" t="s">
        <v>75</v>
      </c>
      <c r="C18">
        <v>36454.269</v>
      </c>
      <c r="D18">
        <v>4740</v>
      </c>
      <c r="E18">
        <v>4328</v>
      </c>
      <c r="F18">
        <v>9068</v>
      </c>
      <c r="H18">
        <f>'40GB'!E18/'40GB'!C18*100</f>
        <v>11.872409236898976</v>
      </c>
    </row>
    <row r="19" spans="1:8">
      <c r="D19">
        <v>4387</v>
      </c>
      <c r="E19">
        <v>4329</v>
      </c>
      <c r="F19">
        <v>8716</v>
      </c>
      <c r="H19">
        <f>'40GB'!E19/18468</f>
        <v>0.23440545808966862</v>
      </c>
    </row>
    <row r="20" spans="1:8">
      <c r="D20">
        <v>4165</v>
      </c>
      <c r="E20">
        <v>4237</v>
      </c>
      <c r="F20">
        <v>8402</v>
      </c>
      <c r="H20">
        <f>'40GB'!E20/18468</f>
        <v>0.22942386831275721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47"/>
  <sheetViews>
    <sheetView topLeftCell="A29" workbookViewId="0">
      <selection activeCell="C50" sqref="C50"/>
    </sheetView>
  </sheetViews>
  <sheetFormatPr baseColWidth="10" defaultRowHeight="13"/>
  <cols>
    <col min="11" max="11" width="12.28515625" customWidth="1"/>
  </cols>
  <sheetData>
    <row r="1" spans="1:16">
      <c r="A1" s="21"/>
      <c r="B1" s="21"/>
      <c r="C1" s="21"/>
      <c r="D1" s="21"/>
      <c r="E1" s="21" t="s">
        <v>150</v>
      </c>
      <c r="F1" s="21"/>
      <c r="G1" s="21"/>
      <c r="H1" s="21"/>
      <c r="I1" s="21"/>
      <c r="J1" s="21"/>
      <c r="K1" s="21"/>
      <c r="L1" s="21"/>
    </row>
    <row r="2" spans="1:16" ht="65">
      <c r="A2" s="19" t="s">
        <v>33</v>
      </c>
      <c r="B2" s="19" t="s">
        <v>34</v>
      </c>
      <c r="C2" s="16" t="s">
        <v>35</v>
      </c>
      <c r="D2" s="16" t="s">
        <v>182</v>
      </c>
      <c r="E2" s="16" t="s">
        <v>180</v>
      </c>
      <c r="F2" s="19" t="s">
        <v>36</v>
      </c>
      <c r="G2" s="16" t="s">
        <v>37</v>
      </c>
      <c r="H2" s="19"/>
      <c r="O2">
        <v>6240</v>
      </c>
      <c r="P2">
        <v>637</v>
      </c>
    </row>
    <row r="3" spans="1:16">
      <c r="A3" s="11">
        <v>1996.0322450000001</v>
      </c>
      <c r="B3" s="11">
        <v>1742.8240000000001</v>
      </c>
      <c r="C3" s="11">
        <f>3120/43.5</f>
        <v>71.724137931034477</v>
      </c>
      <c r="D3">
        <v>0</v>
      </c>
      <c r="E3" s="11">
        <v>988.34</v>
      </c>
      <c r="F3" s="11">
        <f>MAX(A3:B3)+C3+E3</f>
        <v>3056.0963829310349</v>
      </c>
      <c r="G3" s="17">
        <v>3120</v>
      </c>
      <c r="O3">
        <f>5952*2</f>
        <v>11904</v>
      </c>
      <c r="P3">
        <v>1267</v>
      </c>
    </row>
    <row r="4" spans="1:16">
      <c r="A4" s="11">
        <v>1960.294715</v>
      </c>
      <c r="B4" s="11">
        <v>1813.597</v>
      </c>
      <c r="C4" s="11">
        <f>3120/43.5</f>
        <v>71.724137931034477</v>
      </c>
      <c r="D4">
        <v>0</v>
      </c>
      <c r="E4" s="11">
        <v>982.57</v>
      </c>
      <c r="F4" s="11">
        <f>MAX(A4:B4)+C4+E4</f>
        <v>3014.5888529310346</v>
      </c>
      <c r="G4" s="20" t="s">
        <v>162</v>
      </c>
      <c r="H4">
        <f>AVERAGE(F3:F5)</f>
        <v>2984.3501395977014</v>
      </c>
      <c r="O4">
        <f>8946*2</f>
        <v>17892</v>
      </c>
      <c r="P4">
        <v>1977</v>
      </c>
    </row>
    <row r="5" spans="1:16">
      <c r="A5" s="11">
        <v>1875.3710450000001</v>
      </c>
      <c r="B5" s="11">
        <v>1738.2349999999999</v>
      </c>
      <c r="C5" s="11">
        <f>3120/43.5</f>
        <v>71.724137931034477</v>
      </c>
      <c r="D5">
        <v>0</v>
      </c>
      <c r="E5" s="11">
        <v>935.27</v>
      </c>
      <c r="F5" s="11">
        <f>MAX(A5:B5)+C5+E5</f>
        <v>2882.3651829310347</v>
      </c>
      <c r="G5" s="20" t="s">
        <v>163</v>
      </c>
      <c r="H5">
        <f>1.96*(STDEV(F3:F5)/SQRT(3))</f>
        <v>102.66744486459044</v>
      </c>
      <c r="O5">
        <v>9360</v>
      </c>
      <c r="P5">
        <f>0.115*O5-88.142</f>
        <v>988.25800000000004</v>
      </c>
    </row>
    <row r="6" spans="1:16">
      <c r="O6">
        <f>5932*3</f>
        <v>17796</v>
      </c>
      <c r="P6">
        <f>0.115*O6-88.142</f>
        <v>1958.3980000000001</v>
      </c>
    </row>
    <row r="7" spans="1:16">
      <c r="O7">
        <f>8946*3</f>
        <v>26838</v>
      </c>
      <c r="P7">
        <f>0.115*O7-88.142</f>
        <v>2998.2280000000005</v>
      </c>
    </row>
    <row r="11" spans="1:16" ht="65">
      <c r="A11" s="22" t="s">
        <v>183</v>
      </c>
      <c r="B11" s="22" t="s">
        <v>184</v>
      </c>
      <c r="C11" s="22" t="s">
        <v>185</v>
      </c>
      <c r="D11" s="22" t="s">
        <v>186</v>
      </c>
      <c r="E11" s="22" t="s">
        <v>187</v>
      </c>
      <c r="F11" s="22" t="s">
        <v>188</v>
      </c>
      <c r="G11" s="22" t="s">
        <v>189</v>
      </c>
    </row>
    <row r="12" spans="1:16">
      <c r="A12">
        <f>463.31/3</f>
        <v>154.43666666666667</v>
      </c>
      <c r="B12">
        <v>1536.21</v>
      </c>
      <c r="C12">
        <f>7*60+10</f>
        <v>430</v>
      </c>
      <c r="D12">
        <v>332.85</v>
      </c>
      <c r="E12">
        <f>SUM(A12:D12)</f>
        <v>2453.4966666666664</v>
      </c>
      <c r="F12" s="17">
        <v>1264</v>
      </c>
      <c r="G12">
        <v>28396</v>
      </c>
      <c r="L12" t="s">
        <v>139</v>
      </c>
      <c r="M12" t="s">
        <v>140</v>
      </c>
      <c r="N12" t="s">
        <v>155</v>
      </c>
    </row>
    <row r="13" spans="1:16">
      <c r="A13">
        <f xml:space="preserve"> 504.59/3</f>
        <v>168.19666666666666</v>
      </c>
      <c r="B13">
        <v>1431.79</v>
      </c>
      <c r="C13">
        <v>424</v>
      </c>
      <c r="D13">
        <v>339.45</v>
      </c>
      <c r="E13">
        <f>SUM(A13:D13)</f>
        <v>2363.4366666666665</v>
      </c>
      <c r="F13" s="20" t="s">
        <v>162</v>
      </c>
      <c r="G13">
        <f>AVERAGE(E12:E14)</f>
        <v>2416.8599999999997</v>
      </c>
      <c r="K13" t="s">
        <v>153</v>
      </c>
      <c r="L13">
        <v>2984.3501395977014</v>
      </c>
      <c r="M13">
        <v>5538.1189272030651</v>
      </c>
      <c r="N13">
        <v>9359.5321719999993</v>
      </c>
    </row>
    <row r="14" spans="1:16">
      <c r="A14">
        <f>518.72/3</f>
        <v>172.90666666666667</v>
      </c>
      <c r="B14">
        <v>1489.98</v>
      </c>
      <c r="C14">
        <v>425</v>
      </c>
      <c r="D14">
        <v>345.76</v>
      </c>
      <c r="E14">
        <f>SUM(A14:D14)</f>
        <v>2433.6466666666665</v>
      </c>
      <c r="F14" s="20" t="s">
        <v>163</v>
      </c>
      <c r="G14">
        <f>1.96*(STDEV(E12:E14)/SQRT(3))</f>
        <v>53.54597837390223</v>
      </c>
      <c r="K14" t="s">
        <v>154</v>
      </c>
      <c r="L14">
        <v>2416.8599999999997</v>
      </c>
      <c r="M14">
        <v>4321.2044444444446</v>
      </c>
    </row>
    <row r="17" spans="1:14">
      <c r="K17" t="s">
        <v>156</v>
      </c>
      <c r="L17">
        <v>102.66744486459044</v>
      </c>
      <c r="M17">
        <v>92.901081114213085</v>
      </c>
      <c r="N17">
        <v>100.58439157581509</v>
      </c>
    </row>
    <row r="18" spans="1:14">
      <c r="K18" t="s">
        <v>157</v>
      </c>
      <c r="L18">
        <v>53.54597837390223</v>
      </c>
      <c r="M18">
        <v>93.068361548559992</v>
      </c>
    </row>
    <row r="21" spans="1:14">
      <c r="A21" s="21"/>
      <c r="B21" s="21"/>
      <c r="C21" s="21"/>
      <c r="D21" s="21"/>
      <c r="E21" s="21" t="s">
        <v>141</v>
      </c>
      <c r="F21" s="21"/>
      <c r="G21" s="21"/>
      <c r="H21" s="21"/>
      <c r="I21" s="21"/>
      <c r="J21" s="21"/>
      <c r="K21" s="21"/>
      <c r="L21" s="21"/>
    </row>
    <row r="22" spans="1:14" ht="65">
      <c r="A22" s="19" t="s">
        <v>39</v>
      </c>
      <c r="B22" s="19" t="s">
        <v>40</v>
      </c>
      <c r="C22" s="16" t="s">
        <v>15</v>
      </c>
      <c r="D22" s="16" t="s">
        <v>142</v>
      </c>
      <c r="E22" s="16" t="s">
        <v>143</v>
      </c>
      <c r="F22" s="19" t="s">
        <v>121</v>
      </c>
      <c r="G22" s="16" t="s">
        <v>37</v>
      </c>
    </row>
    <row r="23" spans="1:14">
      <c r="A23">
        <f>B30+D30+A30</f>
        <v>3437.1733333333336</v>
      </c>
      <c r="B23">
        <v>2914.9259999999999</v>
      </c>
      <c r="C23" s="11">
        <f>5932/43.5</f>
        <v>136.36781609195401</v>
      </c>
      <c r="D23" s="11">
        <v>0</v>
      </c>
      <c r="E23">
        <v>1957.31</v>
      </c>
      <c r="F23" s="11">
        <f>MAX(A23:B23)+C23+E23</f>
        <v>5530.8511494252871</v>
      </c>
      <c r="G23" s="17">
        <v>5932</v>
      </c>
    </row>
    <row r="24" spans="1:14">
      <c r="A24">
        <f>B31+D31+A31</f>
        <v>3358.99</v>
      </c>
      <c r="B24">
        <v>2837.6559999999999</v>
      </c>
      <c r="C24" s="11">
        <f t="shared" ref="C24:C25" si="0">5932/43.5</f>
        <v>136.36781609195401</v>
      </c>
      <c r="D24" s="11">
        <v>0</v>
      </c>
      <c r="E24">
        <v>1964.54</v>
      </c>
      <c r="F24" s="11">
        <f>MAX(A24:B24)+C24+E24</f>
        <v>5459.8978160919542</v>
      </c>
      <c r="G24" t="s">
        <v>162</v>
      </c>
      <c r="H24">
        <f>AVERAGE(F23:F25)</f>
        <v>5538.1189272030651</v>
      </c>
    </row>
    <row r="25" spans="1:14">
      <c r="A25">
        <f>B32+D32+A32</f>
        <v>3508.45</v>
      </c>
      <c r="B25">
        <v>2869.0210000000002</v>
      </c>
      <c r="C25" s="11">
        <f t="shared" si="0"/>
        <v>136.36781609195401</v>
      </c>
      <c r="D25" s="11">
        <v>0</v>
      </c>
      <c r="E25" s="2">
        <v>1978.79</v>
      </c>
      <c r="F25" s="11">
        <f>MAX(A25:B25)+C25+E25</f>
        <v>5623.6078160919533</v>
      </c>
      <c r="G25" t="s">
        <v>163</v>
      </c>
      <c r="H25">
        <f>1.96*(STDEV(F23:F25)/SQRT(3))</f>
        <v>92.901081114213085</v>
      </c>
      <c r="I25" s="2"/>
      <c r="J25" s="2"/>
      <c r="K25" s="2"/>
      <c r="L25" s="2"/>
    </row>
    <row r="26" spans="1:14">
      <c r="E26" s="11"/>
    </row>
    <row r="29" spans="1:14" ht="65">
      <c r="A29" s="22" t="s">
        <v>183</v>
      </c>
      <c r="B29" s="22" t="s">
        <v>184</v>
      </c>
      <c r="C29" s="22" t="s">
        <v>185</v>
      </c>
      <c r="D29" s="22" t="s">
        <v>186</v>
      </c>
      <c r="E29" s="22" t="s">
        <v>187</v>
      </c>
      <c r="F29" s="22" t="s">
        <v>188</v>
      </c>
      <c r="G29" s="22" t="s">
        <v>189</v>
      </c>
    </row>
    <row r="30" spans="1:14">
      <c r="A30">
        <f>766.48/3</f>
        <v>255.49333333333334</v>
      </c>
      <c r="B30">
        <v>2765.76</v>
      </c>
      <c r="C30">
        <f>14*60+13</f>
        <v>853</v>
      </c>
      <c r="D30">
        <v>415.92</v>
      </c>
      <c r="E30">
        <f>SUM(A30:D30)</f>
        <v>4290.1733333333332</v>
      </c>
      <c r="F30" s="17">
        <v>2615</v>
      </c>
      <c r="G30">
        <v>55404</v>
      </c>
    </row>
    <row r="31" spans="1:14">
      <c r="A31">
        <v>275.63</v>
      </c>
      <c r="B31">
        <v>2678.83</v>
      </c>
      <c r="C31">
        <f>15*60</f>
        <v>900</v>
      </c>
      <c r="D31">
        <v>404.53</v>
      </c>
      <c r="E31">
        <f t="shared" ref="E31:E32" si="1">SUM(A31:D31)</f>
        <v>4258.99</v>
      </c>
      <c r="F31" s="20" t="s">
        <v>147</v>
      </c>
      <c r="G31">
        <f>AVERAGE(E30:E32)</f>
        <v>4321.2044444444446</v>
      </c>
    </row>
    <row r="32" spans="1:14">
      <c r="A32">
        <v>269.72000000000003</v>
      </c>
      <c r="B32">
        <v>2843.49</v>
      </c>
      <c r="C32">
        <v>906</v>
      </c>
      <c r="D32">
        <v>395.24</v>
      </c>
      <c r="E32">
        <f t="shared" si="1"/>
        <v>4414.45</v>
      </c>
      <c r="F32" s="20" t="s">
        <v>148</v>
      </c>
      <c r="G32">
        <f>1.96*(STDEV(E30:E32)/SQRT(3))</f>
        <v>93.068361548559992</v>
      </c>
    </row>
    <row r="34" spans="1:12">
      <c r="A34" s="16"/>
      <c r="B34" s="16"/>
      <c r="C34" s="16"/>
      <c r="D34" s="16"/>
      <c r="E34" s="16"/>
      <c r="F34" s="16"/>
      <c r="G34" s="2"/>
    </row>
    <row r="36" spans="1:12">
      <c r="A36" s="21"/>
      <c r="B36" s="21"/>
      <c r="C36" s="21"/>
      <c r="D36" s="21"/>
      <c r="E36" s="21" t="s">
        <v>149</v>
      </c>
      <c r="F36" s="21"/>
      <c r="G36" s="21"/>
      <c r="H36" s="21"/>
      <c r="I36" s="21"/>
      <c r="J36" s="21"/>
      <c r="K36" s="21"/>
      <c r="L36" s="21"/>
    </row>
    <row r="37" spans="1:12" ht="65">
      <c r="A37" s="19" t="s">
        <v>39</v>
      </c>
      <c r="B37" s="19" t="s">
        <v>40</v>
      </c>
      <c r="C37" s="16" t="s">
        <v>169</v>
      </c>
      <c r="D37" s="16" t="s">
        <v>151</v>
      </c>
      <c r="E37" s="16" t="s">
        <v>152</v>
      </c>
      <c r="F37" s="19" t="s">
        <v>121</v>
      </c>
      <c r="G37" s="16" t="s">
        <v>37</v>
      </c>
    </row>
    <row r="38" spans="1:12">
      <c r="A38">
        <v>6208.59</v>
      </c>
      <c r="B38">
        <f>895+70*60+767</f>
        <v>5862</v>
      </c>
      <c r="C38" s="11">
        <f>8946/43.5</f>
        <v>205.65517241379311</v>
      </c>
      <c r="D38">
        <v>0</v>
      </c>
      <c r="E38">
        <v>2998.56</v>
      </c>
      <c r="F38" s="11">
        <f>MAX(A38:B38)+C38+E38</f>
        <v>9412.8051724137931</v>
      </c>
      <c r="G38" s="20">
        <v>8946</v>
      </c>
    </row>
    <row r="39" spans="1:12">
      <c r="A39">
        <v>6234.8459999999995</v>
      </c>
      <c r="B39">
        <v>5863.4129999999996</v>
      </c>
      <c r="C39" s="11">
        <f t="shared" ref="C39:C40" si="2">8946/43.5</f>
        <v>205.65517241379311</v>
      </c>
      <c r="D39">
        <v>0</v>
      </c>
      <c r="E39">
        <v>2968.37</v>
      </c>
      <c r="F39" s="11">
        <f>MAX(A39:B39)+C39+E39</f>
        <v>9408.8711724137938</v>
      </c>
      <c r="G39" t="s">
        <v>162</v>
      </c>
      <c r="H39">
        <f>AVERAGE(F38:F40)</f>
        <v>9359.5321724137939</v>
      </c>
    </row>
    <row r="40" spans="1:12">
      <c r="A40">
        <v>6163.4449999999997</v>
      </c>
      <c r="B40">
        <v>5811.2950000000001</v>
      </c>
      <c r="C40" s="11">
        <f t="shared" si="2"/>
        <v>205.65517241379311</v>
      </c>
      <c r="D40">
        <v>0</v>
      </c>
      <c r="E40">
        <v>2887.82</v>
      </c>
      <c r="F40" s="11">
        <f>MAX(A40:B40)+C40+E40</f>
        <v>9256.9201724137929</v>
      </c>
      <c r="G40" t="s">
        <v>163</v>
      </c>
      <c r="H40">
        <f>1.96*(STDEV(F38:F40)/SQRT(3))</f>
        <v>100.58439157581509</v>
      </c>
      <c r="J40" s="2"/>
      <c r="K40" s="2"/>
      <c r="L40" s="2"/>
    </row>
    <row r="41" spans="1:12">
      <c r="E41" s="11"/>
    </row>
    <row r="44" spans="1:12" ht="65">
      <c r="A44" s="22" t="s">
        <v>183</v>
      </c>
      <c r="B44" s="22" t="s">
        <v>184</v>
      </c>
      <c r="C44" s="22" t="s">
        <v>185</v>
      </c>
      <c r="D44" s="22" t="s">
        <v>186</v>
      </c>
      <c r="E44" s="22" t="s">
        <v>187</v>
      </c>
      <c r="F44" s="22" t="s">
        <v>188</v>
      </c>
      <c r="G44" s="22" t="s">
        <v>189</v>
      </c>
    </row>
    <row r="45" spans="1:12">
      <c r="A45">
        <f>1200/3</f>
        <v>400</v>
      </c>
      <c r="F45" s="17"/>
    </row>
    <row r="46" spans="1:12">
      <c r="A46">
        <f>1161/3</f>
        <v>387</v>
      </c>
      <c r="F46" s="20"/>
    </row>
    <row r="47" spans="1:12">
      <c r="F47" s="20"/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L18"/>
  <sheetViews>
    <sheetView tabSelected="1" workbookViewId="0">
      <selection activeCell="F35" sqref="F35"/>
    </sheetView>
  </sheetViews>
  <sheetFormatPr baseColWidth="10" defaultRowHeight="13"/>
  <sheetData>
    <row r="4" spans="1:12">
      <c r="D4" s="12"/>
      <c r="E4" s="12"/>
    </row>
    <row r="5" spans="1:12">
      <c r="F5" s="12"/>
      <c r="G5" s="12"/>
    </row>
    <row r="6" spans="1:12">
      <c r="D6" s="12"/>
    </row>
    <row r="7" spans="1:12" ht="39">
      <c r="A7" s="2" t="s">
        <v>63</v>
      </c>
      <c r="B7" s="2" t="s">
        <v>79</v>
      </c>
      <c r="C7" s="2" t="s">
        <v>127</v>
      </c>
      <c r="D7" s="2" t="s">
        <v>128</v>
      </c>
      <c r="E7" s="2" t="s">
        <v>109</v>
      </c>
      <c r="F7" s="2" t="s">
        <v>112</v>
      </c>
      <c r="G7" s="2" t="s">
        <v>111</v>
      </c>
      <c r="H7" s="2" t="s">
        <v>111</v>
      </c>
      <c r="J7" s="2" t="s">
        <v>136</v>
      </c>
    </row>
    <row r="8" spans="1:12">
      <c r="A8" t="s">
        <v>92</v>
      </c>
      <c r="B8" t="s">
        <v>74</v>
      </c>
      <c r="C8">
        <v>9862</v>
      </c>
      <c r="D8" t="s">
        <v>191</v>
      </c>
      <c r="E8">
        <f>SUM(F8:H8)</f>
        <v>3321</v>
      </c>
      <c r="F8">
        <v>1109</v>
      </c>
      <c r="G8">
        <v>1106</v>
      </c>
      <c r="H8">
        <v>1106</v>
      </c>
      <c r="J8">
        <v>3</v>
      </c>
      <c r="K8" t="s">
        <v>6</v>
      </c>
    </row>
    <row r="9" spans="1:12">
      <c r="D9" t="s">
        <v>129</v>
      </c>
      <c r="E9">
        <f>SUM(F9:H9)</f>
        <v>3551</v>
      </c>
      <c r="F9">
        <v>1139</v>
      </c>
      <c r="G9">
        <v>1206</v>
      </c>
      <c r="H9">
        <v>1206</v>
      </c>
      <c r="J9">
        <v>3</v>
      </c>
    </row>
    <row r="10" spans="1:12">
      <c r="D10" t="s">
        <v>130</v>
      </c>
      <c r="E10">
        <f>SUM(F10:H10)</f>
        <v>3482</v>
      </c>
      <c r="F10">
        <v>1162</v>
      </c>
      <c r="G10">
        <v>1160</v>
      </c>
      <c r="H10">
        <v>1160</v>
      </c>
      <c r="J10">
        <v>3</v>
      </c>
    </row>
    <row r="11" spans="1:12">
      <c r="L11" t="s">
        <v>137</v>
      </c>
    </row>
    <row r="12" spans="1:12">
      <c r="B12" t="s">
        <v>75</v>
      </c>
      <c r="C12">
        <v>9267</v>
      </c>
      <c r="D12" t="s">
        <v>131</v>
      </c>
      <c r="E12">
        <v>3463</v>
      </c>
      <c r="F12">
        <v>1114</v>
      </c>
      <c r="G12">
        <v>1107</v>
      </c>
      <c r="H12">
        <v>1114</v>
      </c>
      <c r="J12">
        <v>3</v>
      </c>
      <c r="L12">
        <f>MAX(F8:H18)</f>
        <v>1264</v>
      </c>
    </row>
    <row r="13" spans="1:12">
      <c r="D13" t="s">
        <v>132</v>
      </c>
      <c r="E13">
        <v>3568</v>
      </c>
      <c r="F13">
        <v>1141</v>
      </c>
      <c r="G13">
        <v>1158</v>
      </c>
      <c r="H13">
        <v>1141</v>
      </c>
      <c r="J13">
        <v>3</v>
      </c>
    </row>
    <row r="14" spans="1:12">
      <c r="D14" t="s">
        <v>145</v>
      </c>
      <c r="E14">
        <v>3566</v>
      </c>
      <c r="F14">
        <v>1144</v>
      </c>
      <c r="G14">
        <v>1150</v>
      </c>
      <c r="H14">
        <v>1144</v>
      </c>
      <c r="J14">
        <v>3</v>
      </c>
    </row>
    <row r="15" spans="1:12">
      <c r="K15" t="s">
        <v>138</v>
      </c>
    </row>
    <row r="16" spans="1:12">
      <c r="K16">
        <f>SUM(C8+C12+C17)</f>
        <v>28396</v>
      </c>
    </row>
    <row r="17" spans="2:10">
      <c r="B17" t="s">
        <v>190</v>
      </c>
      <c r="C17">
        <v>9267</v>
      </c>
      <c r="D17" t="s">
        <v>146</v>
      </c>
      <c r="E17">
        <v>3531</v>
      </c>
      <c r="F17">
        <v>1132</v>
      </c>
      <c r="G17">
        <v>1139</v>
      </c>
      <c r="H17">
        <v>1132</v>
      </c>
      <c r="J17">
        <v>3</v>
      </c>
    </row>
    <row r="18" spans="2:10">
      <c r="D18" t="s">
        <v>135</v>
      </c>
      <c r="E18">
        <v>3904</v>
      </c>
      <c r="F18">
        <v>1264</v>
      </c>
      <c r="G18">
        <v>1248</v>
      </c>
      <c r="H18">
        <v>1264</v>
      </c>
      <c r="J18">
        <v>3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7:L25"/>
  <sheetViews>
    <sheetView topLeftCell="B1" workbookViewId="0">
      <selection activeCell="J31" sqref="J31"/>
    </sheetView>
  </sheetViews>
  <sheetFormatPr baseColWidth="10" defaultRowHeight="13"/>
  <sheetData>
    <row r="7" spans="1:12" ht="39">
      <c r="A7" s="2" t="s">
        <v>63</v>
      </c>
      <c r="B7" s="2" t="s">
        <v>79</v>
      </c>
      <c r="C7" s="2" t="s">
        <v>127</v>
      </c>
      <c r="D7" s="2" t="s">
        <v>128</v>
      </c>
      <c r="E7" s="2" t="s">
        <v>109</v>
      </c>
      <c r="F7" s="2" t="s">
        <v>112</v>
      </c>
      <c r="G7" s="2" t="s">
        <v>111</v>
      </c>
      <c r="H7" s="2" t="s">
        <v>111</v>
      </c>
      <c r="J7" s="2" t="s">
        <v>136</v>
      </c>
    </row>
    <row r="8" spans="1:12">
      <c r="A8" t="s">
        <v>144</v>
      </c>
      <c r="B8" t="s">
        <v>74</v>
      </c>
      <c r="C8">
        <v>18468</v>
      </c>
      <c r="D8" t="s">
        <v>191</v>
      </c>
      <c r="E8">
        <f>SUM(F8:H8)</f>
        <v>6550</v>
      </c>
      <c r="F8">
        <v>2220</v>
      </c>
      <c r="G8">
        <v>2165</v>
      </c>
      <c r="H8">
        <v>2165</v>
      </c>
      <c r="J8">
        <v>3</v>
      </c>
      <c r="K8" t="s">
        <v>6</v>
      </c>
    </row>
    <row r="9" spans="1:12">
      <c r="D9" t="s">
        <v>129</v>
      </c>
      <c r="E9">
        <f>SUM(F9:H9)</f>
        <v>6752</v>
      </c>
      <c r="F9">
        <v>2318</v>
      </c>
      <c r="G9">
        <v>2217</v>
      </c>
      <c r="H9">
        <v>2217</v>
      </c>
      <c r="J9">
        <v>3</v>
      </c>
    </row>
    <row r="10" spans="1:12">
      <c r="D10" t="s">
        <v>130</v>
      </c>
      <c r="E10">
        <f>SUM(F10:H10)</f>
        <v>7135</v>
      </c>
      <c r="F10">
        <v>2615</v>
      </c>
      <c r="G10">
        <v>2260</v>
      </c>
      <c r="H10">
        <v>2260</v>
      </c>
      <c r="J10">
        <v>3</v>
      </c>
    </row>
    <row r="11" spans="1:12">
      <c r="L11" t="s">
        <v>137</v>
      </c>
    </row>
    <row r="12" spans="1:12">
      <c r="B12" t="s">
        <v>75</v>
      </c>
      <c r="C12">
        <v>18468</v>
      </c>
      <c r="D12" t="s">
        <v>131</v>
      </c>
      <c r="E12">
        <f>SUM(F12:H12)</f>
        <v>6611</v>
      </c>
      <c r="F12">
        <v>2173</v>
      </c>
      <c r="G12">
        <v>2265</v>
      </c>
      <c r="H12">
        <v>2173</v>
      </c>
      <c r="J12">
        <v>3</v>
      </c>
      <c r="L12">
        <f>MAX(F8:H18)</f>
        <v>2615</v>
      </c>
    </row>
    <row r="13" spans="1:12">
      <c r="D13" t="s">
        <v>132</v>
      </c>
      <c r="E13">
        <f>SUM(F13:H13)</f>
        <v>6564</v>
      </c>
      <c r="F13">
        <v>2143</v>
      </c>
      <c r="G13">
        <v>2278</v>
      </c>
      <c r="H13">
        <v>2143</v>
      </c>
      <c r="J13">
        <v>3</v>
      </c>
    </row>
    <row r="14" spans="1:12">
      <c r="D14" t="s">
        <v>133</v>
      </c>
      <c r="E14">
        <f>SUM(F14:H14)</f>
        <v>6373</v>
      </c>
      <c r="F14">
        <v>2134</v>
      </c>
      <c r="G14">
        <v>2105</v>
      </c>
      <c r="H14">
        <v>2134</v>
      </c>
      <c r="J14">
        <v>3</v>
      </c>
    </row>
    <row r="15" spans="1:12">
      <c r="K15" t="s">
        <v>138</v>
      </c>
    </row>
    <row r="16" spans="1:12">
      <c r="K16">
        <f>SUM(C8+C12+C17)</f>
        <v>55404</v>
      </c>
    </row>
    <row r="17" spans="2:10">
      <c r="B17" t="s">
        <v>190</v>
      </c>
      <c r="C17">
        <v>18468</v>
      </c>
      <c r="D17" t="s">
        <v>134</v>
      </c>
      <c r="E17">
        <f>SUM(F17:H17)</f>
        <v>6565</v>
      </c>
      <c r="F17">
        <v>2123</v>
      </c>
      <c r="G17">
        <v>2319</v>
      </c>
      <c r="H17">
        <v>2123</v>
      </c>
      <c r="J17">
        <v>3</v>
      </c>
    </row>
    <row r="18" spans="2:10">
      <c r="D18" t="s">
        <v>135</v>
      </c>
      <c r="E18">
        <f>SUM(F18:H18)</f>
        <v>6974</v>
      </c>
      <c r="F18">
        <v>2346</v>
      </c>
      <c r="G18">
        <v>2282</v>
      </c>
      <c r="H18">
        <v>2346</v>
      </c>
      <c r="J18">
        <v>3</v>
      </c>
    </row>
    <row r="25" spans="2:10">
      <c r="H25" t="s">
        <v>5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wc hadoop-pmr</vt:lpstr>
      <vt:lpstr>2 machines</vt:lpstr>
      <vt:lpstr>10GB</vt:lpstr>
      <vt:lpstr>20GB</vt:lpstr>
      <vt:lpstr>40GB</vt:lpstr>
      <vt:lpstr>3 machines</vt:lpstr>
      <vt:lpstr>10GB-3machines</vt:lpstr>
      <vt:lpstr>20GB-3machines</vt:lpstr>
      <vt:lpstr>40GB-3machines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2012-02-20T14:51:28Z</dcterms:created>
  <dcterms:modified xsi:type="dcterms:W3CDTF">2012-02-24T04:18:37Z</dcterms:modified>
</cp:coreProperties>
</file>