
<file path=[Content_Types].xml><?xml version="1.0" encoding="utf-8"?>
<Types xmlns="http://schemas.openxmlformats.org/package/2006/content-types"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charts/chart9.xml" ContentType="application/vnd.openxmlformats-officedocument.drawingml.chart+xml"/>
  <Override PartName="/xl/charts/chart18.xml" ContentType="application/vnd.openxmlformats-officedocument.drawingml.chart+xml"/>
  <Default Extension="rels" ContentType="application/vnd.openxmlformats-package.relationships+xml"/>
  <Default Extension="jpeg" ContentType="image/jpeg"/>
  <Default Extension="xml" ContentType="application/xml"/>
  <Override PartName="/xl/charts/chart1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xl/worksheets/sheet1.xml" ContentType="application/vnd.openxmlformats-officedocument.spreadsheetml.worksheet+xml"/>
  <Override PartName="/xl/charts/chart14.xml" ContentType="application/vnd.openxmlformats-officedocument.drawingml.chart+xml"/>
  <Override PartName="/xl/charts/chart5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app.xml" ContentType="application/vnd.openxmlformats-officedocument.extended-properties+xml"/>
  <Override PartName="/xl/charts/chart1.xml" ContentType="application/vnd.openxmlformats-officedocument.drawingml.chart+xml"/>
  <Override PartName="/xl/charts/chart8.xml" ContentType="application/vnd.openxmlformats-officedocument.drawingml.chart+xml"/>
  <Override PartName="/xl/charts/chart17.xml" ContentType="application/vnd.openxmlformats-officedocument.drawingml.chart+xml"/>
  <Override PartName="/xl/worksheets/sheet2.xml" ContentType="application/vnd.openxmlformats-officedocument.spreadsheetml.worksheet+xml"/>
  <Override PartName="/xl/charts/chart6.xml" ContentType="application/vnd.openxmlformats-officedocument.drawingml.chart+xml"/>
  <Override PartName="/xl/charts/chart15.xml" ContentType="application/vnd.openxmlformats-officedocument.drawingml.char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4.xml" ContentType="application/vnd.openxmlformats-officedocument.drawingml.chart+xml"/>
  <Override PartName="/xl/externalLinks/externalLink2.xml" ContentType="application/vnd.openxmlformats-officedocument.spreadsheetml.externalLink+xml"/>
  <Override PartName="/xl/charts/chart11.xml" ContentType="application/vnd.openxmlformats-officedocument.drawingml.chart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4120" tabRatio="500" activeTab="1"/>
  </bookViews>
  <sheets>
    <sheet name="GS data" sheetId="1" r:id="rId1"/>
    <sheet name="GS data analysis" sheetId="2" r:id="rId2"/>
    <sheet name="Sheet1" sheetId="3" r:id="rId3"/>
  </sheets>
  <externalReferences>
    <externalReference r:id="rId4"/>
    <externalReference r:id="rId5"/>
  </externalReferenc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58" i="1"/>
  <c r="E157"/>
  <c r="E156"/>
  <c r="Q150"/>
  <c r="P150"/>
  <c r="L150"/>
  <c r="K150"/>
  <c r="G150"/>
  <c r="F150"/>
  <c r="Q149"/>
  <c r="P149"/>
  <c r="L149"/>
  <c r="K149"/>
  <c r="G149"/>
  <c r="F149"/>
  <c r="Q148"/>
  <c r="P148"/>
  <c r="L148"/>
  <c r="K148"/>
  <c r="G148"/>
  <c r="F148"/>
  <c r="B143"/>
  <c r="B142"/>
  <c r="B141"/>
  <c r="B133"/>
  <c r="B132"/>
  <c r="B131"/>
  <c r="O124"/>
  <c r="B124"/>
  <c r="O123"/>
  <c r="B123"/>
  <c r="O122"/>
  <c r="Q122"/>
  <c r="P122"/>
  <c r="B122"/>
  <c r="L90"/>
  <c r="K90"/>
  <c r="G90"/>
  <c r="F90"/>
  <c r="B90"/>
  <c r="L89"/>
  <c r="K89"/>
  <c r="G89"/>
  <c r="F89"/>
  <c r="B89"/>
  <c r="L88"/>
  <c r="K88"/>
  <c r="G88"/>
  <c r="F88"/>
  <c r="B88"/>
  <c r="B83"/>
  <c r="B82"/>
  <c r="B81"/>
  <c r="B76"/>
  <c r="B75"/>
  <c r="B74"/>
  <c r="B69"/>
  <c r="B68"/>
  <c r="B67"/>
  <c r="F36"/>
  <c r="F35"/>
  <c r="F34"/>
  <c r="F33"/>
  <c r="N28"/>
  <c r="M28"/>
  <c r="L28"/>
  <c r="K28"/>
  <c r="N27"/>
  <c r="M27"/>
  <c r="L27"/>
  <c r="K27"/>
  <c r="N26"/>
  <c r="M26"/>
  <c r="L26"/>
  <c r="K26"/>
  <c r="N25"/>
  <c r="M25"/>
  <c r="L25"/>
  <c r="K25"/>
  <c r="B21"/>
  <c r="B20"/>
  <c r="B19"/>
  <c r="B18"/>
  <c r="B13"/>
  <c r="B12"/>
  <c r="B11"/>
  <c r="B10"/>
  <c r="B6"/>
  <c r="B5"/>
  <c r="B4"/>
  <c r="B3"/>
  <c r="C83" i="2"/>
  <c r="C82"/>
  <c r="C81"/>
  <c r="C8"/>
  <c r="C7"/>
  <c r="C6"/>
  <c r="C5"/>
  <c r="D218" i="3"/>
  <c r="D219"/>
  <c r="D220"/>
  <c r="F218"/>
  <c r="E218"/>
  <c r="E206"/>
  <c r="E207"/>
  <c r="E208"/>
  <c r="C208"/>
  <c r="B208"/>
  <c r="E203"/>
  <c r="E204"/>
  <c r="E205"/>
  <c r="C205"/>
  <c r="B205"/>
  <c r="E200"/>
  <c r="E201"/>
  <c r="E202"/>
  <c r="C202"/>
  <c r="B202"/>
  <c r="C197"/>
  <c r="B197"/>
  <c r="E197"/>
  <c r="G197"/>
  <c r="L197"/>
  <c r="C196"/>
  <c r="B196"/>
  <c r="E196"/>
  <c r="G196"/>
  <c r="L196"/>
  <c r="E195"/>
  <c r="G195"/>
  <c r="L195"/>
  <c r="H195"/>
  <c r="C195"/>
  <c r="B195"/>
  <c r="B154"/>
  <c r="B155"/>
  <c r="B156"/>
  <c r="B157"/>
  <c r="B170"/>
  <c r="E191"/>
  <c r="G191"/>
  <c r="L191"/>
  <c r="E192"/>
  <c r="G192"/>
  <c r="L190"/>
  <c r="C163"/>
  <c r="C164"/>
  <c r="C165"/>
  <c r="C178"/>
  <c r="K161"/>
  <c r="B163"/>
  <c r="B164"/>
  <c r="B165"/>
  <c r="B178"/>
  <c r="J161"/>
  <c r="C158"/>
  <c r="C159"/>
  <c r="C160"/>
  <c r="C161"/>
  <c r="C174"/>
  <c r="K160"/>
  <c r="B158"/>
  <c r="B159"/>
  <c r="B160"/>
  <c r="B161"/>
  <c r="B174"/>
  <c r="J160"/>
  <c r="F191"/>
  <c r="H191"/>
  <c r="C154"/>
  <c r="C155"/>
  <c r="C156"/>
  <c r="C157"/>
  <c r="C170"/>
  <c r="K159"/>
  <c r="J159"/>
  <c r="D183"/>
  <c r="E183"/>
  <c r="D182"/>
  <c r="E182"/>
  <c r="D181"/>
  <c r="E181"/>
  <c r="C175"/>
  <c r="C176"/>
  <c r="C177"/>
  <c r="E178"/>
  <c r="B175"/>
  <c r="B176"/>
  <c r="B177"/>
  <c r="D178"/>
  <c r="C171"/>
  <c r="C172"/>
  <c r="C173"/>
  <c r="E174"/>
  <c r="B171"/>
  <c r="B172"/>
  <c r="B173"/>
  <c r="D174"/>
  <c r="L171"/>
  <c r="K171"/>
  <c r="J171"/>
  <c r="L170"/>
  <c r="K170"/>
  <c r="J170"/>
  <c r="C167"/>
  <c r="C168"/>
  <c r="C169"/>
  <c r="E170"/>
  <c r="B167"/>
  <c r="B168"/>
  <c r="B169"/>
  <c r="D170"/>
  <c r="L169"/>
  <c r="K169"/>
  <c r="J169"/>
  <c r="K156"/>
  <c r="J156"/>
  <c r="K155"/>
  <c r="J155"/>
  <c r="K154"/>
  <c r="J154"/>
  <c r="M128"/>
  <c r="O128"/>
  <c r="M127"/>
  <c r="O127"/>
  <c r="M126"/>
  <c r="O126"/>
  <c r="Q126"/>
  <c r="P126"/>
  <c r="G126"/>
  <c r="F126"/>
  <c r="M123"/>
  <c r="O123"/>
  <c r="M122"/>
  <c r="O122"/>
  <c r="M121"/>
  <c r="O121"/>
  <c r="Q121"/>
  <c r="P121"/>
  <c r="G121"/>
  <c r="F121"/>
  <c r="M118"/>
  <c r="O118"/>
  <c r="M117"/>
  <c r="O117"/>
  <c r="M116"/>
  <c r="O116"/>
  <c r="Q116"/>
  <c r="P116"/>
  <c r="G116"/>
  <c r="F116"/>
  <c r="U111"/>
  <c r="U110"/>
  <c r="B90"/>
  <c r="C82"/>
  <c r="G82"/>
  <c r="C81"/>
  <c r="G81"/>
  <c r="C80"/>
  <c r="G80"/>
  <c r="C66"/>
  <c r="M74"/>
  <c r="V74"/>
  <c r="Z74"/>
  <c r="O74"/>
  <c r="Q74"/>
  <c r="R74"/>
  <c r="S74"/>
  <c r="V73"/>
  <c r="Z73"/>
  <c r="O73"/>
  <c r="P73"/>
  <c r="R73"/>
  <c r="S73"/>
  <c r="F73"/>
  <c r="E73"/>
  <c r="V72"/>
  <c r="Z72"/>
  <c r="O72"/>
  <c r="R72"/>
  <c r="S72"/>
  <c r="F72"/>
  <c r="E72"/>
  <c r="F71"/>
  <c r="E71"/>
  <c r="G68"/>
  <c r="E67"/>
  <c r="G67"/>
  <c r="E66"/>
  <c r="G66"/>
  <c r="I66"/>
  <c r="H66"/>
  <c r="C63"/>
  <c r="E63"/>
  <c r="G63"/>
  <c r="G62"/>
  <c r="C61"/>
  <c r="G61"/>
  <c r="I61"/>
  <c r="H61"/>
  <c r="C59"/>
  <c r="G59"/>
  <c r="C58"/>
  <c r="G58"/>
  <c r="C57"/>
  <c r="G57"/>
  <c r="I57"/>
  <c r="H57"/>
  <c r="E37"/>
  <c r="D37"/>
  <c r="K36"/>
  <c r="E36"/>
  <c r="D36"/>
  <c r="K35"/>
  <c r="E35"/>
  <c r="D35"/>
  <c r="P29"/>
  <c r="R29"/>
  <c r="Q29"/>
  <c r="P28"/>
  <c r="R28"/>
  <c r="Q28"/>
  <c r="M27"/>
  <c r="P27"/>
  <c r="R27"/>
  <c r="Q27"/>
  <c r="V23"/>
  <c r="V22"/>
  <c r="V21"/>
  <c r="X21"/>
  <c r="W21"/>
  <c r="T19"/>
  <c r="V19"/>
  <c r="B19"/>
  <c r="T18"/>
  <c r="V18"/>
  <c r="T17"/>
  <c r="V17"/>
  <c r="X17"/>
  <c r="W17"/>
  <c r="V15"/>
  <c r="P15"/>
  <c r="V14"/>
  <c r="P14"/>
  <c r="F14"/>
  <c r="I14"/>
  <c r="H14"/>
  <c r="G14"/>
  <c r="V13"/>
  <c r="X13"/>
  <c r="W13"/>
  <c r="P13"/>
  <c r="F13"/>
  <c r="E13"/>
  <c r="I13"/>
  <c r="D13"/>
  <c r="H13"/>
  <c r="G13"/>
  <c r="F12"/>
  <c r="I12"/>
  <c r="H12"/>
  <c r="G12"/>
  <c r="L9"/>
  <c r="E7"/>
  <c r="H7"/>
  <c r="K7"/>
  <c r="N7"/>
  <c r="M7"/>
  <c r="E6"/>
  <c r="H6"/>
  <c r="K6"/>
  <c r="N6"/>
  <c r="M6"/>
  <c r="O5"/>
  <c r="E5"/>
  <c r="H5"/>
  <c r="K5"/>
  <c r="N5"/>
  <c r="M5"/>
</calcChain>
</file>

<file path=xl/sharedStrings.xml><?xml version="1.0" encoding="utf-8"?>
<sst xmlns="http://schemas.openxmlformats.org/spreadsheetml/2006/main" count="538" uniqueCount="299">
  <si>
    <t>phase times</t>
    <phoneticPr fontId="3" type="noConversion"/>
  </si>
  <si>
    <t>seqal</t>
    <phoneticPr fontId="3" type="noConversion"/>
  </si>
  <si>
    <t>mahine used -sierra</t>
    <phoneticPr fontId="3" type="noConversion"/>
  </si>
  <si>
    <t>(8 workers/ 2 workers/node, 4 node requested, number of reduces=8)</t>
    <phoneticPr fontId="3" type="noConversion"/>
  </si>
  <si>
    <t>input 2GB, sequences=3805921, chunksize=128MB, number of reduces=8,nodes=4, numberofworkers/node=2</t>
    <phoneticPr fontId="3" type="noConversion"/>
  </si>
  <si>
    <t>Bowtie</t>
    <phoneticPr fontId="3" type="noConversion"/>
  </si>
  <si>
    <t>Chunk</t>
  </si>
  <si>
    <t>Map</t>
  </si>
  <si>
    <t>Tts</t>
  </si>
  <si>
    <t>8workers, 4 nodes, 2 wokers/node , -p 4 , 8GB</t>
    <phoneticPr fontId="3" type="noConversion"/>
  </si>
  <si>
    <t>average</t>
    <phoneticPr fontId="3" type="noConversion"/>
  </si>
  <si>
    <t>stderr</t>
    <phoneticPr fontId="3" type="noConversion"/>
  </si>
  <si>
    <t>without -p</t>
    <phoneticPr fontId="3" type="noConversion"/>
  </si>
  <si>
    <t>use default replication factor.</t>
    <phoneticPr fontId="3" type="noConversion"/>
  </si>
  <si>
    <t>avg</t>
    <phoneticPr fontId="3" type="noConversion"/>
  </si>
  <si>
    <t>stderr</t>
    <phoneticPr fontId="3" type="noConversion"/>
  </si>
  <si>
    <t>1GB</t>
    <phoneticPr fontId="3" type="noConversion"/>
  </si>
  <si>
    <t>2GB</t>
    <phoneticPr fontId="3" type="noConversion"/>
  </si>
  <si>
    <t>4GB</t>
    <phoneticPr fontId="3" type="noConversion"/>
  </si>
  <si>
    <t>initial data transfers</t>
    <phoneticPr fontId="3" type="noConversion"/>
  </si>
  <si>
    <t>tts with intial data transfer</t>
    <phoneticPr fontId="3" type="noConversion"/>
  </si>
  <si>
    <t>232MB</t>
    <phoneticPr fontId="3" type="noConversion"/>
  </si>
  <si>
    <t>943MB</t>
    <phoneticPr fontId="3" type="noConversion"/>
  </si>
  <si>
    <t>445MB</t>
    <phoneticPr fontId="3" type="noConversion"/>
  </si>
  <si>
    <t>Mean Map phase</t>
    <phoneticPr fontId="3" type="noConversion"/>
  </si>
  <si>
    <t>stderr for map phase</t>
    <phoneticPr fontId="3" type="noConversion"/>
  </si>
  <si>
    <t>mean reduce phase</t>
    <phoneticPr fontId="3" type="noConversion"/>
  </si>
  <si>
    <t>stderr for reduce phase</t>
    <phoneticPr fontId="3" type="noConversion"/>
  </si>
  <si>
    <t xml:space="preserve">Mean </t>
    <phoneticPr fontId="3" type="noConversion"/>
  </si>
  <si>
    <t>Stdev</t>
    <phoneticPr fontId="3" type="noConversion"/>
  </si>
  <si>
    <t>Remaining is Filedelimiter which I used.</t>
    <phoneticPr fontId="3" type="noConversion"/>
  </si>
  <si>
    <t>Varying Input size - I</t>
    <phoneticPr fontId="3" type="noConversion"/>
  </si>
  <si>
    <t>distributed-PMR</t>
    <phoneticPr fontId="3" type="noConversion"/>
  </si>
  <si>
    <t>Map</t>
    <phoneticPr fontId="3" type="noConversion"/>
  </si>
  <si>
    <t>reduce</t>
    <phoneticPr fontId="3" type="noConversion"/>
  </si>
  <si>
    <t>Chunk</t>
    <phoneticPr fontId="3" type="noConversion"/>
  </si>
  <si>
    <t>Push Data</t>
    <phoneticPr fontId="3" type="noConversion"/>
  </si>
  <si>
    <t>Shuffle</t>
    <phoneticPr fontId="3" type="noConversion"/>
  </si>
  <si>
    <t>Exchange</t>
    <phoneticPr fontId="3" type="noConversion"/>
  </si>
  <si>
    <t>Reduce</t>
    <phoneticPr fontId="3" type="noConversion"/>
  </si>
  <si>
    <t>Total</t>
    <phoneticPr fontId="3" type="noConversion"/>
  </si>
  <si>
    <t>stderr in cunk</t>
    <phoneticPr fontId="3" type="noConversion"/>
  </si>
  <si>
    <t>stderr in setup</t>
    <phoneticPr fontId="3" type="noConversion"/>
  </si>
  <si>
    <t>stderr in Map</t>
    <phoneticPr fontId="3" type="noConversion"/>
  </si>
  <si>
    <t>sterr in exchange</t>
    <phoneticPr fontId="3" type="noConversion"/>
  </si>
  <si>
    <t>stderr in shuffle</t>
    <phoneticPr fontId="3" type="noConversion"/>
  </si>
  <si>
    <t>mean time taken for shuffle</t>
    <phoneticPr fontId="3" type="noConversion"/>
  </si>
  <si>
    <t>stderr in shuffle time</t>
    <phoneticPr fontId="3" type="noConversion"/>
  </si>
  <si>
    <t>Local-PMR</t>
    <phoneticPr fontId="3" type="noConversion"/>
  </si>
  <si>
    <t>2nodes</t>
    <phoneticPr fontId="3" type="noConversion"/>
  </si>
  <si>
    <t>Changign number of workers(8GB, 4nodes)</t>
    <phoneticPr fontId="3" type="noConversion"/>
  </si>
  <si>
    <t>Crossbow</t>
    <phoneticPr fontId="3" type="noConversion"/>
  </si>
  <si>
    <t>setup</t>
    <phoneticPr fontId="3" type="noConversion"/>
  </si>
  <si>
    <t>tts</t>
    <phoneticPr fontId="3" type="noConversion"/>
  </si>
  <si>
    <t>average</t>
    <phoneticPr fontId="3" type="noConversion"/>
  </si>
  <si>
    <t>stderr</t>
    <phoneticPr fontId="3" type="noConversion"/>
  </si>
  <si>
    <t>maps</t>
    <phoneticPr fontId="3" type="noConversion"/>
  </si>
  <si>
    <t>Mapcompletion</t>
    <phoneticPr fontId="3" type="noConversion"/>
  </si>
  <si>
    <t>shuffle completion</t>
    <phoneticPr fontId="3" type="noConversion"/>
  </si>
  <si>
    <t>reduce completion</t>
    <phoneticPr fontId="3" type="noConversion"/>
  </si>
  <si>
    <t>map phase time</t>
    <phoneticPr fontId="3" type="noConversion"/>
  </si>
  <si>
    <t>setup</t>
    <phoneticPr fontId="3" type="noConversion"/>
  </si>
  <si>
    <t>reduce phase time</t>
    <phoneticPr fontId="3" type="noConversion"/>
  </si>
  <si>
    <t>Size of data transferred in MB from Map to reduce phase</t>
    <phoneticPr fontId="3" type="noConversion"/>
  </si>
  <si>
    <t>Reduce Phase Time in seconds - I</t>
    <phoneticPr fontId="3" type="noConversion"/>
  </si>
  <si>
    <t>seqal default configs</t>
    <phoneticPr fontId="3" type="noConversion"/>
  </si>
  <si>
    <t>tts</t>
    <phoneticPr fontId="3" type="noConversion"/>
  </si>
  <si>
    <t>mean reduce phase</t>
    <phoneticPr fontId="3" type="noConversion"/>
  </si>
  <si>
    <t>Reduce Phase Time in seconds</t>
    <phoneticPr fontId="3" type="noConversion"/>
  </si>
  <si>
    <t>chunk time</t>
    <phoneticPr fontId="3" type="noConversion"/>
  </si>
  <si>
    <t>exchange</t>
    <phoneticPr fontId="3" type="noConversion"/>
  </si>
  <si>
    <t>Duplicate output size is 4445MB which is 44.5% of input data</t>
    <phoneticPr fontId="3" type="noConversion"/>
  </si>
  <si>
    <t>stderr of map phase</t>
  </si>
  <si>
    <t>mean reduce phase</t>
  </si>
  <si>
    <t>stderr of reduce phase</t>
  </si>
  <si>
    <t>&lt; 1sec</t>
    <phoneticPr fontId="3" type="noConversion"/>
  </si>
  <si>
    <t>Data transfer in MB between map &amp; reduce phase is</t>
    <phoneticPr fontId="3" type="noConversion"/>
  </si>
  <si>
    <t>Reduced output size  3120 MB  which is 31.2% of input data</t>
    <phoneticPr fontId="3" type="noConversion"/>
  </si>
  <si>
    <t>crossbow(bowtie)</t>
    <phoneticPr fontId="3" type="noConversion"/>
  </si>
  <si>
    <t xml:space="preserve">stderr </t>
    <phoneticPr fontId="3" type="noConversion"/>
  </si>
  <si>
    <t>2GB</t>
    <phoneticPr fontId="3" type="noConversion"/>
  </si>
  <si>
    <t>Reduced output size  3120 MB  which is 31.2% of input data</t>
    <phoneticPr fontId="3" type="noConversion"/>
  </si>
  <si>
    <t>Varying Input size, chunk size=625000, number  of reduces=8, number of workers=32</t>
    <phoneticPr fontId="3" type="noConversion"/>
  </si>
  <si>
    <t>Input data size in GB</t>
    <phoneticPr fontId="3" type="noConversion"/>
  </si>
  <si>
    <t>Total Time to solution in  secs</t>
    <phoneticPr fontId="3" type="noConversion"/>
  </si>
  <si>
    <t>stderr in chunk time</t>
    <phoneticPr fontId="3" type="noConversion"/>
  </si>
  <si>
    <t>reduce Output data size in MB</t>
    <phoneticPr fontId="3" type="noConversion"/>
  </si>
  <si>
    <t>duplicate  data size in MB</t>
    <phoneticPr fontId="3" type="noConversion"/>
  </si>
  <si>
    <t>Varying Number of chunk size - II</t>
    <phoneticPr fontId="3" type="noConversion"/>
  </si>
  <si>
    <t>Number of workers=(4+4), sierra and hotel used.</t>
    <phoneticPr fontId="3" type="noConversion"/>
  </si>
  <si>
    <t>Number of workers=(4+4), india and hotel used.</t>
    <phoneticPr fontId="3" type="noConversion"/>
  </si>
  <si>
    <t>835 intermediate data</t>
    <phoneticPr fontId="3" type="noConversion"/>
  </si>
  <si>
    <t>seqal map timings</t>
    <phoneticPr fontId="3" type="noConversion"/>
  </si>
  <si>
    <t>Align</t>
    <phoneticPr fontId="3" type="noConversion"/>
  </si>
  <si>
    <t>SNPs</t>
    <phoneticPr fontId="3" type="noConversion"/>
  </si>
  <si>
    <t>2GB</t>
    <phoneticPr fontId="3" type="noConversion"/>
  </si>
  <si>
    <t>408M</t>
  </si>
  <si>
    <t>0.159M</t>
    <phoneticPr fontId="3" type="noConversion"/>
  </si>
  <si>
    <t>4GB</t>
    <phoneticPr fontId="3" type="noConversion"/>
  </si>
  <si>
    <t>863M</t>
  </si>
  <si>
    <t>0.372M</t>
    <phoneticPr fontId="3" type="noConversion"/>
  </si>
  <si>
    <t>1800M</t>
    <phoneticPr fontId="3" type="noConversion"/>
  </si>
  <si>
    <t>1.1M</t>
  </si>
  <si>
    <t>map</t>
    <phoneticPr fontId="3" type="noConversion"/>
  </si>
  <si>
    <t>reduce</t>
    <phoneticPr fontId="3" type="noConversion"/>
  </si>
  <si>
    <t>map(time)</t>
    <phoneticPr fontId="3" type="noConversion"/>
  </si>
  <si>
    <t>reduce(time)</t>
    <phoneticPr fontId="3" type="noConversion"/>
  </si>
  <si>
    <t>tts-map(sec)</t>
    <phoneticPr fontId="3" type="noConversion"/>
  </si>
  <si>
    <t>tts-reduce(sec)</t>
    <phoneticPr fontId="3" type="noConversion"/>
  </si>
  <si>
    <t>stderr(Align)</t>
    <phoneticPr fontId="3" type="noConversion"/>
  </si>
  <si>
    <t>averge sort time</t>
    <phoneticPr fontId="3" type="noConversion"/>
  </si>
  <si>
    <t>Duplicate output size is 4445MB which is 44.5% of input data</t>
    <phoneticPr fontId="3" type="noConversion"/>
  </si>
  <si>
    <t>Remaining is Filedelimiter which I used.</t>
    <phoneticPr fontId="3" type="noConversion"/>
  </si>
  <si>
    <t>+</t>
    <phoneticPr fontId="3" type="noConversion"/>
  </si>
  <si>
    <t>Varying Number of  workers</t>
    <phoneticPr fontId="3" type="noConversion"/>
  </si>
  <si>
    <t>Varying Number of  workers - II</t>
    <phoneticPr fontId="3" type="noConversion"/>
  </si>
  <si>
    <t>Varying Number of  workers - III</t>
    <phoneticPr fontId="3" type="noConversion"/>
  </si>
  <si>
    <t>map align only</t>
    <phoneticPr fontId="3" type="noConversion"/>
  </si>
  <si>
    <t xml:space="preserve">Time to transfer files files between map &amp; reduce phase is </t>
    <phoneticPr fontId="3" type="noConversion"/>
  </si>
  <si>
    <t>Data transfer in MB between map &amp; reduce phase is</t>
    <phoneticPr fontId="3" type="noConversion"/>
  </si>
  <si>
    <t>STDERR</t>
    <phoneticPr fontId="3" type="noConversion"/>
  </si>
  <si>
    <t>stderr(Align)</t>
    <phoneticPr fontId="3" type="noConversion"/>
  </si>
  <si>
    <t>stderr(SNPs)</t>
    <phoneticPr fontId="3" type="noConversion"/>
  </si>
  <si>
    <t>from log file</t>
    <phoneticPr fontId="3" type="noConversion"/>
  </si>
  <si>
    <t>stderr</t>
    <phoneticPr fontId="3" type="noConversion"/>
  </si>
  <si>
    <t>mean</t>
    <phoneticPr fontId="3" type="noConversion"/>
  </si>
  <si>
    <t>Varying chunk size ,  Input Size = 10GB, Number of workers - 32, Number of reduces -8</t>
    <phoneticPr fontId="3" type="noConversion"/>
  </si>
  <si>
    <t>number of reads</t>
    <phoneticPr fontId="3" type="noConversion"/>
  </si>
  <si>
    <t>Number of chunks created</t>
    <phoneticPr fontId="3" type="noConversion"/>
  </si>
  <si>
    <t>stderr chunk time</t>
    <phoneticPr fontId="3" type="noConversion"/>
  </si>
  <si>
    <t>mean map phase</t>
    <phoneticPr fontId="3" type="noConversion"/>
  </si>
  <si>
    <t>stderr in map phase</t>
    <phoneticPr fontId="3" type="noConversion"/>
  </si>
  <si>
    <t>mean reduce phase</t>
    <phoneticPr fontId="3" type="noConversion"/>
  </si>
  <si>
    <t>Total number of workers</t>
    <phoneticPr fontId="3" type="noConversion"/>
  </si>
  <si>
    <t>Align</t>
    <phoneticPr fontId="3" type="noConversion"/>
  </si>
  <si>
    <t>SNPs</t>
    <phoneticPr fontId="3" type="noConversion"/>
  </si>
  <si>
    <t>Exceed wall time</t>
    <phoneticPr fontId="3" type="noConversion"/>
  </si>
  <si>
    <t>Input Data size(GB)</t>
    <phoneticPr fontId="3" type="noConversion"/>
  </si>
  <si>
    <t>duplicate  data size in GB</t>
    <phoneticPr fontId="3" type="noConversion"/>
  </si>
  <si>
    <t>Varying Input size - II</t>
    <phoneticPr fontId="3" type="noConversion"/>
  </si>
  <si>
    <t>calculate tim taken for each map task.</t>
    <phoneticPr fontId="3" type="noConversion"/>
  </si>
  <si>
    <t>calculate time for launching map task.</t>
    <phoneticPr fontId="3" type="noConversion"/>
  </si>
  <si>
    <t>Input Data size(GB)</t>
    <phoneticPr fontId="3" type="noConversion"/>
  </si>
  <si>
    <t>Number of chunks created</t>
    <phoneticPr fontId="3" type="noConversion"/>
  </si>
  <si>
    <t>Setup</t>
    <phoneticPr fontId="3" type="noConversion"/>
  </si>
  <si>
    <t>Input data</t>
    <phoneticPr fontId="3" type="noConversion"/>
  </si>
  <si>
    <t>chunk size</t>
    <phoneticPr fontId="3" type="noConversion"/>
  </si>
  <si>
    <t>stderr in total</t>
    <phoneticPr fontId="3" type="noConversion"/>
  </si>
  <si>
    <t>stderr in dt</t>
    <phoneticPr fontId="3" type="noConversion"/>
  </si>
  <si>
    <t>Align only</t>
    <phoneticPr fontId="3" type="noConversion"/>
  </si>
  <si>
    <t>start</t>
    <phoneticPr fontId="3" type="noConversion"/>
  </si>
  <si>
    <t>finish</t>
    <phoneticPr fontId="3" type="noConversion"/>
  </si>
  <si>
    <t>tts(time)</t>
    <phoneticPr fontId="3" type="noConversion"/>
  </si>
  <si>
    <t>tts(sec)</t>
    <phoneticPr fontId="3" type="noConversion"/>
  </si>
  <si>
    <t>stderr(Align)</t>
    <phoneticPr fontId="3" type="noConversion"/>
  </si>
  <si>
    <t>2GB</t>
    <phoneticPr fontId="3" type="noConversion"/>
  </si>
  <si>
    <t>Size of output DATA</t>
    <phoneticPr fontId="3" type="noConversion"/>
  </si>
  <si>
    <t>Number of  subjobs(workers) for both map/reduce phase</t>
    <phoneticPr fontId="3" type="noConversion"/>
  </si>
  <si>
    <t>Map phase Time in seconds</t>
    <phoneticPr fontId="3" type="noConversion"/>
  </si>
  <si>
    <t>Varying Number of chunk size - I</t>
    <phoneticPr fontId="3" type="noConversion"/>
  </si>
  <si>
    <t>2GB</t>
    <phoneticPr fontId="3" type="noConversion"/>
  </si>
  <si>
    <t>4GB</t>
    <phoneticPr fontId="3" type="noConversion"/>
  </si>
  <si>
    <t>8GB</t>
    <phoneticPr fontId="3" type="noConversion"/>
  </si>
  <si>
    <t>Align Stage</t>
    <phoneticPr fontId="3" type="noConversion"/>
  </si>
  <si>
    <t>SNPs Stage</t>
    <phoneticPr fontId="3" type="noConversion"/>
  </si>
  <si>
    <t>Align</t>
    <phoneticPr fontId="3" type="noConversion"/>
  </si>
  <si>
    <t>SNPs</t>
    <phoneticPr fontId="3" type="noConversion"/>
  </si>
  <si>
    <t>max data for a reduce</t>
    <phoneticPr fontId="3" type="noConversion"/>
  </si>
  <si>
    <t>8GB</t>
    <phoneticPr fontId="3" type="noConversion"/>
  </si>
  <si>
    <t>MR type</t>
    <phoneticPr fontId="3" type="noConversion"/>
  </si>
  <si>
    <t>SEQAL</t>
    <phoneticPr fontId="3" type="noConversion"/>
  </si>
  <si>
    <t>Map phase Time in seconds-III</t>
    <phoneticPr fontId="3" type="noConversion"/>
  </si>
  <si>
    <t>input data</t>
    <phoneticPr fontId="3" type="noConversion"/>
  </si>
  <si>
    <t>mean time taken for map phase</t>
    <phoneticPr fontId="3" type="noConversion"/>
  </si>
  <si>
    <t>stderr in map phase time</t>
    <phoneticPr fontId="3" type="noConversion"/>
  </si>
  <si>
    <t>sequences per chunk</t>
    <phoneticPr fontId="3" type="noConversion"/>
  </si>
  <si>
    <t>SEQAL</t>
    <phoneticPr fontId="3" type="noConversion"/>
  </si>
  <si>
    <t>local-PMR(bwa)</t>
    <phoneticPr fontId="3" type="noConversion"/>
  </si>
  <si>
    <t>distribtued-PMR(bwa)</t>
    <phoneticPr fontId="3" type="noConversion"/>
  </si>
  <si>
    <t>local-PMR(bowtie)</t>
    <phoneticPr fontId="3" type="noConversion"/>
  </si>
  <si>
    <t>distributed-PMR(bowtie)</t>
    <phoneticPr fontId="3" type="noConversion"/>
  </si>
  <si>
    <t>Varying Input size - III</t>
    <phoneticPr fontId="3" type="noConversion"/>
  </si>
  <si>
    <t>mean chunk time</t>
    <phoneticPr fontId="3" type="noConversion"/>
  </si>
  <si>
    <t>Map phase Time in seconds - I</t>
    <phoneticPr fontId="3" type="noConversion"/>
  </si>
  <si>
    <t>Total Time sec</t>
  </si>
  <si>
    <t>Time taken to chunk files in seconds</t>
    <phoneticPr fontId="3" type="noConversion"/>
  </si>
  <si>
    <t>Map phase Time in seconds</t>
    <phoneticPr fontId="3" type="noConversion"/>
  </si>
  <si>
    <t>Reduce Phase Time in seconds</t>
    <phoneticPr fontId="3" type="noConversion"/>
  </si>
  <si>
    <t>tts</t>
    <phoneticPr fontId="3" type="noConversion"/>
  </si>
  <si>
    <t>caluclate time for sort time.</t>
    <phoneticPr fontId="3" type="noConversion"/>
  </si>
  <si>
    <t>chunks</t>
    <phoneticPr fontId="3" type="noConversion"/>
  </si>
  <si>
    <t>Map</t>
    <phoneticPr fontId="3" type="noConversion"/>
  </si>
  <si>
    <t>reduce</t>
    <phoneticPr fontId="3" type="noConversion"/>
  </si>
  <si>
    <t>map</t>
    <phoneticPr fontId="3" type="noConversion"/>
  </si>
  <si>
    <t>sequences</t>
    <phoneticPr fontId="3" type="noConversion"/>
  </si>
  <si>
    <t>4GB</t>
    <phoneticPr fontId="3" type="noConversion"/>
  </si>
  <si>
    <t>8GB</t>
    <phoneticPr fontId="3" type="noConversion"/>
  </si>
  <si>
    <t>Map</t>
    <phoneticPr fontId="3" type="noConversion"/>
  </si>
  <si>
    <t>chunktime</t>
    <phoneticPr fontId="3" type="noConversion"/>
  </si>
  <si>
    <t>chunktime</t>
    <phoneticPr fontId="3" type="noConversion"/>
  </si>
  <si>
    <t>intermediate data</t>
    <phoneticPr fontId="3" type="noConversion"/>
  </si>
  <si>
    <t>Mean tts</t>
    <phoneticPr fontId="3" type="noConversion"/>
  </si>
  <si>
    <t>std tts</t>
    <phoneticPr fontId="3" type="noConversion"/>
  </si>
  <si>
    <t>mean tts</t>
    <phoneticPr fontId="3" type="noConversion"/>
  </si>
  <si>
    <t>stdtts</t>
    <phoneticPr fontId="3" type="noConversion"/>
  </si>
  <si>
    <t>mean time taken for reduce phase</t>
    <phoneticPr fontId="3" type="noConversion"/>
  </si>
  <si>
    <t>stderr for reduce phase phase time</t>
    <phoneticPr fontId="3" type="noConversion"/>
  </si>
  <si>
    <t>crossbow</t>
    <phoneticPr fontId="3" type="noConversion"/>
  </si>
  <si>
    <t>Changign number of nodes-8GB</t>
    <phoneticPr fontId="3" type="noConversion"/>
  </si>
  <si>
    <t>start</t>
    <phoneticPr fontId="3" type="noConversion"/>
  </si>
  <si>
    <t>map</t>
    <phoneticPr fontId="3" type="noConversion"/>
  </si>
  <si>
    <t>reduce</t>
    <phoneticPr fontId="3" type="noConversion"/>
  </si>
  <si>
    <t>map(time)</t>
    <phoneticPr fontId="3" type="noConversion"/>
  </si>
  <si>
    <t>reduce(time)</t>
    <phoneticPr fontId="3" type="noConversion"/>
  </si>
  <si>
    <t>tts-map(sec)</t>
    <phoneticPr fontId="3" type="noConversion"/>
  </si>
  <si>
    <t>tts-reduce(sec)</t>
    <phoneticPr fontId="3" type="noConversion"/>
  </si>
  <si>
    <t>stderr(Align)</t>
    <phoneticPr fontId="3" type="noConversion"/>
  </si>
  <si>
    <t>Align</t>
    <phoneticPr fontId="3" type="noConversion"/>
  </si>
  <si>
    <t>Reduce Phase Time in seconds - III</t>
    <phoneticPr fontId="3" type="noConversion"/>
  </si>
  <si>
    <t>Mean</t>
    <phoneticPr fontId="3" type="noConversion"/>
  </si>
  <si>
    <t>Varying Number of chunk size - III</t>
    <phoneticPr fontId="3" type="noConversion"/>
  </si>
  <si>
    <t>number of reads</t>
    <phoneticPr fontId="3" type="noConversion"/>
  </si>
  <si>
    <t>Number of chunks created</t>
    <phoneticPr fontId="3" type="noConversion"/>
  </si>
  <si>
    <t>Time taken to chunk files in seconds</t>
    <phoneticPr fontId="3" type="noConversion"/>
  </si>
  <si>
    <t>Bowtie</t>
    <phoneticPr fontId="3" type="noConversion"/>
  </si>
  <si>
    <t>Local PMR</t>
    <phoneticPr fontId="3" type="noConversion"/>
  </si>
  <si>
    <t>(BWA)</t>
    <phoneticPr fontId="3" type="noConversion"/>
  </si>
  <si>
    <t>(8 workers(4 on each machine)/ 2 workers/node, 4 node requested(2 on each machine), number of reduces=8)</t>
    <phoneticPr fontId="3" type="noConversion"/>
  </si>
  <si>
    <t>(1GB+1GB)2</t>
    <phoneticPr fontId="3" type="noConversion"/>
  </si>
  <si>
    <t>(2+2)4</t>
    <phoneticPr fontId="3" type="noConversion"/>
  </si>
  <si>
    <t>(4+4)8</t>
    <phoneticPr fontId="3" type="noConversion"/>
  </si>
  <si>
    <t>Map Function</t>
    <phoneticPr fontId="3" type="noConversion"/>
  </si>
  <si>
    <t>Time taken to chunk files in seconds</t>
    <phoneticPr fontId="3" type="noConversion"/>
  </si>
  <si>
    <t>prq</t>
    <phoneticPr fontId="3" type="noConversion"/>
  </si>
  <si>
    <t>2GB</t>
    <phoneticPr fontId="3" type="noConversion"/>
  </si>
  <si>
    <t>shuffle phase time</t>
    <phoneticPr fontId="3" type="noConversion"/>
  </si>
  <si>
    <t>2N-4W</t>
    <phoneticPr fontId="3" type="noConversion"/>
  </si>
  <si>
    <t>2N(4W per node)</t>
    <phoneticPr fontId="3" type="noConversion"/>
  </si>
  <si>
    <t>4N-2W</t>
    <phoneticPr fontId="3" type="noConversion"/>
  </si>
  <si>
    <t>4N(2W per node)</t>
    <phoneticPr fontId="3" type="noConversion"/>
  </si>
  <si>
    <t>8N-1W</t>
    <phoneticPr fontId="3" type="noConversion"/>
  </si>
  <si>
    <t>8N(1W per node)</t>
    <phoneticPr fontId="3" type="noConversion"/>
  </si>
  <si>
    <t>avg</t>
    <phoneticPr fontId="3" type="noConversion"/>
  </si>
  <si>
    <t>4nodes</t>
    <phoneticPr fontId="3" type="noConversion"/>
  </si>
  <si>
    <t>8nodes</t>
    <phoneticPr fontId="3" type="noConversion"/>
  </si>
  <si>
    <t>Total number of processors(8GB data, 8workers  in total)</t>
    <phoneticPr fontId="3" type="noConversion"/>
  </si>
  <si>
    <t>seqal</t>
    <phoneticPr fontId="3" type="noConversion"/>
  </si>
  <si>
    <t>stderr reduce phase</t>
    <phoneticPr fontId="3" type="noConversion"/>
  </si>
  <si>
    <t>stderr of map phase</t>
    <phoneticPr fontId="3" type="noConversion"/>
  </si>
  <si>
    <t>Varying Input size, chunk size=62500 reads, number of reduces=8, number of workers=32</t>
  </si>
  <si>
    <t>Varying number of workers, input size = 10 GB, reduces = 8, Number of reads/ chunk=625000</t>
  </si>
  <si>
    <t>Setup</t>
    <phoneticPr fontId="3" type="noConversion"/>
  </si>
  <si>
    <t>Map</t>
    <phoneticPr fontId="3" type="noConversion"/>
  </si>
  <si>
    <t>Shuffle</t>
    <phoneticPr fontId="3" type="noConversion"/>
  </si>
  <si>
    <t>Reduce</t>
    <phoneticPr fontId="3" type="noConversion"/>
  </si>
  <si>
    <t>Total</t>
    <phoneticPr fontId="3" type="noConversion"/>
  </si>
  <si>
    <t>stderr in setup</t>
    <phoneticPr fontId="3" type="noConversion"/>
  </si>
  <si>
    <t>stderr in map</t>
    <phoneticPr fontId="3" type="noConversion"/>
  </si>
  <si>
    <t>stderr I shuffle</t>
    <phoneticPr fontId="3" type="noConversion"/>
  </si>
  <si>
    <t>number of reads</t>
    <phoneticPr fontId="3" type="noConversion"/>
  </si>
  <si>
    <t>chunk size( lines)</t>
    <phoneticPr fontId="3" type="noConversion"/>
  </si>
  <si>
    <t>stderr of reduce phase</t>
    <phoneticPr fontId="3" type="noConversion"/>
  </si>
  <si>
    <t>Varying number of workers, input size = 10 GB, reduces = 8, Number of reads/ chunk=625000</t>
    <phoneticPr fontId="3" type="noConversion"/>
  </si>
  <si>
    <t>Workers</t>
    <phoneticPr fontId="3" type="noConversion"/>
  </si>
  <si>
    <t>mean map phase</t>
  </si>
  <si>
    <t>4GB</t>
    <phoneticPr fontId="3" type="noConversion"/>
  </si>
  <si>
    <t>8GB</t>
    <phoneticPr fontId="3" type="noConversion"/>
  </si>
  <si>
    <t>in Time format</t>
    <phoneticPr fontId="3" type="noConversion"/>
  </si>
  <si>
    <t>in Second</t>
    <phoneticPr fontId="3" type="noConversion"/>
  </si>
  <si>
    <t>Crossbow</t>
    <phoneticPr fontId="3" type="noConversion"/>
  </si>
  <si>
    <t>scalability</t>
    <phoneticPr fontId="3" type="noConversion"/>
  </si>
  <si>
    <t>PMR</t>
    <phoneticPr fontId="3" type="noConversion"/>
  </si>
  <si>
    <t># nodes</t>
    <phoneticPr fontId="3" type="noConversion"/>
  </si>
  <si>
    <t>Align</t>
    <phoneticPr fontId="3" type="noConversion"/>
  </si>
  <si>
    <t>Chunk</t>
    <phoneticPr fontId="3" type="noConversion"/>
  </si>
  <si>
    <t>tts</t>
    <phoneticPr fontId="3" type="noConversion"/>
  </si>
  <si>
    <t>PMR vs HMR</t>
    <phoneticPr fontId="3" type="noConversion"/>
  </si>
  <si>
    <t>2 workers/Node, 8GB,</t>
    <phoneticPr fontId="3" type="noConversion"/>
  </si>
  <si>
    <t>HMR</t>
    <phoneticPr fontId="3" type="noConversion"/>
  </si>
  <si>
    <t>with -p option</t>
    <phoneticPr fontId="3" type="noConversion"/>
  </si>
  <si>
    <t>map</t>
    <phoneticPr fontId="3" type="noConversion"/>
  </si>
  <si>
    <t>reduce</t>
    <phoneticPr fontId="3" type="noConversion"/>
  </si>
  <si>
    <t>tts</t>
    <phoneticPr fontId="3" type="noConversion"/>
  </si>
  <si>
    <t>(1+1)2</t>
    <phoneticPr fontId="3" type="noConversion"/>
  </si>
  <si>
    <t>(2+2)4</t>
    <phoneticPr fontId="3" type="noConversion"/>
  </si>
  <si>
    <t>(4+4)8</t>
    <phoneticPr fontId="3" type="noConversion"/>
  </si>
  <si>
    <t>Map</t>
    <phoneticPr fontId="3" type="noConversion"/>
  </si>
  <si>
    <t>Reduce</t>
    <phoneticPr fontId="3" type="noConversion"/>
  </si>
  <si>
    <t>setup</t>
    <phoneticPr fontId="3" type="noConversion"/>
  </si>
  <si>
    <t>Number of  subjobs(workers) for both map/reduce phase</t>
    <phoneticPr fontId="3" type="noConversion"/>
  </si>
  <si>
    <t>number of reduces.</t>
    <phoneticPr fontId="3" type="noConversion"/>
  </si>
  <si>
    <t>Varying chunk size ,  Input Size = 10GB, Number of workers - 32, Number of reduces -8</t>
    <phoneticPr fontId="3" type="noConversion"/>
  </si>
  <si>
    <t>Mean Map phase</t>
    <phoneticPr fontId="3" type="noConversion"/>
  </si>
  <si>
    <t>Stdev</t>
    <phoneticPr fontId="3" type="noConversion"/>
  </si>
  <si>
    <t>Reduced output size  3120 MB  which is 31.2% of input data</t>
    <phoneticPr fontId="3" type="noConversion"/>
  </si>
  <si>
    <t>mean map phase</t>
    <phoneticPr fontId="3" type="noConversion"/>
  </si>
  <si>
    <t>File Transfer in seconds</t>
    <phoneticPr fontId="3" type="noConversion"/>
  </si>
  <si>
    <t>Map phase Time in seconds - II</t>
    <phoneticPr fontId="3" type="noConversion"/>
  </si>
  <si>
    <t>Reduce Phase Time in seconds-II</t>
    <phoneticPr fontId="3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</si>
</sst>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0.000"/>
  </numFmts>
  <fonts count="9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b/>
      <sz val="12"/>
      <color indexed="8"/>
      <name val="Calibri"/>
    </font>
    <font>
      <b/>
      <sz val="11"/>
      <color indexed="56"/>
      <name val="Calibri"/>
      <family val="2"/>
    </font>
    <font>
      <b/>
      <sz val="13"/>
      <color indexed="56"/>
      <name val="Calibri"/>
      <family val="2"/>
    </font>
    <font>
      <sz val="12"/>
      <color indexed="8"/>
      <name val="Calibri"/>
      <family val="2"/>
    </font>
    <font>
      <b/>
      <sz val="18"/>
      <color indexed="8"/>
      <name val="Verdana"/>
    </font>
  </fonts>
  <fills count="8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4" fillId="3" borderId="0" xfId="0" applyFont="1" applyFill="1"/>
    <xf numFmtId="0" fontId="0" fillId="3" borderId="0" xfId="0" applyFill="1"/>
    <xf numFmtId="0" fontId="5" fillId="2" borderId="0" xfId="0" applyFont="1" applyFill="1" applyAlignment="1">
      <alignment wrapText="1" shrinkToFit="1"/>
    </xf>
    <xf numFmtId="0" fontId="6" fillId="2" borderId="1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6" fillId="2" borderId="1" xfId="0" applyFont="1" applyFill="1" applyBorder="1" applyAlignment="1">
      <alignment wrapText="1" shrinkToFit="1"/>
    </xf>
    <xf numFmtId="0" fontId="5" fillId="2" borderId="2" xfId="0" applyFont="1" applyFill="1" applyBorder="1" applyAlignment="1">
      <alignment wrapText="1" shrinkToFit="1"/>
    </xf>
    <xf numFmtId="0" fontId="5" fillId="2" borderId="0" xfId="0" applyFont="1" applyFill="1" applyBorder="1" applyAlignment="1">
      <alignment wrapText="1" shrinkToFit="1"/>
    </xf>
    <xf numFmtId="2" fontId="0" fillId="0" borderId="0" xfId="0" applyNumberFormat="1"/>
    <xf numFmtId="0" fontId="7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" fontId="0" fillId="0" borderId="0" xfId="0" applyNumberFormat="1"/>
    <xf numFmtId="0" fontId="8" fillId="0" borderId="0" xfId="0" applyFont="1" applyAlignment="1">
      <alignment horizontal="center"/>
    </xf>
    <xf numFmtId="0" fontId="1" fillId="0" borderId="0" xfId="0" applyFont="1"/>
    <xf numFmtId="21" fontId="0" fillId="0" borderId="0" xfId="0" applyNumberFormat="1"/>
    <xf numFmtId="21" fontId="0" fillId="0" borderId="0" xfId="0" applyNumberFormat="1"/>
    <xf numFmtId="21" fontId="0" fillId="0" borderId="3" xfId="0" applyNumberFormat="1" applyBorder="1"/>
    <xf numFmtId="21" fontId="0" fillId="0" borderId="4" xfId="0" applyNumberFormat="1" applyBorder="1"/>
    <xf numFmtId="21" fontId="0" fillId="0" borderId="0" xfId="0" applyNumberFormat="1" applyBorder="1"/>
    <xf numFmtId="21" fontId="0" fillId="0" borderId="5" xfId="0" applyNumberFormat="1" applyBorder="1"/>
    <xf numFmtId="21" fontId="0" fillId="0" borderId="0" xfId="0" applyNumberFormat="1" applyBorder="1"/>
    <xf numFmtId="21" fontId="0" fillId="0" borderId="5" xfId="0" applyNumberFormat="1" applyBorder="1"/>
    <xf numFmtId="21" fontId="0" fillId="4" borderId="6" xfId="0" applyNumberFormat="1" applyFill="1" applyBorder="1"/>
    <xf numFmtId="21" fontId="0" fillId="4" borderId="7" xfId="0" applyNumberFormat="1" applyFill="1" applyBorder="1"/>
    <xf numFmtId="0" fontId="0" fillId="0" borderId="0" xfId="0" applyNumberFormat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4" borderId="6" xfId="0" applyNumberFormat="1" applyFill="1" applyBorder="1"/>
    <xf numFmtId="0" fontId="0" fillId="4" borderId="7" xfId="0" applyNumberFormat="1" applyFill="1" applyBorder="1"/>
    <xf numFmtId="0" fontId="0" fillId="6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5" borderId="0" xfId="0" applyNumberForma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5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overlap val="100"/>
        <c:axId val="645393816"/>
        <c:axId val="645318264"/>
      </c:barChart>
      <c:catAx>
        <c:axId val="645393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645318264"/>
        <c:crosses val="autoZero"/>
        <c:auto val="1"/>
        <c:lblAlgn val="ctr"/>
        <c:lblOffset val="100"/>
      </c:catAx>
      <c:valAx>
        <c:axId val="6453182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6453938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yVal>
        </c:ser>
        <c:axId val="645107544"/>
        <c:axId val="645181736"/>
      </c:scatterChart>
      <c:valAx>
        <c:axId val="645107544"/>
        <c:scaling>
          <c:orientation val="minMax"/>
        </c:scaling>
        <c:axPos val="b"/>
        <c:numFmt formatCode="General" sourceLinked="1"/>
        <c:tickLblPos val="nextTo"/>
        <c:crossAx val="645181736"/>
        <c:crosses val="autoZero"/>
        <c:crossBetween val="midCat"/>
      </c:valAx>
      <c:valAx>
        <c:axId val="645181736"/>
        <c:scaling>
          <c:orientation val="minMax"/>
        </c:scaling>
        <c:axPos val="l"/>
        <c:majorGridlines/>
        <c:numFmt formatCode="General" sourceLinked="1"/>
        <c:tickLblPos val="nextTo"/>
        <c:crossAx val="64510754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209986394789204"/>
          <c:y val="0.079508729887025"/>
          <c:w val="0.73110542432196"/>
          <c:h val="0.696871172353456"/>
        </c:manualLayout>
      </c:layout>
      <c:barChart>
        <c:barDir val="col"/>
        <c:grouping val="clustered"/>
        <c:ser>
          <c:idx val="0"/>
          <c:order val="0"/>
          <c:tx>
            <c:v>SEQAL</c:v>
          </c:tx>
          <c:errBars>
            <c:errBarType val="both"/>
            <c:errValType val="cust"/>
            <c:plus>
              <c:numRef>
                <c:f>Sheet1!$N$5:$N$7</c:f>
                <c:numCache>
                  <c:formatCode>General</c:formatCode>
                  <c:ptCount val="3"/>
                  <c:pt idx="0">
                    <c:v>18.29333333335506</c:v>
                  </c:pt>
                  <c:pt idx="1">
                    <c:v>114.0978909143999</c:v>
                  </c:pt>
                  <c:pt idx="2">
                    <c:v>118.9120511601106</c:v>
                  </c:pt>
                </c:numCache>
              </c:numRef>
            </c:plus>
            <c:minus>
              <c:numRef>
                <c:f>Sheet1!$N$5:$N$7</c:f>
                <c:numCache>
                  <c:formatCode>General</c:formatCode>
                  <c:ptCount val="3"/>
                  <c:pt idx="0">
                    <c:v>18.29333333335506</c:v>
                  </c:pt>
                  <c:pt idx="1">
                    <c:v>114.0978909143999</c:v>
                  </c:pt>
                  <c:pt idx="2">
                    <c:v>118.9120511601106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Sheet1!$M$5:$M$7</c:f>
              <c:numCache>
                <c:formatCode>General</c:formatCode>
                <c:ptCount val="3"/>
                <c:pt idx="0">
                  <c:v>2862.333333333333</c:v>
                </c:pt>
                <c:pt idx="1">
                  <c:v>4903.666666666666</c:v>
                </c:pt>
                <c:pt idx="2">
                  <c:v>8736.666666666666</c:v>
                </c:pt>
              </c:numCache>
            </c:numRef>
          </c:val>
        </c:ser>
        <c:ser>
          <c:idx val="1"/>
          <c:order val="1"/>
          <c:tx>
            <c:v>Local-PMR</c:v>
          </c:tx>
          <c:errBars>
            <c:errBarType val="both"/>
            <c:errValType val="cust"/>
            <c:plus>
              <c:numRef>
                <c:f>Sheet1!$Q$27:$Q$29</c:f>
                <c:numCache>
                  <c:formatCode>General</c:formatCode>
                  <c:ptCount val="3"/>
                  <c:pt idx="0">
                    <c:v>4.097169079209209</c:v>
                  </c:pt>
                  <c:pt idx="1">
                    <c:v>30.10003705732057</c:v>
                  </c:pt>
                  <c:pt idx="2">
                    <c:v>10.54038909809311</c:v>
                  </c:pt>
                </c:numCache>
              </c:numRef>
            </c:plus>
            <c:minus>
              <c:numRef>
                <c:f>Sheet1!$Q$27:$Q$29</c:f>
                <c:numCache>
                  <c:formatCode>General</c:formatCode>
                  <c:ptCount val="3"/>
                  <c:pt idx="0">
                    <c:v>4.097169079209209</c:v>
                  </c:pt>
                  <c:pt idx="1">
                    <c:v>30.10003705732057</c:v>
                  </c:pt>
                  <c:pt idx="2">
                    <c:v>10.54038909809311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Sheet1!$P$27:$P$29</c:f>
              <c:numCache>
                <c:formatCode>General</c:formatCode>
                <c:ptCount val="3"/>
                <c:pt idx="0">
                  <c:v>1544.667</c:v>
                </c:pt>
                <c:pt idx="1">
                  <c:v>2909.003666666667</c:v>
                </c:pt>
                <c:pt idx="2">
                  <c:v>4941.112333333333</c:v>
                </c:pt>
              </c:numCache>
            </c:numRef>
          </c:val>
        </c:ser>
        <c:ser>
          <c:idx val="2"/>
          <c:order val="2"/>
          <c:tx>
            <c:v>distributed-PMR</c:v>
          </c:tx>
          <c:errBars>
            <c:errBarType val="both"/>
            <c:errValType val="cust"/>
            <c:plus>
              <c:numRef>
                <c:f>Sheet1!$I$57:$I$59</c:f>
                <c:numCache>
                  <c:formatCode>General</c:formatCode>
                  <c:ptCount val="3"/>
                  <c:pt idx="0">
                    <c:v>12.10328698706824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plus>
            <c:minus>
              <c:numRef>
                <c:f>Sheet1!$I$57:$I$59</c:f>
                <c:numCache>
                  <c:formatCode>General</c:formatCode>
                  <c:ptCount val="3"/>
                  <c:pt idx="0">
                    <c:v>12.10328698706824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Sheet1!$R$27:$R$29</c:f>
              <c:numCache>
                <c:formatCode>General</c:formatCode>
                <c:ptCount val="3"/>
                <c:pt idx="0">
                  <c:v>1633.71047826087</c:v>
                </c:pt>
                <c:pt idx="1">
                  <c:v>3087.090623188406</c:v>
                </c:pt>
                <c:pt idx="2">
                  <c:v>5297.286246376811</c:v>
                </c:pt>
              </c:numCache>
            </c:numRef>
          </c:val>
        </c:ser>
        <c:axId val="638159256"/>
        <c:axId val="477568936"/>
      </c:barChart>
      <c:catAx>
        <c:axId val="638159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>
            <c:manualLayout>
              <c:xMode val="edge"/>
              <c:yMode val="edge"/>
              <c:x val="0.382873760650329"/>
              <c:y val="0.900806562677764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77568936"/>
        <c:crosses val="autoZero"/>
        <c:auto val="1"/>
        <c:lblAlgn val="ctr"/>
        <c:lblOffset val="100"/>
      </c:catAx>
      <c:valAx>
        <c:axId val="47756893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38159256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15173891600483"/>
          <c:y val="0.105704096770512"/>
          <c:w val="0.383080219724154"/>
          <c:h val="0.256183669976036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046274290255"/>
          <c:y val="0.0509259259259259"/>
          <c:w val="0.844949432926389"/>
          <c:h val="0.799648950131234"/>
        </c:manualLayout>
      </c:layout>
      <c:barChart>
        <c:barDir val="col"/>
        <c:grouping val="clustered"/>
        <c:ser>
          <c:idx val="0"/>
          <c:order val="0"/>
          <c:tx>
            <c:strRef>
              <c:f>Sheet1!$K$72</c:f>
              <c:strCache>
                <c:ptCount val="1"/>
                <c:pt idx="0">
                  <c:v>SEQAL</c:v>
                </c:pt>
              </c:strCache>
            </c:strRef>
          </c:tx>
          <c:errBars>
            <c:errBarType val="both"/>
            <c:errValType val="cust"/>
            <c:plus>
              <c:numRef>
                <c:f>Sheet1!$P$79:$W$79</c:f>
                <c:numCache>
                  <c:formatCode>General</c:formatCode>
                  <c:ptCount val="8"/>
                  <c:pt idx="0">
                    <c:v>7.44168872620806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plus>
            <c:minus>
              <c:numRef>
                <c:f>Sheet1!$P$79:$W$79</c:f>
                <c:numCache>
                  <c:formatCode>General</c:formatCode>
                  <c:ptCount val="8"/>
                  <c:pt idx="0">
                    <c:v>7.44168872620806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Sheet1!$L$72:$S$72</c:f>
              <c:numCache>
                <c:formatCode>General</c:formatCode>
                <c:ptCount val="8"/>
                <c:pt idx="0">
                  <c:v>356.1739130434783</c:v>
                </c:pt>
                <c:pt idx="2">
                  <c:v>109.0</c:v>
                </c:pt>
                <c:pt idx="3">
                  <c:v>7066.0</c:v>
                </c:pt>
                <c:pt idx="4">
                  <c:v>103.0</c:v>
                </c:pt>
                <c:pt idx="6">
                  <c:v>1670.666666666667</c:v>
                </c:pt>
                <c:pt idx="7">
                  <c:v>9304.840579710144</c:v>
                </c:pt>
              </c:numCache>
            </c:numRef>
          </c:val>
        </c:ser>
        <c:ser>
          <c:idx val="1"/>
          <c:order val="1"/>
          <c:tx>
            <c:strRef>
              <c:f>Sheet1!$K$73</c:f>
              <c:strCache>
                <c:ptCount val="1"/>
                <c:pt idx="0">
                  <c:v>Local-PMR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plus>
            <c:min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Sheet1!$L$73:$S$73</c:f>
              <c:numCache>
                <c:formatCode>General</c:formatCode>
                <c:ptCount val="8"/>
                <c:pt idx="0">
                  <c:v>356.1739130434783</c:v>
                </c:pt>
                <c:pt idx="1">
                  <c:v>98.637</c:v>
                </c:pt>
                <c:pt idx="3">
                  <c:v>4699.455333333332</c:v>
                </c:pt>
                <c:pt idx="4">
                  <c:v>250.0</c:v>
                </c:pt>
                <c:pt idx="6">
                  <c:v>143.123</c:v>
                </c:pt>
                <c:pt idx="7">
                  <c:v>5547.38924637681</c:v>
                </c:pt>
              </c:numCache>
            </c:numRef>
          </c:val>
        </c:ser>
        <c:ser>
          <c:idx val="2"/>
          <c:order val="2"/>
          <c:tx>
            <c:strRef>
              <c:f>Sheet1!$K$74</c:f>
              <c:strCache>
                <c:ptCount val="1"/>
                <c:pt idx="0">
                  <c:v>distributed-PMR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plus>
            <c:min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Sheet1!$L$74:$S$74</c:f>
              <c:numCache>
                <c:formatCode>General</c:formatCode>
                <c:ptCount val="8"/>
                <c:pt idx="0">
                  <c:v>0.0</c:v>
                </c:pt>
                <c:pt idx="1">
                  <c:v>35.85666666666666</c:v>
                </c:pt>
                <c:pt idx="3">
                  <c:v>4756.134666666666</c:v>
                </c:pt>
                <c:pt idx="5">
                  <c:v>1922.0</c:v>
                </c:pt>
                <c:pt idx="6">
                  <c:v>142.12</c:v>
                </c:pt>
                <c:pt idx="7">
                  <c:v>6856.111333333333</c:v>
                </c:pt>
              </c:numCache>
            </c:numRef>
          </c:val>
        </c:ser>
        <c:axId val="490778184"/>
        <c:axId val="491152600"/>
      </c:barChart>
      <c:catAx>
        <c:axId val="490778184"/>
        <c:scaling>
          <c:orientation val="minMax"/>
        </c:scaling>
        <c:axPos val="b"/>
        <c:tickLblPos val="nextTo"/>
        <c:txPr>
          <a:bodyPr rot="0" vert="horz" anchor="ctr" anchorCtr="1"/>
          <a:lstStyle/>
          <a:p>
            <a:pPr>
              <a:defRPr sz="1400"/>
            </a:pPr>
            <a:endParaRPr lang="en-US"/>
          </a:p>
        </c:txPr>
        <c:crossAx val="491152600"/>
        <c:crosses val="autoZero"/>
        <c:auto val="1"/>
        <c:lblAlgn val="ctr"/>
        <c:lblOffset val="100"/>
      </c:catAx>
      <c:valAx>
        <c:axId val="49115260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Runtime(in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90778184"/>
        <c:crosses val="autoZero"/>
        <c:crossBetween val="between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78557110620319"/>
          <c:y val="0.131896624955076"/>
          <c:w val="0.493083688506826"/>
          <c:h val="0.0937441673957422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84405511811024"/>
          <c:y val="0.0675925925925926"/>
          <c:w val="0.767275590551181"/>
          <c:h val="0.727359288422281"/>
        </c:manualLayout>
      </c:layout>
      <c:barChart>
        <c:barDir val="col"/>
        <c:grouping val="clustered"/>
        <c:ser>
          <c:idx val="0"/>
          <c:order val="0"/>
          <c:tx>
            <c:strRef>
              <c:f>Sheet1!$U$72</c:f>
              <c:strCache>
                <c:ptCount val="1"/>
                <c:pt idx="0">
                  <c:v>SEQAL</c:v>
                </c:pt>
              </c:strCache>
            </c:strRef>
          </c:tx>
          <c:errBars>
            <c:errBarType val="both"/>
            <c:errValType val="cust"/>
            <c:plus>
              <c:numRef>
                <c:f>Sheet1!$U$110:$Y$110</c:f>
                <c:numCache>
                  <c:formatCode>General</c:formatCode>
                  <c:ptCount val="5"/>
                  <c:pt idx="0">
                    <c:v>11.41576024620806</c:v>
                  </c:pt>
                  <c:pt idx="1">
                    <c:v>95.10208690314496</c:v>
                  </c:pt>
                  <c:pt idx="2">
                    <c:v>1.131606527611667</c:v>
                  </c:pt>
                  <c:pt idx="3">
                    <c:v>23.90700129901929</c:v>
                  </c:pt>
                  <c:pt idx="4">
                    <c:v>118.9120511601106</c:v>
                  </c:pt>
                </c:numCache>
              </c:numRef>
            </c:plus>
            <c:minus>
              <c:numRef>
                <c:f>Sheet1!$U$110:$Y$110</c:f>
                <c:numCache>
                  <c:formatCode>General</c:formatCode>
                  <c:ptCount val="5"/>
                  <c:pt idx="0">
                    <c:v>11.41576024620806</c:v>
                  </c:pt>
                  <c:pt idx="1">
                    <c:v>95.10208690314496</c:v>
                  </c:pt>
                  <c:pt idx="2">
                    <c:v>1.131606527611667</c:v>
                  </c:pt>
                  <c:pt idx="3">
                    <c:v>23.90700129901929</c:v>
                  </c:pt>
                  <c:pt idx="4">
                    <c:v>118.9120511601106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Sheet1!$V$72:$Z$72</c:f>
              <c:numCache>
                <c:formatCode>General</c:formatCode>
                <c:ptCount val="5"/>
                <c:pt idx="0">
                  <c:v>465.1739130434783</c:v>
                </c:pt>
                <c:pt idx="1">
                  <c:v>7066.0</c:v>
                </c:pt>
                <c:pt idx="2">
                  <c:v>103.0</c:v>
                </c:pt>
                <c:pt idx="3">
                  <c:v>1670.666666666667</c:v>
                </c:pt>
                <c:pt idx="4">
                  <c:v>9304.840579710144</c:v>
                </c:pt>
              </c:numCache>
            </c:numRef>
          </c:val>
        </c:ser>
        <c:ser>
          <c:idx val="1"/>
          <c:order val="1"/>
          <c:tx>
            <c:strRef>
              <c:f>Sheet1!$U$73</c:f>
              <c:strCache>
                <c:ptCount val="1"/>
                <c:pt idx="0">
                  <c:v>Local-PMR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Sheet1!$U$111:$Y$111</c:f>
                <c:numCache>
                  <c:formatCode>General</c:formatCode>
                  <c:ptCount val="5"/>
                  <c:pt idx="0">
                    <c:v>10.38155566097427</c:v>
                  </c:pt>
                  <c:pt idx="1">
                    <c:v>11.31218638858732</c:v>
                  </c:pt>
                  <c:pt idx="2">
                    <c:v>5.185672569686598</c:v>
                  </c:pt>
                  <c:pt idx="3">
                    <c:v>1.761676959264712</c:v>
                  </c:pt>
                  <c:pt idx="4">
                    <c:v>10.54038909809311</c:v>
                  </c:pt>
                </c:numCache>
              </c:numRef>
            </c:plus>
            <c:minus>
              <c:numRef>
                <c:f>Sheet1!$U$111:$Y$111</c:f>
                <c:numCache>
                  <c:formatCode>General</c:formatCode>
                  <c:ptCount val="5"/>
                  <c:pt idx="0">
                    <c:v>10.38155566097427</c:v>
                  </c:pt>
                  <c:pt idx="1">
                    <c:v>11.31218638858732</c:v>
                  </c:pt>
                  <c:pt idx="2">
                    <c:v>5.185672569686598</c:v>
                  </c:pt>
                  <c:pt idx="3">
                    <c:v>1.761676959264712</c:v>
                  </c:pt>
                  <c:pt idx="4">
                    <c:v>10.54038909809311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Sheet1!$V$73:$Z$73</c:f>
              <c:numCache>
                <c:formatCode>General</c:formatCode>
                <c:ptCount val="5"/>
                <c:pt idx="0">
                  <c:v>454.8109130434783</c:v>
                </c:pt>
                <c:pt idx="1">
                  <c:v>4699.455333333332</c:v>
                </c:pt>
                <c:pt idx="2">
                  <c:v>250.0</c:v>
                </c:pt>
                <c:pt idx="3">
                  <c:v>143.123</c:v>
                </c:pt>
                <c:pt idx="4">
                  <c:v>5547.38924637681</c:v>
                </c:pt>
              </c:numCache>
            </c:numRef>
          </c:val>
        </c:ser>
        <c:ser>
          <c:idx val="2"/>
          <c:order val="2"/>
          <c:tx>
            <c:strRef>
              <c:f>Sheet1!$U$74</c:f>
              <c:strCache>
                <c:ptCount val="1"/>
                <c:pt idx="0">
                  <c:v>distributed-PMR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Sheet1!$U$112:$Y$112</c:f>
                <c:numCache>
                  <c:formatCode>General</c:formatCode>
                  <c:ptCount val="5"/>
                  <c:pt idx="0">
                    <c:v>0.634641960303525</c:v>
                  </c:pt>
                  <c:pt idx="1">
                    <c:v>23.77030017401586</c:v>
                  </c:pt>
                  <c:pt idx="2">
                    <c:v>1.728557523113877</c:v>
                  </c:pt>
                  <c:pt idx="3">
                    <c:v>2.076212744396057</c:v>
                  </c:pt>
                  <c:pt idx="4">
                    <c:v>24.16702109756067</c:v>
                  </c:pt>
                </c:numCache>
              </c:numRef>
            </c:plus>
            <c:minus>
              <c:numRef>
                <c:f>Sheet1!$U$112:$Y$112</c:f>
                <c:numCache>
                  <c:formatCode>General</c:formatCode>
                  <c:ptCount val="5"/>
                  <c:pt idx="0">
                    <c:v>0.634641960303525</c:v>
                  </c:pt>
                  <c:pt idx="1">
                    <c:v>23.77030017401586</c:v>
                  </c:pt>
                  <c:pt idx="2">
                    <c:v>1.728557523113877</c:v>
                  </c:pt>
                  <c:pt idx="3">
                    <c:v>2.076212744396057</c:v>
                  </c:pt>
                  <c:pt idx="4">
                    <c:v>24.16702109756067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Sheet1!$V$74:$Z$74</c:f>
              <c:numCache>
                <c:formatCode>General</c:formatCode>
                <c:ptCount val="5"/>
                <c:pt idx="0">
                  <c:v>35.85666666666666</c:v>
                </c:pt>
                <c:pt idx="1">
                  <c:v>4756.134666666666</c:v>
                </c:pt>
                <c:pt idx="2">
                  <c:v>1922.0</c:v>
                </c:pt>
                <c:pt idx="3">
                  <c:v>142.12</c:v>
                </c:pt>
                <c:pt idx="4">
                  <c:v>6856.111333333333</c:v>
                </c:pt>
              </c:numCache>
            </c:numRef>
          </c:val>
        </c:ser>
        <c:axId val="478083224"/>
        <c:axId val="477142920"/>
      </c:barChart>
      <c:catAx>
        <c:axId val="478083224"/>
        <c:scaling>
          <c:orientation val="minMax"/>
        </c:scaling>
        <c:axPos val="b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477142920"/>
        <c:crosses val="autoZero"/>
        <c:auto val="1"/>
        <c:lblAlgn val="ctr"/>
        <c:lblOffset val="100"/>
      </c:catAx>
      <c:valAx>
        <c:axId val="47714292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78083224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484542922988285"/>
          <c:y val="0.103340399757723"/>
          <c:w val="0.282565559739815"/>
          <c:h val="0.241094286291137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33236109570811"/>
          <c:y val="0.0299280972231412"/>
          <c:w val="0.838619986260107"/>
          <c:h val="0.828949301297812"/>
        </c:manualLayout>
      </c:layout>
      <c:barChart>
        <c:barDir val="col"/>
        <c:grouping val="clustered"/>
        <c:ser>
          <c:idx val="0"/>
          <c:order val="0"/>
          <c:tx>
            <c:strRef>
              <c:f>Sheet1!$F$141</c:f>
              <c:strCache>
                <c:ptCount val="1"/>
                <c:pt idx="0">
                  <c:v>SEQAL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Sheet1!$F$142:$F$144</c:f>
              <c:numCache>
                <c:formatCode>General</c:formatCode>
                <c:ptCount val="3"/>
                <c:pt idx="0">
                  <c:v>2689.666666666667</c:v>
                </c:pt>
                <c:pt idx="1">
                  <c:v>4094.666666666667</c:v>
                </c:pt>
                <c:pt idx="2">
                  <c:v>7343.666666666666</c:v>
                </c:pt>
              </c:numCache>
            </c:numRef>
          </c:val>
        </c:ser>
        <c:ser>
          <c:idx val="1"/>
          <c:order val="1"/>
          <c:tx>
            <c:strRef>
              <c:f>Sheet1!$G$141</c:f>
              <c:strCache>
                <c:ptCount val="1"/>
                <c:pt idx="0">
                  <c:v>local-PMR(bwa)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Sheet1!$G$142:$G$144</c:f>
              <c:numCache>
                <c:formatCode>General</c:formatCode>
                <c:ptCount val="3"/>
                <c:pt idx="0">
                  <c:v>1479.923333333333</c:v>
                </c:pt>
                <c:pt idx="1">
                  <c:v>2785.569</c:v>
                </c:pt>
                <c:pt idx="2">
                  <c:v>4699.455333333332</c:v>
                </c:pt>
              </c:numCache>
            </c:numRef>
          </c:val>
        </c:ser>
        <c:ser>
          <c:idx val="2"/>
          <c:order val="2"/>
          <c:tx>
            <c:strRef>
              <c:f>Sheet1!$H$141</c:f>
              <c:strCache>
                <c:ptCount val="1"/>
                <c:pt idx="0">
                  <c:v>distribtued-PMR(bwa)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Sheet1!$H$142:$H$144</c:f>
              <c:numCache>
                <c:formatCode>General</c:formatCode>
                <c:ptCount val="3"/>
                <c:pt idx="0">
                  <c:v>1526.84</c:v>
                </c:pt>
                <c:pt idx="1">
                  <c:v>2775.226666666667</c:v>
                </c:pt>
                <c:pt idx="2">
                  <c:v>4756.134666666666</c:v>
                </c:pt>
              </c:numCache>
            </c:numRef>
          </c:val>
        </c:ser>
        <c:ser>
          <c:idx val="3"/>
          <c:order val="3"/>
          <c:tx>
            <c:strRef>
              <c:f>Sheet1!$I$141</c:f>
              <c:strCache>
                <c:ptCount val="1"/>
                <c:pt idx="0">
                  <c:v>local-PMR(bowtie)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Sheet1!$I$142:$I$144</c:f>
              <c:numCache>
                <c:formatCode>General</c:formatCode>
                <c:ptCount val="3"/>
                <c:pt idx="0">
                  <c:v>548.16</c:v>
                </c:pt>
                <c:pt idx="1">
                  <c:v>976.8833333333333</c:v>
                </c:pt>
                <c:pt idx="2">
                  <c:v>1680.05</c:v>
                </c:pt>
              </c:numCache>
            </c:numRef>
          </c:val>
        </c:ser>
        <c:ser>
          <c:idx val="4"/>
          <c:order val="4"/>
          <c:tx>
            <c:strRef>
              <c:f>Sheet1!$J$141</c:f>
              <c:strCache>
                <c:ptCount val="1"/>
                <c:pt idx="0">
                  <c:v>distributed-PMR(bowtie)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Sheet1!$J$142:$J$144</c:f>
              <c:numCache>
                <c:formatCode>General</c:formatCode>
                <c:ptCount val="3"/>
                <c:pt idx="0">
                  <c:v>538.215</c:v>
                </c:pt>
                <c:pt idx="1">
                  <c:v>974.8316666666666</c:v>
                </c:pt>
                <c:pt idx="2">
                  <c:v>1684.191666666667</c:v>
                </c:pt>
              </c:numCache>
            </c:numRef>
          </c:val>
        </c:ser>
        <c:ser>
          <c:idx val="5"/>
          <c:order val="5"/>
          <c:tx>
            <c:strRef>
              <c:f>Sheet1!$K$141</c:f>
              <c:strCache>
                <c:ptCount val="1"/>
                <c:pt idx="0">
                  <c:v>Crossbow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Sheet1!$J$159:$J$161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axId val="490756760"/>
        <c:axId val="491055640"/>
      </c:barChart>
      <c:catAx>
        <c:axId val="490756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91055640"/>
        <c:crosses val="autoZero"/>
        <c:auto val="1"/>
        <c:lblAlgn val="ctr"/>
        <c:lblOffset val="100"/>
      </c:catAx>
      <c:valAx>
        <c:axId val="49105564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 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90756760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57538676943551"/>
          <c:y val="0.0536952733849445"/>
          <c:w val="0.290523178440723"/>
          <c:h val="0.418725600476411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Crossbow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Sheet1!$J$158</c:f>
              <c:strCache>
                <c:ptCount val="1"/>
                <c:pt idx="0">
                  <c:v>Align</c:v>
                </c:pt>
              </c:strCache>
            </c:strRef>
          </c:tx>
          <c:cat>
            <c:numRef>
              <c:f>Sheet1!$I$159:$I$161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Sheet1!$J$159:$J$161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ser>
          <c:idx val="1"/>
          <c:order val="1"/>
          <c:tx>
            <c:strRef>
              <c:f>Sheet1!$K$158</c:f>
              <c:strCache>
                <c:ptCount val="1"/>
                <c:pt idx="0">
                  <c:v>SNPs</c:v>
                </c:pt>
              </c:strCache>
            </c:strRef>
          </c:tx>
          <c:cat>
            <c:numRef>
              <c:f>Sheet1!$I$159:$I$161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Sheet1!$K$159:$K$161</c:f>
              <c:numCache>
                <c:formatCode>General</c:formatCode>
                <c:ptCount val="3"/>
                <c:pt idx="0">
                  <c:v>6199.0</c:v>
                </c:pt>
                <c:pt idx="1">
                  <c:v>6395.0</c:v>
                </c:pt>
                <c:pt idx="2">
                  <c:v>7137.0</c:v>
                </c:pt>
              </c:numCache>
            </c:numRef>
          </c:val>
        </c:ser>
        <c:axId val="645126072"/>
        <c:axId val="491235368"/>
      </c:barChart>
      <c:catAx>
        <c:axId val="645126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 [GB]</a:t>
                </a:r>
              </a:p>
            </c:rich>
          </c:tx>
          <c:layout/>
        </c:title>
        <c:numFmt formatCode="General" sourceLinked="1"/>
        <c:tickLblPos val="nextTo"/>
        <c:crossAx val="491235368"/>
        <c:crosses val="autoZero"/>
        <c:auto val="1"/>
        <c:lblAlgn val="ctr"/>
        <c:lblOffset val="100"/>
      </c:catAx>
      <c:valAx>
        <c:axId val="49123536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Runtime [sec]</a:t>
                </a:r>
              </a:p>
            </c:rich>
          </c:tx>
          <c:layout/>
        </c:title>
        <c:numFmt formatCode="General" sourceLinked="1"/>
        <c:tickLblPos val="nextTo"/>
        <c:crossAx val="64512607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Comparison b/w PMR(local and distributed) &amp; Crossbow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Sheet1!$J$168</c:f>
              <c:strCache>
                <c:ptCount val="1"/>
                <c:pt idx="0">
                  <c:v>local-PMR(bowtie)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Sheet1!$J$169:$J$171</c:f>
              <c:numCache>
                <c:formatCode>General</c:formatCode>
                <c:ptCount val="3"/>
                <c:pt idx="0">
                  <c:v>548.16</c:v>
                </c:pt>
                <c:pt idx="1">
                  <c:v>976.8833333333333</c:v>
                </c:pt>
                <c:pt idx="2">
                  <c:v>1680.05</c:v>
                </c:pt>
              </c:numCache>
            </c:numRef>
          </c:val>
        </c:ser>
        <c:ser>
          <c:idx val="1"/>
          <c:order val="1"/>
          <c:tx>
            <c:strRef>
              <c:f>Sheet1!$K$168</c:f>
              <c:strCache>
                <c:ptCount val="1"/>
                <c:pt idx="0">
                  <c:v>distributed-PMR(bowtie)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Sheet1!$K$169:$K$171</c:f>
              <c:numCache>
                <c:formatCode>General</c:formatCode>
                <c:ptCount val="3"/>
                <c:pt idx="0">
                  <c:v>538.215</c:v>
                </c:pt>
                <c:pt idx="1">
                  <c:v>974.8316666666666</c:v>
                </c:pt>
                <c:pt idx="2">
                  <c:v>1684.191666666667</c:v>
                </c:pt>
              </c:numCache>
            </c:numRef>
          </c:val>
        </c:ser>
        <c:ser>
          <c:idx val="2"/>
          <c:order val="2"/>
          <c:tx>
            <c:strRef>
              <c:f>Sheet1!$L$168</c:f>
              <c:strCache>
                <c:ptCount val="1"/>
                <c:pt idx="0">
                  <c:v>crossbow(bowtie)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Sheet1!$L$169:$L$171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axId val="491034152"/>
        <c:axId val="477463560"/>
      </c:barChart>
      <c:catAx>
        <c:axId val="491034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 Size [GB]</a:t>
                </a:r>
              </a:p>
            </c:rich>
          </c:tx>
          <c:layout/>
        </c:title>
        <c:numFmt formatCode="General" sourceLinked="1"/>
        <c:tickLblPos val="nextTo"/>
        <c:crossAx val="477463560"/>
        <c:crosses val="autoZero"/>
        <c:auto val="1"/>
        <c:lblAlgn val="ctr"/>
        <c:lblOffset val="100"/>
      </c:catAx>
      <c:valAx>
        <c:axId val="47746356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  <c:layout/>
        </c:title>
        <c:numFmt formatCode="General" sourceLinked="1"/>
        <c:tickLblPos val="nextTo"/>
        <c:crossAx val="49103415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5"/>
  <c:chart>
    <c:title>
      <c:tx>
        <c:rich>
          <a:bodyPr/>
          <a:lstStyle/>
          <a:p>
            <a:pPr>
              <a:defRPr/>
            </a:pPr>
            <a:r>
              <a:rPr lang="en-US"/>
              <a:t>Runtime(map phase) vs. number of workers in Crossbow - 32 ps, 8GB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51525590551181"/>
          <c:y val="0.192592592592593"/>
          <c:w val="0.736470691163604"/>
          <c:h val="0.657982283464567"/>
        </c:manualLayout>
      </c:layout>
      <c:barChart>
        <c:barDir val="col"/>
        <c:grouping val="clustered"/>
        <c:ser>
          <c:idx val="0"/>
          <c:order val="0"/>
          <c:tx>
            <c:strRef>
              <c:f>Sheet1!$L$189</c:f>
              <c:strCache>
                <c:ptCount val="1"/>
                <c:pt idx="0">
                  <c:v>Align</c:v>
                </c:pt>
              </c:strCache>
            </c:strRef>
          </c:tx>
          <c:spPr>
            <a:ln>
              <a:noFill/>
            </a:ln>
          </c:spPr>
          <c:dLbls>
            <c:showVal val="1"/>
          </c:dLbls>
          <c:cat>
            <c:numRef>
              <c:f>Sheet1!$K$190:$K$191</c:f>
              <c:numCache>
                <c:formatCode>General</c:formatCode>
                <c:ptCount val="2"/>
                <c:pt idx="0">
                  <c:v>4.0</c:v>
                </c:pt>
                <c:pt idx="1">
                  <c:v>8.0</c:v>
                </c:pt>
              </c:numCache>
            </c:numRef>
          </c:cat>
          <c:val>
            <c:numRef>
              <c:f>Sheet1!$L$190:$L$191</c:f>
              <c:numCache>
                <c:formatCode>General</c:formatCode>
                <c:ptCount val="2"/>
                <c:pt idx="0">
                  <c:v>4622.0</c:v>
                </c:pt>
                <c:pt idx="1">
                  <c:v>2327.0</c:v>
                </c:pt>
              </c:numCache>
            </c:numRef>
          </c:val>
        </c:ser>
        <c:dLbls>
          <c:showVal val="1"/>
        </c:dLbls>
        <c:gapWidth val="500"/>
        <c:axId val="477227672"/>
        <c:axId val="490961656"/>
      </c:barChart>
      <c:catAx>
        <c:axId val="477227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number of workers</a:t>
                </a:r>
              </a:p>
            </c:rich>
          </c:tx>
          <c:layout/>
        </c:title>
        <c:numFmt formatCode="General" sourceLinked="1"/>
        <c:tickLblPos val="nextTo"/>
        <c:crossAx val="490961656"/>
        <c:crosses val="autoZero"/>
        <c:auto val="1"/>
        <c:lblAlgn val="ctr"/>
        <c:lblOffset val="100"/>
      </c:catAx>
      <c:valAx>
        <c:axId val="49096165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  <c:layout/>
        </c:title>
        <c:numFmt formatCode="General" sourceLinked="1"/>
        <c:tickLblPos val="nextTo"/>
        <c:crossAx val="477227672"/>
        <c:crosses val="autoZero"/>
        <c:crossBetween val="between"/>
        <c:majorUnit val="1000.0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Runtime vs. constant number of workers(2, 4, 8 nodes) in Crossbow - 8 workers in total, 8GB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Sheet1!$L$194</c:f>
              <c:strCache>
                <c:ptCount val="1"/>
                <c:pt idx="0">
                  <c:v>Align</c:v>
                </c:pt>
              </c:strCache>
            </c:strRef>
          </c:tx>
          <c:dLbls>
            <c:showVal val="1"/>
          </c:dLbls>
          <c:cat>
            <c:strRef>
              <c:f>Sheet1!$K$195:$K$197</c:f>
              <c:strCache>
                <c:ptCount val="3"/>
                <c:pt idx="0">
                  <c:v>2N(4W per node)</c:v>
                </c:pt>
                <c:pt idx="1">
                  <c:v>4N(2W per node)</c:v>
                </c:pt>
                <c:pt idx="2">
                  <c:v>8N(1W per node)</c:v>
                </c:pt>
              </c:strCache>
            </c:strRef>
          </c:cat>
          <c:val>
            <c:numRef>
              <c:f>Sheet1!$L$195:$L$197</c:f>
              <c:numCache>
                <c:formatCode>General</c:formatCode>
                <c:ptCount val="3"/>
                <c:pt idx="0">
                  <c:v>590.0</c:v>
                </c:pt>
                <c:pt idx="1">
                  <c:v>609.0</c:v>
                </c:pt>
                <c:pt idx="2">
                  <c:v>956.0</c:v>
                </c:pt>
              </c:numCache>
            </c:numRef>
          </c:val>
        </c:ser>
        <c:dLbls>
          <c:showVal val="1"/>
        </c:dLbls>
        <c:gapWidth val="500"/>
        <c:axId val="490935176"/>
        <c:axId val="477186008"/>
      </c:barChart>
      <c:catAx>
        <c:axId val="490935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/>
                  <a:t>Total number of nodes (number of workers per nodes)</a:t>
                </a:r>
                <a:endParaRPr lang="en-US" sz="1400"/>
              </a:p>
            </c:rich>
          </c:tx>
          <c:layout/>
        </c:title>
        <c:numFmt formatCode="General" sourceLinked="1"/>
        <c:tickLblPos val="nextTo"/>
        <c:crossAx val="477186008"/>
        <c:crosses val="autoZero"/>
        <c:auto val="1"/>
        <c:lblAlgn val="ctr"/>
        <c:lblOffset val="100"/>
      </c:catAx>
      <c:valAx>
        <c:axId val="47718600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  <c:layout/>
        </c:title>
        <c:numFmt formatCode="General" sourceLinked="1"/>
        <c:tickLblPos val="nextTo"/>
        <c:crossAx val="490935176"/>
        <c:crosses val="autoZero"/>
        <c:crossBetween val="between"/>
        <c:majorUnit val="300.0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Varying number of workers, input size = 10 GB, reduces = 8, Number of reads/ chunk=625000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Analaysis'!$C$51:$C$53</c:f>
              <c:numCache>
                <c:formatCode>General</c:formatCode>
                <c:ptCount val="3"/>
                <c:pt idx="0">
                  <c:v>3735.89</c:v>
                </c:pt>
                <c:pt idx="1">
                  <c:v>2059.595666666667</c:v>
                </c:pt>
                <c:pt idx="2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overlap val="100"/>
        <c:axId val="611498296"/>
        <c:axId val="491515400"/>
      </c:barChart>
      <c:catAx>
        <c:axId val="611498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workers</a:t>
                </a:r>
              </a:p>
            </c:rich>
          </c:tx>
        </c:title>
        <c:numFmt formatCode="General" sourceLinked="1"/>
        <c:tickLblPos val="nextTo"/>
        <c:crossAx val="491515400"/>
        <c:crosses val="autoZero"/>
        <c:auto val="1"/>
        <c:lblAlgn val="ctr"/>
        <c:lblOffset val="100"/>
      </c:catAx>
      <c:valAx>
        <c:axId val="4915154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6114982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Input size, chunk size=62500 reads, number of reduces=8, number of workers=32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chunk time</c:v>
          </c:tx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 phase time</c:v>
          </c:tx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Analaysis'!$F$81:$F$83</c:f>
              <c:numCache>
                <c:formatCode>General</c:formatCode>
                <c:ptCount val="3"/>
                <c:pt idx="0">
                  <c:v>1169.86</c:v>
                </c:pt>
                <c:pt idx="1">
                  <c:v>2174.028</c:v>
                </c:pt>
                <c:pt idx="2">
                  <c:v>4351.129</c:v>
                </c:pt>
              </c:numCache>
            </c:numRef>
          </c:val>
        </c:ser>
        <c:ser>
          <c:idx val="2"/>
          <c:order val="2"/>
          <c:tx>
            <c:v>Reduce phase time</c:v>
          </c:tx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overlap val="100"/>
        <c:axId val="611418472"/>
        <c:axId val="623453192"/>
      </c:barChart>
      <c:catAx>
        <c:axId val="611418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GB</a:t>
                </a:r>
              </a:p>
            </c:rich>
          </c:tx>
        </c:title>
        <c:numFmt formatCode="General" sourceLinked="1"/>
        <c:tickLblPos val="nextTo"/>
        <c:crossAx val="623453192"/>
        <c:crosses val="autoZero"/>
        <c:auto val="1"/>
        <c:lblAlgn val="ctr"/>
        <c:lblOffset val="100"/>
      </c:catAx>
      <c:valAx>
        <c:axId val="6234531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6114184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overlap val="100"/>
        <c:axId val="637916536"/>
        <c:axId val="490797048"/>
      </c:barChart>
      <c:catAx>
        <c:axId val="637916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  <c:layout/>
        </c:title>
        <c:numFmt formatCode="General" sourceLinked="1"/>
        <c:tickLblPos val="nextTo"/>
        <c:crossAx val="490797048"/>
        <c:crosses val="autoZero"/>
        <c:auto val="1"/>
        <c:lblAlgn val="ctr"/>
        <c:lblOffset val="100"/>
      </c:catAx>
      <c:valAx>
        <c:axId val="4907970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  <c:layout/>
        </c:title>
        <c:numFmt formatCode="General" sourceLinked="1"/>
        <c:tickLblPos val="nextTo"/>
        <c:crossAx val="63791653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165957480314961"/>
          <c:y val="0.0634782608695652"/>
          <c:w val="0.790560772679619"/>
          <c:h val="0.714612461485792"/>
        </c:manualLayout>
      </c:layout>
      <c:barChart>
        <c:barDir val="col"/>
        <c:grouping val="stacked"/>
        <c:ser>
          <c:idx val="0"/>
          <c:order val="0"/>
          <c:tx>
            <c:v>Map</c:v>
          </c:tx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'GS data analysis'!$E$71:$E$73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'[1]GS Data Analaysis'!$C$51:$C$53</c:f>
              <c:numCache>
                <c:formatCode>General</c:formatCode>
                <c:ptCount val="3"/>
                <c:pt idx="0">
                  <c:v>3735.89</c:v>
                </c:pt>
                <c:pt idx="1">
                  <c:v>2059.595666666667</c:v>
                </c:pt>
                <c:pt idx="2">
                  <c:v>1169.86</c:v>
                </c:pt>
              </c:numCache>
            </c:numRef>
          </c:val>
        </c:ser>
        <c:ser>
          <c:idx val="1"/>
          <c:order val="1"/>
          <c:tx>
            <c:v>Reduce</c:v>
          </c:tx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'GS data analysis'!$E$71:$E$73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overlap val="100"/>
        <c:axId val="552761480"/>
        <c:axId val="638254232"/>
      </c:barChart>
      <c:catAx>
        <c:axId val="552761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# of Nodes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38254232"/>
        <c:crosses val="autoZero"/>
        <c:auto val="1"/>
        <c:lblAlgn val="ctr"/>
        <c:lblOffset val="100"/>
      </c:catAx>
      <c:valAx>
        <c:axId val="63825423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52761480"/>
        <c:crosses val="autoZero"/>
        <c:crossBetween val="between"/>
      </c:valAx>
      <c:spPr>
        <a:ln w="19050" cmpd="sng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07013286310386"/>
          <c:y val="0.15614241401643"/>
          <c:w val="0.340303793843951"/>
          <c:h val="0.157242725094146"/>
        </c:manualLayout>
      </c:layout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autoTitleDeleted val="1"/>
    <c:plotArea>
      <c:layout>
        <c:manualLayout>
          <c:layoutTarget val="inner"/>
          <c:xMode val="edge"/>
          <c:yMode val="edge"/>
          <c:x val="0.158263369944999"/>
          <c:y val="0.0584070796460177"/>
          <c:w val="0.778208201681796"/>
          <c:h val="0.670217754860288"/>
        </c:manualLayout>
      </c:layout>
      <c:barChart>
        <c:barDir val="col"/>
        <c:grouping val="stacked"/>
        <c:ser>
          <c:idx val="0"/>
          <c:order val="0"/>
          <c:tx>
            <c:v>Chunk</c:v>
          </c:tx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</c:v>
          </c:tx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'GS data analysis'!$F$81:$F$83</c:f>
              <c:numCache>
                <c:formatCode>0.00</c:formatCode>
                <c:ptCount val="3"/>
                <c:pt idx="0">
                  <c:v>1115.86</c:v>
                </c:pt>
                <c:pt idx="1">
                  <c:v>2044.028</c:v>
                </c:pt>
                <c:pt idx="2">
                  <c:v>4071.129000000001</c:v>
                </c:pt>
              </c:numCache>
            </c:numRef>
          </c:val>
        </c:ser>
        <c:ser>
          <c:idx val="3"/>
          <c:order val="2"/>
          <c:tx>
            <c:v>Shuffle</c:v>
          </c:tx>
          <c:errBars>
            <c:errBarType val="both"/>
            <c:errValType val="cust"/>
            <c:plus>
              <c:numRef>
                <c:f>'GS data analysis'!$I$81:$I$83</c:f>
                <c:numCache>
                  <c:formatCode>General</c:formatCode>
                  <c:ptCount val="3"/>
                  <c:pt idx="0">
                    <c:v>3.45</c:v>
                  </c:pt>
                  <c:pt idx="1">
                    <c:v>8.54</c:v>
                  </c:pt>
                  <c:pt idx="2">
                    <c:v>10.34</c:v>
                  </c:pt>
                </c:numCache>
              </c:numRef>
            </c:plus>
            <c:minus>
              <c:numRef>
                <c:f>'GS data analysis'!$I$81:$I$83</c:f>
                <c:numCache>
                  <c:formatCode>General</c:formatCode>
                  <c:ptCount val="3"/>
                  <c:pt idx="0">
                    <c:v>3.45</c:v>
                  </c:pt>
                  <c:pt idx="1">
                    <c:v>8.54</c:v>
                  </c:pt>
                  <c:pt idx="2">
                    <c:v>10.34</c:v>
                  </c:pt>
                </c:numCache>
              </c:numRef>
            </c:minus>
          </c:errBars>
          <c:val>
            <c:numRef>
              <c:f>'GS data analysis'!$H$81:$H$83</c:f>
              <c:numCache>
                <c:formatCode>0.00</c:formatCode>
                <c:ptCount val="3"/>
                <c:pt idx="0" formatCode="General">
                  <c:v>54.0</c:v>
                </c:pt>
                <c:pt idx="1">
                  <c:v>130.0</c:v>
                </c:pt>
                <c:pt idx="2">
                  <c:v>280.0</c:v>
                </c:pt>
              </c:numCache>
            </c:numRef>
          </c:val>
        </c:ser>
        <c:ser>
          <c:idx val="2"/>
          <c:order val="3"/>
          <c:tx>
            <c:v>Reduce</c:v>
          </c:tx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overlap val="100"/>
        <c:axId val="611373112"/>
        <c:axId val="460278344"/>
      </c:barChart>
      <c:catAx>
        <c:axId val="611373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>
            <c:manualLayout>
              <c:xMode val="edge"/>
              <c:yMode val="edge"/>
              <c:x val="0.424227729182036"/>
              <c:y val="0.869026548672566"/>
            </c:manualLayout>
          </c:layout>
        </c:title>
        <c:numFmt formatCode="General" sourceLinked="1"/>
        <c:tickLblPos val="nextTo"/>
        <c:spPr>
          <a:ln w="19050"/>
        </c:spPr>
        <c:txPr>
          <a:bodyPr/>
          <a:lstStyle/>
          <a:p>
            <a:pPr>
              <a:defRPr sz="1600"/>
            </a:pPr>
            <a:endParaRPr lang="en-US"/>
          </a:p>
        </c:txPr>
        <c:crossAx val="460278344"/>
        <c:crosses val="autoZero"/>
        <c:auto val="1"/>
        <c:lblAlgn val="ctr"/>
        <c:lblOffset val="100"/>
      </c:catAx>
      <c:valAx>
        <c:axId val="46027834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11373112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52644193854353"/>
          <c:y val="0.0923698696954916"/>
          <c:w val="0.506951631046119"/>
          <c:h val="0.167302220269677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scatter plot - Varying chunk size, Input size = 10GB, number of workers =32, Number of reduces = 8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61877296587926"/>
          <c:y val="0.415740740740741"/>
          <c:w val="0.512661854768154"/>
          <c:h val="0.457982283464567"/>
        </c:manualLayout>
      </c:layout>
      <c:scatterChart>
        <c:scatterStyle val="smoothMarker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0112777777777778"/>
                  <c:y val="0.0350160396617089"/>
                </c:manualLayout>
              </c:layout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Analaysis'!$C$5:$C$8</c:f>
              <c:numCache>
                <c:formatCode>General</c:formatCode>
                <c:ptCount val="4"/>
                <c:pt idx="0">
                  <c:v>2482.182666666667</c:v>
                </c:pt>
                <c:pt idx="1">
                  <c:v>1864.965666666666</c:v>
                </c:pt>
                <c:pt idx="2">
                  <c:v>1641.498333333333</c:v>
                </c:pt>
                <c:pt idx="3">
                  <c:v>1502.405</c:v>
                </c:pt>
              </c:numCache>
            </c:numRef>
          </c:yVal>
          <c:smooth val="1"/>
        </c:ser>
        <c:axId val="638744616"/>
        <c:axId val="491385640"/>
      </c:scatterChart>
      <c:valAx>
        <c:axId val="638744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  <c:layout/>
        </c:title>
        <c:numFmt formatCode="General" sourceLinked="1"/>
        <c:tickLblPos val="nextTo"/>
        <c:crossAx val="491385640"/>
        <c:crosses val="autoZero"/>
        <c:crossBetween val="midCat"/>
      </c:valAx>
      <c:valAx>
        <c:axId val="4913856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  <c:layout/>
        </c:title>
        <c:numFmt formatCode="General" sourceLinked="1"/>
        <c:tickLblPos val="nextTo"/>
        <c:crossAx val="63874461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xVal>
          <c:yVal>
            <c:numRef>
              <c:f>'[1]GS Data Analaysis'!$B$51:$B$53</c:f>
              <c:numCache>
                <c:formatCode>General</c:formatCode>
                <c:ptCount val="3"/>
                <c:pt idx="0">
                  <c:v>3890.74</c:v>
                </c:pt>
                <c:pt idx="1">
                  <c:v>2210.230666666666</c:v>
                </c:pt>
                <c:pt idx="2">
                  <c:v>1314.206</c:v>
                </c:pt>
              </c:numCache>
            </c:numRef>
          </c:yVal>
        </c:ser>
        <c:axId val="490771704"/>
        <c:axId val="638487880"/>
      </c:scatterChart>
      <c:valAx>
        <c:axId val="490771704"/>
        <c:scaling>
          <c:orientation val="minMax"/>
        </c:scaling>
        <c:axPos val="b"/>
        <c:numFmt formatCode="General" sourceLinked="1"/>
        <c:tickLblPos val="nextTo"/>
        <c:crossAx val="638487880"/>
        <c:crosses val="autoZero"/>
        <c:crossBetween val="midCat"/>
      </c:valAx>
      <c:valAx>
        <c:axId val="638487880"/>
        <c:scaling>
          <c:orientation val="minMax"/>
        </c:scaling>
        <c:axPos val="l"/>
        <c:majorGridlines/>
        <c:numFmt formatCode="General" sourceLinked="1"/>
        <c:tickLblPos val="nextTo"/>
        <c:crossAx val="49077170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xVal>
          <c:yVal>
            <c:numRef>
              <c:f>'[1]GS Data Analaysis'!$C$81:$C$83</c:f>
              <c:numCache>
                <c:formatCode>General</c:formatCode>
                <c:ptCount val="3"/>
                <c:pt idx="0">
                  <c:v>1498.897</c:v>
                </c:pt>
                <c:pt idx="1">
                  <c:v>2872.723</c:v>
                </c:pt>
                <c:pt idx="2">
                  <c:v>5882.974</c:v>
                </c:pt>
              </c:numCache>
            </c:numRef>
          </c:yVal>
        </c:ser>
        <c:axId val="638390632"/>
        <c:axId val="623377208"/>
      </c:scatterChart>
      <c:valAx>
        <c:axId val="638390632"/>
        <c:scaling>
          <c:orientation val="minMax"/>
        </c:scaling>
        <c:axPos val="b"/>
        <c:numFmt formatCode="General" sourceLinked="1"/>
        <c:tickLblPos val="nextTo"/>
        <c:crossAx val="623377208"/>
        <c:crosses val="autoZero"/>
        <c:crossBetween val="midCat"/>
      </c:valAx>
      <c:valAx>
        <c:axId val="623377208"/>
        <c:scaling>
          <c:orientation val="minMax"/>
        </c:scaling>
        <c:axPos val="l"/>
        <c:majorGridlines/>
        <c:numFmt formatCode="General" sourceLinked="1"/>
        <c:tickLblPos val="nextTo"/>
        <c:crossAx val="63839063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39</xdr:row>
      <xdr:rowOff>0</xdr:rowOff>
    </xdr:from>
    <xdr:to>
      <xdr:col>10</xdr:col>
      <xdr:colOff>812800</xdr:colOff>
      <xdr:row>57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100</xdr:row>
      <xdr:rowOff>38100</xdr:rowOff>
    </xdr:from>
    <xdr:to>
      <xdr:col>7</xdr:col>
      <xdr:colOff>584200</xdr:colOff>
      <xdr:row>117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159</xdr:row>
      <xdr:rowOff>0</xdr:rowOff>
    </xdr:from>
    <xdr:to>
      <xdr:col>10</xdr:col>
      <xdr:colOff>800100</xdr:colOff>
      <xdr:row>173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9</xdr:row>
      <xdr:rowOff>63500</xdr:rowOff>
    </xdr:from>
    <xdr:to>
      <xdr:col>8</xdr:col>
      <xdr:colOff>533400</xdr:colOff>
      <xdr:row>28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57</xdr:row>
      <xdr:rowOff>139700</xdr:rowOff>
    </xdr:from>
    <xdr:to>
      <xdr:col>14</xdr:col>
      <xdr:colOff>546100</xdr:colOff>
      <xdr:row>75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723900</xdr:colOff>
      <xdr:row>93</xdr:row>
      <xdr:rowOff>127000</xdr:rowOff>
    </xdr:from>
    <xdr:to>
      <xdr:col>7</xdr:col>
      <xdr:colOff>787400</xdr:colOff>
      <xdr:row>111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647700</xdr:colOff>
      <xdr:row>10</xdr:row>
      <xdr:rowOff>127000</xdr:rowOff>
    </xdr:from>
    <xdr:to>
      <xdr:col>16</xdr:col>
      <xdr:colOff>596900</xdr:colOff>
      <xdr:row>28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342900</xdr:colOff>
      <xdr:row>51</xdr:row>
      <xdr:rowOff>114300</xdr:rowOff>
    </xdr:from>
    <xdr:to>
      <xdr:col>22</xdr:col>
      <xdr:colOff>25400</xdr:colOff>
      <xdr:row>69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76200</xdr:colOff>
      <xdr:row>84</xdr:row>
      <xdr:rowOff>177800</xdr:rowOff>
    </xdr:from>
    <xdr:to>
      <xdr:col>14</xdr:col>
      <xdr:colOff>469900</xdr:colOff>
      <xdr:row>105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31</xdr:row>
      <xdr:rowOff>25400</xdr:rowOff>
    </xdr:from>
    <xdr:to>
      <xdr:col>14</xdr:col>
      <xdr:colOff>457200</xdr:colOff>
      <xdr:row>42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37</xdr:row>
      <xdr:rowOff>50800</xdr:rowOff>
    </xdr:from>
    <xdr:to>
      <xdr:col>15</xdr:col>
      <xdr:colOff>825500</xdr:colOff>
      <xdr:row>58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850900</xdr:colOff>
      <xdr:row>82</xdr:row>
      <xdr:rowOff>152400</xdr:rowOff>
    </xdr:from>
    <xdr:to>
      <xdr:col>18</xdr:col>
      <xdr:colOff>876300</xdr:colOff>
      <xdr:row>103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19</xdr:col>
      <xdr:colOff>812800</xdr:colOff>
      <xdr:row>84</xdr:row>
      <xdr:rowOff>139700</xdr:rowOff>
    </xdr:from>
    <xdr:to>
      <xdr:col>25</xdr:col>
      <xdr:colOff>304800</xdr:colOff>
      <xdr:row>102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482600</xdr:colOff>
      <xdr:row>117</xdr:row>
      <xdr:rowOff>25400</xdr:rowOff>
    </xdr:from>
    <xdr:to>
      <xdr:col>19</xdr:col>
      <xdr:colOff>76200</xdr:colOff>
      <xdr:row>143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393700</xdr:colOff>
      <xdr:row>144</xdr:row>
      <xdr:rowOff>101600</xdr:rowOff>
    </xdr:from>
    <xdr:to>
      <xdr:col>17</xdr:col>
      <xdr:colOff>317500</xdr:colOff>
      <xdr:row>166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406400</xdr:colOff>
      <xdr:row>164</xdr:row>
      <xdr:rowOff>152400</xdr:rowOff>
    </xdr:from>
    <xdr:to>
      <xdr:col>18</xdr:col>
      <xdr:colOff>939800</xdr:colOff>
      <xdr:row>184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508000</xdr:colOff>
      <xdr:row>170</xdr:row>
      <xdr:rowOff>12700</xdr:rowOff>
    </xdr:from>
    <xdr:to>
      <xdr:col>15</xdr:col>
      <xdr:colOff>774700</xdr:colOff>
      <xdr:row>189</xdr:row>
      <xdr:rowOff>101600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508000</xdr:colOff>
      <xdr:row>172</xdr:row>
      <xdr:rowOff>88900</xdr:rowOff>
    </xdr:from>
    <xdr:to>
      <xdr:col>12</xdr:col>
      <xdr:colOff>698500</xdr:colOff>
      <xdr:row>200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anth2/Downloads/Python_MR_result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Ingle Reduce"/>
      <sheetName val="Sheet2"/>
      <sheetName val="Sheet3"/>
      <sheetName val="Sheet5"/>
      <sheetName val="Sheet4"/>
      <sheetName val="Single MR Grid"/>
      <sheetName val="Distributed MR Grid"/>
      <sheetName val="Dist MR  + parBigjob"/>
      <sheetName val="Latest Distributed MR Results"/>
      <sheetName val="Latest Local MR results"/>
      <sheetName val="LMR, GS results"/>
      <sheetName val="GS Data Analaysis"/>
      <sheetName val="Sheet1"/>
      <sheetName val="Sheet6"/>
      <sheetName val="Sheet7"/>
      <sheetName val="Sheet8"/>
      <sheetName val="Sheet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A5">
            <v>78125</v>
          </cell>
          <cell r="C5">
            <v>2482.1826666666666</v>
          </cell>
          <cell r="E5">
            <v>2104.2950000000001</v>
          </cell>
          <cell r="F5">
            <v>0.95113318365910415</v>
          </cell>
          <cell r="G5">
            <v>161.07566666666665</v>
          </cell>
          <cell r="H5">
            <v>3.8921515186908202</v>
          </cell>
        </row>
        <row r="6">
          <cell r="A6">
            <v>156250</v>
          </cell>
          <cell r="C6">
            <v>1864.9656666666665</v>
          </cell>
          <cell r="E6">
            <v>1504.33</v>
          </cell>
          <cell r="F6">
            <v>25.902892328855973</v>
          </cell>
          <cell r="G6">
            <v>145.63166666666666</v>
          </cell>
          <cell r="H6">
            <v>1.2000589337377248</v>
          </cell>
        </row>
        <row r="7">
          <cell r="A7">
            <v>312500</v>
          </cell>
          <cell r="C7">
            <v>1641.4983333333334</v>
          </cell>
          <cell r="E7">
            <v>1283.6106666666667</v>
          </cell>
          <cell r="F7">
            <v>15.299896648162512</v>
          </cell>
          <cell r="G7">
            <v>146.48266666666669</v>
          </cell>
          <cell r="H7">
            <v>2.2325377438638392</v>
          </cell>
        </row>
        <row r="8">
          <cell r="A8">
            <v>625000</v>
          </cell>
          <cell r="C8">
            <v>1502.4049999999997</v>
          </cell>
          <cell r="E8">
            <v>1169.8599999999999</v>
          </cell>
          <cell r="F8">
            <v>19.678437700520611</v>
          </cell>
          <cell r="G8">
            <v>141.32000000000002</v>
          </cell>
          <cell r="H8">
            <v>2.6636263501721773</v>
          </cell>
        </row>
        <row r="51">
          <cell r="A51">
            <v>8</v>
          </cell>
          <cell r="B51">
            <v>3890.74</v>
          </cell>
          <cell r="C51">
            <v>3735.89</v>
          </cell>
          <cell r="D51">
            <v>44.339394594427489</v>
          </cell>
          <cell r="E51">
            <v>142.43299999999999</v>
          </cell>
          <cell r="F51">
            <v>7.5428862071049236</v>
          </cell>
        </row>
        <row r="52">
          <cell r="A52">
            <v>16</v>
          </cell>
          <cell r="B52">
            <v>2210.2306666666664</v>
          </cell>
          <cell r="C52">
            <v>2059.5956666666666</v>
          </cell>
          <cell r="D52">
            <v>58.385792408006402</v>
          </cell>
          <cell r="E52">
            <v>142.59299999999999</v>
          </cell>
          <cell r="F52">
            <v>4.1344438965032166</v>
          </cell>
        </row>
        <row r="53">
          <cell r="A53">
            <v>32</v>
          </cell>
          <cell r="B53">
            <v>1314.2059999999999</v>
          </cell>
          <cell r="C53">
            <v>1169.8599999999999</v>
          </cell>
          <cell r="D53">
            <v>19.678437700520611</v>
          </cell>
          <cell r="E53">
            <v>141.32000000000002</v>
          </cell>
          <cell r="F53">
            <v>2.6636263501721773</v>
          </cell>
        </row>
        <row r="81">
          <cell r="A81">
            <v>10</v>
          </cell>
          <cell r="C81">
            <v>1498.8969999999997</v>
          </cell>
          <cell r="D81">
            <v>187.71699999999998</v>
          </cell>
          <cell r="E81">
            <v>1.7540000000002831</v>
          </cell>
          <cell r="F81">
            <v>1169.8599999999999</v>
          </cell>
          <cell r="G81">
            <v>19.678437700520611</v>
          </cell>
          <cell r="H81">
            <v>141.32000000000002</v>
          </cell>
          <cell r="I81">
            <v>2.6636263501721773</v>
          </cell>
        </row>
        <row r="82">
          <cell r="A82">
            <v>20</v>
          </cell>
          <cell r="C82">
            <v>2872.7230000000004</v>
          </cell>
          <cell r="D82">
            <v>396.57833333333332</v>
          </cell>
          <cell r="E82">
            <v>3.5763333333362866</v>
          </cell>
          <cell r="F82">
            <v>2174.0280000000002</v>
          </cell>
          <cell r="G82">
            <v>13.902016196695632</v>
          </cell>
          <cell r="H82">
            <v>302.11666666666673</v>
          </cell>
          <cell r="I82">
            <v>10.873797593807824</v>
          </cell>
        </row>
        <row r="83">
          <cell r="A83">
            <v>40</v>
          </cell>
          <cell r="C83">
            <v>5882.9740000000002</v>
          </cell>
          <cell r="D83">
            <v>860.74866666666674</v>
          </cell>
          <cell r="E83">
            <v>24.97066666666846</v>
          </cell>
          <cell r="F83">
            <v>4351.1290000000008</v>
          </cell>
          <cell r="G83">
            <v>67.344362268343815</v>
          </cell>
          <cell r="H83">
            <v>671.09633333333329</v>
          </cell>
          <cell r="I83">
            <v>5.7530535177223436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S Data Analaysi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Y158"/>
  <sheetViews>
    <sheetView topLeftCell="A190" workbookViewId="0">
      <selection activeCell="H6" sqref="H6:J6"/>
    </sheetView>
  </sheetViews>
  <sheetFormatPr baseColWidth="10" defaultRowHeight="13"/>
  <sheetData>
    <row r="1" spans="1:14" ht="15">
      <c r="A1" s="1"/>
      <c r="B1" s="2"/>
      <c r="C1" s="2"/>
      <c r="D1" s="2"/>
      <c r="E1" s="2"/>
      <c r="F1" s="2"/>
      <c r="G1" s="1" t="s">
        <v>159</v>
      </c>
      <c r="H1" s="1"/>
      <c r="I1" s="2"/>
      <c r="J1" s="2"/>
      <c r="K1" s="2"/>
      <c r="L1" s="2"/>
      <c r="M1" s="2"/>
      <c r="N1" s="2"/>
    </row>
    <row r="2" spans="1:14" ht="71" thickBot="1">
      <c r="A2" s="3" t="s">
        <v>260</v>
      </c>
      <c r="B2" s="3" t="s">
        <v>259</v>
      </c>
      <c r="C2" s="4" t="s">
        <v>142</v>
      </c>
      <c r="D2" s="5" t="s">
        <v>143</v>
      </c>
      <c r="E2" s="3" t="s">
        <v>289</v>
      </c>
      <c r="F2" s="3" t="s">
        <v>290</v>
      </c>
      <c r="G2" s="6" t="s">
        <v>184</v>
      </c>
      <c r="H2" s="3" t="s">
        <v>185</v>
      </c>
      <c r="I2" s="7" t="s">
        <v>186</v>
      </c>
      <c r="J2" s="7" t="s">
        <v>187</v>
      </c>
      <c r="K2" s="8" t="s">
        <v>296</v>
      </c>
      <c r="L2" s="8" t="s">
        <v>63</v>
      </c>
      <c r="M2" s="8" t="s">
        <v>86</v>
      </c>
      <c r="N2" s="8" t="s">
        <v>87</v>
      </c>
    </row>
    <row r="3" spans="1:14">
      <c r="A3">
        <v>312500</v>
      </c>
      <c r="B3">
        <f>A3/4</f>
        <v>78125</v>
      </c>
      <c r="C3">
        <v>10</v>
      </c>
      <c r="D3">
        <v>256</v>
      </c>
      <c r="E3">
        <v>32</v>
      </c>
      <c r="F3">
        <v>8</v>
      </c>
      <c r="G3">
        <v>2475.4369999999999</v>
      </c>
      <c r="H3">
        <v>216.81200000000001</v>
      </c>
      <c r="I3">
        <v>2104.4259999999999</v>
      </c>
      <c r="J3">
        <v>154.19800000000001</v>
      </c>
      <c r="K3">
        <v>3.4049999999999998</v>
      </c>
      <c r="L3">
        <v>9169.9570000000003</v>
      </c>
      <c r="M3">
        <v>3120</v>
      </c>
    </row>
    <row r="4" spans="1:14">
      <c r="A4">
        <v>625000</v>
      </c>
      <c r="B4">
        <f>A4/4</f>
        <v>156250</v>
      </c>
      <c r="C4">
        <v>10</v>
      </c>
      <c r="D4">
        <v>128</v>
      </c>
      <c r="E4">
        <v>32</v>
      </c>
      <c r="F4">
        <v>8</v>
      </c>
      <c r="G4">
        <v>1812.8209999999999</v>
      </c>
      <c r="H4">
        <v>215.00399999999999</v>
      </c>
      <c r="I4">
        <v>1452.8620000000001</v>
      </c>
      <c r="J4">
        <v>144.95599999999999</v>
      </c>
      <c r="K4">
        <v>1.8129999999999999</v>
      </c>
      <c r="L4">
        <v>9158.0529999999999</v>
      </c>
      <c r="M4">
        <v>3120</v>
      </c>
    </row>
    <row r="5" spans="1:14">
      <c r="A5">
        <v>1250000</v>
      </c>
      <c r="B5">
        <f>A5/4</f>
        <v>312500</v>
      </c>
      <c r="C5">
        <v>10</v>
      </c>
      <c r="D5">
        <v>64</v>
      </c>
      <c r="E5">
        <v>32</v>
      </c>
      <c r="F5">
        <v>8</v>
      </c>
      <c r="G5">
        <v>1631.0630000000001</v>
      </c>
      <c r="H5">
        <v>211.405</v>
      </c>
      <c r="I5">
        <v>1268.711</v>
      </c>
      <c r="J5">
        <v>150.947</v>
      </c>
      <c r="K5">
        <v>0.73199999999999998</v>
      </c>
      <c r="L5">
        <v>9149.9449999999997</v>
      </c>
      <c r="M5">
        <v>3120</v>
      </c>
    </row>
    <row r="6" spans="1:14">
      <c r="A6">
        <v>2500000</v>
      </c>
      <c r="B6">
        <f>A6/4</f>
        <v>625000</v>
      </c>
      <c r="C6">
        <v>10</v>
      </c>
      <c r="D6">
        <v>32</v>
      </c>
      <c r="E6">
        <v>32</v>
      </c>
      <c r="F6">
        <v>8</v>
      </c>
      <c r="G6">
        <v>1536.421</v>
      </c>
      <c r="H6">
        <v>191.22499999999999</v>
      </c>
      <c r="I6">
        <v>1209.1849999999999</v>
      </c>
      <c r="J6">
        <v>136.01</v>
      </c>
      <c r="K6">
        <v>0.39400000000000002</v>
      </c>
      <c r="L6">
        <v>9144.5290000000005</v>
      </c>
      <c r="M6">
        <v>3120</v>
      </c>
    </row>
    <row r="8" spans="1:14" ht="15">
      <c r="A8" s="1"/>
      <c r="B8" s="2"/>
      <c r="C8" s="2"/>
      <c r="D8" s="2"/>
      <c r="E8" s="2"/>
      <c r="F8" s="2"/>
      <c r="G8" s="1" t="s">
        <v>88</v>
      </c>
      <c r="H8" s="1"/>
      <c r="I8" s="2"/>
      <c r="J8" s="2"/>
      <c r="K8" s="2"/>
      <c r="L8" s="2"/>
      <c r="M8" s="2"/>
      <c r="N8" s="2"/>
    </row>
    <row r="9" spans="1:14" ht="71" thickBot="1">
      <c r="A9" s="3" t="s">
        <v>260</v>
      </c>
      <c r="B9" s="3" t="s">
        <v>259</v>
      </c>
      <c r="C9" s="4" t="s">
        <v>142</v>
      </c>
      <c r="D9" s="5" t="s">
        <v>143</v>
      </c>
      <c r="E9" s="3" t="s">
        <v>289</v>
      </c>
      <c r="F9" s="3" t="s">
        <v>290</v>
      </c>
      <c r="G9" s="6" t="s">
        <v>184</v>
      </c>
      <c r="H9" s="3" t="s">
        <v>185</v>
      </c>
      <c r="I9" s="7" t="s">
        <v>186</v>
      </c>
      <c r="J9" s="7" t="s">
        <v>187</v>
      </c>
      <c r="K9" s="8" t="s">
        <v>296</v>
      </c>
      <c r="L9" s="8" t="s">
        <v>63</v>
      </c>
      <c r="M9" s="8" t="s">
        <v>86</v>
      </c>
      <c r="N9" s="8" t="s">
        <v>87</v>
      </c>
    </row>
    <row r="10" spans="1:14">
      <c r="A10">
        <v>312500</v>
      </c>
      <c r="B10">
        <f>A10/4</f>
        <v>78125</v>
      </c>
      <c r="C10">
        <v>10</v>
      </c>
      <c r="D10">
        <v>256</v>
      </c>
      <c r="E10">
        <v>32</v>
      </c>
      <c r="F10">
        <v>8</v>
      </c>
      <c r="G10">
        <v>2491.7570000000001</v>
      </c>
      <c r="H10">
        <v>218.21100000000001</v>
      </c>
      <c r="I10">
        <v>2105.873</v>
      </c>
      <c r="J10">
        <v>167.672</v>
      </c>
      <c r="K10">
        <v>3.044</v>
      </c>
      <c r="L10">
        <v>9169.9570000000003</v>
      </c>
      <c r="M10">
        <v>3120</v>
      </c>
    </row>
    <row r="11" spans="1:14">
      <c r="A11">
        <v>625000</v>
      </c>
      <c r="B11">
        <f>A11/4</f>
        <v>156250</v>
      </c>
      <c r="C11">
        <v>10</v>
      </c>
      <c r="D11">
        <v>128</v>
      </c>
      <c r="E11">
        <v>32</v>
      </c>
      <c r="F11">
        <v>8</v>
      </c>
      <c r="G11">
        <v>1883.1469999999999</v>
      </c>
      <c r="H11">
        <v>214.22300000000001</v>
      </c>
      <c r="I11">
        <v>1524.9490000000001</v>
      </c>
      <c r="J11">
        <v>143.97499999999999</v>
      </c>
      <c r="K11">
        <v>1.4950000000000001</v>
      </c>
      <c r="L11">
        <v>9158.0529999999999</v>
      </c>
      <c r="M11">
        <v>3120</v>
      </c>
    </row>
    <row r="12" spans="1:14">
      <c r="A12">
        <v>1250000</v>
      </c>
      <c r="B12">
        <f>A12/4</f>
        <v>312500</v>
      </c>
      <c r="C12">
        <v>10</v>
      </c>
      <c r="D12">
        <v>64</v>
      </c>
      <c r="E12">
        <v>32</v>
      </c>
      <c r="F12">
        <v>8</v>
      </c>
      <c r="G12">
        <v>1672.1559999999999</v>
      </c>
      <c r="H12">
        <v>213.62899999999999</v>
      </c>
      <c r="I12">
        <v>1314.2070000000001</v>
      </c>
      <c r="J12">
        <v>144.321</v>
      </c>
      <c r="K12">
        <v>0.77100000000000002</v>
      </c>
      <c r="L12">
        <v>9149.9449999999997</v>
      </c>
      <c r="M12">
        <v>3120</v>
      </c>
    </row>
    <row r="13" spans="1:14">
      <c r="A13">
        <v>2500000</v>
      </c>
      <c r="B13">
        <f>A13/4</f>
        <v>625000</v>
      </c>
      <c r="C13">
        <v>10</v>
      </c>
      <c r="D13">
        <v>32</v>
      </c>
      <c r="E13">
        <v>32</v>
      </c>
      <c r="F13">
        <v>8</v>
      </c>
      <c r="G13">
        <v>1473.1859999999999</v>
      </c>
      <c r="H13">
        <v>180.756</v>
      </c>
      <c r="I13">
        <v>1148.826</v>
      </c>
      <c r="J13">
        <v>143.60400000000001</v>
      </c>
      <c r="K13">
        <v>0.36899999999999999</v>
      </c>
      <c r="L13">
        <v>9144.5290000000005</v>
      </c>
      <c r="M13">
        <v>3120</v>
      </c>
    </row>
    <row r="16" spans="1:14" ht="15">
      <c r="A16" s="1"/>
      <c r="B16" s="2"/>
      <c r="C16" s="2"/>
      <c r="D16" s="2"/>
      <c r="E16" s="2"/>
      <c r="F16" s="2"/>
      <c r="G16" s="1" t="s">
        <v>220</v>
      </c>
      <c r="H16" s="1"/>
      <c r="I16" s="2"/>
      <c r="J16" s="2"/>
      <c r="K16" s="2"/>
      <c r="L16" s="2"/>
      <c r="M16" s="2"/>
      <c r="N16" s="2"/>
    </row>
    <row r="17" spans="1:19" ht="71" thickBot="1">
      <c r="A17" s="3" t="s">
        <v>260</v>
      </c>
      <c r="B17" s="3" t="s">
        <v>259</v>
      </c>
      <c r="C17" s="4" t="s">
        <v>142</v>
      </c>
      <c r="D17" s="5" t="s">
        <v>143</v>
      </c>
      <c r="E17" s="3" t="s">
        <v>289</v>
      </c>
      <c r="F17" s="3" t="s">
        <v>290</v>
      </c>
      <c r="G17" s="6" t="s">
        <v>184</v>
      </c>
      <c r="H17" s="3" t="s">
        <v>185</v>
      </c>
      <c r="I17" s="7" t="s">
        <v>186</v>
      </c>
      <c r="J17" s="7" t="s">
        <v>187</v>
      </c>
      <c r="K17" s="8" t="s">
        <v>296</v>
      </c>
      <c r="L17" s="8" t="s">
        <v>63</v>
      </c>
      <c r="M17" s="8" t="s">
        <v>86</v>
      </c>
      <c r="N17" s="8" t="s">
        <v>87</v>
      </c>
    </row>
    <row r="18" spans="1:19">
      <c r="A18">
        <v>312500</v>
      </c>
      <c r="B18">
        <f>A18/4</f>
        <v>78125</v>
      </c>
      <c r="C18">
        <v>10</v>
      </c>
      <c r="D18">
        <v>256</v>
      </c>
      <c r="E18">
        <v>32</v>
      </c>
      <c r="F18">
        <v>8</v>
      </c>
      <c r="G18">
        <v>2486.7020000000002</v>
      </c>
      <c r="H18">
        <v>222.75899999999999</v>
      </c>
      <c r="I18">
        <v>2102.5859999999998</v>
      </c>
      <c r="J18">
        <v>161.357</v>
      </c>
      <c r="K18">
        <v>3.2330000000000001</v>
      </c>
      <c r="L18">
        <v>9169.9570000000003</v>
      </c>
      <c r="M18">
        <v>3120</v>
      </c>
    </row>
    <row r="19" spans="1:19">
      <c r="A19">
        <v>625000</v>
      </c>
      <c r="B19">
        <f>A19/4</f>
        <v>156250</v>
      </c>
      <c r="C19">
        <v>10</v>
      </c>
      <c r="D19">
        <v>128</v>
      </c>
      <c r="E19">
        <v>32</v>
      </c>
      <c r="F19">
        <v>8</v>
      </c>
      <c r="G19">
        <v>1897.8610000000001</v>
      </c>
      <c r="H19">
        <v>214.71700000000001</v>
      </c>
      <c r="I19">
        <v>1535.1790000000001</v>
      </c>
      <c r="J19">
        <v>147.964</v>
      </c>
      <c r="K19">
        <v>4.8929999999999998</v>
      </c>
      <c r="L19">
        <v>9158.0529999999999</v>
      </c>
      <c r="M19">
        <v>3120</v>
      </c>
    </row>
    <row r="20" spans="1:19">
      <c r="A20">
        <v>1250000</v>
      </c>
      <c r="B20">
        <f>A20/4</f>
        <v>312500</v>
      </c>
      <c r="C20">
        <v>10</v>
      </c>
      <c r="D20">
        <v>64</v>
      </c>
      <c r="E20">
        <v>32</v>
      </c>
      <c r="F20">
        <v>8</v>
      </c>
      <c r="G20">
        <v>1602.171</v>
      </c>
      <c r="H20">
        <v>190.077</v>
      </c>
      <c r="I20">
        <v>1267.914</v>
      </c>
      <c r="J20">
        <v>144.18</v>
      </c>
      <c r="K20">
        <v>0.82</v>
      </c>
      <c r="L20">
        <v>9149.9449999999997</v>
      </c>
      <c r="M20">
        <v>3120</v>
      </c>
    </row>
    <row r="21" spans="1:19">
      <c r="A21">
        <v>2500000</v>
      </c>
      <c r="B21">
        <f>A21/4</f>
        <v>625000</v>
      </c>
      <c r="C21">
        <v>10</v>
      </c>
      <c r="D21">
        <v>32</v>
      </c>
      <c r="E21">
        <v>32</v>
      </c>
      <c r="F21">
        <v>8</v>
      </c>
      <c r="G21">
        <v>1481.8779999999999</v>
      </c>
      <c r="H21">
        <v>185.96299999999999</v>
      </c>
      <c r="I21">
        <v>1151.569</v>
      </c>
      <c r="J21">
        <v>144.346</v>
      </c>
      <c r="K21">
        <v>0.42099999999999999</v>
      </c>
      <c r="L21">
        <v>9144.5290000000005</v>
      </c>
      <c r="M21">
        <v>3120</v>
      </c>
    </row>
    <row r="24" spans="1:19" ht="46" thickBot="1">
      <c r="A24" s="3" t="s">
        <v>221</v>
      </c>
      <c r="B24" s="5" t="s">
        <v>222</v>
      </c>
      <c r="C24" s="6" t="s">
        <v>184</v>
      </c>
      <c r="D24" s="3" t="s">
        <v>223</v>
      </c>
      <c r="E24" s="7" t="s">
        <v>183</v>
      </c>
      <c r="F24" s="7" t="s">
        <v>64</v>
      </c>
      <c r="G24" s="7" t="s">
        <v>297</v>
      </c>
      <c r="H24" s="7" t="s">
        <v>298</v>
      </c>
      <c r="I24" s="7" t="s">
        <v>171</v>
      </c>
      <c r="J24" s="7" t="s">
        <v>218</v>
      </c>
      <c r="K24" s="8" t="s">
        <v>219</v>
      </c>
      <c r="L24" s="8" t="s">
        <v>124</v>
      </c>
      <c r="M24" s="8" t="s">
        <v>125</v>
      </c>
      <c r="N24" s="8" t="s">
        <v>124</v>
      </c>
    </row>
    <row r="25" spans="1:19">
      <c r="A25">
        <v>78125</v>
      </c>
      <c r="B25">
        <v>256</v>
      </c>
      <c r="C25">
        <v>2475.4369999999999</v>
      </c>
      <c r="D25">
        <v>216.81200000000001</v>
      </c>
      <c r="E25">
        <v>2104.4259999999999</v>
      </c>
      <c r="F25">
        <v>154.19800000000001</v>
      </c>
      <c r="G25">
        <v>2105.873</v>
      </c>
      <c r="H25">
        <v>167.672</v>
      </c>
      <c r="I25">
        <v>2102.5859999999998</v>
      </c>
      <c r="J25">
        <v>161.357</v>
      </c>
      <c r="K25">
        <f>AVERAGE(E25,G25,I25)</f>
        <v>2104.2950000000001</v>
      </c>
      <c r="L25">
        <f>STDEV(E25,G25,I25)/SQRT(3)</f>
        <v>0.95113318365910415</v>
      </c>
      <c r="M25">
        <f>AVERAGE(F25,H25,J25)</f>
        <v>161.07566666666665</v>
      </c>
      <c r="N25">
        <f>STDEV(F25,H25,J25)/SQRT(3)</f>
        <v>3.8921515186908215</v>
      </c>
    </row>
    <row r="26" spans="1:19">
      <c r="A26">
        <v>156250</v>
      </c>
      <c r="B26">
        <v>128</v>
      </c>
      <c r="C26">
        <v>1812.8209999999999</v>
      </c>
      <c r="D26">
        <v>215.00399999999999</v>
      </c>
      <c r="E26">
        <v>1452.8620000000001</v>
      </c>
      <c r="F26">
        <v>144.95599999999999</v>
      </c>
      <c r="G26">
        <v>1524.9490000000001</v>
      </c>
      <c r="H26">
        <v>143.97499999999999</v>
      </c>
      <c r="I26">
        <v>1535.1790000000001</v>
      </c>
      <c r="J26">
        <v>147.964</v>
      </c>
      <c r="K26">
        <f>AVERAGE(E26,G26,I26)</f>
        <v>1504.33</v>
      </c>
      <c r="L26">
        <f>STDEV(E26,G26,I26)/SQRT(3)</f>
        <v>25.902892328855973</v>
      </c>
      <c r="M26">
        <f>AVERAGE(F26,H26,J26)</f>
        <v>145.63166666666666</v>
      </c>
      <c r="N26">
        <f>STDEV(F26,H26,J26)/SQRT(3)</f>
        <v>1.2000589337377248</v>
      </c>
    </row>
    <row r="27" spans="1:19">
      <c r="A27">
        <v>312500</v>
      </c>
      <c r="B27">
        <v>64</v>
      </c>
      <c r="C27">
        <v>1631.0630000000001</v>
      </c>
      <c r="D27">
        <v>211.405</v>
      </c>
      <c r="E27">
        <v>1268.711</v>
      </c>
      <c r="F27">
        <v>150.947</v>
      </c>
      <c r="G27">
        <v>1314.2070000000001</v>
      </c>
      <c r="H27">
        <v>144.321</v>
      </c>
      <c r="I27">
        <v>1267.914</v>
      </c>
      <c r="J27">
        <v>144.18</v>
      </c>
      <c r="K27">
        <f>AVERAGE(E27,G27,I27)</f>
        <v>1283.6106666666667</v>
      </c>
      <c r="L27">
        <f>STDEV(E27,G27,I27)/SQRT(3)</f>
        <v>15.299896648162512</v>
      </c>
      <c r="M27">
        <f>AVERAGE(F27,H27,J27)</f>
        <v>146.48266666666669</v>
      </c>
      <c r="N27">
        <f>STDEV(F27,H27,J27)/SQRT(3)</f>
        <v>2.2325377438638392</v>
      </c>
    </row>
    <row r="28" spans="1:19">
      <c r="A28">
        <v>625000</v>
      </c>
      <c r="B28">
        <v>32</v>
      </c>
      <c r="C28">
        <v>1536.421</v>
      </c>
      <c r="D28">
        <v>191.22499999999999</v>
      </c>
      <c r="E28">
        <v>1209.1849999999999</v>
      </c>
      <c r="F28">
        <v>136.01</v>
      </c>
      <c r="G28">
        <v>1148.826</v>
      </c>
      <c r="H28">
        <v>143.60400000000001</v>
      </c>
      <c r="I28">
        <v>1151.569</v>
      </c>
      <c r="J28">
        <v>144.346</v>
      </c>
      <c r="K28">
        <f>AVERAGE(E28,G28,I28)</f>
        <v>1169.8599999999999</v>
      </c>
      <c r="L28">
        <f>STDEV(E28,G28,I28)/SQRT(3)</f>
        <v>19.678437700520611</v>
      </c>
      <c r="M28">
        <f>AVERAGE(F28,H28,J28)</f>
        <v>141.32000000000002</v>
      </c>
      <c r="N28">
        <f>STDEV(F28,H28,J28)/SQRT(3)</f>
        <v>2.6636263501721773</v>
      </c>
    </row>
    <row r="31" spans="1:19">
      <c r="D31" t="s">
        <v>126</v>
      </c>
    </row>
    <row r="32" spans="1:19" ht="46" thickBot="1">
      <c r="D32" s="3" t="s">
        <v>127</v>
      </c>
      <c r="E32" s="5" t="s">
        <v>128</v>
      </c>
      <c r="F32" s="6" t="s">
        <v>184</v>
      </c>
      <c r="G32" s="3" t="s">
        <v>232</v>
      </c>
      <c r="H32" s="8" t="s">
        <v>24</v>
      </c>
      <c r="I32" s="8" t="s">
        <v>25</v>
      </c>
      <c r="J32" s="8" t="s">
        <v>26</v>
      </c>
      <c r="K32" s="8" t="s">
        <v>27</v>
      </c>
      <c r="R32" t="s">
        <v>28</v>
      </c>
      <c r="S32" t="s">
        <v>29</v>
      </c>
    </row>
    <row r="33" spans="4:19">
      <c r="D33">
        <v>78125</v>
      </c>
      <c r="E33">
        <v>256</v>
      </c>
      <c r="F33" s="9">
        <f>H33+J33+G33</f>
        <v>2482.1826666666666</v>
      </c>
      <c r="G33">
        <v>216.81200000000001</v>
      </c>
      <c r="H33" s="9">
        <v>2104.2950000000001</v>
      </c>
      <c r="I33" s="9">
        <v>0.95113318365910415</v>
      </c>
      <c r="J33" s="9">
        <v>161.07566666666665</v>
      </c>
      <c r="K33" s="9">
        <v>3.8921515186908202</v>
      </c>
      <c r="M33" t="s">
        <v>118</v>
      </c>
      <c r="R33">
        <v>1.59</v>
      </c>
      <c r="S33">
        <v>1.36</v>
      </c>
    </row>
    <row r="34" spans="4:19" ht="15">
      <c r="D34">
        <v>156250</v>
      </c>
      <c r="E34">
        <v>128</v>
      </c>
      <c r="F34" s="9">
        <f>H34+J34+G34</f>
        <v>1864.9656666666665</v>
      </c>
      <c r="G34">
        <v>215.00399999999999</v>
      </c>
      <c r="H34" s="9">
        <v>1504.33</v>
      </c>
      <c r="I34" s="9">
        <v>25.902892328855973</v>
      </c>
      <c r="J34" s="9">
        <v>145.63166666666666</v>
      </c>
      <c r="K34" s="9">
        <v>1.2000589337377248</v>
      </c>
      <c r="M34" t="s">
        <v>119</v>
      </c>
      <c r="R34" s="10">
        <v>9155.6200000000008</v>
      </c>
      <c r="S34" s="10">
        <v>11.06</v>
      </c>
    </row>
    <row r="35" spans="4:19">
      <c r="D35">
        <v>312500</v>
      </c>
      <c r="E35">
        <v>64</v>
      </c>
      <c r="F35" s="9">
        <f>H35+J35+G35</f>
        <v>1641.4983333333334</v>
      </c>
      <c r="G35">
        <v>211.405</v>
      </c>
      <c r="H35" s="9">
        <v>1283.6106666666667</v>
      </c>
      <c r="I35" s="9">
        <v>15.299896648162512</v>
      </c>
      <c r="J35" s="9">
        <v>146.48266666666669</v>
      </c>
      <c r="K35" s="9">
        <v>2.2325377438638392</v>
      </c>
      <c r="M35" t="s">
        <v>81</v>
      </c>
    </row>
    <row r="36" spans="4:19">
      <c r="D36">
        <v>625000</v>
      </c>
      <c r="E36">
        <v>32</v>
      </c>
      <c r="F36" s="9">
        <f>H36+J36+G36</f>
        <v>1502.4049999999997</v>
      </c>
      <c r="G36">
        <v>191.22499999999999</v>
      </c>
      <c r="H36" s="9">
        <v>1169.8599999999999</v>
      </c>
      <c r="I36" s="9">
        <v>19.678437700520611</v>
      </c>
      <c r="J36" s="9">
        <v>141.32000000000002</v>
      </c>
      <c r="K36" s="9">
        <v>2.6636263501721773</v>
      </c>
      <c r="M36" t="s">
        <v>111</v>
      </c>
    </row>
    <row r="37" spans="4:19">
      <c r="M37" t="s">
        <v>112</v>
      </c>
    </row>
    <row r="60" spans="25:25">
      <c r="Y60" t="s">
        <v>113</v>
      </c>
    </row>
    <row r="65" spans="1:14" ht="15">
      <c r="A65" s="1"/>
      <c r="B65" s="2"/>
      <c r="C65" s="2"/>
      <c r="D65" s="2"/>
      <c r="E65" s="2"/>
      <c r="F65" s="2"/>
      <c r="G65" s="1" t="s">
        <v>114</v>
      </c>
      <c r="H65" s="1"/>
      <c r="I65" s="2"/>
      <c r="J65" s="2"/>
      <c r="K65" s="2"/>
      <c r="L65" s="2"/>
      <c r="M65" s="2"/>
      <c r="N65" s="2"/>
    </row>
    <row r="66" spans="1:14" ht="71" thickBot="1">
      <c r="A66" s="3" t="s">
        <v>260</v>
      </c>
      <c r="B66" s="3" t="s">
        <v>259</v>
      </c>
      <c r="C66" s="4" t="s">
        <v>142</v>
      </c>
      <c r="D66" s="5" t="s">
        <v>143</v>
      </c>
      <c r="E66" s="3" t="s">
        <v>289</v>
      </c>
      <c r="F66" s="3" t="s">
        <v>290</v>
      </c>
      <c r="G66" s="6" t="s">
        <v>184</v>
      </c>
      <c r="H66" s="3" t="s">
        <v>185</v>
      </c>
      <c r="I66" s="7" t="s">
        <v>186</v>
      </c>
      <c r="J66" s="7" t="s">
        <v>187</v>
      </c>
      <c r="K66" s="8" t="s">
        <v>296</v>
      </c>
      <c r="L66" s="8" t="s">
        <v>63</v>
      </c>
      <c r="M66" s="8" t="s">
        <v>86</v>
      </c>
      <c r="N66" s="8" t="s">
        <v>87</v>
      </c>
    </row>
    <row r="67" spans="1:14">
      <c r="A67">
        <v>2500000</v>
      </c>
      <c r="B67">
        <f>A67/4</f>
        <v>625000</v>
      </c>
      <c r="C67">
        <v>10</v>
      </c>
      <c r="D67">
        <v>32</v>
      </c>
      <c r="E67">
        <v>8</v>
      </c>
      <c r="F67">
        <v>8</v>
      </c>
      <c r="G67">
        <v>4010.2890000000002</v>
      </c>
      <c r="H67">
        <v>191.22499999999999</v>
      </c>
      <c r="I67">
        <v>3691.875</v>
      </c>
      <c r="J67">
        <v>128.80500000000001</v>
      </c>
      <c r="K67">
        <v>0.39400000000000002</v>
      </c>
      <c r="L67">
        <v>9144.5290000000005</v>
      </c>
      <c r="M67">
        <v>3120</v>
      </c>
    </row>
    <row r="68" spans="1:14">
      <c r="A68">
        <v>2500000</v>
      </c>
      <c r="B68">
        <f>A68/4</f>
        <v>625000</v>
      </c>
      <c r="C68">
        <v>10</v>
      </c>
      <c r="D68">
        <v>32</v>
      </c>
      <c r="E68">
        <v>16</v>
      </c>
      <c r="F68">
        <v>8</v>
      </c>
      <c r="G68">
        <v>2552.3510000000001</v>
      </c>
      <c r="H68">
        <v>185.40199999999999</v>
      </c>
      <c r="I68">
        <v>2166.7109999999998</v>
      </c>
      <c r="J68">
        <v>140.238</v>
      </c>
      <c r="K68">
        <v>0.79100000000000004</v>
      </c>
      <c r="L68">
        <v>9144.5290000000005</v>
      </c>
      <c r="M68">
        <v>3120</v>
      </c>
    </row>
    <row r="69" spans="1:14">
      <c r="A69">
        <v>2500000</v>
      </c>
      <c r="B69">
        <f>A69/4</f>
        <v>625000</v>
      </c>
      <c r="C69">
        <v>10</v>
      </c>
      <c r="D69">
        <v>32</v>
      </c>
      <c r="E69">
        <v>32</v>
      </c>
      <c r="F69">
        <v>8</v>
      </c>
      <c r="G69">
        <v>1536.421</v>
      </c>
      <c r="H69">
        <v>191.22499999999999</v>
      </c>
      <c r="I69">
        <v>1209.1849999999999</v>
      </c>
      <c r="J69">
        <v>136.01</v>
      </c>
      <c r="K69">
        <v>0.42799999999999999</v>
      </c>
      <c r="L69">
        <v>9144.5290000000005</v>
      </c>
      <c r="M69">
        <v>3120</v>
      </c>
    </row>
    <row r="72" spans="1:14" ht="15">
      <c r="A72" s="1"/>
      <c r="B72" s="2"/>
      <c r="C72" s="2"/>
      <c r="D72" s="2"/>
      <c r="E72" s="2"/>
      <c r="F72" s="2"/>
      <c r="G72" s="1" t="s">
        <v>115</v>
      </c>
      <c r="H72" s="1"/>
      <c r="I72" s="2"/>
      <c r="J72" s="2"/>
      <c r="K72" s="2"/>
      <c r="L72" s="2"/>
      <c r="M72" s="2"/>
      <c r="N72" s="2"/>
    </row>
    <row r="73" spans="1:14" ht="71" thickBot="1">
      <c r="A73" s="3" t="s">
        <v>260</v>
      </c>
      <c r="B73" s="3" t="s">
        <v>259</v>
      </c>
      <c r="C73" s="4" t="s">
        <v>142</v>
      </c>
      <c r="D73" s="5" t="s">
        <v>143</v>
      </c>
      <c r="E73" s="3" t="s">
        <v>289</v>
      </c>
      <c r="F73" s="3" t="s">
        <v>290</v>
      </c>
      <c r="G73" s="6" t="s">
        <v>184</v>
      </c>
      <c r="H73" s="3" t="s">
        <v>185</v>
      </c>
      <c r="I73" s="7" t="s">
        <v>186</v>
      </c>
      <c r="J73" s="7" t="s">
        <v>187</v>
      </c>
      <c r="K73" s="8" t="s">
        <v>296</v>
      </c>
      <c r="L73" s="8" t="s">
        <v>63</v>
      </c>
      <c r="M73" s="8" t="s">
        <v>86</v>
      </c>
      <c r="N73" s="8" t="s">
        <v>87</v>
      </c>
    </row>
    <row r="74" spans="1:14">
      <c r="A74">
        <v>2500000</v>
      </c>
      <c r="B74">
        <f>A74/4</f>
        <v>625000</v>
      </c>
      <c r="C74">
        <v>10</v>
      </c>
      <c r="D74">
        <v>32</v>
      </c>
      <c r="E74">
        <v>8</v>
      </c>
      <c r="F74">
        <v>8</v>
      </c>
      <c r="G74">
        <v>4023.6149999999998</v>
      </c>
      <c r="H74">
        <v>188.74299999999999</v>
      </c>
      <c r="I74">
        <v>3691.2269999999999</v>
      </c>
      <c r="J74">
        <v>143.64400000000001</v>
      </c>
      <c r="K74">
        <v>0.39400000000000002</v>
      </c>
      <c r="L74">
        <v>9144.5290000000005</v>
      </c>
      <c r="M74">
        <v>3120</v>
      </c>
    </row>
    <row r="75" spans="1:14">
      <c r="A75">
        <v>2500000</v>
      </c>
      <c r="B75">
        <f>A75/4</f>
        <v>625000</v>
      </c>
      <c r="C75">
        <v>10</v>
      </c>
      <c r="D75">
        <v>32</v>
      </c>
      <c r="E75">
        <v>16</v>
      </c>
      <c r="F75">
        <v>8</v>
      </c>
      <c r="G75">
        <v>2293.154</v>
      </c>
      <c r="H75">
        <v>190.477</v>
      </c>
      <c r="I75">
        <v>1965.771</v>
      </c>
      <c r="J75">
        <v>136.90600000000001</v>
      </c>
      <c r="K75">
        <v>0.79100000000000004</v>
      </c>
      <c r="L75">
        <v>9144.5290000000005</v>
      </c>
      <c r="M75">
        <v>3120</v>
      </c>
    </row>
    <row r="76" spans="1:14">
      <c r="A76">
        <v>2500000</v>
      </c>
      <c r="B76">
        <f>A76/4</f>
        <v>625000</v>
      </c>
      <c r="C76">
        <v>10</v>
      </c>
      <c r="D76">
        <v>32</v>
      </c>
      <c r="E76">
        <v>32</v>
      </c>
      <c r="F76">
        <v>8</v>
      </c>
      <c r="G76">
        <v>1473.1859999999999</v>
      </c>
      <c r="H76">
        <v>180.756</v>
      </c>
      <c r="I76">
        <v>1148.826</v>
      </c>
      <c r="J76">
        <v>143.60400000000001</v>
      </c>
      <c r="K76">
        <v>0.42799999999999999</v>
      </c>
      <c r="L76">
        <v>9144.5290000000005</v>
      </c>
      <c r="M76">
        <v>3120</v>
      </c>
    </row>
    <row r="79" spans="1:14" ht="15">
      <c r="A79" s="1"/>
      <c r="B79" s="2"/>
      <c r="C79" s="2"/>
      <c r="D79" s="2"/>
      <c r="E79" s="2"/>
      <c r="F79" s="2"/>
      <c r="G79" s="1" t="s">
        <v>116</v>
      </c>
      <c r="H79" s="1"/>
      <c r="I79" s="2"/>
      <c r="J79" s="2"/>
      <c r="K79" s="2"/>
      <c r="L79" s="2"/>
      <c r="M79" s="2"/>
      <c r="N79" s="2"/>
    </row>
    <row r="80" spans="1:14" ht="71" thickBot="1">
      <c r="A80" s="3" t="s">
        <v>260</v>
      </c>
      <c r="B80" s="3" t="s">
        <v>259</v>
      </c>
      <c r="C80" s="4" t="s">
        <v>142</v>
      </c>
      <c r="D80" s="5" t="s">
        <v>143</v>
      </c>
      <c r="E80" s="3" t="s">
        <v>289</v>
      </c>
      <c r="F80" s="3" t="s">
        <v>290</v>
      </c>
      <c r="G80" s="6" t="s">
        <v>184</v>
      </c>
      <c r="H80" s="3" t="s">
        <v>185</v>
      </c>
      <c r="I80" s="7" t="s">
        <v>186</v>
      </c>
      <c r="J80" s="7" t="s">
        <v>187</v>
      </c>
      <c r="K80" s="8" t="s">
        <v>296</v>
      </c>
      <c r="L80" s="8" t="s">
        <v>63</v>
      </c>
      <c r="M80" s="8" t="s">
        <v>86</v>
      </c>
      <c r="N80" s="8" t="s">
        <v>87</v>
      </c>
    </row>
    <row r="81" spans="1:12">
      <c r="A81">
        <v>2500000</v>
      </c>
      <c r="B81">
        <f>A81/4</f>
        <v>625000</v>
      </c>
      <c r="C81">
        <v>10</v>
      </c>
      <c r="D81">
        <v>32</v>
      </c>
      <c r="E81">
        <v>8</v>
      </c>
      <c r="F81">
        <v>8</v>
      </c>
      <c r="G81">
        <v>4167.0680000000002</v>
      </c>
      <c r="H81">
        <v>187.65</v>
      </c>
      <c r="I81">
        <v>3824.5680000000002</v>
      </c>
      <c r="J81">
        <v>154.85</v>
      </c>
      <c r="K81">
        <v>0.39400000000000002</v>
      </c>
      <c r="L81">
        <v>9144.5290000000005</v>
      </c>
    </row>
    <row r="82" spans="1:12">
      <c r="A82">
        <v>2500000</v>
      </c>
      <c r="B82">
        <f>A82/4</f>
        <v>625000</v>
      </c>
      <c r="C82">
        <v>10</v>
      </c>
      <c r="D82">
        <v>32</v>
      </c>
      <c r="E82">
        <v>16</v>
      </c>
      <c r="F82">
        <v>8</v>
      </c>
      <c r="G82">
        <v>2346.3620000000001</v>
      </c>
      <c r="H82">
        <v>189.422</v>
      </c>
      <c r="I82">
        <v>2046.3050000000001</v>
      </c>
      <c r="J82">
        <v>150.63499999999999</v>
      </c>
      <c r="K82">
        <v>0.79100000000000004</v>
      </c>
      <c r="L82">
        <v>9144.5290000000005</v>
      </c>
    </row>
    <row r="83" spans="1:12">
      <c r="A83">
        <v>2500000</v>
      </c>
      <c r="B83">
        <f>A83/4</f>
        <v>625000</v>
      </c>
      <c r="C83">
        <v>10</v>
      </c>
      <c r="D83">
        <v>32</v>
      </c>
      <c r="E83">
        <v>32</v>
      </c>
      <c r="F83">
        <v>8</v>
      </c>
      <c r="G83">
        <v>1481.8779999999999</v>
      </c>
      <c r="H83">
        <v>185.96299999999999</v>
      </c>
      <c r="I83">
        <v>1151.569</v>
      </c>
      <c r="J83">
        <v>144.346</v>
      </c>
      <c r="K83">
        <v>0.42099999999999999</v>
      </c>
      <c r="L83">
        <v>9144.5290000000005</v>
      </c>
    </row>
    <row r="87" spans="1:12" ht="71" thickBot="1">
      <c r="A87" s="3" t="s">
        <v>157</v>
      </c>
      <c r="B87" s="6" t="s">
        <v>184</v>
      </c>
      <c r="C87" s="7" t="s">
        <v>158</v>
      </c>
      <c r="D87" s="7" t="s">
        <v>158</v>
      </c>
      <c r="E87" s="7" t="s">
        <v>158</v>
      </c>
      <c r="F87" s="8" t="s">
        <v>295</v>
      </c>
      <c r="G87" s="8" t="s">
        <v>248</v>
      </c>
      <c r="H87" s="7" t="s">
        <v>68</v>
      </c>
      <c r="I87" s="7" t="s">
        <v>68</v>
      </c>
      <c r="J87" s="7" t="s">
        <v>68</v>
      </c>
      <c r="K87" s="8" t="s">
        <v>67</v>
      </c>
      <c r="L87" s="8" t="s">
        <v>261</v>
      </c>
    </row>
    <row r="88" spans="1:12">
      <c r="A88">
        <v>8</v>
      </c>
      <c r="B88">
        <f>F88+J88</f>
        <v>3890.74</v>
      </c>
      <c r="C88">
        <v>3691.875</v>
      </c>
      <c r="D88">
        <v>3691.2269999999999</v>
      </c>
      <c r="E88">
        <v>3824.5680000000002</v>
      </c>
      <c r="F88">
        <f>AVERAGE(C88,D88,E88)</f>
        <v>3735.89</v>
      </c>
      <c r="G88">
        <f>STDEV(C88,D88,E88)/SQRT(3)</f>
        <v>44.339394594427489</v>
      </c>
      <c r="H88">
        <v>128.80500000000001</v>
      </c>
      <c r="I88">
        <v>143.64400000000001</v>
      </c>
      <c r="J88">
        <v>154.85</v>
      </c>
      <c r="K88">
        <f>AVERAGE(H88,I88,J88)</f>
        <v>142.43299999999999</v>
      </c>
      <c r="L88">
        <f>STDEV(H88,I88,J88)/SQRT(3)</f>
        <v>7.5428862071049236</v>
      </c>
    </row>
    <row r="89" spans="1:12">
      <c r="A89">
        <v>16</v>
      </c>
      <c r="B89">
        <f>F89+J89</f>
        <v>2210.2306666666664</v>
      </c>
      <c r="C89">
        <v>2166.7109999999998</v>
      </c>
      <c r="D89">
        <v>1965.771</v>
      </c>
      <c r="E89">
        <v>2046.3050000000001</v>
      </c>
      <c r="F89">
        <f>AVERAGE(C89,D89,E89)</f>
        <v>2059.5956666666666</v>
      </c>
      <c r="G89">
        <f>STDEV(C89,D89,E89)/SQRT(3)</f>
        <v>58.385792408006402</v>
      </c>
      <c r="H89">
        <v>140.238</v>
      </c>
      <c r="I89">
        <v>136.90600000000001</v>
      </c>
      <c r="J89">
        <v>150.63499999999999</v>
      </c>
      <c r="K89">
        <f>AVERAGE(H89,I89,J89)</f>
        <v>142.59299999999999</v>
      </c>
      <c r="L89">
        <f>STDEV(H89,I89,J89)/SQRT(3)</f>
        <v>4.1344438965032166</v>
      </c>
    </row>
    <row r="90" spans="1:12">
      <c r="A90">
        <v>32</v>
      </c>
      <c r="B90">
        <f>F90+J90</f>
        <v>1314.2059999999999</v>
      </c>
      <c r="C90">
        <v>1209.1849999999999</v>
      </c>
      <c r="D90">
        <v>1148.826</v>
      </c>
      <c r="E90">
        <v>1151.569</v>
      </c>
      <c r="F90">
        <f>AVERAGE(C90,D90,E90)</f>
        <v>1169.8599999999999</v>
      </c>
      <c r="G90">
        <f>STDEV(C90,D90,E90)/SQRT(3)</f>
        <v>19.678437700520611</v>
      </c>
      <c r="H90">
        <v>136.01</v>
      </c>
      <c r="I90">
        <v>143.60400000000001</v>
      </c>
      <c r="J90">
        <v>144.346</v>
      </c>
      <c r="K90">
        <f>AVERAGE(H90,I90,J90)</f>
        <v>141.32000000000002</v>
      </c>
      <c r="L90">
        <f>STDEV(H90,I90,J90)/SQRT(3)</f>
        <v>2.6636263501721773</v>
      </c>
    </row>
    <row r="94" spans="1:12">
      <c r="A94" t="s">
        <v>262</v>
      </c>
    </row>
    <row r="96" spans="1:12" ht="33" thickBot="1">
      <c r="A96" s="3" t="s">
        <v>263</v>
      </c>
      <c r="B96" s="5" t="s">
        <v>184</v>
      </c>
      <c r="C96" s="6" t="s">
        <v>264</v>
      </c>
      <c r="D96" s="3" t="s">
        <v>72</v>
      </c>
      <c r="E96" s="3" t="s">
        <v>73</v>
      </c>
      <c r="F96" s="5" t="s">
        <v>74</v>
      </c>
      <c r="G96" s="11"/>
    </row>
    <row r="97" spans="1:22">
      <c r="A97">
        <v>8</v>
      </c>
      <c r="B97" s="9">
        <v>3890.74</v>
      </c>
      <c r="C97" s="9">
        <v>3735.89</v>
      </c>
      <c r="D97" s="9">
        <v>44.339394594427489</v>
      </c>
      <c r="E97" s="9">
        <v>142.43299999999999</v>
      </c>
      <c r="F97" s="9">
        <v>7.5428862071049236</v>
      </c>
    </row>
    <row r="98" spans="1:22">
      <c r="A98">
        <v>16</v>
      </c>
      <c r="B98" s="9">
        <v>2210.2306666666664</v>
      </c>
      <c r="C98" s="9">
        <v>2059.5956666666666</v>
      </c>
      <c r="D98" s="9">
        <v>58.385792408006402</v>
      </c>
      <c r="E98" s="9">
        <v>142.59299999999999</v>
      </c>
      <c r="F98" s="9">
        <v>4.1344438965032166</v>
      </c>
    </row>
    <row r="99" spans="1:22">
      <c r="A99">
        <v>32</v>
      </c>
      <c r="B99" s="9">
        <v>1314.2059999999999</v>
      </c>
      <c r="C99" s="9">
        <v>1169.8599999999999</v>
      </c>
      <c r="D99" s="9">
        <v>19.678437700520611</v>
      </c>
      <c r="E99" s="9">
        <v>141.32000000000002</v>
      </c>
      <c r="F99" s="9">
        <v>2.6636263501721773</v>
      </c>
    </row>
    <row r="100" spans="1:22">
      <c r="V100" t="s">
        <v>75</v>
      </c>
    </row>
    <row r="101" spans="1:22">
      <c r="V101">
        <v>9144.5290000000005</v>
      </c>
    </row>
    <row r="105" spans="1:22">
      <c r="I105" t="s">
        <v>118</v>
      </c>
    </row>
    <row r="106" spans="1:22">
      <c r="I106" t="s">
        <v>76</v>
      </c>
    </row>
    <row r="107" spans="1:22">
      <c r="I107" t="s">
        <v>77</v>
      </c>
    </row>
    <row r="108" spans="1:22">
      <c r="I108" t="s">
        <v>71</v>
      </c>
    </row>
    <row r="109" spans="1:22">
      <c r="I109" t="s">
        <v>30</v>
      </c>
    </row>
    <row r="120" spans="1:17" ht="15">
      <c r="A120" s="1"/>
      <c r="B120" s="2"/>
      <c r="C120" s="2"/>
      <c r="D120" s="2"/>
      <c r="E120" s="2"/>
      <c r="F120" s="2"/>
      <c r="G120" s="1" t="s">
        <v>31</v>
      </c>
      <c r="H120" s="1"/>
      <c r="I120" s="2"/>
      <c r="J120" s="2"/>
      <c r="K120" s="2"/>
      <c r="L120" s="2"/>
      <c r="M120" s="2"/>
      <c r="N120" s="2"/>
    </row>
    <row r="121" spans="1:17" ht="71" thickBot="1">
      <c r="A121" s="3" t="s">
        <v>260</v>
      </c>
      <c r="B121" s="3" t="s">
        <v>221</v>
      </c>
      <c r="C121" s="4" t="s">
        <v>137</v>
      </c>
      <c r="D121" s="5" t="s">
        <v>143</v>
      </c>
      <c r="E121" s="3" t="s">
        <v>289</v>
      </c>
      <c r="F121" s="3" t="s">
        <v>290</v>
      </c>
      <c r="G121" s="6" t="s">
        <v>184</v>
      </c>
      <c r="H121" s="3" t="s">
        <v>185</v>
      </c>
      <c r="I121" s="7" t="s">
        <v>186</v>
      </c>
      <c r="J121" s="7" t="s">
        <v>187</v>
      </c>
      <c r="K121" s="8" t="s">
        <v>296</v>
      </c>
      <c r="L121" s="8" t="s">
        <v>63</v>
      </c>
      <c r="M121" s="8" t="s">
        <v>86</v>
      </c>
      <c r="N121" s="8" t="s">
        <v>138</v>
      </c>
    </row>
    <row r="122" spans="1:17">
      <c r="A122">
        <v>2500000</v>
      </c>
      <c r="B122">
        <f>A122/4</f>
        <v>625000</v>
      </c>
      <c r="C122">
        <v>10</v>
      </c>
      <c r="D122">
        <v>32</v>
      </c>
      <c r="E122">
        <v>32</v>
      </c>
      <c r="F122">
        <v>8</v>
      </c>
      <c r="G122">
        <v>1536.421</v>
      </c>
      <c r="H122">
        <v>191.22499999999999</v>
      </c>
      <c r="I122">
        <v>1209.1849999999999</v>
      </c>
      <c r="J122">
        <v>136.01</v>
      </c>
      <c r="K122">
        <v>0.39400000000000002</v>
      </c>
      <c r="L122">
        <v>9144.5290000000005</v>
      </c>
      <c r="M122">
        <v>3120</v>
      </c>
      <c r="N122">
        <v>4.45</v>
      </c>
      <c r="O122">
        <f>3.12/10</f>
        <v>0.312</v>
      </c>
      <c r="P122">
        <f>AVERAGE(O122,O123)</f>
        <v>0.3044</v>
      </c>
      <c r="Q122">
        <f>STDEV(O122:O123)</f>
        <v>1.0748023074035887E-2</v>
      </c>
    </row>
    <row r="123" spans="1:17">
      <c r="A123">
        <v>2500000</v>
      </c>
      <c r="B123">
        <f>A123/4</f>
        <v>625000</v>
      </c>
      <c r="C123">
        <v>20</v>
      </c>
      <c r="D123">
        <v>64</v>
      </c>
      <c r="E123">
        <v>32</v>
      </c>
      <c r="F123">
        <v>8</v>
      </c>
      <c r="G123">
        <v>2914.9259999999999</v>
      </c>
      <c r="H123">
        <v>403.73099999999999</v>
      </c>
      <c r="I123">
        <v>2187.7220000000002</v>
      </c>
      <c r="J123">
        <v>323.47300000000001</v>
      </c>
      <c r="K123">
        <v>0.84499999999999997</v>
      </c>
      <c r="L123">
        <v>18227.145</v>
      </c>
      <c r="M123">
        <v>5936</v>
      </c>
      <c r="N123">
        <v>9.3000000000000007</v>
      </c>
      <c r="O123">
        <f>5.936/20</f>
        <v>0.29680000000000001</v>
      </c>
    </row>
    <row r="124" spans="1:17">
      <c r="A124">
        <v>2500000</v>
      </c>
      <c r="B124">
        <f>A124/4</f>
        <v>625000</v>
      </c>
      <c r="C124">
        <v>40</v>
      </c>
      <c r="D124">
        <v>128</v>
      </c>
      <c r="E124">
        <v>32</v>
      </c>
      <c r="F124">
        <v>8</v>
      </c>
      <c r="G124">
        <v>5811.2950000000001</v>
      </c>
      <c r="H124">
        <v>910.69</v>
      </c>
      <c r="I124">
        <v>4227.183</v>
      </c>
      <c r="J124">
        <v>673.399</v>
      </c>
      <c r="K124">
        <v>1.615</v>
      </c>
      <c r="L124">
        <v>36454.269</v>
      </c>
      <c r="M124">
        <v>5952</v>
      </c>
      <c r="N124">
        <v>24</v>
      </c>
      <c r="O124">
        <f>5.952/40</f>
        <v>0.14879999999999999</v>
      </c>
    </row>
    <row r="129" spans="1:14" ht="15">
      <c r="A129" s="1"/>
      <c r="B129" s="2"/>
      <c r="C129" s="2"/>
      <c r="D129" s="2"/>
      <c r="E129" s="2"/>
      <c r="F129" s="2"/>
      <c r="G129" s="1" t="s">
        <v>139</v>
      </c>
      <c r="H129" s="1"/>
      <c r="I129" s="2"/>
      <c r="J129" s="2"/>
      <c r="K129" s="2"/>
      <c r="L129" s="2"/>
      <c r="M129" s="2"/>
      <c r="N129" s="2"/>
    </row>
    <row r="130" spans="1:14" ht="71" thickBot="1">
      <c r="A130" s="3" t="s">
        <v>260</v>
      </c>
      <c r="B130" s="3" t="s">
        <v>259</v>
      </c>
      <c r="C130" s="4" t="s">
        <v>142</v>
      </c>
      <c r="D130" s="5" t="s">
        <v>143</v>
      </c>
      <c r="E130" s="3" t="s">
        <v>289</v>
      </c>
      <c r="F130" s="3" t="s">
        <v>290</v>
      </c>
      <c r="G130" s="6" t="s">
        <v>184</v>
      </c>
      <c r="H130" s="3" t="s">
        <v>185</v>
      </c>
      <c r="I130" s="7" t="s">
        <v>186</v>
      </c>
      <c r="J130" s="7" t="s">
        <v>187</v>
      </c>
      <c r="K130" s="8" t="s">
        <v>296</v>
      </c>
      <c r="L130" s="8" t="s">
        <v>63</v>
      </c>
      <c r="M130" s="8" t="s">
        <v>86</v>
      </c>
      <c r="N130" s="8" t="s">
        <v>87</v>
      </c>
    </row>
    <row r="131" spans="1:14">
      <c r="A131">
        <v>2500000</v>
      </c>
      <c r="B131">
        <f>A131/4</f>
        <v>625000</v>
      </c>
      <c r="C131">
        <v>10</v>
      </c>
      <c r="D131">
        <v>32</v>
      </c>
      <c r="E131">
        <v>32</v>
      </c>
      <c r="F131">
        <v>8</v>
      </c>
      <c r="G131">
        <v>1473.1859999999999</v>
      </c>
      <c r="H131">
        <v>180.756</v>
      </c>
      <c r="I131">
        <v>1148.826</v>
      </c>
      <c r="J131">
        <v>143.60400000000001</v>
      </c>
      <c r="K131">
        <v>0.36899999999999999</v>
      </c>
      <c r="L131">
        <v>9144.5290000000005</v>
      </c>
    </row>
    <row r="132" spans="1:14">
      <c r="A132">
        <v>2500000</v>
      </c>
      <c r="B132">
        <f>A132/4</f>
        <v>625000</v>
      </c>
      <c r="C132">
        <v>20</v>
      </c>
      <c r="D132">
        <v>64</v>
      </c>
      <c r="E132">
        <v>32</v>
      </c>
      <c r="F132">
        <v>8</v>
      </c>
      <c r="G132">
        <v>2837.6559999999999</v>
      </c>
      <c r="H132">
        <v>396.435</v>
      </c>
      <c r="I132">
        <v>2146.2249999999999</v>
      </c>
      <c r="J132">
        <v>294.995</v>
      </c>
      <c r="K132">
        <v>0.72599999999999998</v>
      </c>
      <c r="L132">
        <v>18227.145</v>
      </c>
      <c r="M132">
        <v>5936</v>
      </c>
      <c r="N132">
        <v>9.3000000000000007</v>
      </c>
    </row>
    <row r="133" spans="1:14">
      <c r="A133">
        <v>2500000</v>
      </c>
      <c r="B133">
        <f>A133/4</f>
        <v>625000</v>
      </c>
      <c r="C133">
        <v>40</v>
      </c>
      <c r="D133">
        <v>128</v>
      </c>
      <c r="E133">
        <v>32</v>
      </c>
      <c r="F133">
        <v>8</v>
      </c>
      <c r="G133">
        <v>5615.8459999999995</v>
      </c>
      <c r="H133">
        <v>877.34900000000005</v>
      </c>
      <c r="I133">
        <v>4458.7510000000002</v>
      </c>
      <c r="J133">
        <v>679.70799999999997</v>
      </c>
      <c r="K133">
        <v>1.532</v>
      </c>
      <c r="L133">
        <v>36454.269</v>
      </c>
      <c r="M133">
        <v>5952</v>
      </c>
      <c r="N133">
        <v>24</v>
      </c>
    </row>
    <row r="139" spans="1:14" ht="15">
      <c r="A139" s="1"/>
      <c r="B139" s="2"/>
      <c r="C139" s="2"/>
      <c r="D139" s="2"/>
      <c r="E139" s="2"/>
      <c r="F139" s="2"/>
      <c r="G139" s="1" t="s">
        <v>181</v>
      </c>
      <c r="H139" s="1"/>
      <c r="I139" s="2"/>
      <c r="J139" s="2"/>
      <c r="K139" s="2"/>
      <c r="L139" s="2"/>
      <c r="M139" s="2"/>
      <c r="N139" s="2"/>
    </row>
    <row r="140" spans="1:14" ht="71" thickBot="1">
      <c r="A140" s="3" t="s">
        <v>260</v>
      </c>
      <c r="B140" s="3" t="s">
        <v>259</v>
      </c>
      <c r="C140" s="4" t="s">
        <v>142</v>
      </c>
      <c r="D140" s="5" t="s">
        <v>143</v>
      </c>
      <c r="E140" s="3" t="s">
        <v>289</v>
      </c>
      <c r="F140" s="3" t="s">
        <v>290</v>
      </c>
      <c r="G140" s="6" t="s">
        <v>184</v>
      </c>
      <c r="H140" s="3" t="s">
        <v>185</v>
      </c>
      <c r="I140" s="7" t="s">
        <v>186</v>
      </c>
      <c r="J140" s="7" t="s">
        <v>187</v>
      </c>
      <c r="K140" s="8" t="s">
        <v>296</v>
      </c>
      <c r="L140" s="8" t="s">
        <v>63</v>
      </c>
      <c r="M140" s="8" t="s">
        <v>86</v>
      </c>
      <c r="N140" s="8" t="s">
        <v>138</v>
      </c>
    </row>
    <row r="141" spans="1:14">
      <c r="A141">
        <v>2500000</v>
      </c>
      <c r="B141">
        <f>A141/4</f>
        <v>625000</v>
      </c>
      <c r="C141">
        <v>10</v>
      </c>
      <c r="D141">
        <v>32</v>
      </c>
      <c r="E141">
        <v>32</v>
      </c>
      <c r="F141">
        <v>8</v>
      </c>
      <c r="G141">
        <v>1481.8779999999999</v>
      </c>
      <c r="H141">
        <v>185.96299999999999</v>
      </c>
      <c r="I141">
        <v>1151.569</v>
      </c>
      <c r="J141">
        <v>144.346</v>
      </c>
      <c r="K141">
        <v>0.42099999999999999</v>
      </c>
      <c r="L141">
        <v>9144.5290000000005</v>
      </c>
    </row>
    <row r="142" spans="1:14">
      <c r="A142">
        <v>2500000</v>
      </c>
      <c r="B142">
        <f>A142/4</f>
        <v>625000</v>
      </c>
      <c r="C142">
        <v>20</v>
      </c>
      <c r="D142">
        <v>64</v>
      </c>
      <c r="E142">
        <v>32</v>
      </c>
      <c r="F142">
        <v>8</v>
      </c>
      <c r="G142">
        <v>2869.0210000000002</v>
      </c>
      <c r="H142">
        <v>393.00200000000001</v>
      </c>
      <c r="I142">
        <v>2188.1370000000002</v>
      </c>
      <c r="J142">
        <v>287.88200000000001</v>
      </c>
      <c r="K142">
        <v>0.78300000000000003</v>
      </c>
      <c r="L142">
        <v>18227.145</v>
      </c>
      <c r="M142">
        <v>5936</v>
      </c>
      <c r="N142">
        <v>9.3000000000000007</v>
      </c>
    </row>
    <row r="143" spans="1:14">
      <c r="A143">
        <v>2500000</v>
      </c>
      <c r="B143">
        <f>A143/4</f>
        <v>625000</v>
      </c>
      <c r="C143">
        <v>40</v>
      </c>
      <c r="D143">
        <v>128</v>
      </c>
      <c r="E143">
        <v>32</v>
      </c>
      <c r="F143">
        <v>8</v>
      </c>
      <c r="G143">
        <v>5863.4449999999997</v>
      </c>
      <c r="H143">
        <v>835.77800000000002</v>
      </c>
      <c r="I143">
        <v>4367.4530000000004</v>
      </c>
      <c r="J143">
        <v>660.18200000000002</v>
      </c>
      <c r="K143">
        <v>1.746</v>
      </c>
      <c r="L143">
        <v>36454.269</v>
      </c>
      <c r="M143">
        <v>5952</v>
      </c>
      <c r="N143">
        <v>24</v>
      </c>
    </row>
    <row r="147" spans="1:17" ht="43" thickBot="1">
      <c r="A147" s="4" t="s">
        <v>142</v>
      </c>
      <c r="B147" s="6" t="s">
        <v>184</v>
      </c>
      <c r="C147" s="3" t="s">
        <v>185</v>
      </c>
      <c r="D147" s="3" t="s">
        <v>185</v>
      </c>
      <c r="E147" s="3" t="s">
        <v>185</v>
      </c>
      <c r="F147" s="3" t="s">
        <v>182</v>
      </c>
      <c r="G147" s="3" t="s">
        <v>129</v>
      </c>
      <c r="H147" s="7" t="s">
        <v>186</v>
      </c>
      <c r="I147" s="7" t="s">
        <v>186</v>
      </c>
      <c r="J147" s="7" t="s">
        <v>186</v>
      </c>
      <c r="K147" s="8" t="s">
        <v>130</v>
      </c>
      <c r="L147" s="8" t="s">
        <v>131</v>
      </c>
      <c r="M147" s="7" t="s">
        <v>187</v>
      </c>
      <c r="N147" s="7" t="s">
        <v>187</v>
      </c>
      <c r="O147" s="7" t="s">
        <v>187</v>
      </c>
      <c r="P147" s="8" t="s">
        <v>132</v>
      </c>
      <c r="Q147" s="8" t="s">
        <v>247</v>
      </c>
    </row>
    <row r="148" spans="1:17">
      <c r="C148">
        <v>185.96299999999999</v>
      </c>
      <c r="D148">
        <v>191.22499999999999</v>
      </c>
      <c r="E148">
        <v>185.96299999999999</v>
      </c>
      <c r="F148">
        <f>AVERAGE(C148,D148,E148)</f>
        <v>187.71699999999998</v>
      </c>
      <c r="G148">
        <f>STDEV(C148,D148,E148)/SQRT(3)</f>
        <v>1.7540000000002831</v>
      </c>
      <c r="H148">
        <v>1209.1849999999999</v>
      </c>
      <c r="I148">
        <v>1148.826</v>
      </c>
      <c r="J148">
        <v>1151.569</v>
      </c>
      <c r="K148">
        <f>AVERAGE(H148,I148,J148)</f>
        <v>1169.8599999999999</v>
      </c>
      <c r="L148">
        <f>STDEV(H148,I148,J148)/SQRT(3)</f>
        <v>19.678437700520611</v>
      </c>
      <c r="M148">
        <v>136.01</v>
      </c>
      <c r="N148">
        <v>143.60400000000001</v>
      </c>
      <c r="O148">
        <v>144.346</v>
      </c>
      <c r="P148">
        <f>AVERAGE(M148,N148,O148)</f>
        <v>141.32000000000002</v>
      </c>
      <c r="Q148">
        <f>STDEV(M148,N148,O148)/SQRT(3)</f>
        <v>2.6636263501721773</v>
      </c>
    </row>
    <row r="149" spans="1:17">
      <c r="C149">
        <v>393.00200000000001</v>
      </c>
      <c r="D149">
        <v>403.73099999999999</v>
      </c>
      <c r="E149">
        <v>393.00200000000001</v>
      </c>
      <c r="F149">
        <f>AVERAGE(C149,D149,E149)</f>
        <v>396.57833333333332</v>
      </c>
      <c r="G149">
        <f>STDEV(C149,D149,E149)/SQRT(3)</f>
        <v>3.5763333333362866</v>
      </c>
      <c r="H149">
        <v>2187.7220000000002</v>
      </c>
      <c r="I149">
        <v>2146.2249999999999</v>
      </c>
      <c r="J149">
        <v>2188.1370000000002</v>
      </c>
      <c r="K149">
        <f>AVERAGE(H149,I149,J149)</f>
        <v>2174.0280000000002</v>
      </c>
      <c r="L149">
        <f>STDEV(H149,I149,J149)/SQRT(3)</f>
        <v>13.902016196695632</v>
      </c>
      <c r="M149">
        <v>323.47300000000001</v>
      </c>
      <c r="N149">
        <v>294.995</v>
      </c>
      <c r="O149">
        <v>287.88200000000001</v>
      </c>
      <c r="P149">
        <f>AVERAGE(M149,N149,O149)</f>
        <v>302.11666666666673</v>
      </c>
      <c r="Q149">
        <f>STDEV(M149,N149,O149)/SQRT(3)</f>
        <v>10.873797593807824</v>
      </c>
    </row>
    <row r="150" spans="1:17">
      <c r="C150">
        <v>835.77800000000002</v>
      </c>
      <c r="D150">
        <v>910.69</v>
      </c>
      <c r="E150">
        <v>835.77800000000002</v>
      </c>
      <c r="F150">
        <f>AVERAGE(C150,D150,E150)</f>
        <v>860.74866666666674</v>
      </c>
      <c r="G150">
        <f>STDEV(C150,D150,E150)/SQRT(3)</f>
        <v>24.97066666666846</v>
      </c>
      <c r="H150">
        <v>4227.183</v>
      </c>
      <c r="I150">
        <v>4458.7510000000002</v>
      </c>
      <c r="J150">
        <v>4367.4530000000004</v>
      </c>
      <c r="K150">
        <f>AVERAGE(H150,I150,J150)</f>
        <v>4351.1290000000008</v>
      </c>
      <c r="L150">
        <f>STDEV(H150,I150,J150)/SQRT(3)</f>
        <v>67.344362268343815</v>
      </c>
      <c r="M150">
        <v>673.399</v>
      </c>
      <c r="N150">
        <v>679.70799999999997</v>
      </c>
      <c r="O150">
        <v>660.18200000000002</v>
      </c>
      <c r="P150">
        <f>AVERAGE(M150,N150,O150)</f>
        <v>671.09633333333329</v>
      </c>
      <c r="Q150">
        <f>STDEV(M150,N150,O150)/SQRT(3)</f>
        <v>5.7530535177223436</v>
      </c>
    </row>
    <row r="153" spans="1:17">
      <c r="C153" t="s">
        <v>82</v>
      </c>
    </row>
    <row r="155" spans="1:17" ht="49" thickBot="1">
      <c r="C155" s="3" t="s">
        <v>83</v>
      </c>
      <c r="D155" s="5" t="s">
        <v>143</v>
      </c>
      <c r="E155" s="6" t="s">
        <v>84</v>
      </c>
      <c r="F155" s="3" t="s">
        <v>185</v>
      </c>
      <c r="G155" s="3" t="s">
        <v>85</v>
      </c>
      <c r="H155" s="8" t="s">
        <v>173</v>
      </c>
      <c r="I155" s="8" t="s">
        <v>174</v>
      </c>
      <c r="J155" s="8" t="s">
        <v>205</v>
      </c>
      <c r="K155" s="8" t="s">
        <v>206</v>
      </c>
    </row>
    <row r="156" spans="1:17">
      <c r="C156">
        <v>10</v>
      </c>
      <c r="D156">
        <v>32</v>
      </c>
      <c r="E156" s="9">
        <f>F156+H156+J156</f>
        <v>1498.8969999999997</v>
      </c>
      <c r="F156" s="9">
        <v>187.71699999999998</v>
      </c>
      <c r="G156" s="9">
        <v>1.7540000000002831</v>
      </c>
      <c r="H156" s="9">
        <v>1169.8599999999999</v>
      </c>
      <c r="I156" s="9">
        <v>19.678437700520611</v>
      </c>
      <c r="J156" s="9">
        <v>141.32000000000002</v>
      </c>
      <c r="K156" s="9">
        <v>2.6636263501721773</v>
      </c>
    </row>
    <row r="157" spans="1:17">
      <c r="C157">
        <v>20</v>
      </c>
      <c r="D157">
        <v>64</v>
      </c>
      <c r="E157" s="9">
        <f>F157+H157+J157</f>
        <v>2872.7230000000004</v>
      </c>
      <c r="F157" s="9">
        <v>396.57833333333332</v>
      </c>
      <c r="G157" s="9">
        <v>3.5763333333362866</v>
      </c>
      <c r="H157" s="9">
        <v>2174.0280000000002</v>
      </c>
      <c r="I157" s="9">
        <v>13.902016196695632</v>
      </c>
      <c r="J157" s="9">
        <v>302.11666666666673</v>
      </c>
      <c r="K157" s="9">
        <v>10.873797593807824</v>
      </c>
    </row>
    <row r="158" spans="1:17">
      <c r="C158">
        <v>40</v>
      </c>
      <c r="D158">
        <v>128</v>
      </c>
      <c r="E158" s="9">
        <f>F158+H158+J158</f>
        <v>5882.9740000000002</v>
      </c>
      <c r="F158" s="9">
        <v>860.74866666666674</v>
      </c>
      <c r="G158" s="9">
        <v>24.97066666666846</v>
      </c>
      <c r="H158" s="9">
        <v>4351.1290000000008</v>
      </c>
      <c r="I158" s="9">
        <v>67.344362268343815</v>
      </c>
      <c r="J158" s="9">
        <v>671.09633333333329</v>
      </c>
      <c r="K158" s="9">
        <v>5.7530535177223436</v>
      </c>
    </row>
  </sheetData>
  <sheetCalcPr fullCalcOnLoad="1"/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K85"/>
  <sheetViews>
    <sheetView tabSelected="1" topLeftCell="A90" workbookViewId="0">
      <selection activeCell="G71" sqref="G71"/>
    </sheetView>
  </sheetViews>
  <sheetFormatPr baseColWidth="10" defaultRowHeight="13"/>
  <sheetData>
    <row r="3" spans="1:8">
      <c r="A3" t="s">
        <v>291</v>
      </c>
    </row>
    <row r="4" spans="1:8" ht="46" thickBot="1">
      <c r="A4" s="3" t="s">
        <v>259</v>
      </c>
      <c r="B4" s="5" t="s">
        <v>143</v>
      </c>
      <c r="C4" s="6" t="s">
        <v>184</v>
      </c>
      <c r="D4" s="3" t="s">
        <v>185</v>
      </c>
      <c r="E4" s="8" t="s">
        <v>292</v>
      </c>
      <c r="F4" s="8" t="s">
        <v>25</v>
      </c>
      <c r="G4" s="8" t="s">
        <v>26</v>
      </c>
      <c r="H4" s="8" t="s">
        <v>27</v>
      </c>
    </row>
    <row r="5" spans="1:8">
      <c r="A5">
        <v>78125</v>
      </c>
      <c r="B5">
        <v>256</v>
      </c>
      <c r="C5" s="9">
        <f>E5+G5+D5</f>
        <v>2482.1826666666666</v>
      </c>
      <c r="D5">
        <v>216.81200000000001</v>
      </c>
      <c r="E5" s="9">
        <v>2104.2950000000001</v>
      </c>
      <c r="F5" s="9">
        <v>0.95113318365910415</v>
      </c>
      <c r="G5" s="9">
        <v>161.07566666666665</v>
      </c>
      <c r="H5" s="9">
        <v>3.8921515186908202</v>
      </c>
    </row>
    <row r="6" spans="1:8">
      <c r="A6">
        <v>156250</v>
      </c>
      <c r="B6">
        <v>128</v>
      </c>
      <c r="C6" s="9">
        <f>E6+G6+D6</f>
        <v>1864.9656666666665</v>
      </c>
      <c r="D6">
        <v>215.00399999999999</v>
      </c>
      <c r="E6" s="9">
        <v>1504.33</v>
      </c>
      <c r="F6" s="9">
        <v>25.902892328855973</v>
      </c>
      <c r="G6" s="9">
        <v>145.63166666666666</v>
      </c>
      <c r="H6" s="9">
        <v>1.2000589337377248</v>
      </c>
    </row>
    <row r="7" spans="1:8">
      <c r="A7">
        <v>312500</v>
      </c>
      <c r="B7">
        <v>64</v>
      </c>
      <c r="C7" s="9">
        <f>E7+G7+D7</f>
        <v>1641.4983333333334</v>
      </c>
      <c r="D7">
        <v>211.405</v>
      </c>
      <c r="E7" s="9">
        <v>1283.6106666666667</v>
      </c>
      <c r="F7" s="9">
        <v>15.299896648162512</v>
      </c>
      <c r="G7" s="9">
        <v>146.48266666666669</v>
      </c>
      <c r="H7" s="9">
        <v>2.2325377438638392</v>
      </c>
    </row>
    <row r="8" spans="1:8">
      <c r="A8">
        <v>625000</v>
      </c>
      <c r="B8">
        <v>32</v>
      </c>
      <c r="C8" s="9">
        <f>E8+G8+D8</f>
        <v>1502.4049999999997</v>
      </c>
      <c r="D8">
        <v>191.22499999999999</v>
      </c>
      <c r="E8" s="9">
        <v>1169.8599999999999</v>
      </c>
      <c r="F8" s="9">
        <v>19.678437700520611</v>
      </c>
      <c r="G8" s="9">
        <v>141.32000000000002</v>
      </c>
      <c r="H8" s="9">
        <v>2.6636263501721773</v>
      </c>
    </row>
    <row r="31" spans="2:8">
      <c r="G31" t="s">
        <v>28</v>
      </c>
      <c r="H31" t="s">
        <v>293</v>
      </c>
    </row>
    <row r="32" spans="2:8">
      <c r="B32" t="s">
        <v>118</v>
      </c>
      <c r="G32">
        <v>1.59</v>
      </c>
      <c r="H32">
        <v>1.36</v>
      </c>
    </row>
    <row r="33" spans="1:8" ht="15">
      <c r="B33" t="s">
        <v>119</v>
      </c>
      <c r="G33" s="10">
        <v>9155.6200000000008</v>
      </c>
      <c r="H33" s="10">
        <v>11.06</v>
      </c>
    </row>
    <row r="34" spans="1:8">
      <c r="B34" t="s">
        <v>294</v>
      </c>
    </row>
    <row r="35" spans="1:8">
      <c r="B35" t="s">
        <v>71</v>
      </c>
    </row>
    <row r="36" spans="1:8">
      <c r="B36" t="s">
        <v>30</v>
      </c>
    </row>
    <row r="48" spans="1:8">
      <c r="A48" t="s">
        <v>262</v>
      </c>
    </row>
    <row r="50" spans="1:9" ht="33" thickBot="1">
      <c r="A50" s="3" t="s">
        <v>263</v>
      </c>
      <c r="B50" s="5" t="s">
        <v>184</v>
      </c>
      <c r="C50" s="6" t="s">
        <v>264</v>
      </c>
      <c r="D50" s="3" t="s">
        <v>72</v>
      </c>
      <c r="E50" s="3" t="s">
        <v>73</v>
      </c>
      <c r="F50" s="5" t="s">
        <v>74</v>
      </c>
      <c r="G50" s="11"/>
    </row>
    <row r="51" spans="1:9" ht="14" thickTop="1">
      <c r="A51">
        <v>8</v>
      </c>
      <c r="B51" s="9">
        <v>3890.74</v>
      </c>
      <c r="C51" s="9">
        <v>3735.89</v>
      </c>
      <c r="D51" s="9">
        <v>44.339394594427489</v>
      </c>
      <c r="E51" s="9">
        <v>142.43299999999999</v>
      </c>
      <c r="F51" s="9">
        <v>7.5428862071049236</v>
      </c>
    </row>
    <row r="52" spans="1:9" ht="23">
      <c r="A52">
        <v>16</v>
      </c>
      <c r="B52" s="9">
        <v>2210.2306666666664</v>
      </c>
      <c r="C52" s="9">
        <v>2059.5956666666666</v>
      </c>
      <c r="D52" s="9">
        <v>58.385792408006402</v>
      </c>
      <c r="E52" s="9">
        <v>142.59299999999999</v>
      </c>
      <c r="F52" s="9">
        <v>4.1344438965032166</v>
      </c>
      <c r="I52" s="14" t="s">
        <v>250</v>
      </c>
    </row>
    <row r="53" spans="1:9">
      <c r="A53">
        <v>32</v>
      </c>
      <c r="B53" s="9">
        <v>1314.2059999999999</v>
      </c>
      <c r="C53" s="9">
        <v>1169.8599999999999</v>
      </c>
      <c r="D53" s="9">
        <v>19.678437700520611</v>
      </c>
      <c r="E53" s="9">
        <v>141.32000000000002</v>
      </c>
      <c r="F53" s="9">
        <v>2.6636263501721773</v>
      </c>
    </row>
    <row r="64" spans="1:9">
      <c r="B64" t="s">
        <v>118</v>
      </c>
      <c r="G64" t="s">
        <v>75</v>
      </c>
    </row>
    <row r="65" spans="1:11" ht="15">
      <c r="B65" t="s">
        <v>119</v>
      </c>
      <c r="G65">
        <v>9144.5290000000005</v>
      </c>
      <c r="H65" s="10"/>
    </row>
    <row r="66" spans="1:11">
      <c r="B66" t="s">
        <v>294</v>
      </c>
    </row>
    <row r="67" spans="1:11">
      <c r="B67" t="s">
        <v>71</v>
      </c>
    </row>
    <row r="68" spans="1:11">
      <c r="B68" t="s">
        <v>30</v>
      </c>
    </row>
    <row r="71" spans="1:11">
      <c r="E71">
        <v>4</v>
      </c>
    </row>
    <row r="72" spans="1:11">
      <c r="E72">
        <v>8</v>
      </c>
    </row>
    <row r="73" spans="1:11">
      <c r="E73">
        <v>16</v>
      </c>
    </row>
    <row r="78" spans="1:11">
      <c r="A78" t="s">
        <v>82</v>
      </c>
    </row>
    <row r="80" spans="1:11" ht="49" thickBot="1">
      <c r="A80" s="3" t="s">
        <v>83</v>
      </c>
      <c r="B80" s="5" t="s">
        <v>143</v>
      </c>
      <c r="C80" s="6" t="s">
        <v>84</v>
      </c>
      <c r="D80" s="3" t="s">
        <v>185</v>
      </c>
      <c r="E80" s="3" t="s">
        <v>85</v>
      </c>
      <c r="F80" s="8" t="s">
        <v>173</v>
      </c>
      <c r="G80" s="8" t="s">
        <v>174</v>
      </c>
      <c r="H80" s="8" t="s">
        <v>46</v>
      </c>
      <c r="I80" s="8" t="s">
        <v>47</v>
      </c>
      <c r="J80" s="8" t="s">
        <v>205</v>
      </c>
      <c r="K80" s="8" t="s">
        <v>206</v>
      </c>
    </row>
    <row r="81" spans="1:11">
      <c r="A81">
        <v>10</v>
      </c>
      <c r="B81">
        <v>32</v>
      </c>
      <c r="C81" s="9">
        <f>D81+F81+J81</f>
        <v>1444.8969999999997</v>
      </c>
      <c r="D81" s="9">
        <v>187.71699999999998</v>
      </c>
      <c r="E81" s="9">
        <v>1.7540000000002831</v>
      </c>
      <c r="F81" s="9">
        <v>1115.8599999999999</v>
      </c>
      <c r="G81" s="9">
        <v>19.678437700520611</v>
      </c>
      <c r="H81">
        <v>54</v>
      </c>
      <c r="I81" s="9">
        <v>3.45</v>
      </c>
      <c r="J81" s="9">
        <v>141.32000000000002</v>
      </c>
      <c r="K81" s="9">
        <v>2.6636263501721773</v>
      </c>
    </row>
    <row r="82" spans="1:11">
      <c r="A82">
        <v>20</v>
      </c>
      <c r="B82">
        <v>64</v>
      </c>
      <c r="C82" s="9">
        <f>D82+F82+J82</f>
        <v>2742.7230000000004</v>
      </c>
      <c r="D82" s="9">
        <v>396.57833333333332</v>
      </c>
      <c r="E82" s="9">
        <v>3.5763333333362866</v>
      </c>
      <c r="F82" s="9">
        <v>2044.0280000000002</v>
      </c>
      <c r="G82" s="9">
        <v>13.902016196695632</v>
      </c>
      <c r="H82" s="9">
        <v>130</v>
      </c>
      <c r="I82" s="9">
        <v>8.5399999999999991</v>
      </c>
      <c r="J82" s="9">
        <v>302.11666666666673</v>
      </c>
      <c r="K82" s="9">
        <v>10.873797593807824</v>
      </c>
    </row>
    <row r="83" spans="1:11">
      <c r="A83">
        <v>40</v>
      </c>
      <c r="B83">
        <v>128</v>
      </c>
      <c r="C83" s="9">
        <f>D83+F83+J83</f>
        <v>5602.9740000000002</v>
      </c>
      <c r="D83" s="9">
        <v>860.74866666666674</v>
      </c>
      <c r="E83" s="9">
        <v>24.97066666666846</v>
      </c>
      <c r="F83" s="9">
        <v>4071.1290000000008</v>
      </c>
      <c r="G83" s="9">
        <v>67.344362268343815</v>
      </c>
      <c r="H83" s="9">
        <v>280</v>
      </c>
      <c r="I83" s="9">
        <v>10.34</v>
      </c>
      <c r="J83" s="9">
        <v>671.09633333333329</v>
      </c>
      <c r="K83" s="9">
        <v>5.7530535177223436</v>
      </c>
    </row>
    <row r="85" spans="1:11" ht="23">
      <c r="C85" s="14" t="s">
        <v>249</v>
      </c>
    </row>
  </sheetData>
  <phoneticPr fontId="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Z238"/>
  <sheetViews>
    <sheetView topLeftCell="A4" workbookViewId="0">
      <selection activeCell="P235" sqref="P235"/>
    </sheetView>
  </sheetViews>
  <sheetFormatPr baseColWidth="10" defaultRowHeight="13"/>
  <sheetData>
    <row r="2" spans="1:24">
      <c r="A2" s="15" t="s">
        <v>1</v>
      </c>
      <c r="B2" s="15" t="s">
        <v>4</v>
      </c>
      <c r="C2" s="15"/>
      <c r="I2" s="15"/>
      <c r="K2" s="15" t="s">
        <v>2</v>
      </c>
    </row>
    <row r="4" spans="1:24">
      <c r="A4" t="s">
        <v>172</v>
      </c>
      <c r="B4" t="s">
        <v>190</v>
      </c>
      <c r="C4" t="s">
        <v>286</v>
      </c>
      <c r="D4" t="s">
        <v>287</v>
      </c>
      <c r="E4" t="s">
        <v>282</v>
      </c>
      <c r="F4" t="s">
        <v>191</v>
      </c>
      <c r="G4" t="s">
        <v>192</v>
      </c>
      <c r="H4" t="s">
        <v>188</v>
      </c>
      <c r="I4" t="s">
        <v>193</v>
      </c>
      <c r="J4" t="s">
        <v>281</v>
      </c>
      <c r="K4" t="s">
        <v>188</v>
      </c>
      <c r="L4" t="s">
        <v>194</v>
      </c>
      <c r="M4" t="s">
        <v>201</v>
      </c>
      <c r="N4" t="s">
        <v>202</v>
      </c>
      <c r="O4" t="s">
        <v>175</v>
      </c>
    </row>
    <row r="5" spans="1:24">
      <c r="A5">
        <v>2</v>
      </c>
      <c r="B5">
        <v>13</v>
      </c>
      <c r="C5">
        <v>2427</v>
      </c>
      <c r="D5">
        <v>426</v>
      </c>
      <c r="E5">
        <f>C5+D5</f>
        <v>2853</v>
      </c>
      <c r="F5">
        <v>2438</v>
      </c>
      <c r="G5">
        <v>443</v>
      </c>
      <c r="H5">
        <f>F5+G5</f>
        <v>2881</v>
      </c>
      <c r="I5">
        <v>2422</v>
      </c>
      <c r="J5">
        <v>431</v>
      </c>
      <c r="K5">
        <f>I5+J5</f>
        <v>2853</v>
      </c>
      <c r="L5">
        <v>3805921</v>
      </c>
      <c r="M5">
        <f>AVERAGE(E5,H5,K5)</f>
        <v>2862.3333333333335</v>
      </c>
      <c r="N5">
        <f>1.96 * STDEV(E5,H5,K5)/SQRT(3)</f>
        <v>18.293333333355065</v>
      </c>
      <c r="O5">
        <f>L5/13</f>
        <v>292763.15384615387</v>
      </c>
    </row>
    <row r="6" spans="1:24">
      <c r="A6">
        <v>4</v>
      </c>
      <c r="B6">
        <v>25</v>
      </c>
      <c r="C6">
        <v>4192</v>
      </c>
      <c r="D6">
        <v>824</v>
      </c>
      <c r="E6">
        <f>C6+D6</f>
        <v>5016</v>
      </c>
      <c r="F6">
        <v>4006</v>
      </c>
      <c r="G6">
        <v>815</v>
      </c>
      <c r="H6">
        <f>F6+G6</f>
        <v>4821</v>
      </c>
      <c r="I6">
        <v>4053</v>
      </c>
      <c r="J6">
        <v>821</v>
      </c>
      <c r="K6">
        <f>J6+I6</f>
        <v>4874</v>
      </c>
      <c r="L6">
        <v>7611659</v>
      </c>
      <c r="M6">
        <f t="shared" ref="M6:M7" si="0">AVERAGE(E6,H6,K6)</f>
        <v>4903.666666666667</v>
      </c>
      <c r="N6">
        <f t="shared" ref="N6:N7" si="1">1.96 * STDEV(E6,H6,K6)/SQRT(3)</f>
        <v>114.09789091439987</v>
      </c>
    </row>
    <row r="7" spans="1:24">
      <c r="A7">
        <v>8</v>
      </c>
      <c r="B7">
        <v>50</v>
      </c>
      <c r="C7">
        <v>7163</v>
      </c>
      <c r="D7">
        <v>1695</v>
      </c>
      <c r="E7">
        <f>C7+D7</f>
        <v>8858</v>
      </c>
      <c r="F7">
        <v>7015</v>
      </c>
      <c r="G7">
        <v>1660</v>
      </c>
      <c r="H7">
        <f>F7+G7</f>
        <v>8675</v>
      </c>
      <c r="I7">
        <v>7020</v>
      </c>
      <c r="J7">
        <v>1657</v>
      </c>
      <c r="K7">
        <f>I7+J7</f>
        <v>8677</v>
      </c>
      <c r="L7">
        <v>15224713</v>
      </c>
      <c r="M7">
        <f t="shared" si="0"/>
        <v>8736.6666666666661</v>
      </c>
      <c r="N7">
        <f t="shared" si="1"/>
        <v>118.91205116011055</v>
      </c>
    </row>
    <row r="9" spans="1:24">
      <c r="L9">
        <f>L5*5</f>
        <v>19029605</v>
      </c>
    </row>
    <row r="10" spans="1:24">
      <c r="A10" s="15" t="s">
        <v>246</v>
      </c>
      <c r="B10" s="15" t="s">
        <v>0</v>
      </c>
    </row>
    <row r="11" spans="1:24" ht="26">
      <c r="A11" s="11" t="s">
        <v>172</v>
      </c>
      <c r="B11" s="11" t="s">
        <v>61</v>
      </c>
      <c r="C11" s="11" t="s">
        <v>190</v>
      </c>
      <c r="D11" s="11" t="s">
        <v>57</v>
      </c>
      <c r="E11" s="11" t="s">
        <v>58</v>
      </c>
      <c r="F11" s="11" t="s">
        <v>59</v>
      </c>
      <c r="G11" s="11" t="s">
        <v>60</v>
      </c>
      <c r="H11" s="11" t="s">
        <v>235</v>
      </c>
      <c r="I11" s="11" t="s">
        <v>62</v>
      </c>
      <c r="J11" s="11" t="s">
        <v>110</v>
      </c>
      <c r="M11" t="s">
        <v>65</v>
      </c>
      <c r="R11" t="s">
        <v>92</v>
      </c>
    </row>
    <row r="12" spans="1:24" ht="26">
      <c r="A12">
        <v>2</v>
      </c>
      <c r="B12">
        <v>116</v>
      </c>
      <c r="C12">
        <v>13</v>
      </c>
      <c r="D12">
        <v>2451</v>
      </c>
      <c r="E12">
        <v>2469</v>
      </c>
      <c r="F12">
        <f>47*60+41</f>
        <v>2861</v>
      </c>
      <c r="G12">
        <f>D12-B12</f>
        <v>2335</v>
      </c>
      <c r="H12">
        <f>E12-D12</f>
        <v>18</v>
      </c>
      <c r="I12">
        <f>F12-E12</f>
        <v>392</v>
      </c>
      <c r="J12">
        <v>9</v>
      </c>
      <c r="M12" s="11" t="s">
        <v>172</v>
      </c>
      <c r="N12" s="11" t="s">
        <v>61</v>
      </c>
      <c r="O12" s="11" t="s">
        <v>190</v>
      </c>
      <c r="P12" s="11" t="s">
        <v>66</v>
      </c>
      <c r="Q12" s="11"/>
      <c r="R12" s="11" t="s">
        <v>172</v>
      </c>
      <c r="S12" s="11" t="s">
        <v>288</v>
      </c>
      <c r="T12" s="11" t="s">
        <v>117</v>
      </c>
      <c r="U12" s="11" t="s">
        <v>52</v>
      </c>
      <c r="V12" s="11" t="s">
        <v>53</v>
      </c>
      <c r="W12" s="11" t="s">
        <v>54</v>
      </c>
      <c r="X12" s="11" t="s">
        <v>55</v>
      </c>
    </row>
    <row r="13" spans="1:24">
      <c r="A13">
        <v>4</v>
      </c>
      <c r="B13">
        <v>116</v>
      </c>
      <c r="C13">
        <v>25</v>
      </c>
      <c r="D13">
        <f>66*60+47</f>
        <v>4007</v>
      </c>
      <c r="E13">
        <f>67*60+41</f>
        <v>4061</v>
      </c>
      <c r="F13">
        <f>80*60+29</f>
        <v>4829</v>
      </c>
      <c r="G13">
        <f t="shared" ref="G13" si="2">D13-B13</f>
        <v>3891</v>
      </c>
      <c r="H13">
        <f t="shared" ref="H13:H14" si="3">E13-D13</f>
        <v>54</v>
      </c>
      <c r="I13">
        <f t="shared" ref="I13:I14" si="4">F13-E13</f>
        <v>768</v>
      </c>
      <c r="J13">
        <v>16</v>
      </c>
      <c r="M13">
        <v>2</v>
      </c>
      <c r="N13">
        <v>115</v>
      </c>
      <c r="O13">
        <v>13</v>
      </c>
      <c r="P13">
        <f>47*60+36</f>
        <v>2856</v>
      </c>
      <c r="R13">
        <v>2</v>
      </c>
      <c r="S13">
        <v>115</v>
      </c>
      <c r="T13">
        <v>2657</v>
      </c>
      <c r="V13">
        <f>S13+T13</f>
        <v>2772</v>
      </c>
      <c r="W13">
        <f>AVERAGE(V13:V15)</f>
        <v>2689.6666666666665</v>
      </c>
      <c r="X13">
        <f>1.96*STDEV(V13:V15)/SQRT(3)</f>
        <v>90.643966766199668</v>
      </c>
    </row>
    <row r="14" spans="1:24">
      <c r="A14">
        <v>8</v>
      </c>
      <c r="B14">
        <v>109</v>
      </c>
      <c r="C14">
        <v>50</v>
      </c>
      <c r="D14">
        <v>7149</v>
      </c>
      <c r="E14">
        <v>7252</v>
      </c>
      <c r="F14">
        <f>2*60*60+26*60+56</f>
        <v>8816</v>
      </c>
      <c r="G14">
        <f>D14-B14</f>
        <v>7040</v>
      </c>
      <c r="H14">
        <f t="shared" si="3"/>
        <v>103</v>
      </c>
      <c r="I14">
        <f t="shared" si="4"/>
        <v>1564</v>
      </c>
      <c r="J14">
        <v>11</v>
      </c>
      <c r="N14">
        <v>143</v>
      </c>
      <c r="O14">
        <v>13</v>
      </c>
      <c r="P14">
        <f>49*60+42</f>
        <v>2982</v>
      </c>
      <c r="S14">
        <v>116</v>
      </c>
      <c r="T14">
        <v>2569</v>
      </c>
      <c r="V14">
        <f t="shared" ref="V14:V23" si="5">S14+T14</f>
        <v>2685</v>
      </c>
    </row>
    <row r="15" spans="1:24">
      <c r="N15">
        <v>139</v>
      </c>
      <c r="O15">
        <v>13</v>
      </c>
      <c r="P15">
        <f>49*60+14</f>
        <v>2954</v>
      </c>
      <c r="S15">
        <v>117</v>
      </c>
      <c r="T15">
        <v>2495</v>
      </c>
      <c r="V15">
        <f t="shared" si="5"/>
        <v>2612</v>
      </c>
    </row>
    <row r="17" spans="1:24">
      <c r="A17" t="s">
        <v>233</v>
      </c>
      <c r="B17" t="s">
        <v>188</v>
      </c>
      <c r="M17">
        <v>4</v>
      </c>
      <c r="N17">
        <v>115</v>
      </c>
      <c r="O17">
        <v>25</v>
      </c>
      <c r="P17">
        <v>5006</v>
      </c>
      <c r="R17">
        <v>4</v>
      </c>
      <c r="S17">
        <v>115</v>
      </c>
      <c r="T17">
        <f>67*60+57</f>
        <v>4077</v>
      </c>
      <c r="V17">
        <f t="shared" si="5"/>
        <v>4192</v>
      </c>
      <c r="W17">
        <f>AVERAGE(V17:V19)</f>
        <v>4094.6666666666665</v>
      </c>
      <c r="X17">
        <f>1.96*STDEV(V17:V19)/SQRT(3)</f>
        <v>99.177635471794702</v>
      </c>
    </row>
    <row r="18" spans="1:24">
      <c r="A18" t="s">
        <v>234</v>
      </c>
      <c r="B18">
        <v>563</v>
      </c>
      <c r="N18">
        <v>123</v>
      </c>
      <c r="O18">
        <v>25</v>
      </c>
      <c r="P18">
        <v>4731</v>
      </c>
      <c r="S18">
        <v>120</v>
      </c>
      <c r="T18">
        <f>65*60+2</f>
        <v>3902</v>
      </c>
      <c r="V18">
        <f t="shared" si="5"/>
        <v>4022</v>
      </c>
    </row>
    <row r="19" spans="1:24">
      <c r="A19" t="s">
        <v>195</v>
      </c>
      <c r="B19">
        <f>19*60</f>
        <v>1140</v>
      </c>
      <c r="N19">
        <v>116</v>
      </c>
      <c r="O19">
        <v>25</v>
      </c>
      <c r="P19">
        <v>4804</v>
      </c>
      <c r="S19">
        <v>113</v>
      </c>
      <c r="T19">
        <f>65*60+57</f>
        <v>3957</v>
      </c>
      <c r="V19">
        <f t="shared" si="5"/>
        <v>4070</v>
      </c>
    </row>
    <row r="20" spans="1:24">
      <c r="A20" t="s">
        <v>196</v>
      </c>
      <c r="B20">
        <v>2611</v>
      </c>
    </row>
    <row r="21" spans="1:24">
      <c r="M21">
        <v>8</v>
      </c>
      <c r="N21">
        <v>116</v>
      </c>
      <c r="O21">
        <v>50</v>
      </c>
      <c r="P21">
        <v>8765</v>
      </c>
      <c r="R21">
        <v>8</v>
      </c>
      <c r="S21">
        <v>115</v>
      </c>
      <c r="T21">
        <v>7259</v>
      </c>
      <c r="V21">
        <f t="shared" si="5"/>
        <v>7374</v>
      </c>
      <c r="W21">
        <f>AVERAGE(V21:V23)</f>
        <v>7343.666666666667</v>
      </c>
      <c r="X21">
        <f>1.96*STDEV(V21:V23)/SQRT(3)</f>
        <v>48.174196873825352</v>
      </c>
    </row>
    <row r="22" spans="1:24">
      <c r="N22">
        <v>115</v>
      </c>
      <c r="O22">
        <v>50</v>
      </c>
      <c r="P22">
        <v>8546</v>
      </c>
      <c r="S22">
        <v>120</v>
      </c>
      <c r="T22">
        <v>7242</v>
      </c>
      <c r="V22">
        <f t="shared" si="5"/>
        <v>7362</v>
      </c>
    </row>
    <row r="23" spans="1:24">
      <c r="N23">
        <v>136</v>
      </c>
      <c r="O23">
        <v>50</v>
      </c>
      <c r="P23">
        <v>8579</v>
      </c>
      <c r="S23">
        <v>112</v>
      </c>
      <c r="T23">
        <v>7183</v>
      </c>
      <c r="V23">
        <f t="shared" si="5"/>
        <v>7295</v>
      </c>
    </row>
    <row r="24" spans="1:24">
      <c r="H24" s="15" t="s">
        <v>225</v>
      </c>
      <c r="I24" s="15" t="s">
        <v>226</v>
      </c>
    </row>
    <row r="26" spans="1:24">
      <c r="A26" t="s">
        <v>172</v>
      </c>
      <c r="B26" t="s">
        <v>198</v>
      </c>
      <c r="C26" t="s">
        <v>197</v>
      </c>
      <c r="D26" t="s">
        <v>287</v>
      </c>
      <c r="E26" t="s">
        <v>188</v>
      </c>
      <c r="F26" t="s">
        <v>198</v>
      </c>
      <c r="G26" t="s">
        <v>197</v>
      </c>
      <c r="H26" t="s">
        <v>287</v>
      </c>
      <c r="I26" t="s">
        <v>188</v>
      </c>
      <c r="J26" t="s">
        <v>199</v>
      </c>
      <c r="K26" t="s">
        <v>197</v>
      </c>
      <c r="L26" t="s">
        <v>287</v>
      </c>
      <c r="M26" t="s">
        <v>188</v>
      </c>
      <c r="N26" t="s">
        <v>200</v>
      </c>
      <c r="P26" t="s">
        <v>203</v>
      </c>
      <c r="Q26" t="s">
        <v>204</v>
      </c>
      <c r="R26" t="s">
        <v>20</v>
      </c>
    </row>
    <row r="27" spans="1:24">
      <c r="A27">
        <v>2</v>
      </c>
      <c r="B27">
        <v>24.536999999999999</v>
      </c>
      <c r="C27">
        <v>1480.663</v>
      </c>
      <c r="D27">
        <v>40.225999999999999</v>
      </c>
      <c r="E27">
        <v>1545.4259999999999</v>
      </c>
      <c r="F27">
        <v>24.632000000000001</v>
      </c>
      <c r="G27">
        <v>1475.8620000000001</v>
      </c>
      <c r="H27">
        <v>40.232999999999997</v>
      </c>
      <c r="I27">
        <v>1540.7270000000001</v>
      </c>
      <c r="J27">
        <v>23.358000000000001</v>
      </c>
      <c r="K27">
        <v>1483.2449999999999</v>
      </c>
      <c r="L27">
        <v>41.244999999999997</v>
      </c>
      <c r="M27">
        <f>K27+L27+J27</f>
        <v>1547.8479999999997</v>
      </c>
      <c r="N27">
        <v>1736.0070000000001</v>
      </c>
      <c r="P27">
        <f>AVERAGE(E27+I27+M27)/3</f>
        <v>1544.6670000000001</v>
      </c>
      <c r="Q27">
        <f>1.96 * STDEV(E27,I27,M27)/SQRT(3)</f>
        <v>4.097169079209209</v>
      </c>
      <c r="R27">
        <f>P27+I34</f>
        <v>1633.7104782608696</v>
      </c>
    </row>
    <row r="28" spans="1:24">
      <c r="A28">
        <v>4</v>
      </c>
      <c r="B28">
        <v>48.817999999999998</v>
      </c>
      <c r="C28">
        <v>2767.5140000000001</v>
      </c>
      <c r="D28">
        <v>71.721000000000004</v>
      </c>
      <c r="E28">
        <v>2888.0540000000001</v>
      </c>
      <c r="F28">
        <v>49.430999999999997</v>
      </c>
      <c r="G28">
        <v>2776.223</v>
      </c>
      <c r="H28">
        <v>74.373000000000005</v>
      </c>
      <c r="I28">
        <v>2900.027</v>
      </c>
      <c r="J28">
        <v>49.23</v>
      </c>
      <c r="K28">
        <v>2812.97</v>
      </c>
      <c r="L28">
        <v>76.73</v>
      </c>
      <c r="M28">
        <v>2938.93</v>
      </c>
      <c r="N28">
        <v>3580.5070000000001</v>
      </c>
      <c r="P28">
        <f t="shared" ref="P28:P29" si="6">AVERAGE(E28+I28+M28)/3</f>
        <v>2909.003666666667</v>
      </c>
      <c r="Q28">
        <f t="shared" ref="Q28:Q29" si="7">1.96 * STDEV(E28,I28,M28)/SQRT(3)</f>
        <v>30.100037057320566</v>
      </c>
      <c r="R28">
        <f>P28+J34</f>
        <v>3087.090623188406</v>
      </c>
    </row>
    <row r="29" spans="1:24">
      <c r="A29">
        <v>8</v>
      </c>
      <c r="B29">
        <v>98.637</v>
      </c>
      <c r="C29">
        <v>4699.8230000000003</v>
      </c>
      <c r="D29">
        <v>142.68100000000001</v>
      </c>
      <c r="E29">
        <v>4941.1419999999998</v>
      </c>
      <c r="F29">
        <v>99.403999999999996</v>
      </c>
      <c r="G29">
        <v>4709.2629999999999</v>
      </c>
      <c r="H29">
        <v>144.85300000000001</v>
      </c>
      <c r="I29">
        <v>4950.4120000000003</v>
      </c>
      <c r="J29">
        <v>94.57</v>
      </c>
      <c r="K29">
        <v>4689.28</v>
      </c>
      <c r="L29">
        <v>141.83500000000001</v>
      </c>
      <c r="M29">
        <v>4931.7830000000004</v>
      </c>
      <c r="N29">
        <v>7332.8770000000004</v>
      </c>
      <c r="P29">
        <f t="shared" si="6"/>
        <v>4941.1123333333335</v>
      </c>
      <c r="Q29">
        <f t="shared" si="7"/>
        <v>10.540389098093113</v>
      </c>
      <c r="R29">
        <f>P29+K34</f>
        <v>5297.2862463768115</v>
      </c>
    </row>
    <row r="32" spans="1:24">
      <c r="I32" t="s">
        <v>19</v>
      </c>
    </row>
    <row r="33" spans="3:17">
      <c r="I33" t="s">
        <v>16</v>
      </c>
      <c r="J33" t="s">
        <v>17</v>
      </c>
      <c r="K33" t="s">
        <v>18</v>
      </c>
    </row>
    <row r="34" spans="3:17">
      <c r="D34" t="s">
        <v>56</v>
      </c>
      <c r="E34" t="s">
        <v>55</v>
      </c>
      <c r="I34">
        <v>89.043478260869563</v>
      </c>
      <c r="J34">
        <v>178.08695652173913</v>
      </c>
      <c r="K34">
        <v>356.17391304347825</v>
      </c>
    </row>
    <row r="35" spans="3:17">
      <c r="C35">
        <v>2</v>
      </c>
      <c r="D35">
        <f>AVERAGE(C27,G27,K27)</f>
        <v>1479.9233333333334</v>
      </c>
      <c r="E35">
        <f>1.96*(STDEV(C27,G27,K27)/SQRT(3))</f>
        <v>4.2397511311659413</v>
      </c>
      <c r="K35">
        <f>4096/11.2</f>
        <v>365.71428571428572</v>
      </c>
    </row>
    <row r="36" spans="3:17">
      <c r="C36">
        <v>4</v>
      </c>
      <c r="D36">
        <f t="shared" ref="D36:D37" si="8">AVERAGE(C28,G28,K28)</f>
        <v>2785.569</v>
      </c>
      <c r="E36">
        <f t="shared" ref="E36:E37" si="9">1.96*(STDEV(C28,G28,K28)/SQRT(3))</f>
        <v>27.301347690011074</v>
      </c>
      <c r="K36">
        <f>4096/11.6</f>
        <v>353.10344827586209</v>
      </c>
    </row>
    <row r="37" spans="3:17">
      <c r="C37">
        <v>8</v>
      </c>
      <c r="D37">
        <f t="shared" si="8"/>
        <v>4699.4553333333324</v>
      </c>
      <c r="E37">
        <f t="shared" si="9"/>
        <v>11.312186388587316</v>
      </c>
    </row>
    <row r="41" spans="3:17">
      <c r="H41" s="13"/>
    </row>
    <row r="43" spans="3:17">
      <c r="Q43">
        <v>2</v>
      </c>
    </row>
    <row r="44" spans="3:17">
      <c r="C44" t="s">
        <v>13</v>
      </c>
      <c r="Q44">
        <v>4</v>
      </c>
    </row>
    <row r="45" spans="3:17">
      <c r="C45" t="s">
        <v>140</v>
      </c>
      <c r="Q45">
        <v>8</v>
      </c>
    </row>
    <row r="46" spans="3:17">
      <c r="C46" t="s">
        <v>141</v>
      </c>
    </row>
    <row r="47" spans="3:17">
      <c r="C47" t="s">
        <v>189</v>
      </c>
    </row>
    <row r="53" spans="1:11">
      <c r="D53" t="s">
        <v>89</v>
      </c>
    </row>
    <row r="56" spans="1:11">
      <c r="A56" t="s">
        <v>145</v>
      </c>
      <c r="B56" t="s">
        <v>146</v>
      </c>
      <c r="C56" t="s">
        <v>69</v>
      </c>
      <c r="D56" t="s">
        <v>280</v>
      </c>
      <c r="E56" t="s">
        <v>70</v>
      </c>
      <c r="F56" t="s">
        <v>281</v>
      </c>
      <c r="G56" t="s">
        <v>282</v>
      </c>
      <c r="H56" t="s">
        <v>14</v>
      </c>
      <c r="I56" t="s">
        <v>15</v>
      </c>
      <c r="K56" t="s">
        <v>167</v>
      </c>
    </row>
    <row r="57" spans="1:11">
      <c r="A57" t="s">
        <v>283</v>
      </c>
      <c r="B57">
        <v>1171052</v>
      </c>
      <c r="C57">
        <f>27.1/2</f>
        <v>13.55</v>
      </c>
      <c r="D57">
        <v>1514.68</v>
      </c>
      <c r="E57">
        <v>451</v>
      </c>
      <c r="F57">
        <v>71.5</v>
      </c>
      <c r="G57">
        <f>C57+D57+F57+E57</f>
        <v>2050.73</v>
      </c>
      <c r="H57">
        <f>AVERAGE(G57:G59)</f>
        <v>2062.12</v>
      </c>
      <c r="I57">
        <f>1.96*(STDEV(G57:G59)/SQRT(3))</f>
        <v>12.103286987068245</v>
      </c>
      <c r="K57" t="s">
        <v>21</v>
      </c>
    </row>
    <row r="58" spans="1:11">
      <c r="B58">
        <v>1171052</v>
      </c>
      <c r="C58">
        <f>27.64/2</f>
        <v>13.82</v>
      </c>
      <c r="D58">
        <v>1527.62</v>
      </c>
      <c r="E58">
        <v>449</v>
      </c>
      <c r="F58">
        <v>73.239999999999995</v>
      </c>
      <c r="G58">
        <f>C58+D58+F58+E58</f>
        <v>2063.6799999999998</v>
      </c>
      <c r="H58">
        <v>3847.2836666666662</v>
      </c>
      <c r="I58">
        <v>19.032393616609415</v>
      </c>
    </row>
    <row r="59" spans="1:11">
      <c r="B59">
        <v>1171052</v>
      </c>
      <c r="C59">
        <f>27.44/2</f>
        <v>13.72</v>
      </c>
      <c r="D59">
        <v>1538.22</v>
      </c>
      <c r="E59">
        <v>449</v>
      </c>
      <c r="F59">
        <v>71.010000000000005</v>
      </c>
      <c r="G59">
        <f>C59+D59+F59+E59</f>
        <v>2071.9499999999998</v>
      </c>
      <c r="H59">
        <v>6855.4446666666663</v>
      </c>
      <c r="I59">
        <v>24.167021097560671</v>
      </c>
    </row>
    <row r="61" spans="1:11">
      <c r="A61" t="s">
        <v>284</v>
      </c>
      <c r="B61">
        <v>1171052</v>
      </c>
      <c r="C61">
        <f>57.14/2</f>
        <v>28.57</v>
      </c>
      <c r="D61">
        <v>2762.45</v>
      </c>
      <c r="E61">
        <v>952</v>
      </c>
      <c r="F61">
        <v>90.721000000000004</v>
      </c>
      <c r="G61">
        <f>C61+D61+E61+F61</f>
        <v>3833.741</v>
      </c>
      <c r="H61">
        <f>AVERAGE(G61:G63)</f>
        <v>3847.2836666666662</v>
      </c>
      <c r="I61">
        <f>1.96*(STDEV(G61:G63)/SQRT(3))</f>
        <v>19.032393616609415</v>
      </c>
      <c r="K61" t="s">
        <v>23</v>
      </c>
    </row>
    <row r="62" spans="1:11">
      <c r="B62">
        <v>1171052</v>
      </c>
      <c r="C62">
        <v>25.68</v>
      </c>
      <c r="D62">
        <v>2792.7</v>
      </c>
      <c r="E62">
        <v>958</v>
      </c>
      <c r="F62">
        <v>89.73</v>
      </c>
      <c r="G62">
        <f t="shared" ref="G62:G63" si="10">C62+D62+E62+F62</f>
        <v>3866.1099999999997</v>
      </c>
    </row>
    <row r="63" spans="1:11">
      <c r="B63">
        <v>1171052</v>
      </c>
      <c r="C63">
        <f>42.48/2</f>
        <v>21.24</v>
      </c>
      <c r="D63">
        <v>2770.53</v>
      </c>
      <c r="E63">
        <f>16*60</f>
        <v>960</v>
      </c>
      <c r="F63">
        <v>90.23</v>
      </c>
      <c r="G63">
        <f t="shared" si="10"/>
        <v>3842</v>
      </c>
    </row>
    <row r="66" spans="1:26">
      <c r="A66" t="s">
        <v>285</v>
      </c>
      <c r="B66">
        <v>1171052</v>
      </c>
      <c r="C66">
        <f>72.3/2</f>
        <v>36.15</v>
      </c>
      <c r="D66">
        <v>4742.82</v>
      </c>
      <c r="E66">
        <f>32*60</f>
        <v>1920</v>
      </c>
      <c r="F66">
        <v>140.9</v>
      </c>
      <c r="G66">
        <f>C66+D66+E66+F66</f>
        <v>6839.869999999999</v>
      </c>
      <c r="H66">
        <f>AVERAGE(G66:G68)</f>
        <v>6855.4446666666663</v>
      </c>
      <c r="I66">
        <f>1.96*(STDEV(G66:G68)/SQRT(3))</f>
        <v>24.167021097560671</v>
      </c>
      <c r="K66" t="s">
        <v>22</v>
      </c>
    </row>
    <row r="67" spans="1:26">
      <c r="B67">
        <v>1171052</v>
      </c>
      <c r="C67">
        <v>35.21</v>
      </c>
      <c r="D67">
        <v>4780.3500000000004</v>
      </c>
      <c r="E67">
        <f>1923</f>
        <v>1923</v>
      </c>
      <c r="F67">
        <v>141.22999999999999</v>
      </c>
      <c r="G67">
        <f t="shared" ref="G67:G68" si="11">C67+D67+E67+F67</f>
        <v>6879.79</v>
      </c>
    </row>
    <row r="68" spans="1:26">
      <c r="B68">
        <v>1171052</v>
      </c>
      <c r="C68">
        <v>36.21</v>
      </c>
      <c r="D68">
        <v>4745.2340000000004</v>
      </c>
      <c r="E68">
        <v>1921</v>
      </c>
      <c r="F68">
        <v>144.22999999999999</v>
      </c>
      <c r="G68">
        <f t="shared" si="11"/>
        <v>6846.674</v>
      </c>
    </row>
    <row r="70" spans="1:26">
      <c r="E70" t="s">
        <v>56</v>
      </c>
      <c r="F70" t="s">
        <v>55</v>
      </c>
    </row>
    <row r="71" spans="1:26">
      <c r="D71">
        <v>2</v>
      </c>
      <c r="E71">
        <f>AVERAGE(D57:D59)</f>
        <v>1526.8400000000001</v>
      </c>
      <c r="F71">
        <f>1.96*(STDEV(D57:D59)/SQRT(3))</f>
        <v>13.340925888849769</v>
      </c>
      <c r="K71" t="s">
        <v>169</v>
      </c>
      <c r="L71" t="s">
        <v>36</v>
      </c>
      <c r="M71" t="s">
        <v>35</v>
      </c>
      <c r="N71" t="s">
        <v>144</v>
      </c>
      <c r="O71" t="s">
        <v>33</v>
      </c>
      <c r="P71" t="s">
        <v>37</v>
      </c>
      <c r="Q71" t="s">
        <v>38</v>
      </c>
      <c r="R71" t="s">
        <v>39</v>
      </c>
      <c r="S71" t="s">
        <v>40</v>
      </c>
      <c r="V71" t="s">
        <v>251</v>
      </c>
      <c r="W71" t="s">
        <v>252</v>
      </c>
      <c r="X71" t="s">
        <v>253</v>
      </c>
      <c r="Y71" t="s">
        <v>254</v>
      </c>
      <c r="Z71" t="s">
        <v>255</v>
      </c>
    </row>
    <row r="72" spans="1:26">
      <c r="D72">
        <v>4</v>
      </c>
      <c r="E72">
        <f>AVERAGE(D61:D63)</f>
        <v>2775.2266666666669</v>
      </c>
      <c r="F72">
        <f t="shared" ref="F72:F73" si="12">1.96*(STDEV(D58:D60)/SQRT(3))</f>
        <v>8.4817664826547219</v>
      </c>
      <c r="J72" t="s">
        <v>168</v>
      </c>
      <c r="K72" t="s">
        <v>170</v>
      </c>
      <c r="L72">
        <v>356.17391304347825</v>
      </c>
      <c r="N72">
        <v>109</v>
      </c>
      <c r="O72">
        <f>AVERAGE(C7,F7,I7)</f>
        <v>7066</v>
      </c>
      <c r="P72">
        <v>103</v>
      </c>
      <c r="R72">
        <f>AVERAGE(D7,G7,J7)</f>
        <v>1670.6666666666667</v>
      </c>
      <c r="S72">
        <f>SUM(L72:R72)</f>
        <v>9304.8405797101441</v>
      </c>
      <c r="U72" t="s">
        <v>170</v>
      </c>
      <c r="V72">
        <f>L72+N72</f>
        <v>465.17391304347825</v>
      </c>
      <c r="W72">
        <v>7066</v>
      </c>
      <c r="X72">
        <v>103</v>
      </c>
      <c r="Y72">
        <v>1670.6666666666667</v>
      </c>
      <c r="Z72">
        <f>SUM(V72:Y72)</f>
        <v>9304.8405797101441</v>
      </c>
    </row>
    <row r="73" spans="1:26">
      <c r="D73">
        <v>8</v>
      </c>
      <c r="E73">
        <f>AVERAGE(D66:D68)</f>
        <v>4756.1346666666668</v>
      </c>
      <c r="F73">
        <f t="shared" si="12"/>
        <v>979.58801708376609</v>
      </c>
      <c r="K73" t="s">
        <v>48</v>
      </c>
      <c r="L73">
        <v>356.17391304347825</v>
      </c>
      <c r="M73">
        <v>98.637</v>
      </c>
      <c r="O73">
        <f>AVERAGE(C29,G29,K29)</f>
        <v>4699.4553333333324</v>
      </c>
      <c r="P73">
        <f>250</f>
        <v>250</v>
      </c>
      <c r="R73">
        <f>AVERAGE(D29,H29,L29)</f>
        <v>143.12300000000002</v>
      </c>
      <c r="S73">
        <f>SUM(L73:R73)</f>
        <v>5547.3892463768107</v>
      </c>
      <c r="U73" t="s">
        <v>48</v>
      </c>
      <c r="V73">
        <f>L73+M73</f>
        <v>454.81091304347825</v>
      </c>
      <c r="W73">
        <v>4699.4553333333324</v>
      </c>
      <c r="X73">
        <v>250</v>
      </c>
      <c r="Y73">
        <v>143.12300000000002</v>
      </c>
      <c r="Z73">
        <f t="shared" ref="Z73:Z74" si="13">SUM(V73:Y73)</f>
        <v>5547.3892463768107</v>
      </c>
    </row>
    <row r="74" spans="1:26">
      <c r="K74" t="s">
        <v>32</v>
      </c>
      <c r="L74">
        <v>0</v>
      </c>
      <c r="M74">
        <f>AVERAGE(C66:C68)</f>
        <v>35.856666666666662</v>
      </c>
      <c r="O74">
        <f>AVERAGE(D66:D68)</f>
        <v>4756.1346666666668</v>
      </c>
      <c r="Q74">
        <f>1922</f>
        <v>1922</v>
      </c>
      <c r="R74">
        <f>AVERAGE(F66:F68)</f>
        <v>142.12</v>
      </c>
      <c r="S74">
        <f t="shared" ref="S74" si="14">SUM(M74:R74)</f>
        <v>6856.1113333333333</v>
      </c>
      <c r="U74" t="s">
        <v>32</v>
      </c>
      <c r="V74">
        <f>M74</f>
        <v>35.856666666666662</v>
      </c>
      <c r="W74">
        <v>4756.1346666666668</v>
      </c>
      <c r="X74">
        <v>1922</v>
      </c>
      <c r="Y74">
        <v>142.12</v>
      </c>
      <c r="Z74">
        <f t="shared" si="13"/>
        <v>6856.1113333333333</v>
      </c>
    </row>
    <row r="76" spans="1:26">
      <c r="D76" t="s">
        <v>90</v>
      </c>
    </row>
    <row r="78" spans="1:26">
      <c r="P78" t="s">
        <v>148</v>
      </c>
      <c r="Q78" t="s">
        <v>41</v>
      </c>
      <c r="R78" t="s">
        <v>42</v>
      </c>
      <c r="S78" t="s">
        <v>43</v>
      </c>
      <c r="T78" t="s">
        <v>45</v>
      </c>
      <c r="U78" t="s">
        <v>44</v>
      </c>
      <c r="V78" t="s">
        <v>34</v>
      </c>
      <c r="W78" t="s">
        <v>147</v>
      </c>
    </row>
    <row r="79" spans="1:26">
      <c r="A79" t="s">
        <v>145</v>
      </c>
      <c r="B79" t="s">
        <v>146</v>
      </c>
      <c r="C79" t="s">
        <v>69</v>
      </c>
      <c r="D79" t="s">
        <v>280</v>
      </c>
      <c r="E79" t="s">
        <v>70</v>
      </c>
      <c r="F79" t="s">
        <v>281</v>
      </c>
      <c r="G79" t="s">
        <v>188</v>
      </c>
      <c r="P79">
        <v>7.44168872620806</v>
      </c>
      <c r="R79">
        <v>3.9740715197946423</v>
      </c>
      <c r="S79">
        <v>95.102086903144965</v>
      </c>
      <c r="T79">
        <v>1.1316065276116667</v>
      </c>
      <c r="V79">
        <v>23.907001299019289</v>
      </c>
      <c r="W79">
        <v>118.91205116011056</v>
      </c>
    </row>
    <row r="80" spans="1:26">
      <c r="A80" t="s">
        <v>283</v>
      </c>
      <c r="B80">
        <v>1171052</v>
      </c>
      <c r="C80">
        <f>33.35/2</f>
        <v>16.675000000000001</v>
      </c>
      <c r="D80">
        <v>1122.4000000000001</v>
      </c>
      <c r="E80">
        <v>77.94</v>
      </c>
      <c r="F80">
        <v>62.5</v>
      </c>
      <c r="G80">
        <f>C80+D80+E80+F80</f>
        <v>1279.5150000000001</v>
      </c>
      <c r="H80" t="s">
        <v>91</v>
      </c>
      <c r="P80">
        <v>7.4416887262080644</v>
      </c>
      <c r="Q80">
        <v>2.9398669347662101</v>
      </c>
      <c r="S80">
        <v>11.312186388587316</v>
      </c>
      <c r="T80">
        <v>5.1856725696865977</v>
      </c>
      <c r="U80">
        <v>1.1316065276116667</v>
      </c>
      <c r="V80">
        <v>1.7616769592647126</v>
      </c>
      <c r="W80">
        <v>10.540389098093113</v>
      </c>
    </row>
    <row r="81" spans="1:23">
      <c r="B81">
        <v>1171052</v>
      </c>
      <c r="C81">
        <f>20.3/2</f>
        <v>10.15</v>
      </c>
      <c r="D81">
        <v>1113.1300000000001</v>
      </c>
      <c r="E81">
        <v>80.67</v>
      </c>
      <c r="F81">
        <v>58.19</v>
      </c>
      <c r="G81">
        <f t="shared" ref="G81:G82" si="15">C81+D81+E81+F81</f>
        <v>1262.1400000000003</v>
      </c>
      <c r="Q81">
        <v>0.63464196030352471</v>
      </c>
      <c r="S81">
        <v>23.770300174015858</v>
      </c>
      <c r="U81">
        <v>1.728557523113877</v>
      </c>
      <c r="V81">
        <v>2.0762127443960567</v>
      </c>
      <c r="W81">
        <v>24.167021097560671</v>
      </c>
    </row>
    <row r="82" spans="1:23">
      <c r="B82">
        <v>1171052</v>
      </c>
      <c r="C82">
        <f>20.12/2</f>
        <v>10.06</v>
      </c>
      <c r="D82">
        <v>1117.4000000000001</v>
      </c>
      <c r="E82">
        <v>82.82</v>
      </c>
      <c r="F82">
        <v>54.21</v>
      </c>
      <c r="G82">
        <f t="shared" si="15"/>
        <v>1264.49</v>
      </c>
    </row>
    <row r="84" spans="1:23">
      <c r="A84" t="s">
        <v>284</v>
      </c>
      <c r="B84">
        <v>1171052</v>
      </c>
    </row>
    <row r="85" spans="1:23">
      <c r="A85" t="s">
        <v>285</v>
      </c>
      <c r="B85">
        <v>1171052</v>
      </c>
    </row>
    <row r="88" spans="1:23">
      <c r="A88" t="s">
        <v>233</v>
      </c>
      <c r="B88" t="s">
        <v>188</v>
      </c>
    </row>
    <row r="89" spans="1:23">
      <c r="A89" t="s">
        <v>234</v>
      </c>
      <c r="B89">
        <v>563</v>
      </c>
    </row>
    <row r="90" spans="1:23">
      <c r="A90" t="s">
        <v>195</v>
      </c>
      <c r="B90">
        <f>19*60</f>
        <v>1140</v>
      </c>
    </row>
    <row r="91" spans="1:23" s="12" customFormat="1">
      <c r="A91" t="s">
        <v>196</v>
      </c>
      <c r="B91">
        <v>2611</v>
      </c>
      <c r="C91"/>
      <c r="D91"/>
      <c r="E91"/>
      <c r="F91"/>
      <c r="G91"/>
    </row>
    <row r="102" spans="7:25" s="11" customFormat="1"/>
    <row r="109" spans="7:25">
      <c r="U109" t="s">
        <v>256</v>
      </c>
      <c r="V109" t="s">
        <v>257</v>
      </c>
      <c r="W109" t="s">
        <v>258</v>
      </c>
      <c r="X109" t="s">
        <v>34</v>
      </c>
      <c r="Y109" t="s">
        <v>147</v>
      </c>
    </row>
    <row r="110" spans="7:25">
      <c r="U110">
        <f>7.44168872620806+3.97407152</f>
        <v>11.415760246208059</v>
      </c>
      <c r="V110">
        <v>95.102086903144965</v>
      </c>
      <c r="W110">
        <v>1.1316065276116667</v>
      </c>
      <c r="X110">
        <v>23.907001299019289</v>
      </c>
      <c r="Y110">
        <v>118.91205116011056</v>
      </c>
    </row>
    <row r="111" spans="7:25">
      <c r="G111" s="11"/>
      <c r="H111" s="11"/>
      <c r="I111" s="11"/>
      <c r="J111" s="11"/>
      <c r="K111" s="11"/>
      <c r="U111">
        <f>SUM(P80:Q80)</f>
        <v>10.381555660974275</v>
      </c>
      <c r="V111">
        <v>11.312186388587316</v>
      </c>
      <c r="W111">
        <v>5.1856725696865977</v>
      </c>
      <c r="X111">
        <v>1.7616769592647126</v>
      </c>
      <c r="Y111">
        <v>10.540389098093113</v>
      </c>
    </row>
    <row r="112" spans="7:25">
      <c r="U112">
        <v>0.63464196030352471</v>
      </c>
      <c r="V112">
        <v>23.770300174015858</v>
      </c>
      <c r="W112">
        <v>1.728557523113877</v>
      </c>
      <c r="X112">
        <v>2.0762127443960567</v>
      </c>
      <c r="Y112">
        <v>24.167021097560671</v>
      </c>
    </row>
    <row r="114" spans="1:17">
      <c r="A114" t="s">
        <v>224</v>
      </c>
      <c r="B114" t="s">
        <v>3</v>
      </c>
      <c r="K114" t="s">
        <v>5</v>
      </c>
      <c r="L114" t="s">
        <v>227</v>
      </c>
    </row>
    <row r="115" spans="1:17">
      <c r="B115" t="s">
        <v>146</v>
      </c>
      <c r="C115" t="s">
        <v>69</v>
      </c>
      <c r="D115" t="s">
        <v>193</v>
      </c>
      <c r="E115" t="s">
        <v>282</v>
      </c>
      <c r="F115" t="s">
        <v>14</v>
      </c>
      <c r="G115" t="s">
        <v>15</v>
      </c>
      <c r="L115" t="s">
        <v>146</v>
      </c>
      <c r="M115" t="s">
        <v>69</v>
      </c>
      <c r="N115" t="s">
        <v>193</v>
      </c>
      <c r="O115" t="s">
        <v>282</v>
      </c>
      <c r="P115" t="s">
        <v>14</v>
      </c>
      <c r="Q115" t="s">
        <v>15</v>
      </c>
    </row>
    <row r="116" spans="1:17">
      <c r="A116">
        <v>2</v>
      </c>
      <c r="B116">
        <v>1171052</v>
      </c>
      <c r="C116">
        <v>29.89</v>
      </c>
      <c r="D116">
        <v>501.1</v>
      </c>
      <c r="E116">
        <v>533.94000000000005</v>
      </c>
      <c r="F116">
        <f>AVERAGE(E116:E118)</f>
        <v>548.16</v>
      </c>
      <c r="G116">
        <f>1.96*STDEV(E116:E118)/SQRT(3)</f>
        <v>13.935673511291871</v>
      </c>
      <c r="K116" t="s">
        <v>228</v>
      </c>
      <c r="L116">
        <v>1171052</v>
      </c>
      <c r="M116">
        <f>36.02/2</f>
        <v>18.010000000000002</v>
      </c>
      <c r="N116">
        <v>520.92999999999995</v>
      </c>
      <c r="O116">
        <f>N116+M116</f>
        <v>538.93999999999994</v>
      </c>
      <c r="P116">
        <f>AVERAGE(O116:O118)</f>
        <v>538.21500000000003</v>
      </c>
      <c r="Q116">
        <f>1.96*STDEV(O116:O118)/SQRT(3)</f>
        <v>1.6668740844330987</v>
      </c>
    </row>
    <row r="117" spans="1:17">
      <c r="B117">
        <v>1171052</v>
      </c>
      <c r="C117">
        <v>30.59</v>
      </c>
      <c r="D117">
        <v>521.77</v>
      </c>
      <c r="E117">
        <v>555.30999999999995</v>
      </c>
      <c r="L117">
        <v>1171052</v>
      </c>
      <c r="M117">
        <f>34.91/2</f>
        <v>17.454999999999998</v>
      </c>
      <c r="N117">
        <v>521.73</v>
      </c>
      <c r="O117">
        <f t="shared" ref="O117:O118" si="16">N117+M117</f>
        <v>539.18500000000006</v>
      </c>
    </row>
    <row r="118" spans="1:17">
      <c r="B118">
        <v>1171052</v>
      </c>
      <c r="C118">
        <v>30.2</v>
      </c>
      <c r="D118">
        <v>522.09</v>
      </c>
      <c r="E118">
        <v>555.23</v>
      </c>
      <c r="L118">
        <v>1171052</v>
      </c>
      <c r="M118">
        <f>27.24/2</f>
        <v>13.62</v>
      </c>
      <c r="N118">
        <v>522.9</v>
      </c>
      <c r="O118">
        <f t="shared" si="16"/>
        <v>536.52</v>
      </c>
    </row>
    <row r="121" spans="1:17">
      <c r="A121">
        <v>4</v>
      </c>
      <c r="B121">
        <v>1171052</v>
      </c>
      <c r="C121">
        <v>104.43</v>
      </c>
      <c r="D121">
        <v>873.22</v>
      </c>
      <c r="E121">
        <v>980.64</v>
      </c>
      <c r="F121">
        <f>AVERAGE(E121:E123)</f>
        <v>976.88333333333333</v>
      </c>
      <c r="G121">
        <f>1.96*STDEV(E121:E123)/SQRT(3)</f>
        <v>7.8781625077026014</v>
      </c>
      <c r="K121" t="s">
        <v>229</v>
      </c>
      <c r="L121">
        <v>1171052</v>
      </c>
      <c r="M121">
        <f>60.97/2</f>
        <v>30.484999999999999</v>
      </c>
      <c r="N121">
        <v>951.33</v>
      </c>
      <c r="O121">
        <f>N121+M121</f>
        <v>981.81500000000005</v>
      </c>
      <c r="P121">
        <f>AVERAGE(O121:O123)</f>
        <v>974.83166666666659</v>
      </c>
      <c r="Q121">
        <f>1.96*STDEV(O121:O123)/SQRT(3)</f>
        <v>7.3775567566892803</v>
      </c>
    </row>
    <row r="122" spans="1:17">
      <c r="B122">
        <v>1171052</v>
      </c>
      <c r="C122">
        <v>84.14</v>
      </c>
      <c r="D122">
        <v>893.91</v>
      </c>
      <c r="E122">
        <v>981.16</v>
      </c>
      <c r="L122">
        <v>1171052</v>
      </c>
      <c r="M122">
        <f>42.79/2</f>
        <v>21.395</v>
      </c>
      <c r="N122">
        <v>952.38</v>
      </c>
      <c r="O122">
        <f t="shared" ref="O122:O123" si="17">N122+M122</f>
        <v>973.77499999999998</v>
      </c>
    </row>
    <row r="123" spans="1:17">
      <c r="B123">
        <v>1171052</v>
      </c>
      <c r="C123">
        <v>84.25</v>
      </c>
      <c r="D123">
        <v>881.5</v>
      </c>
      <c r="E123">
        <v>968.85</v>
      </c>
      <c r="L123">
        <v>1171052</v>
      </c>
      <c r="M123">
        <f>47.05/2</f>
        <v>23.524999999999999</v>
      </c>
      <c r="N123">
        <v>945.38</v>
      </c>
      <c r="O123">
        <f t="shared" si="17"/>
        <v>968.90499999999997</v>
      </c>
    </row>
    <row r="126" spans="1:17">
      <c r="A126">
        <v>8</v>
      </c>
      <c r="B126">
        <v>1171052</v>
      </c>
      <c r="C126">
        <v>178.79</v>
      </c>
      <c r="D126">
        <v>1500.88</v>
      </c>
      <c r="E126">
        <v>1682.85</v>
      </c>
      <c r="F126">
        <f>AVERAGE(E126:E128)</f>
        <v>1680.05</v>
      </c>
      <c r="G126">
        <f>1.96*STDEV(E126:E128)/SQRT(3)</f>
        <v>4.6431871871022583</v>
      </c>
      <c r="K126" t="s">
        <v>230</v>
      </c>
      <c r="L126">
        <v>1171052</v>
      </c>
      <c r="M126">
        <f>108.24/2</f>
        <v>54.12</v>
      </c>
      <c r="N126">
        <v>1633.07</v>
      </c>
      <c r="O126">
        <f t="shared" ref="O126:O128" si="18">N126+M126</f>
        <v>1687.1899999999998</v>
      </c>
      <c r="P126">
        <f>AVERAGE(O126:O128)</f>
        <v>1684.1916666666666</v>
      </c>
      <c r="Q126">
        <f>1.96*STDEV(O126:O128)/SQRT(3)</f>
        <v>5.9110665054272307</v>
      </c>
    </row>
    <row r="127" spans="1:17">
      <c r="B127">
        <v>1171052</v>
      </c>
      <c r="C127">
        <v>171.2</v>
      </c>
      <c r="D127">
        <v>1500.96</v>
      </c>
      <c r="E127">
        <v>1675.34</v>
      </c>
      <c r="L127">
        <v>1171052</v>
      </c>
      <c r="M127">
        <f>103.3/2</f>
        <v>51.65</v>
      </c>
      <c r="N127">
        <v>1626.51</v>
      </c>
      <c r="O127">
        <f t="shared" si="18"/>
        <v>1678.16</v>
      </c>
    </row>
    <row r="128" spans="1:17">
      <c r="B128">
        <v>1171052</v>
      </c>
      <c r="C128">
        <v>174.54</v>
      </c>
      <c r="D128">
        <v>1504.24</v>
      </c>
      <c r="E128">
        <v>1681.96</v>
      </c>
      <c r="L128">
        <v>1171052</v>
      </c>
      <c r="M128">
        <f>103.71/2</f>
        <v>51.854999999999997</v>
      </c>
      <c r="N128">
        <v>1635.37</v>
      </c>
      <c r="O128">
        <f t="shared" si="18"/>
        <v>1687.2249999999999</v>
      </c>
    </row>
    <row r="137" spans="5:11">
      <c r="I137" t="s">
        <v>231</v>
      </c>
    </row>
    <row r="141" spans="5:11" s="11" customFormat="1" ht="26">
      <c r="F141" s="11" t="s">
        <v>176</v>
      </c>
      <c r="G141" s="11" t="s">
        <v>177</v>
      </c>
      <c r="H141" s="11" t="s">
        <v>178</v>
      </c>
      <c r="I141" s="11" t="s">
        <v>179</v>
      </c>
      <c r="J141" s="11" t="s">
        <v>180</v>
      </c>
      <c r="K141" s="11" t="s">
        <v>51</v>
      </c>
    </row>
    <row r="142" spans="5:11">
      <c r="E142">
        <v>2</v>
      </c>
      <c r="F142">
        <v>2689.6666666666665</v>
      </c>
      <c r="G142">
        <v>1479.9233333333334</v>
      </c>
      <c r="H142">
        <v>1526.8400000000001</v>
      </c>
      <c r="I142">
        <v>548.16</v>
      </c>
      <c r="J142">
        <v>538.21500000000003</v>
      </c>
    </row>
    <row r="143" spans="5:11">
      <c r="E143">
        <v>4</v>
      </c>
      <c r="F143">
        <v>4094.6666666666665</v>
      </c>
      <c r="G143">
        <v>2785.569</v>
      </c>
      <c r="H143">
        <v>2775.2266666666669</v>
      </c>
      <c r="I143">
        <v>976.88333333333333</v>
      </c>
      <c r="J143">
        <v>974.83166666666659</v>
      </c>
    </row>
    <row r="144" spans="5:11">
      <c r="E144">
        <v>8</v>
      </c>
      <c r="F144">
        <v>7343.666666666667</v>
      </c>
      <c r="G144">
        <v>4699.4553333333324</v>
      </c>
      <c r="H144">
        <v>4756.1346666666668</v>
      </c>
      <c r="I144">
        <v>1680.05</v>
      </c>
      <c r="J144">
        <v>1684.1916666666666</v>
      </c>
    </row>
    <row r="146" spans="1:12">
      <c r="F146" t="s">
        <v>55</v>
      </c>
      <c r="G146" t="s">
        <v>55</v>
      </c>
      <c r="H146" t="s">
        <v>55</v>
      </c>
      <c r="I146" t="s">
        <v>55</v>
      </c>
      <c r="J146" t="s">
        <v>55</v>
      </c>
    </row>
    <row r="147" spans="1:12">
      <c r="F147">
        <v>90.643966766199668</v>
      </c>
      <c r="G147">
        <v>4.2397511311659413</v>
      </c>
      <c r="H147">
        <v>13.340925888849769</v>
      </c>
      <c r="I147">
        <v>13.935673511291871</v>
      </c>
      <c r="J147">
        <v>1.6668740844330987</v>
      </c>
    </row>
    <row r="148" spans="1:12">
      <c r="F148">
        <v>99.177635471794702</v>
      </c>
      <c r="G148">
        <v>27.301347690011074</v>
      </c>
      <c r="H148">
        <v>8.4817664826547219</v>
      </c>
      <c r="I148">
        <v>7.8781625077026014</v>
      </c>
      <c r="J148">
        <v>7.3775567566892803</v>
      </c>
    </row>
    <row r="149" spans="1:12">
      <c r="F149">
        <v>48.174196873825352</v>
      </c>
      <c r="G149">
        <v>11.312186388587316</v>
      </c>
      <c r="H149">
        <v>979.58801708376609</v>
      </c>
      <c r="I149">
        <v>4.6431871871022583</v>
      </c>
      <c r="J149">
        <v>5.9110665054272307</v>
      </c>
    </row>
    <row r="152" spans="1:12">
      <c r="A152" s="33" t="s">
        <v>267</v>
      </c>
    </row>
    <row r="153" spans="1:12">
      <c r="A153" t="s">
        <v>207</v>
      </c>
      <c r="B153" t="s">
        <v>163</v>
      </c>
      <c r="C153" t="s">
        <v>164</v>
      </c>
      <c r="D153" t="s">
        <v>120</v>
      </c>
      <c r="J153" t="s">
        <v>165</v>
      </c>
      <c r="K153" t="s">
        <v>166</v>
      </c>
    </row>
    <row r="154" spans="1:12">
      <c r="A154" s="34" t="s">
        <v>160</v>
      </c>
      <c r="B154" s="18">
        <f>E155-E154</f>
        <v>9.490740740740744E-3</v>
      </c>
      <c r="C154" s="19">
        <f>E156-E155</f>
        <v>7.2210648148148149E-2</v>
      </c>
      <c r="E154" s="16">
        <v>0.51013888888888892</v>
      </c>
      <c r="F154" s="16">
        <v>0.59953703703703709</v>
      </c>
      <c r="G154" s="17">
        <v>0.77758101851851846</v>
      </c>
      <c r="I154">
        <v>2</v>
      </c>
      <c r="J154" s="16">
        <f>B157</f>
        <v>8.0054012345679073E-3</v>
      </c>
      <c r="K154" s="16">
        <f>C157</f>
        <v>7.1743827160493767E-2</v>
      </c>
    </row>
    <row r="155" spans="1:12">
      <c r="A155" s="35"/>
      <c r="B155" s="20">
        <f>F155-F154</f>
        <v>7.8472222222221166E-3</v>
      </c>
      <c r="C155" s="21">
        <f>F156-F155</f>
        <v>7.1192129629629619E-2</v>
      </c>
      <c r="E155" s="16">
        <v>0.51962962962962966</v>
      </c>
      <c r="F155" s="16">
        <v>0.60738425925925921</v>
      </c>
      <c r="G155" s="17">
        <v>0.78425925925925932</v>
      </c>
      <c r="I155">
        <v>4</v>
      </c>
      <c r="J155" s="16">
        <f>B161</f>
        <v>1.500385802469136E-2</v>
      </c>
      <c r="K155" s="16">
        <f>C161</f>
        <v>7.4020061728395023E-2</v>
      </c>
      <c r="L155" s="16"/>
    </row>
    <row r="156" spans="1:12">
      <c r="A156" s="35"/>
      <c r="B156" s="22">
        <f>G155-G154</f>
        <v>6.6782407407408595E-3</v>
      </c>
      <c r="C156" s="23">
        <f>G156-G155</f>
        <v>7.1828703703703534E-2</v>
      </c>
      <c r="E156" s="16">
        <v>0.59184027777777781</v>
      </c>
      <c r="F156" s="16">
        <v>0.67857638888888883</v>
      </c>
      <c r="G156" s="17">
        <v>0.85608796296296286</v>
      </c>
      <c r="I156">
        <v>8</v>
      </c>
      <c r="J156" s="16">
        <f>B165</f>
        <v>2.7519290123456785E-2</v>
      </c>
      <c r="K156" s="16">
        <f>C165</f>
        <v>8.2600308641975331E-2</v>
      </c>
      <c r="L156" s="16"/>
    </row>
    <row r="157" spans="1:12">
      <c r="A157" s="36"/>
      <c r="B157" s="24">
        <f>AVERAGE(B154:B156)</f>
        <v>8.0054012345679073E-3</v>
      </c>
      <c r="C157" s="25">
        <f>AVERAGE(C154:C156)</f>
        <v>7.1743827160493767E-2</v>
      </c>
      <c r="D157" s="16"/>
      <c r="L157" s="16"/>
    </row>
    <row r="158" spans="1:12">
      <c r="A158" s="34" t="s">
        <v>161</v>
      </c>
      <c r="B158" s="18">
        <f>E159-E158</f>
        <v>1.4409722222222254E-2</v>
      </c>
      <c r="C158" s="19">
        <f>E160-E159</f>
        <v>7.3935185185185159E-2</v>
      </c>
      <c r="E158" s="16">
        <v>0.60547453703703702</v>
      </c>
      <c r="F158" s="16">
        <v>0.76245370370370369</v>
      </c>
      <c r="G158" s="17">
        <v>0.34256944444444448</v>
      </c>
      <c r="I158" s="41" t="s">
        <v>269</v>
      </c>
      <c r="J158" s="48" t="s">
        <v>165</v>
      </c>
      <c r="K158" s="43" t="s">
        <v>166</v>
      </c>
    </row>
    <row r="159" spans="1:12">
      <c r="A159" s="35"/>
      <c r="B159" s="20">
        <f>F159-F158</f>
        <v>1.3356481481481497E-2</v>
      </c>
      <c r="C159" s="21">
        <f>F160-F159</f>
        <v>7.34837962962962E-2</v>
      </c>
      <c r="E159" s="16">
        <v>0.61988425925925927</v>
      </c>
      <c r="F159" s="16">
        <v>0.77581018518518519</v>
      </c>
      <c r="G159" s="17">
        <v>0.35981481481481481</v>
      </c>
      <c r="I159" s="44">
        <v>2</v>
      </c>
      <c r="J159" s="37">
        <f>B170</f>
        <v>692</v>
      </c>
      <c r="K159" s="38">
        <f>C170</f>
        <v>6199</v>
      </c>
    </row>
    <row r="160" spans="1:12">
      <c r="A160" s="35"/>
      <c r="B160" s="22">
        <f>G159-G158</f>
        <v>1.7245370370370328E-2</v>
      </c>
      <c r="C160" s="23">
        <f>G160-G159</f>
        <v>7.4641203703703696E-2</v>
      </c>
      <c r="E160" s="16">
        <v>0.69381944444444443</v>
      </c>
      <c r="F160" s="16">
        <v>0.84929398148148139</v>
      </c>
      <c r="G160" s="17">
        <v>0.43445601851851851</v>
      </c>
      <c r="I160" s="44">
        <v>4</v>
      </c>
      <c r="J160" s="37">
        <f>B174</f>
        <v>1296</v>
      </c>
      <c r="K160" s="38">
        <f>C174</f>
        <v>6395</v>
      </c>
    </row>
    <row r="161" spans="1:14">
      <c r="A161" s="36"/>
      <c r="B161" s="24">
        <f>AVERAGE(B158:B160)</f>
        <v>1.500385802469136E-2</v>
      </c>
      <c r="C161" s="25">
        <f>AVERAGE(C158:C160)</f>
        <v>7.4020061728395023E-2</v>
      </c>
      <c r="D161" s="16"/>
      <c r="I161" s="46">
        <v>8</v>
      </c>
      <c r="J161" s="39">
        <f>B178</f>
        <v>2378</v>
      </c>
      <c r="K161" s="40">
        <f>C178</f>
        <v>7137</v>
      </c>
    </row>
    <row r="162" spans="1:14">
      <c r="A162" s="34" t="s">
        <v>162</v>
      </c>
      <c r="B162" s="18">
        <v>2.6585648148148146E-2</v>
      </c>
      <c r="C162" s="19">
        <v>8.2662037037037034E-2</v>
      </c>
      <c r="E162" s="16" t="s">
        <v>123</v>
      </c>
      <c r="F162" s="16">
        <v>0.28195601851851854</v>
      </c>
      <c r="G162" s="17">
        <v>0.39590277777777777</v>
      </c>
      <c r="I162" t="s">
        <v>79</v>
      </c>
      <c r="J162" s="16"/>
    </row>
    <row r="163" spans="1:14">
      <c r="A163" s="35"/>
      <c r="B163" s="20">
        <f>F163-F162</f>
        <v>2.6932870370370343E-2</v>
      </c>
      <c r="C163" s="21">
        <f>F164-F163</f>
        <v>8.2835648148148144E-2</v>
      </c>
      <c r="E163" s="16"/>
      <c r="F163" s="16">
        <v>0.30888888888888888</v>
      </c>
      <c r="G163" s="17">
        <v>0.42494212962962963</v>
      </c>
    </row>
    <row r="164" spans="1:14">
      <c r="A164" s="35"/>
      <c r="B164" s="22">
        <f>G163-G162</f>
        <v>2.9039351851851858E-2</v>
      </c>
      <c r="C164" s="23">
        <f>G164-G163</f>
        <v>8.2303240740740802E-2</v>
      </c>
      <c r="E164" s="16"/>
      <c r="F164" s="16">
        <v>0.39172453703703702</v>
      </c>
      <c r="G164" s="17">
        <v>0.50724537037037043</v>
      </c>
    </row>
    <row r="165" spans="1:14">
      <c r="A165" s="36"/>
      <c r="B165" s="24">
        <f>AVERAGE(B162:B164)</f>
        <v>2.7519290123456785E-2</v>
      </c>
      <c r="C165" s="25">
        <f>AVERAGE(C162:C164)</f>
        <v>8.2600308641975331E-2</v>
      </c>
      <c r="D165" s="16"/>
    </row>
    <row r="166" spans="1:14">
      <c r="A166" s="33" t="s">
        <v>268</v>
      </c>
      <c r="B166" t="s">
        <v>163</v>
      </c>
      <c r="C166" t="s">
        <v>164</v>
      </c>
      <c r="D166" t="s">
        <v>121</v>
      </c>
      <c r="E166" t="s">
        <v>122</v>
      </c>
    </row>
    <row r="167" spans="1:14">
      <c r="A167" s="34" t="s">
        <v>80</v>
      </c>
      <c r="B167" s="27">
        <f>HOUR(B154)*3600+MINUTE(B154)*60+SECOND(B154)</f>
        <v>820</v>
      </c>
      <c r="C167" s="28">
        <f>HOUR(C154)*3600+MINUTE(C154)*60+SECOND(C154)</f>
        <v>6239</v>
      </c>
    </row>
    <row r="168" spans="1:14" ht="26">
      <c r="A168" s="35"/>
      <c r="B168" s="29">
        <f t="shared" ref="B168:C168" si="19">HOUR(B155)*3600+MINUTE(B155)*60+SECOND(B155)</f>
        <v>678</v>
      </c>
      <c r="C168" s="30">
        <f t="shared" si="19"/>
        <v>6151</v>
      </c>
      <c r="I168" s="41"/>
      <c r="J168" s="42" t="s">
        <v>179</v>
      </c>
      <c r="K168" s="42" t="s">
        <v>180</v>
      </c>
      <c r="L168" s="43" t="s">
        <v>78</v>
      </c>
    </row>
    <row r="169" spans="1:14">
      <c r="A169" s="35"/>
      <c r="B169" s="29">
        <f t="shared" ref="B169:C169" si="20">HOUR(B156)*3600+MINUTE(B156)*60+SECOND(B156)</f>
        <v>577</v>
      </c>
      <c r="C169" s="30">
        <f t="shared" si="20"/>
        <v>6206</v>
      </c>
      <c r="D169" s="16"/>
      <c r="I169" s="44">
        <v>2</v>
      </c>
      <c r="J169" s="45">
        <f>I142</f>
        <v>548.16</v>
      </c>
      <c r="K169" s="45">
        <f>J142</f>
        <v>538.21500000000003</v>
      </c>
      <c r="L169" s="38">
        <f>J159</f>
        <v>692</v>
      </c>
      <c r="N169" s="11"/>
    </row>
    <row r="170" spans="1:14">
      <c r="A170" s="36"/>
      <c r="B170" s="31">
        <f t="shared" ref="B170:C170" si="21">HOUR(B157)*3600+MINUTE(B157)*60+SECOND(B157)</f>
        <v>692</v>
      </c>
      <c r="C170" s="32">
        <f t="shared" si="21"/>
        <v>6199</v>
      </c>
      <c r="D170" s="26">
        <f>1.96*STDEV(B167:B169)/SQRT(3)</f>
        <v>138.14099528300002</v>
      </c>
      <c r="E170" s="26">
        <f>1.96*STDEV(C167:C169)/SQRT(3)</f>
        <v>50.306666666698277</v>
      </c>
      <c r="I170" s="44">
        <v>4</v>
      </c>
      <c r="J170" s="45">
        <f t="shared" ref="J170:K171" si="22">I143</f>
        <v>976.88333333333333</v>
      </c>
      <c r="K170" s="45">
        <f t="shared" si="22"/>
        <v>974.83166666666659</v>
      </c>
      <c r="L170" s="38">
        <f t="shared" ref="L170:L171" si="23">J160</f>
        <v>1296</v>
      </c>
      <c r="N170" s="11"/>
    </row>
    <row r="171" spans="1:14">
      <c r="A171" s="34" t="s">
        <v>265</v>
      </c>
      <c r="B171" s="27">
        <f t="shared" ref="B171:C171" si="24">HOUR(B158)*3600+MINUTE(B158)*60+SECOND(B158)</f>
        <v>1245</v>
      </c>
      <c r="C171" s="28">
        <f t="shared" si="24"/>
        <v>6388</v>
      </c>
      <c r="I171" s="46">
        <v>8</v>
      </c>
      <c r="J171" s="47">
        <f t="shared" si="22"/>
        <v>1680.05</v>
      </c>
      <c r="K171" s="47">
        <f t="shared" si="22"/>
        <v>1684.1916666666666</v>
      </c>
      <c r="L171" s="40">
        <f t="shared" si="23"/>
        <v>2378</v>
      </c>
    </row>
    <row r="172" spans="1:14">
      <c r="A172" s="35"/>
      <c r="B172" s="29">
        <f t="shared" ref="B172:C172" si="25">HOUR(B159)*3600+MINUTE(B159)*60+SECOND(B159)</f>
        <v>1154</v>
      </c>
      <c r="C172" s="30">
        <f t="shared" si="25"/>
        <v>6349</v>
      </c>
    </row>
    <row r="173" spans="1:14">
      <c r="A173" s="35"/>
      <c r="B173" s="29">
        <f t="shared" ref="B173:C173" si="26">HOUR(B160)*3600+MINUTE(B160)*60+SECOND(B160)</f>
        <v>1490</v>
      </c>
      <c r="C173" s="30">
        <f t="shared" si="26"/>
        <v>6449</v>
      </c>
      <c r="D173" s="16"/>
    </row>
    <row r="174" spans="1:14">
      <c r="A174" s="36"/>
      <c r="B174" s="31">
        <f t="shared" ref="B174:C174" si="27">HOUR(B161)*3600+MINUTE(B161)*60+SECOND(B161)</f>
        <v>1296</v>
      </c>
      <c r="C174" s="32">
        <f t="shared" si="27"/>
        <v>6395</v>
      </c>
      <c r="D174" s="26">
        <f t="shared" ref="D174" si="28">1.96*STDEV(B171:B173)/SQRT(3)</f>
        <v>196.65333333333385</v>
      </c>
      <c r="E174" s="26">
        <f t="shared" ref="E174" si="29">1.96*STDEV(C171:C173)/SQRT(3)</f>
        <v>57.0349148427022</v>
      </c>
    </row>
    <row r="175" spans="1:14">
      <c r="A175" s="34" t="s">
        <v>266</v>
      </c>
      <c r="B175" s="27">
        <f t="shared" ref="B175:C175" si="30">HOUR(B162)*3600+MINUTE(B162)*60+SECOND(B162)</f>
        <v>2297</v>
      </c>
      <c r="C175" s="28">
        <f t="shared" si="30"/>
        <v>7142</v>
      </c>
    </row>
    <row r="176" spans="1:14">
      <c r="A176" s="35"/>
      <c r="B176" s="29">
        <f t="shared" ref="B176:C176" si="31">HOUR(B163)*3600+MINUTE(B163)*60+SECOND(B163)</f>
        <v>2327</v>
      </c>
      <c r="C176" s="30">
        <f t="shared" si="31"/>
        <v>7157</v>
      </c>
    </row>
    <row r="177" spans="1:15">
      <c r="A177" s="35"/>
      <c r="B177" s="29">
        <f t="shared" ref="B177:C177" si="32">HOUR(B164)*3600+MINUTE(B164)*60+SECOND(B164)</f>
        <v>2509</v>
      </c>
      <c r="C177" s="30">
        <f t="shared" si="32"/>
        <v>7111</v>
      </c>
      <c r="D177" s="16"/>
    </row>
    <row r="178" spans="1:15">
      <c r="A178" s="36"/>
      <c r="B178" s="31">
        <f t="shared" ref="B178:C178" si="33">HOUR(B165)*3600+MINUTE(B165)*60+SECOND(B165)</f>
        <v>2378</v>
      </c>
      <c r="C178" s="32">
        <f t="shared" si="33"/>
        <v>7137</v>
      </c>
      <c r="D178" s="26">
        <f t="shared" ref="D178:E178" si="34">1.96*STDEV(B175:B177)/SQRT(3)</f>
        <v>129.82113096274134</v>
      </c>
      <c r="E178" s="26">
        <f t="shared" si="34"/>
        <v>26.54656621432266</v>
      </c>
    </row>
    <row r="180" spans="1:15">
      <c r="A180" t="s">
        <v>149</v>
      </c>
      <c r="B180" t="s">
        <v>150</v>
      </c>
      <c r="C180" t="s">
        <v>151</v>
      </c>
      <c r="D180" t="s">
        <v>152</v>
      </c>
      <c r="E180" t="s">
        <v>153</v>
      </c>
      <c r="F180" t="s">
        <v>154</v>
      </c>
    </row>
    <row r="181" spans="1:15">
      <c r="A181" t="s">
        <v>155</v>
      </c>
      <c r="B181" s="17">
        <v>0.4748148148148148</v>
      </c>
      <c r="C181" s="17">
        <v>0.48241898148148149</v>
      </c>
      <c r="D181" s="17">
        <f>C181-B181</f>
        <v>7.6041666666666896E-3</v>
      </c>
      <c r="E181" s="26">
        <f>HOUR(D181)*3600+MINUTE(D181)*60+SECOND(D181)</f>
        <v>657</v>
      </c>
    </row>
    <row r="182" spans="1:15">
      <c r="B182" s="17">
        <v>0.49109953703703701</v>
      </c>
      <c r="C182" s="17">
        <v>0.4977314814814815</v>
      </c>
      <c r="D182" s="17">
        <f t="shared" ref="D182:D183" si="35">C182-B182</f>
        <v>6.6319444444444819E-3</v>
      </c>
      <c r="E182" s="26">
        <f t="shared" ref="E182:E183" si="36">HOUR(D182)*3600+MINUTE(D182)*60+SECOND(D182)</f>
        <v>573</v>
      </c>
    </row>
    <row r="183" spans="1:15">
      <c r="B183" s="17">
        <v>0.49862268518518515</v>
      </c>
      <c r="C183" s="17">
        <v>0.50531249999999994</v>
      </c>
      <c r="D183" s="17">
        <f t="shared" si="35"/>
        <v>6.6898148148147873E-3</v>
      </c>
      <c r="E183" s="26">
        <f t="shared" si="36"/>
        <v>578</v>
      </c>
    </row>
    <row r="184" spans="1:15">
      <c r="B184" s="17"/>
      <c r="C184" s="17"/>
      <c r="D184" s="17"/>
    </row>
    <row r="185" spans="1:15">
      <c r="A185" t="s">
        <v>156</v>
      </c>
      <c r="B185" t="s">
        <v>93</v>
      </c>
      <c r="C185" t="s">
        <v>94</v>
      </c>
    </row>
    <row r="186" spans="1:15">
      <c r="A186" t="s">
        <v>95</v>
      </c>
      <c r="B186" t="s">
        <v>96</v>
      </c>
      <c r="C186" t="s">
        <v>97</v>
      </c>
    </row>
    <row r="187" spans="1:15">
      <c r="A187" t="s">
        <v>98</v>
      </c>
      <c r="B187" t="s">
        <v>99</v>
      </c>
      <c r="C187" t="s">
        <v>100</v>
      </c>
    </row>
    <row r="188" spans="1:15">
      <c r="A188" t="s">
        <v>162</v>
      </c>
      <c r="B188" t="s">
        <v>101</v>
      </c>
      <c r="C188" t="s">
        <v>102</v>
      </c>
      <c r="H188" s="26"/>
      <c r="I188" s="26"/>
      <c r="K188" t="s">
        <v>133</v>
      </c>
    </row>
    <row r="189" spans="1:15">
      <c r="H189" s="26"/>
      <c r="I189" s="26"/>
      <c r="L189" t="s">
        <v>134</v>
      </c>
      <c r="M189" t="s">
        <v>135</v>
      </c>
    </row>
    <row r="190" spans="1:15">
      <c r="A190" t="s">
        <v>50</v>
      </c>
      <c r="B190" t="s">
        <v>150</v>
      </c>
      <c r="C190" t="s">
        <v>103</v>
      </c>
      <c r="D190" t="s">
        <v>104</v>
      </c>
      <c r="E190" t="s">
        <v>105</v>
      </c>
      <c r="F190" t="s">
        <v>106</v>
      </c>
      <c r="G190" s="26" t="s">
        <v>107</v>
      </c>
      <c r="H190" s="26" t="s">
        <v>108</v>
      </c>
      <c r="I190" s="26" t="s">
        <v>109</v>
      </c>
      <c r="K190" s="26">
        <v>4</v>
      </c>
      <c r="L190" s="49">
        <f>G192</f>
        <v>4622</v>
      </c>
      <c r="M190" s="49"/>
    </row>
    <row r="191" spans="1:15">
      <c r="A191">
        <v>8</v>
      </c>
      <c r="B191" s="17">
        <v>0.28195601851851854</v>
      </c>
      <c r="C191" s="17">
        <v>0.30888888888888888</v>
      </c>
      <c r="D191" s="17">
        <v>0.39172453703703702</v>
      </c>
      <c r="E191" s="17">
        <f>C191-B191</f>
        <v>2.6932870370370343E-2</v>
      </c>
      <c r="F191" s="17">
        <f>D191-C191</f>
        <v>8.2835648148148144E-2</v>
      </c>
      <c r="G191" s="26">
        <f>HOUR(E191)*3600+MINUTE(E191)*60+SECOND(E191)</f>
        <v>2327</v>
      </c>
      <c r="H191" s="26">
        <f>HOUR(F191)*3600+MINUTE(F191)*60+SECOND(F191)</f>
        <v>7157</v>
      </c>
      <c r="I191" s="26"/>
      <c r="K191" s="26">
        <v>8</v>
      </c>
      <c r="L191" s="49">
        <f>G191</f>
        <v>2327</v>
      </c>
      <c r="M191" s="49"/>
    </row>
    <row r="192" spans="1:15">
      <c r="A192">
        <v>4</v>
      </c>
      <c r="B192" s="17">
        <v>0.9258912037037037</v>
      </c>
      <c r="C192" s="17">
        <v>0.97938657407407403</v>
      </c>
      <c r="E192" s="17">
        <f>C192-B192</f>
        <v>5.3495370370370332E-2</v>
      </c>
      <c r="F192" s="17" t="s">
        <v>136</v>
      </c>
      <c r="G192" s="26">
        <f>HOUR(E192)*3600+MINUTE(E192)*60+SECOND(E192)</f>
        <v>4622</v>
      </c>
      <c r="H192" s="26"/>
      <c r="I192" s="26"/>
      <c r="K192" s="50"/>
      <c r="L192" s="50"/>
      <c r="M192" s="50"/>
      <c r="N192" s="50"/>
      <c r="O192" s="50"/>
    </row>
    <row r="193" spans="1:12">
      <c r="B193" s="17"/>
      <c r="C193" s="17"/>
      <c r="E193" s="17"/>
      <c r="F193" s="17"/>
      <c r="G193" s="26"/>
      <c r="H193" s="26"/>
      <c r="I193" s="26"/>
      <c r="K193" t="s">
        <v>245</v>
      </c>
    </row>
    <row r="194" spans="1:12">
      <c r="A194" t="s">
        <v>208</v>
      </c>
      <c r="B194" t="s">
        <v>209</v>
      </c>
      <c r="C194" t="s">
        <v>210</v>
      </c>
      <c r="D194" t="s">
        <v>211</v>
      </c>
      <c r="E194" t="s">
        <v>212</v>
      </c>
      <c r="F194" t="s">
        <v>213</v>
      </c>
      <c r="G194" s="26" t="s">
        <v>214</v>
      </c>
      <c r="H194" s="26" t="s">
        <v>215</v>
      </c>
      <c r="I194" s="26" t="s">
        <v>216</v>
      </c>
      <c r="L194" t="s">
        <v>217</v>
      </c>
    </row>
    <row r="195" spans="1:12">
      <c r="A195" t="s">
        <v>236</v>
      </c>
      <c r="B195" s="17">
        <f>B202</f>
        <v>0.41020254629629627</v>
      </c>
      <c r="C195" s="17">
        <f>C202</f>
        <v>0.41702546296296295</v>
      </c>
      <c r="D195" s="17"/>
      <c r="E195" s="17">
        <f>E202</f>
        <v>6.8229166666666785E-3</v>
      </c>
      <c r="F195" s="17"/>
      <c r="G195" s="26">
        <f>HOUR(E195)*3600+MINUTE(E195)*60+SECOND(E195)</f>
        <v>590</v>
      </c>
      <c r="H195" s="26">
        <f>HOUR(F195)*3600+MINUTE(F195)*60+SECOND(F195)</f>
        <v>0</v>
      </c>
      <c r="I195" s="26"/>
      <c r="K195" s="49" t="s">
        <v>237</v>
      </c>
      <c r="L195" s="49">
        <f>G195</f>
        <v>590</v>
      </c>
    </row>
    <row r="196" spans="1:12">
      <c r="A196" t="s">
        <v>238</v>
      </c>
      <c r="B196" s="17">
        <f>B205</f>
        <v>0.47838541666666667</v>
      </c>
      <c r="C196" s="17">
        <f>C205</f>
        <v>0.48543402777777778</v>
      </c>
      <c r="E196" s="17">
        <f>C196-B196</f>
        <v>7.0486111111111027E-3</v>
      </c>
      <c r="F196" s="17"/>
      <c r="G196" s="26">
        <f>HOUR(E196)*3600+MINUTE(E196)*60+SECOND(E196)</f>
        <v>609</v>
      </c>
      <c r="H196" s="26"/>
      <c r="I196" s="26"/>
      <c r="K196" s="49" t="s">
        <v>239</v>
      </c>
      <c r="L196" s="49">
        <f>G196</f>
        <v>609</v>
      </c>
    </row>
    <row r="197" spans="1:12">
      <c r="A197" t="s">
        <v>240</v>
      </c>
      <c r="B197" s="17">
        <f>B208</f>
        <v>0.92448495370370365</v>
      </c>
      <c r="C197" s="17">
        <f>C208</f>
        <v>0.93554398148148143</v>
      </c>
      <c r="E197" s="17">
        <f>C197-B197</f>
        <v>1.1059027777777786E-2</v>
      </c>
      <c r="F197" s="17"/>
      <c r="G197" s="26">
        <f>HOUR(E197)*3600+MINUTE(E197)*60+SECOND(E197)</f>
        <v>956</v>
      </c>
      <c r="H197" s="26"/>
      <c r="I197" s="26"/>
      <c r="K197" s="49" t="s">
        <v>241</v>
      </c>
      <c r="L197" s="49">
        <f>G197</f>
        <v>956</v>
      </c>
    </row>
    <row r="198" spans="1:12">
      <c r="B198" s="17"/>
      <c r="C198" s="17"/>
      <c r="E198" s="17"/>
      <c r="F198" s="17"/>
      <c r="G198" s="26"/>
      <c r="H198" s="26"/>
      <c r="I198" s="26"/>
    </row>
    <row r="199" spans="1:12">
      <c r="A199" t="s">
        <v>242</v>
      </c>
      <c r="G199" s="26"/>
      <c r="H199" s="26"/>
      <c r="I199" s="26"/>
    </row>
    <row r="200" spans="1:12">
      <c r="A200" t="s">
        <v>49</v>
      </c>
      <c r="B200" s="17">
        <v>0.40672453703703698</v>
      </c>
      <c r="C200" s="17">
        <v>0.41365740740740736</v>
      </c>
      <c r="D200" s="17"/>
      <c r="E200" s="17">
        <f>C200-B200</f>
        <v>6.9328703703703809E-3</v>
      </c>
      <c r="G200" s="26"/>
      <c r="H200" s="26"/>
      <c r="I200" s="26"/>
    </row>
    <row r="201" spans="1:12">
      <c r="B201" s="17">
        <v>0.41368055555555555</v>
      </c>
      <c r="C201" s="17">
        <v>0.42039351851851853</v>
      </c>
      <c r="D201" s="17"/>
      <c r="E201" s="17">
        <f>C201-B201</f>
        <v>6.7129629629629761E-3</v>
      </c>
      <c r="F201" s="17"/>
      <c r="G201" s="26"/>
      <c r="H201" s="26"/>
      <c r="I201" s="26"/>
    </row>
    <row r="202" spans="1:12">
      <c r="B202" s="17">
        <f>AVERAGE(B200:B201)</f>
        <v>0.41020254629629627</v>
      </c>
      <c r="C202" s="17">
        <f t="shared" ref="C202:E202" si="37">AVERAGE(C200:C201)</f>
        <v>0.41702546296296295</v>
      </c>
      <c r="D202" s="17"/>
      <c r="E202" s="17">
        <f t="shared" si="37"/>
        <v>6.8229166666666785E-3</v>
      </c>
      <c r="F202" s="17"/>
      <c r="G202" s="26"/>
      <c r="H202" s="26"/>
      <c r="I202" s="26"/>
    </row>
    <row r="203" spans="1:12">
      <c r="A203" t="s">
        <v>243</v>
      </c>
      <c r="B203" s="17">
        <v>0.47462962962962968</v>
      </c>
      <c r="C203" s="17">
        <v>0.48212962962962963</v>
      </c>
      <c r="D203" s="17"/>
      <c r="E203" s="17">
        <f>C203-B203</f>
        <v>7.4999999999999512E-3</v>
      </c>
      <c r="F203" s="17"/>
      <c r="G203" s="26"/>
      <c r="H203" s="26"/>
      <c r="I203" s="26"/>
    </row>
    <row r="204" spans="1:12">
      <c r="B204" s="17">
        <v>0.48214120370370367</v>
      </c>
      <c r="C204" s="17">
        <v>0.48873842592592592</v>
      </c>
      <c r="D204" s="17"/>
      <c r="E204" s="17">
        <f>C204-B204</f>
        <v>6.5972222222222543E-3</v>
      </c>
      <c r="G204" s="26"/>
      <c r="H204" s="26"/>
      <c r="I204" s="26"/>
    </row>
    <row r="205" spans="1:12">
      <c r="B205" s="17">
        <f>AVERAGE(B203:B204)</f>
        <v>0.47838541666666667</v>
      </c>
      <c r="C205" s="17">
        <f t="shared" ref="C205" si="38">AVERAGE(C203:C204)</f>
        <v>0.48543402777777778</v>
      </c>
      <c r="D205" s="17"/>
      <c r="E205" s="17">
        <f t="shared" ref="E205" si="39">AVERAGE(E203:E204)</f>
        <v>7.0486111111111027E-3</v>
      </c>
    </row>
    <row r="206" spans="1:12">
      <c r="A206" t="s">
        <v>244</v>
      </c>
      <c r="B206" s="17">
        <v>0.91880787037037026</v>
      </c>
      <c r="C206" s="17">
        <v>0.930150462962963</v>
      </c>
      <c r="D206" s="17"/>
      <c r="E206" s="17">
        <f>C206-B206</f>
        <v>1.1342592592592737E-2</v>
      </c>
    </row>
    <row r="207" spans="1:12">
      <c r="B207" s="17">
        <v>0.93016203703703704</v>
      </c>
      <c r="C207" s="17">
        <v>0.94093749999999998</v>
      </c>
      <c r="D207" s="17"/>
      <c r="E207" s="17">
        <f>C207-B207</f>
        <v>1.0775462962962945E-2</v>
      </c>
    </row>
    <row r="208" spans="1:12">
      <c r="B208" s="17">
        <f>AVERAGE(B206:B207)</f>
        <v>0.92448495370370365</v>
      </c>
      <c r="C208" s="17">
        <f t="shared" ref="C208" si="40">AVERAGE(C206:C207)</f>
        <v>0.93554398148148143</v>
      </c>
      <c r="D208" s="17"/>
      <c r="E208" s="17">
        <f t="shared" ref="E208" si="41">AVERAGE(E206:E207)</f>
        <v>1.1059027777777841E-2</v>
      </c>
    </row>
    <row r="210" spans="1:16">
      <c r="L210" t="s">
        <v>270</v>
      </c>
      <c r="M210" t="s">
        <v>276</v>
      </c>
      <c r="N210" t="s">
        <v>277</v>
      </c>
    </row>
    <row r="212" spans="1:16">
      <c r="L212" t="s">
        <v>271</v>
      </c>
    </row>
    <row r="213" spans="1:16">
      <c r="L213" t="s">
        <v>272</v>
      </c>
      <c r="N213" t="s">
        <v>274</v>
      </c>
      <c r="O213" t="s">
        <v>273</v>
      </c>
      <c r="P213" t="s">
        <v>275</v>
      </c>
    </row>
    <row r="214" spans="1:16">
      <c r="L214">
        <v>2</v>
      </c>
    </row>
    <row r="215" spans="1:16">
      <c r="A215" t="s">
        <v>9</v>
      </c>
    </row>
    <row r="217" spans="1:16">
      <c r="B217" t="s">
        <v>6</v>
      </c>
      <c r="C217" t="s">
        <v>7</v>
      </c>
      <c r="D217" t="s">
        <v>8</v>
      </c>
      <c r="E217" t="s">
        <v>10</v>
      </c>
      <c r="F217" t="s">
        <v>11</v>
      </c>
    </row>
    <row r="218" spans="1:16">
      <c r="B218">
        <v>175</v>
      </c>
      <c r="C218">
        <v>605</v>
      </c>
      <c r="D218">
        <f>B218+C218</f>
        <v>780</v>
      </c>
      <c r="E218">
        <f>AVERAGE(D218:D220)</f>
        <v>764.33333333333337</v>
      </c>
      <c r="F218">
        <f>1.96*(STDEV(D218:D220)/SQRT(3))</f>
        <v>15.611796109923658</v>
      </c>
      <c r="L218">
        <v>4</v>
      </c>
      <c r="N218">
        <v>178.79</v>
      </c>
      <c r="O218">
        <v>1500.88</v>
      </c>
      <c r="P218">
        <v>1682.85</v>
      </c>
    </row>
    <row r="219" spans="1:16">
      <c r="B219">
        <v>172</v>
      </c>
      <c r="C219">
        <v>582</v>
      </c>
      <c r="D219">
        <f t="shared" ref="D219:D220" si="42">B219+C219</f>
        <v>754</v>
      </c>
      <c r="N219">
        <v>171.2</v>
      </c>
      <c r="O219">
        <v>1500.96</v>
      </c>
      <c r="P219">
        <v>1675.34</v>
      </c>
    </row>
    <row r="220" spans="1:16">
      <c r="B220">
        <v>179</v>
      </c>
      <c r="C220">
        <v>580</v>
      </c>
      <c r="D220">
        <f t="shared" si="42"/>
        <v>759</v>
      </c>
      <c r="N220">
        <v>174.54</v>
      </c>
      <c r="O220">
        <v>1504.24</v>
      </c>
      <c r="P220">
        <v>1681.96</v>
      </c>
    </row>
    <row r="222" spans="1:16">
      <c r="L222">
        <v>8</v>
      </c>
    </row>
    <row r="224" spans="1:16">
      <c r="B224" t="s">
        <v>12</v>
      </c>
    </row>
    <row r="226" spans="2:15">
      <c r="B226">
        <v>178.79</v>
      </c>
      <c r="C226">
        <v>1500.88</v>
      </c>
      <c r="D226">
        <v>1682.85</v>
      </c>
      <c r="E226">
        <v>1680.05</v>
      </c>
      <c r="F226">
        <v>4.6431871871022583</v>
      </c>
      <c r="L226" t="s">
        <v>278</v>
      </c>
    </row>
    <row r="227" spans="2:15">
      <c r="B227">
        <v>171.2</v>
      </c>
      <c r="C227">
        <v>1500.96</v>
      </c>
      <c r="D227">
        <v>1675.34</v>
      </c>
      <c r="O227" t="s">
        <v>279</v>
      </c>
    </row>
    <row r="228" spans="2:15">
      <c r="B228">
        <v>174.54</v>
      </c>
      <c r="C228">
        <v>1504.24</v>
      </c>
      <c r="D228">
        <v>1681.96</v>
      </c>
      <c r="L228" t="s">
        <v>272</v>
      </c>
      <c r="M228" t="s">
        <v>273</v>
      </c>
      <c r="N228" t="s">
        <v>275</v>
      </c>
    </row>
    <row r="229" spans="2:15">
      <c r="L229">
        <v>2</v>
      </c>
    </row>
    <row r="233" spans="2:15">
      <c r="L233">
        <v>4</v>
      </c>
    </row>
    <row r="237" spans="2:15">
      <c r="L237">
        <v>8</v>
      </c>
      <c r="M237">
        <v>542</v>
      </c>
      <c r="O237">
        <v>1149</v>
      </c>
    </row>
    <row r="238" spans="2:15">
      <c r="O238">
        <v>1346</v>
      </c>
    </row>
  </sheetData>
  <sheetCalcPr fullCalcOnLoad="1"/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GS data</vt:lpstr>
      <vt:lpstr>GS data analysis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Mantha</dc:creator>
  <cp:lastModifiedBy>Pradeep Mantha</cp:lastModifiedBy>
  <dcterms:created xsi:type="dcterms:W3CDTF">2012-01-29T21:31:05Z</dcterms:created>
  <dcterms:modified xsi:type="dcterms:W3CDTF">2012-03-10T20:05:52Z</dcterms:modified>
</cp:coreProperties>
</file>