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23160" yWindow="80" windowWidth="27220" windowHeight="28280" tabRatio="500" activeTab="3"/>
  </bookViews>
  <sheets>
    <sheet name="BFAST" sheetId="1" r:id="rId1"/>
    <sheet name="BigJob" sheetId="6" r:id="rId2"/>
    <sheet name="Diane" sheetId="9" r:id="rId3"/>
    <sheet name="Condor" sheetId="11" r:id="rId4"/>
    <sheet name="Total" sheetId="12" r:id="rId5"/>
    <sheet name="Raw (BJ)" sheetId="8" r:id="rId6"/>
    <sheet name="Raw (BJ interop)" sheetId="14" r:id="rId7"/>
  </sheets>
  <definedNames>
    <definedName name="daten" localSheetId="1">BigJob!$A$1:$J$64</definedName>
    <definedName name="daten_1" localSheetId="5">'Raw (BJ)'!$A$1:$J$109</definedName>
  </definedNames>
  <calcPr calcId="140000" concurrentCalc="0"/>
  <pivotCaches>
    <pivotCache cacheId="0" r:id="rId8"/>
    <pivotCache cacheId="1" r:id="rId9"/>
    <pivotCache cacheId="2" r:id="rId10"/>
    <pivotCache cacheId="3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1" l="1"/>
  <c r="F6" i="11"/>
  <c r="F4" i="11"/>
  <c r="E6" i="11"/>
  <c r="E5" i="11"/>
  <c r="D6" i="11"/>
  <c r="D5" i="11"/>
  <c r="E4" i="11"/>
  <c r="D4" i="11"/>
  <c r="E8" i="11"/>
  <c r="E9" i="11"/>
  <c r="D8" i="11"/>
  <c r="D9" i="11"/>
  <c r="E5" i="12"/>
  <c r="E6" i="12"/>
  <c r="D5" i="12"/>
  <c r="E9" i="12"/>
  <c r="E7" i="12"/>
  <c r="E8" i="12"/>
  <c r="D9" i="12"/>
  <c r="G5" i="9"/>
  <c r="G6" i="9"/>
  <c r="G7" i="9"/>
  <c r="G8" i="9"/>
  <c r="G10" i="9"/>
  <c r="G11" i="9"/>
  <c r="G4" i="9"/>
  <c r="C11" i="9"/>
  <c r="D11" i="9"/>
  <c r="E11" i="9"/>
  <c r="F11" i="9"/>
  <c r="B11" i="9"/>
  <c r="D8" i="12"/>
  <c r="D7" i="12"/>
  <c r="D6" i="12"/>
  <c r="C5" i="12"/>
  <c r="B5" i="12"/>
  <c r="C7" i="12"/>
  <c r="C9" i="12"/>
  <c r="C8" i="12"/>
  <c r="B9" i="12"/>
  <c r="B8" i="12"/>
  <c r="B7" i="12"/>
  <c r="B9" i="11"/>
  <c r="C9" i="11"/>
  <c r="A9" i="11"/>
  <c r="B8" i="11"/>
  <c r="C8" i="11"/>
  <c r="A8" i="11"/>
  <c r="C6" i="11"/>
  <c r="C5" i="11"/>
  <c r="B6" i="11"/>
  <c r="B5" i="11"/>
  <c r="A6" i="11"/>
  <c r="A5" i="11"/>
  <c r="C4" i="11"/>
  <c r="B4" i="11"/>
  <c r="A4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3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4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<sst xmlns="http://schemas.openxmlformats.org/spreadsheetml/2006/main" count="606" uniqueCount="154">
  <si>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</si>
  <si>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</si>
  <si>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</si>
  <si>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</si>
  <si>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</si>
  <si>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</si>
  <si>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</si>
  <si>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</si>
  <si>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</si>
  <si>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</si>
  <si>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</si>
  <si>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</si>
  <si>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</si>
  <si>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</si>
  <si>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</si>
  <si>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</si>
  <si>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</si>
  <si>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</si>
  <si>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</si>
  <si>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</si>
  <si>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</si>
  <si>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</si>
  <si>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</si>
  <si>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</si>
  <si>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</si>
  <si>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</si>
  <si>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</si>
  <si>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</si>
  <si>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</si>
  <si>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</si>
  <si>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</si>
  <si>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</si>
  <si>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</si>
  <si>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</si>
  <si>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</si>
  <si>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</si>
  <si>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</si>
  <si>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</si>
  <si>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</si>
  <si>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</si>
  <si>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</si>
  <si>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</si>
  <si>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</si>
  <si>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</si>
  <si>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</si>
  <si>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</si>
  <si>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</si>
  <si>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</si>
  <si>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</si>
  <si>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</si>
  <si>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</si>
  <si>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</si>
  <si>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</si>
  <si>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</si>
  <si>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</si>
  <si>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</si>
  <si>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</si>
  <si>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</si>
  <si>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</si>
  <si>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</si>
  <si>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</si>
  <si>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</si>
  <si>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</si>
  <si>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</si>
  <si>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</si>
  <si>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</si>
  <si>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</si>
  <si>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</si>
  <si>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</si>
  <si>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</si>
  <si>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</si>
  <si>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</si>
  <si>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</si>
  <si>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</si>
  <si>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</si>
  <si>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</si>
  <si>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</si>
  <si>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</si>
  <si>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</si>
  <si>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</si>
  <si>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</si>
  <si>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</si>
  <si>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</si>
  <si>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</si>
  <si>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</si>
  <si>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</si>
  <si>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</si>
  <si>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</si>
  <si>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</si>
  <si>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</si>
  <si>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</si>
  <si>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</si>
  <si>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</si>
  <si>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</si>
  <si>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</si>
  <si>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</si>
  <si>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</si>
  <si>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</si>
  <si>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</si>
  <si>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</si>
  <si>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</si>
  <si>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</si>
  <si>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</si>
  <si>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</si>
  <si>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</si>
  <si>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</si>
  <si>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</si>
  <si>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</si>
  <si>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</si>
  <si>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</si>
  <si>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</si>
  <si>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</si>
  <si>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</si>
  <si>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</si>
  <si>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</si>
  <si>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</si>
  <si>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</si>
  <si>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</si>
  <si>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</si>
  <si>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</si>
  <si>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</si>
  <si>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</si>
  <si>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</si>
  <si>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</si>
  <si>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</si>
  <si>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</si>
  <si>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</si>
  <si>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</si>
  <si>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</si>
  <si>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</si>
  <si>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</si>
  <si>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</si>
  <si>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</si>
  <si>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BJ XSEDE</t>
  </si>
  <si>
    <t>EGI</t>
  </si>
  <si>
    <t>OSG</t>
  </si>
  <si>
    <t>Allocation</t>
  </si>
  <si>
    <t>Mean</t>
  </si>
  <si>
    <t>Stdev</t>
  </si>
  <si>
    <t>OSG/Condor (BJ)</t>
  </si>
  <si>
    <t>Stddev</t>
  </si>
  <si>
    <t>Time to completion for 128 Bfast tasks</t>
  </si>
  <si>
    <t>Queuing</t>
  </si>
  <si>
    <t>BJ FG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</si>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</sst>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/>
    <xf numFmtId="173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6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1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</cellXfs>
  <cellStyles count="5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Standard" xfId="0" builtinId="0"/>
  </cellStyles>
  <dxfs count="13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4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649432"/>
        <c:axId val="571645928"/>
      </c:barChart>
      <c:catAx>
        <c:axId val="57164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71645928"/>
        <c:crosses val="autoZero"/>
        <c:auto val="1"/>
        <c:lblAlgn val="ctr"/>
        <c:lblOffset val="100"/>
        <c:noMultiLvlLbl val="0"/>
      </c:catAx>
      <c:valAx>
        <c:axId val="571645928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57164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624184"/>
        <c:axId val="571618440"/>
      </c:barChart>
      <c:catAx>
        <c:axId val="57162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618440"/>
        <c:crosses val="autoZero"/>
        <c:auto val="1"/>
        <c:lblAlgn val="ctr"/>
        <c:lblOffset val="100"/>
        <c:noMultiLvlLbl val="0"/>
      </c:catAx>
      <c:valAx>
        <c:axId val="571618440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57162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559400"/>
        <c:axId val="571553672"/>
      </c:barChart>
      <c:catAx>
        <c:axId val="57155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553672"/>
        <c:crosses val="autoZero"/>
        <c:auto val="1"/>
        <c:lblAlgn val="ctr"/>
        <c:lblOffset val="100"/>
        <c:noMultiLvlLbl val="0"/>
      </c:catAx>
      <c:valAx>
        <c:axId val="571553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55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0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9">
      <pivotArea collapsedLevelsAreSubtotals="1" fieldPosition="0">
        <references count="1">
          <reference field="0" count="1">
            <x v="1"/>
          </reference>
        </references>
      </pivotArea>
    </format>
    <format dxfId="8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7">
      <pivotArea grandRow="1" outline="0" collapsedLevelsAreSubtotals="1" fieldPosition="0"/>
    </format>
    <format dxfId="6">
      <pivotArea collapsedLevelsAreSubtotals="1" fieldPosition="0">
        <references count="1">
          <reference field="0" count="1">
            <x v="0"/>
          </reference>
        </references>
      </pivotArea>
    </format>
    <format dxfId="5">
      <pivotArea collapsedLevelsAreSubtotals="1" fieldPosition="0">
        <references count="1">
          <reference field="0" count="1">
            <x v="2"/>
          </reference>
        </references>
      </pivotArea>
    </format>
    <format dxfId="4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3">
      <pivotArea collapsedLevelsAreSubtotals="1" fieldPosition="0">
        <references count="1">
          <reference field="0" count="1">
            <x v="3"/>
          </reference>
        </references>
      </pivotArea>
    </format>
    <format dxfId="2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1">
      <pivotArea collapsedLevelsAreSubtotals="1" fieldPosition="0">
        <references count="1">
          <reference field="0" count="1">
            <x v="4"/>
          </reference>
        </references>
      </pivotArea>
    </format>
    <format dxfId="0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1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1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en_1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0"/>
  <sheetViews>
    <sheetView workbookViewId="0">
      <pane ySplit="3" topLeftCell="A4" activePane="bottomLeft" state="frozen"/>
      <selection pane="bottomLeft" activeCell="K63" sqref="K63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14" t="s">
        <v>1</v>
      </c>
      <c r="B2" s="14"/>
      <c r="C2" s="15"/>
      <c r="D2" s="16" t="s">
        <v>5</v>
      </c>
      <c r="E2" s="17"/>
      <c r="F2" s="17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1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1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1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1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1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1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1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</row>
    <row r="40" spans="1:11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1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1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1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1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1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1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1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1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K1" workbookViewId="0">
      <selection activeCell="X28" sqref="X28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1" sqref="G11"/>
    </sheetView>
  </sheetViews>
  <sheetFormatPr baseColWidth="10" defaultRowHeight="15" x14ac:dyDescent="0"/>
  <sheetData>
    <row r="1" spans="1:7">
      <c r="A1" s="2" t="s">
        <v>134</v>
      </c>
    </row>
    <row r="3" spans="1:7">
      <c r="A3" s="18" t="s">
        <v>16</v>
      </c>
      <c r="B3" s="18" t="s">
        <v>126</v>
      </c>
      <c r="C3" s="18" t="s">
        <v>127</v>
      </c>
      <c r="D3" s="18" t="s">
        <v>128</v>
      </c>
      <c r="E3" s="18" t="s">
        <v>129</v>
      </c>
      <c r="F3" s="18" t="s">
        <v>130</v>
      </c>
      <c r="G3" s="18" t="s">
        <v>144</v>
      </c>
    </row>
    <row r="4" spans="1:7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>
        <f>F4-E4</f>
        <v>8319.2837661100002</v>
      </c>
    </row>
    <row r="5" spans="1:7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>
        <f t="shared" ref="G5:G11" si="0">F5-E5</f>
        <v>10596.611719620001</v>
      </c>
    </row>
    <row r="6" spans="1:7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>
        <f t="shared" si="0"/>
        <v>8199.7927942599999</v>
      </c>
    </row>
    <row r="7" spans="1:7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>
        <f t="shared" si="0"/>
        <v>9447.7057570099987</v>
      </c>
    </row>
    <row r="8" spans="1:7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>
        <f t="shared" si="0"/>
        <v>6859.91422822</v>
      </c>
    </row>
    <row r="9" spans="1:7">
      <c r="A9" s="13"/>
      <c r="B9" s="13"/>
      <c r="C9" s="13"/>
      <c r="D9" s="13"/>
      <c r="E9" s="13"/>
      <c r="F9" s="13"/>
    </row>
    <row r="10" spans="1:7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>
        <f t="shared" si="0"/>
        <v>8684.6616528400009</v>
      </c>
    </row>
    <row r="11" spans="1:7">
      <c r="A11" t="s">
        <v>140</v>
      </c>
      <c r="B11">
        <f>STDEV(B4:B8)</f>
        <v>2616.6997684639559</v>
      </c>
      <c r="C11">
        <f t="shared" ref="C11:F11" si="1">STDEV(C4:C8)</f>
        <v>1511.1894494054065</v>
      </c>
      <c r="D11">
        <f t="shared" si="1"/>
        <v>12.086796340131176</v>
      </c>
      <c r="E11">
        <f t="shared" si="1"/>
        <v>16.594195977554207</v>
      </c>
      <c r="F11">
        <f t="shared" si="1"/>
        <v>1401.3174641730302</v>
      </c>
      <c r="G11">
        <f t="shared" si="0"/>
        <v>1384.7232681954761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G26" sqref="G26"/>
    </sheetView>
  </sheetViews>
  <sheetFormatPr baseColWidth="10" defaultRowHeight="15" x14ac:dyDescent="0"/>
  <cols>
    <col min="1" max="1" width="5.83203125" bestFit="1" customWidth="1"/>
    <col min="2" max="2" width="6.83203125" bestFit="1" customWidth="1"/>
    <col min="3" max="3" width="9.6640625" bestFit="1" customWidth="1"/>
    <col min="4" max="4" width="12.83203125" bestFit="1" customWidth="1"/>
  </cols>
  <sheetData>
    <row r="1" spans="1:9">
      <c r="A1" s="2" t="s">
        <v>139</v>
      </c>
    </row>
    <row r="3" spans="1:9" ht="16">
      <c r="A3" s="32" t="s">
        <v>152</v>
      </c>
      <c r="B3" s="32" t="s">
        <v>130</v>
      </c>
      <c r="C3" s="32" t="s">
        <v>136</v>
      </c>
      <c r="D3" s="32" t="s">
        <v>132</v>
      </c>
      <c r="E3" s="32" t="s">
        <v>142</v>
      </c>
      <c r="F3" s="32" t="s">
        <v>153</v>
      </c>
      <c r="I3" s="31" t="s">
        <v>145</v>
      </c>
    </row>
    <row r="4" spans="1:9" ht="16">
      <c r="A4" s="7">
        <f>0.0108449074074074*24*60*60</f>
        <v>936.99999999999943</v>
      </c>
      <c r="B4" s="7">
        <f>0.174039351851852*24*60*60</f>
        <v>15037.000000000015</v>
      </c>
      <c r="C4" s="7">
        <f>0.0924421296296296*24*60*60</f>
        <v>7986.9999999999973</v>
      </c>
      <c r="D4" s="19">
        <f>0.155601851851852*60*60*24</f>
        <v>13444.000000000013</v>
      </c>
      <c r="E4" s="19">
        <f>0.00760416666666667*60*60*24</f>
        <v>657.00000000000023</v>
      </c>
      <c r="F4" s="19">
        <f>E4+D4+A4</f>
        <v>15038.000000000013</v>
      </c>
      <c r="I4" s="31" t="s">
        <v>146</v>
      </c>
    </row>
    <row r="5" spans="1:9" ht="16">
      <c r="A5" s="7">
        <f>0.0106018518518519*24*60*60</f>
        <v>916.00000000000409</v>
      </c>
      <c r="B5" s="7">
        <f>0.0533101851851852*24*60*60</f>
        <v>4606.0000000000009</v>
      </c>
      <c r="C5" s="7">
        <f>0.0319560185185185*24*60*60</f>
        <v>2760.9999999999982</v>
      </c>
      <c r="D5" s="19">
        <f>0.0340856481481481*60*60*24</f>
        <v>2944.9999999999964</v>
      </c>
      <c r="E5" s="19">
        <f>0.00862268518518518*60*60*24</f>
        <v>744.99999999999943</v>
      </c>
      <c r="F5" s="19">
        <f t="shared" ref="F5:F6" si="0">E5+D5+A5</f>
        <v>4606</v>
      </c>
      <c r="I5" s="31" t="s">
        <v>147</v>
      </c>
    </row>
    <row r="6" spans="1:9">
      <c r="A6" s="7">
        <f>0.0101273148148148*24*60*60</f>
        <v>874.99999999999875</v>
      </c>
      <c r="B6" s="7">
        <f>0.0281134259259259*24*60*60</f>
        <v>2428.9999999999973</v>
      </c>
      <c r="C6" s="7">
        <f>0.0191203703703704*24*60*60</f>
        <v>1652.0000000000025</v>
      </c>
      <c r="D6" s="19">
        <f>0.00947916666666667*60*60*24</f>
        <v>819.00000000000034</v>
      </c>
      <c r="E6" s="19">
        <f>0.00850694444444444*60*60*24</f>
        <v>734.99999999999966</v>
      </c>
      <c r="F6" s="19">
        <f t="shared" si="0"/>
        <v>2428.9999999999986</v>
      </c>
    </row>
    <row r="7" spans="1:9" ht="16">
      <c r="I7" s="31" t="s">
        <v>148</v>
      </c>
    </row>
    <row r="8" spans="1:9">
      <c r="A8" s="33">
        <f>AVERAGE(A4:A6)</f>
        <v>909.33333333333405</v>
      </c>
      <c r="B8" s="33">
        <f t="shared" ref="B8:C8" si="1">AVERAGE(B4:B6)</f>
        <v>7357.3333333333367</v>
      </c>
      <c r="C8" s="33">
        <f t="shared" si="1"/>
        <v>4133.333333333333</v>
      </c>
      <c r="D8" s="20">
        <f t="shared" ref="D5:D9" si="2">C8-A8</f>
        <v>3223.9999999999991</v>
      </c>
      <c r="E8" s="20">
        <f t="shared" ref="E5:E9" si="3">B8-C8</f>
        <v>3224.0000000000036</v>
      </c>
      <c r="F8" s="2" t="s">
        <v>137</v>
      </c>
    </row>
    <row r="9" spans="1:9" ht="16">
      <c r="A9" s="33">
        <f>STDEV(A4:A6)</f>
        <v>31.533051443420248</v>
      </c>
      <c r="B9" s="33">
        <f t="shared" ref="B9:C9" si="4">STDEV(B4:B6)</f>
        <v>6739.2723890145198</v>
      </c>
      <c r="C9" s="33">
        <f t="shared" si="4"/>
        <v>3383.1243449411259</v>
      </c>
      <c r="D9" s="20">
        <f t="shared" si="2"/>
        <v>3351.5912934977055</v>
      </c>
      <c r="E9" s="20">
        <f t="shared" si="3"/>
        <v>3356.148044073394</v>
      </c>
      <c r="F9" s="2" t="s">
        <v>138</v>
      </c>
      <c r="I9" s="31" t="s">
        <v>149</v>
      </c>
    </row>
    <row r="10" spans="1:9" ht="16">
      <c r="I10" s="31" t="s">
        <v>150</v>
      </c>
    </row>
    <row r="11" spans="1:9" ht="16">
      <c r="I11" s="31" t="s">
        <v>151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5" sqref="E5"/>
    </sheetView>
  </sheetViews>
  <sheetFormatPr baseColWidth="10" defaultRowHeight="15" x14ac:dyDescent="0"/>
  <cols>
    <col min="2" max="2" width="12" bestFit="1" customWidth="1"/>
    <col min="3" max="3" width="11.83203125" bestFit="1" customWidth="1"/>
    <col min="4" max="4" width="12.83203125" bestFit="1" customWidth="1"/>
  </cols>
  <sheetData>
    <row r="1" spans="1:5">
      <c r="A1" s="2" t="s">
        <v>141</v>
      </c>
    </row>
    <row r="2" spans="1:5">
      <c r="A2" s="2"/>
    </row>
    <row r="4" spans="1:5">
      <c r="A4" s="10"/>
      <c r="B4" s="21" t="s">
        <v>133</v>
      </c>
      <c r="C4" s="22" t="s">
        <v>143</v>
      </c>
      <c r="D4" s="23" t="s">
        <v>134</v>
      </c>
      <c r="E4" s="21" t="s">
        <v>135</v>
      </c>
    </row>
    <row r="5" spans="1:5">
      <c r="A5" s="24" t="s">
        <v>142</v>
      </c>
      <c r="B5" s="27">
        <f>BigJob!O28</f>
        <v>77.171835557999998</v>
      </c>
      <c r="C5" s="28">
        <f>BigJob!N28</f>
        <v>101.09102939799999</v>
      </c>
      <c r="D5" s="25">
        <f>Diane!B10</f>
        <v>3167.4118819999999</v>
      </c>
      <c r="E5" s="24">
        <f>Condor!C8-Condor!A8</f>
        <v>3223.9999999999991</v>
      </c>
    </row>
    <row r="6" spans="1:5">
      <c r="A6" s="10" t="s">
        <v>132</v>
      </c>
      <c r="B6" s="10">
        <v>0</v>
      </c>
      <c r="C6" s="3">
        <v>0</v>
      </c>
      <c r="D6" s="26">
        <f>Diane!C10</f>
        <v>4707.850641</v>
      </c>
      <c r="E6" s="10">
        <f>Condor!B8-Condor!C8</f>
        <v>3224.0000000000036</v>
      </c>
    </row>
    <row r="7" spans="1:5">
      <c r="A7" t="s">
        <v>128</v>
      </c>
      <c r="B7" s="20">
        <f>BFAST!J63*24*60*60</f>
        <v>1896.4687499999982</v>
      </c>
      <c r="C7" s="29">
        <f>BFAST!J39*60*60*24</f>
        <v>1068.8906250000002</v>
      </c>
      <c r="D7" s="26">
        <f>Diane!D10</f>
        <v>809.39913009999998</v>
      </c>
      <c r="E7" s="30">
        <f>Condor!A8</f>
        <v>909.33333333333405</v>
      </c>
    </row>
    <row r="8" spans="1:5">
      <c r="A8" t="s">
        <v>130</v>
      </c>
      <c r="B8" s="20">
        <f>BigJob!R28</f>
        <v>2214.0641734000005</v>
      </c>
      <c r="C8" s="29">
        <f>BigJob!Q28</f>
        <v>1695.8585478</v>
      </c>
      <c r="D8" s="26">
        <f>Diane!F10-Diane!E10</f>
        <v>8684.6616528400009</v>
      </c>
      <c r="E8" s="30">
        <f>Condor!B8</f>
        <v>7357.3333333333367</v>
      </c>
    </row>
    <row r="9" spans="1:5">
      <c r="A9" t="s">
        <v>140</v>
      </c>
      <c r="B9" s="20">
        <f>BigJob!AA28</f>
        <v>66.438365334176908</v>
      </c>
      <c r="C9" s="29">
        <f>BigJob!Z28</f>
        <v>267.5643732646929</v>
      </c>
      <c r="D9" s="26">
        <f>Diane!G11</f>
        <v>1384.7232681954761</v>
      </c>
      <c r="E9" s="20">
        <f>Condor!C9</f>
        <v>3383.1243449411259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BFAST</vt:lpstr>
      <vt:lpstr>BigJob</vt:lpstr>
      <vt:lpstr>Diane</vt:lpstr>
      <vt:lpstr>Condor</vt:lpstr>
      <vt:lpstr>Total</vt:lpstr>
      <vt:lpstr>Raw (BJ)</vt:lpstr>
      <vt:lpstr>Raw (BJ interop)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2012-01-21T11:42:12Z</dcterms:modified>
</cp:coreProperties>
</file>