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9.xml" ContentType="application/vnd.openxmlformats-officedocument.spreadsheetml.worksheet+xml"/>
  <Default Extension="png" ContentType="image/png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Default Extension="pdf" ContentType="application/pdf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20" yWindow="-20" windowWidth="12860" windowHeight="14100" tabRatio="500" activeTab="1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6" i="3"/>
  <c r="L22"/>
  <c r="K43"/>
  <c r="H42"/>
  <c r="E42"/>
  <c r="D42"/>
  <c r="K41"/>
  <c r="E41"/>
  <c r="I41"/>
  <c r="H41"/>
  <c r="D41"/>
  <c r="K16" i="7"/>
  <c r="L12"/>
  <c r="E9"/>
  <c r="E10"/>
  <c r="E8"/>
  <c r="J41" i="2"/>
  <c r="I41"/>
  <c r="G60"/>
  <c r="H14"/>
  <c r="H37"/>
  <c r="I15"/>
  <c r="G78"/>
  <c r="H72"/>
  <c r="H63"/>
  <c r="H32"/>
  <c r="N23"/>
  <c r="N24"/>
  <c r="N25"/>
  <c r="N22"/>
  <c r="A30"/>
  <c r="A31"/>
  <c r="A41"/>
  <c r="A29"/>
  <c r="I60"/>
  <c r="I43"/>
  <c r="C56"/>
  <c r="C57"/>
  <c r="C55"/>
  <c r="B55"/>
  <c r="E55"/>
  <c r="E56"/>
  <c r="E57"/>
  <c r="G57"/>
  <c r="G56"/>
  <c r="C9"/>
  <c r="E9"/>
  <c r="C10"/>
  <c r="E10"/>
  <c r="C11"/>
  <c r="E11"/>
  <c r="G11"/>
  <c r="G10"/>
  <c r="A17"/>
  <c r="C17"/>
  <c r="E17"/>
  <c r="A18"/>
  <c r="E18"/>
  <c r="A19"/>
  <c r="E19"/>
  <c r="G19"/>
  <c r="G18"/>
  <c r="C29"/>
  <c r="E29"/>
  <c r="C30"/>
  <c r="E30"/>
  <c r="C31"/>
  <c r="E31"/>
  <c r="G31"/>
  <c r="G30"/>
  <c r="C41"/>
  <c r="E41"/>
  <c r="C42"/>
  <c r="E42"/>
  <c r="E43"/>
  <c r="G43"/>
  <c r="G42"/>
  <c r="A60"/>
  <c r="A71"/>
  <c r="B71"/>
  <c r="C71"/>
  <c r="E71"/>
  <c r="C72"/>
  <c r="E72"/>
  <c r="C73"/>
  <c r="E73"/>
  <c r="G73"/>
  <c r="G72"/>
  <c r="C60"/>
  <c r="E60"/>
  <c r="A61"/>
  <c r="C61"/>
  <c r="E61"/>
  <c r="A62"/>
  <c r="C62"/>
  <c r="E62"/>
  <c r="G62"/>
  <c r="G61"/>
  <c r="G41"/>
  <c r="L2" i="4"/>
  <c r="K4"/>
  <c r="D2"/>
  <c r="D3"/>
  <c r="H3"/>
  <c r="E3"/>
  <c r="K2"/>
  <c r="H2"/>
  <c r="E2"/>
  <c r="E18" i="8"/>
  <c r="E17"/>
  <c r="E14"/>
  <c r="E13"/>
  <c r="E12"/>
  <c r="K16"/>
  <c r="L12"/>
  <c r="E10"/>
  <c r="E9"/>
  <c r="E8"/>
  <c r="A46" i="6"/>
  <c r="A45"/>
  <c r="O7"/>
  <c r="P7"/>
  <c r="C31"/>
  <c r="C30"/>
  <c r="B38"/>
  <c r="C38"/>
  <c r="F38"/>
  <c r="C39"/>
  <c r="F39"/>
  <c r="C40"/>
  <c r="F40"/>
  <c r="H40"/>
  <c r="H39"/>
  <c r="A30"/>
  <c r="A14"/>
  <c r="A13"/>
  <c r="A12"/>
  <c r="O6"/>
  <c r="P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D25" i="5"/>
  <c r="H20"/>
  <c r="H19"/>
  <c r="H18"/>
  <c r="H17"/>
  <c r="H14"/>
  <c r="H13"/>
  <c r="H12"/>
  <c r="H11"/>
  <c r="K4"/>
  <c r="D2"/>
  <c r="D3"/>
  <c r="H3"/>
  <c r="E3"/>
  <c r="K2"/>
  <c r="H2"/>
  <c r="E2"/>
  <c r="F46" i="1"/>
  <c r="F47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<sst xmlns="http://schemas.openxmlformats.org/spreadsheetml/2006/main" count="362" uniqueCount="197">
  <si>
    <t>20GB</t>
    <phoneticPr fontId="4" type="noConversion"/>
  </si>
  <si>
    <t>40GB</t>
    <phoneticPr fontId="4" type="noConversion"/>
  </si>
  <si>
    <t>80GB</t>
    <phoneticPr fontId="4" type="noConversion"/>
  </si>
  <si>
    <t>12.48% of intermediate transfer</t>
    <phoneticPr fontId="4" type="noConversion"/>
  </si>
  <si>
    <t>Intermediate data in case of PMR is 18468MB for 20GB whichis 92%</t>
    <phoneticPr fontId="4" type="noConversion"/>
  </si>
  <si>
    <t>Intermediate data in case of PMR is 36454.269MB  for 40GB whichis 91.4%</t>
    <phoneticPr fontId="4" type="noConversion"/>
  </si>
  <si>
    <t>98% intermediate data generated.</t>
    <phoneticPr fontId="4" type="noConversion"/>
  </si>
  <si>
    <t>22% of intermediate data</t>
    <phoneticPr fontId="4" type="noConversion"/>
  </si>
  <si>
    <t>40GB</t>
    <phoneticPr fontId="4" type="noConversion"/>
  </si>
  <si>
    <t>40GB</t>
    <phoneticPr fontId="4" type="noConversion"/>
  </si>
  <si>
    <t>concurrent transfers - 4*1+4*1</t>
    <phoneticPr fontId="4" type="noConversion"/>
  </si>
  <si>
    <t>3*2+3*2+2*2</t>
    <phoneticPr fontId="4" type="noConversion"/>
  </si>
  <si>
    <t>16 data units are created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</si>
  <si>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</si>
  <si>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</si>
  <si>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</si>
  <si>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</si>
  <si>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</si>
  <si>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</si>
  <si>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</si>
  <si>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</si>
  <si>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</si>
  <si>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</si>
  <si>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</si>
  <si>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</si>
  <si>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</si>
  <si>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</si>
  <si>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</si>
  <si>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</si>
  <si>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</si>
  <si>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</si>
  <si>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</si>
  <si>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</si>
  <si>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</si>
  <si>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</si>
  <si>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</si>
  <si>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</si>
  <si>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</si>
  <si>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</si>
  <si>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</si>
  <si>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</si>
  <si>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</si>
  <si>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</si>
  <si>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</si>
  <si>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</si>
  <si>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</si>
  <si>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</si>
  <si>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</si>
  <si>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</si>
  <si>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</si>
  <si>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</si>
  <si>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</si>
  <si>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</si>
  <si>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</si>
  <si>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</si>
  <si>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</si>
  <si>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</si>
  <si>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</si>
  <si>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</si>
  <si>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</si>
  <si>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</si>
  <si>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</si>
  <si>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</si>
  <si>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</si>
  <si>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</si>
  <si>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</si>
  <si>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</si>
  <si>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</si>
  <si>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</si>
  <si>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PMR</t>
    <phoneticPr fontId="4" type="noConversion"/>
  </si>
  <si>
    <t>DMR</t>
    <phoneticPr fontId="4" type="noConversion"/>
  </si>
  <si>
    <t>31.2% of intermediate transfer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</si>
  <si>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</si>
  <si>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</si>
  <si>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</si>
  <si>
    <t>14 mintues remote</t>
    <phoneticPr fontId="4" type="noConversion"/>
  </si>
  <si>
    <t>4 minutes local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</si>
  <si>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</si>
  <si>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</si>
  <si>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</si>
  <si>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</si>
  <si>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</si>
  <si>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</si>
  <si>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</si>
  <si>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</si>
  <si>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</si>
  <si>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</si>
  <si>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</si>
  <si>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</si>
  <si>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</si>
  <si>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</si>
  <si>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</si>
  <si>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</si>
  <si>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</si>
  <si>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</si>
  <si>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</si>
  <si>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</si>
  <si>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</si>
  <si>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</si>
  <si>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</si>
  <si>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</si>
  <si>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</si>
  <si>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</si>
  <si>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</si>
  <si>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</si>
  <si>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</si>
  <si>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</si>
  <si>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</si>
  <si>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</si>
  <si>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</si>
  <si>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</si>
  <si>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</si>
  <si>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</si>
  <si>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</si>
  <si>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</si>
  <si>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</si>
  <si>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</si>
  <si>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</si>
  <si>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</si>
  <si>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</si>
  <si>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</si>
  <si>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</si>
  <si>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</si>
  <si>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</si>
  <si>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</si>
  <si>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</si>
  <si>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</si>
  <si>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</si>
  <si>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</si>
  <si>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</si>
  <si>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</si>
  <si>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</si>
  <si>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</si>
  <si>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</si>
  <si>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</si>
  <si>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</si>
  <si>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</si>
  <si>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</si>
  <si>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</si>
  <si>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</si>
  <si>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number of concurent transfers</t>
    <phoneticPr fontId="4" type="noConversion"/>
  </si>
  <si>
    <t>effective data transfer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</si>
  <si>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</si>
  <si>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</si>
  <si>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</si>
  <si>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</si>
  <si>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</si>
  <si>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</si>
  <si>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</si>
  <si>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</si>
  <si>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</si>
  <si>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</si>
  <si>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</si>
  <si>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</si>
  <si>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</si>
  <si>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</si>
  <si>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</si>
  <si>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</si>
  <si>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</si>
  <si>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</si>
  <si>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</si>
  <si>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</si>
  <si>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</si>
  <si>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</si>
  <si>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</si>
  <si>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</si>
  <si>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</si>
  <si>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</si>
  <si>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</si>
  <si>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</si>
  <si>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</si>
  <si>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</si>
  <si>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</si>
  <si>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</si>
  <si>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</si>
  <si>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</si>
  <si>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</si>
  <si>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</si>
  <si>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</si>
  <si>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</si>
  <si>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</si>
  <si>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</si>
  <si>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</si>
  <si>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</si>
  <si>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</si>
  <si>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</si>
  <si>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</si>
  <si>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</si>
  <si>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</si>
  <si>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</si>
  <si>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</si>
  <si>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</si>
  <si>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</si>
  <si>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</si>
  <si>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</si>
  <si>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</si>
  <si>
    <t>Input data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</si>
</sst>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2208.044333333333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2123.821333333333</c:v>
                </c:pt>
              </c:numCache>
            </c:numRef>
          </c:val>
        </c:ser>
        <c:axId val="493649544"/>
        <c:axId val="493655336"/>
      </c:barChart>
      <c:catAx>
        <c:axId val="493649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</c:title>
        <c:numFmt formatCode="General" sourceLinked="1"/>
        <c:tickLblPos val="nextTo"/>
        <c:crossAx val="493655336"/>
        <c:crosses val="autoZero"/>
        <c:auto val="1"/>
        <c:lblAlgn val="ctr"/>
        <c:lblOffset val="100"/>
      </c:catAx>
      <c:valAx>
        <c:axId val="493655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</c:title>
        <c:numFmt formatCode="General" sourceLinked="1"/>
        <c:tickLblPos val="nextTo"/>
        <c:crossAx val="493649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493688808"/>
        <c:axId val="493691944"/>
      </c:barChart>
      <c:catAx>
        <c:axId val="493688808"/>
        <c:scaling>
          <c:orientation val="minMax"/>
        </c:scaling>
        <c:axPos val="b"/>
        <c:tickLblPos val="nextTo"/>
        <c:crossAx val="493691944"/>
        <c:crosses val="autoZero"/>
        <c:auto val="1"/>
        <c:lblAlgn val="ctr"/>
        <c:lblOffset val="100"/>
      </c:catAx>
      <c:valAx>
        <c:axId val="493691944"/>
        <c:scaling>
          <c:orientation val="minMax"/>
        </c:scaling>
        <c:axPos val="l"/>
        <c:majorGridlines/>
        <c:numFmt formatCode="0.00" sourceLinked="1"/>
        <c:tickLblPos val="nextTo"/>
        <c:crossAx val="493688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99980065782916"/>
          <c:y val="0.123041338582677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machines'!$J$21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machines'!$J$22:$J$25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machines'!$K$21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machines'!$K$22:$K$25</c:f>
              <c:numCache>
                <c:formatCode>General</c:formatCode>
                <c:ptCount val="4"/>
                <c:pt idx="0">
                  <c:v>2279.393333333333</c:v>
                </c:pt>
                <c:pt idx="1">
                  <c:v>4239.813333333334</c:v>
                </c:pt>
                <c:pt idx="2">
                  <c:v>7884.053333333333</c:v>
                </c:pt>
                <c:pt idx="3">
                  <c:v>7884.053333333333</c:v>
                </c:pt>
              </c:numCache>
            </c:numRef>
          </c:val>
        </c:ser>
        <c:axId val="493754808"/>
        <c:axId val="493764376"/>
      </c:barChart>
      <c:catAx>
        <c:axId val="493754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493764376"/>
        <c:crosses val="autoZero"/>
        <c:auto val="1"/>
        <c:lblAlgn val="ctr"/>
        <c:lblOffset val="100"/>
      </c:catAx>
      <c:valAx>
        <c:axId val="493764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493754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493853320"/>
        <c:axId val="493856376"/>
      </c:barChart>
      <c:catAx>
        <c:axId val="493853320"/>
        <c:scaling>
          <c:orientation val="minMax"/>
        </c:scaling>
        <c:axPos val="b"/>
        <c:tickLblPos val="nextTo"/>
        <c:crossAx val="493856376"/>
        <c:crosses val="autoZero"/>
        <c:auto val="1"/>
        <c:lblAlgn val="ctr"/>
        <c:lblOffset val="100"/>
      </c:catAx>
      <c:valAx>
        <c:axId val="493856376"/>
        <c:scaling>
          <c:orientation val="minMax"/>
        </c:scaling>
        <c:axPos val="l"/>
        <c:numFmt formatCode="General" sourceLinked="1"/>
        <c:tickLblPos val="nextTo"/>
        <c:crossAx val="493853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df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53</xdr:row>
      <xdr:rowOff>101600</xdr:rowOff>
    </xdr:from>
    <xdr:to>
      <xdr:col>12</xdr:col>
      <xdr:colOff>88900</xdr:colOff>
      <xdr:row>70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15</xdr:row>
      <xdr:rowOff>647700</xdr:rowOff>
    </xdr:from>
    <xdr:to>
      <xdr:col>13</xdr:col>
      <xdr:colOff>723900</xdr:colOff>
      <xdr:row>27</xdr:row>
      <xdr:rowOff>647700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112</xdr:row>
      <xdr:rowOff>0</xdr:rowOff>
    </xdr:from>
    <xdr:to>
      <xdr:col>12</xdr:col>
      <xdr:colOff>622300</xdr:colOff>
      <xdr:row>146</xdr:row>
      <xdr:rowOff>38100</xdr:rowOff>
    </xdr:to>
    <xdr:pic>
      <xdr:nvPicPr>
        <xdr:cNvPr id="4" name="Picture 3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2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tretch>
              <a:fillRect/>
            </a:stretch>
          </xdr:blipFill>
        </mc:Fallback>
      </mc:AlternateContent>
      <xdr:spPr>
        <a:xfrm>
          <a:off x="7073900" y="23114000"/>
          <a:ext cx="5829300" cy="565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N81"/>
  <sheetViews>
    <sheetView topLeftCell="A34" workbookViewId="0">
      <selection activeCell="L52" sqref="L52"/>
    </sheetView>
  </sheetViews>
  <sheetFormatPr baseColWidth="10" defaultRowHeight="13"/>
  <sheetData>
    <row r="2" spans="1:7">
      <c r="B2" s="9" t="s">
        <v>57</v>
      </c>
      <c r="C2" s="8"/>
      <c r="D2" s="8"/>
      <c r="E2" s="8"/>
      <c r="F2" s="8"/>
      <c r="G2" s="8"/>
    </row>
    <row r="6" spans="1:7">
      <c r="A6" s="6" t="s">
        <v>56</v>
      </c>
    </row>
    <row r="8" spans="1:7">
      <c r="A8" t="s">
        <v>58</v>
      </c>
    </row>
    <row r="9" spans="1:7">
      <c r="A9" t="s">
        <v>62</v>
      </c>
    </row>
    <row r="10" spans="1:7">
      <c r="A10" t="s">
        <v>68</v>
      </c>
    </row>
    <row r="13" spans="1:7" ht="26">
      <c r="A13" s="3" t="s">
        <v>49</v>
      </c>
      <c r="B13" s="3" t="s">
        <v>63</v>
      </c>
      <c r="C13" s="3" t="s">
        <v>64</v>
      </c>
      <c r="D13" s="3" t="s">
        <v>65</v>
      </c>
      <c r="E13" s="3" t="s">
        <v>66</v>
      </c>
      <c r="F13" s="3" t="s">
        <v>48</v>
      </c>
      <c r="G13" s="2" t="s">
        <v>52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9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9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</row>
    <row r="19" spans="1:9">
      <c r="H19" s="1"/>
      <c r="I19" s="1"/>
    </row>
    <row r="22" spans="1:9" s="7" customFormat="1">
      <c r="A22" s="6" t="s">
        <v>55</v>
      </c>
    </row>
    <row r="24" spans="1:9" s="2" customFormat="1" ht="78">
      <c r="A24" s="4" t="s">
        <v>47</v>
      </c>
      <c r="B24" s="4" t="s">
        <v>63</v>
      </c>
      <c r="C24" s="4" t="s">
        <v>64</v>
      </c>
      <c r="D24" s="4" t="s">
        <v>65</v>
      </c>
      <c r="E24" s="4" t="s">
        <v>66</v>
      </c>
      <c r="F24" s="3" t="s">
        <v>48</v>
      </c>
      <c r="G24" s="4" t="s">
        <v>123</v>
      </c>
      <c r="H24" s="2" t="s">
        <v>52</v>
      </c>
    </row>
    <row r="25" spans="1:9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</row>
    <row r="26" spans="1:9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9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</row>
    <row r="28" spans="1:9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</row>
    <row r="29" spans="1:9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3" spans="1:14">
      <c r="A33" t="s">
        <v>70</v>
      </c>
    </row>
    <row r="37" spans="1:14" s="2" customFormat="1"/>
    <row r="43" spans="1:14">
      <c r="J43" t="s">
        <v>122</v>
      </c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63</v>
      </c>
      <c r="J45" s="3" t="s">
        <v>64</v>
      </c>
      <c r="K45" s="3" t="s">
        <v>65</v>
      </c>
      <c r="L45" s="3" t="s">
        <v>66</v>
      </c>
      <c r="M45" s="3" t="s">
        <v>51</v>
      </c>
    </row>
    <row r="46" spans="1:14">
      <c r="A46" s="3" t="s">
        <v>164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5">
        <f t="shared" ref="F46" si="2">SUM(B46:E46)</f>
        <v>2208.0443333333333</v>
      </c>
      <c r="H46" t="s">
        <v>50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4">
      <c r="A47" s="3" t="s">
        <v>165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5">
        <f t="shared" ref="F47" si="3">SUM(B47:E47)</f>
        <v>2123.8213333333333</v>
      </c>
      <c r="H47" t="s">
        <v>69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4">
      <c r="H48" t="s">
        <v>54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53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tabSelected="1" topLeftCell="A99" workbookViewId="0">
      <selection activeCell="B109" sqref="B109"/>
    </sheetView>
  </sheetViews>
  <sheetFormatPr baseColWidth="10" defaultRowHeight="13"/>
  <cols>
    <col min="5" max="5" width="15.28515625" bestFit="1" customWidth="1"/>
    <col min="9" max="9" width="15.7109375" customWidth="1"/>
  </cols>
  <sheetData>
    <row r="1" spans="1:12">
      <c r="A1" t="s">
        <v>124</v>
      </c>
    </row>
    <row r="2" spans="1:12">
      <c r="A2" t="s">
        <v>61</v>
      </c>
      <c r="B2">
        <v>32</v>
      </c>
    </row>
    <row r="3" spans="1:12">
      <c r="A3" t="s">
        <v>119</v>
      </c>
      <c r="B3" t="s">
        <v>120</v>
      </c>
    </row>
    <row r="4" spans="1:12">
      <c r="A4" t="s">
        <v>59</v>
      </c>
      <c r="B4" t="s">
        <v>60</v>
      </c>
    </row>
    <row r="6" spans="1:12">
      <c r="A6" t="s">
        <v>163</v>
      </c>
    </row>
    <row r="7" spans="1:12">
      <c r="A7" s="21"/>
      <c r="B7" s="21"/>
      <c r="C7" s="21"/>
      <c r="D7" s="21"/>
      <c r="E7" s="21" t="s">
        <v>180</v>
      </c>
      <c r="F7" s="21"/>
      <c r="G7" s="21"/>
      <c r="H7" s="21"/>
      <c r="I7" s="21"/>
      <c r="J7" s="21"/>
      <c r="K7" s="21"/>
      <c r="L7" s="21"/>
    </row>
    <row r="8" spans="1:12" s="10" customFormat="1" ht="65">
      <c r="A8" s="19" t="s">
        <v>39</v>
      </c>
      <c r="B8" s="19" t="s">
        <v>40</v>
      </c>
      <c r="C8" s="16" t="s">
        <v>41</v>
      </c>
      <c r="D8" s="16" t="s">
        <v>185</v>
      </c>
      <c r="E8" s="19" t="s">
        <v>42</v>
      </c>
      <c r="F8" s="16" t="s">
        <v>43</v>
      </c>
      <c r="G8" s="19"/>
      <c r="I8" s="19" t="s">
        <v>176</v>
      </c>
    </row>
    <row r="9" spans="1:12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F9" s="17">
        <v>3120</v>
      </c>
      <c r="K9" t="s">
        <v>93</v>
      </c>
    </row>
    <row r="10" spans="1:12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t="s">
        <v>166</v>
      </c>
      <c r="G10">
        <f>AVERAGE(E9:E11)</f>
        <v>2652.2825510560347</v>
      </c>
      <c r="H10" t="s">
        <v>71</v>
      </c>
      <c r="I10">
        <v>19029605</v>
      </c>
    </row>
    <row r="11" spans="1:12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F11" t="s">
        <v>167</v>
      </c>
      <c r="G11">
        <f>1.96*(STDEV(E9:E11)/SQRT(3))</f>
        <v>81.442668757892889</v>
      </c>
      <c r="K11" t="s">
        <v>94</v>
      </c>
    </row>
    <row r="12" spans="1:12">
      <c r="K12" t="s">
        <v>95</v>
      </c>
    </row>
    <row r="14" spans="1:12">
      <c r="E14" t="s">
        <v>73</v>
      </c>
      <c r="H14">
        <f>(F9-F17)/F17*100</f>
        <v>150</v>
      </c>
    </row>
    <row r="15" spans="1:12">
      <c r="I15">
        <f>(G10-G18)/G18*100</f>
        <v>16.359143122411279</v>
      </c>
    </row>
    <row r="16" spans="1:12" ht="65">
      <c r="A16" s="22" t="s">
        <v>187</v>
      </c>
      <c r="B16" s="22" t="s">
        <v>188</v>
      </c>
      <c r="C16" s="22" t="s">
        <v>189</v>
      </c>
      <c r="D16" s="22" t="s">
        <v>190</v>
      </c>
      <c r="E16" s="22" t="s">
        <v>191</v>
      </c>
      <c r="F16" s="22" t="s">
        <v>192</v>
      </c>
      <c r="G16" s="22" t="s">
        <v>193</v>
      </c>
    </row>
    <row r="17" spans="1:14">
      <c r="A17">
        <f>263.31/2</f>
        <v>131.655</v>
      </c>
      <c r="B17">
        <v>1542.21</v>
      </c>
      <c r="C17">
        <f>7*60</f>
        <v>420</v>
      </c>
      <c r="D17">
        <v>242.78</v>
      </c>
      <c r="E17">
        <f>SUM(A17:D17)</f>
        <v>2336.645</v>
      </c>
      <c r="F17" s="17">
        <v>1248</v>
      </c>
      <c r="G17">
        <v>19100</v>
      </c>
      <c r="H17" t="s">
        <v>3</v>
      </c>
    </row>
    <row r="18" spans="1:14">
      <c r="A18">
        <f xml:space="preserve"> 304.59/2</f>
        <v>152.29499999999999</v>
      </c>
      <c r="B18">
        <v>1441.11</v>
      </c>
      <c r="C18">
        <v>423</v>
      </c>
      <c r="D18">
        <v>239.64</v>
      </c>
      <c r="E18">
        <f>SUM(A18:D18)</f>
        <v>2256.0450000000001</v>
      </c>
      <c r="F18" t="s">
        <v>166</v>
      </c>
      <c r="G18">
        <f>AVERAGE(E17:E19)</f>
        <v>2279.3933333333334</v>
      </c>
    </row>
    <row r="19" spans="1:14">
      <c r="A19">
        <f>268.72/2</f>
        <v>134.36000000000001</v>
      </c>
      <c r="B19">
        <v>1446.79</v>
      </c>
      <c r="C19">
        <v>424</v>
      </c>
      <c r="D19">
        <v>240.34</v>
      </c>
      <c r="E19">
        <f>SUM(A19:D19)</f>
        <v>2245.4900000000002</v>
      </c>
      <c r="F19" t="s">
        <v>167</v>
      </c>
      <c r="G19">
        <f>1.96*(STDEV(E17:E19)/SQRT(3))</f>
        <v>56.423574207984203</v>
      </c>
    </row>
    <row r="21" spans="1:14">
      <c r="J21" t="s">
        <v>171</v>
      </c>
      <c r="K21" t="s">
        <v>172</v>
      </c>
      <c r="L21" t="s">
        <v>182</v>
      </c>
      <c r="M21" t="s">
        <v>183</v>
      </c>
    </row>
    <row r="22" spans="1:14">
      <c r="I22" t="s">
        <v>168</v>
      </c>
      <c r="J22">
        <v>2652.2825510560347</v>
      </c>
      <c r="K22">
        <v>2279.3933333333334</v>
      </c>
      <c r="L22">
        <v>81.442668757892889</v>
      </c>
      <c r="M22">
        <v>56.423574207984203</v>
      </c>
      <c r="N22">
        <f>(J22-K22)/J22*100</f>
        <v>14.059181499129171</v>
      </c>
    </row>
    <row r="23" spans="1:14">
      <c r="I23" t="s">
        <v>169</v>
      </c>
      <c r="J23">
        <v>4528.8221494252866</v>
      </c>
      <c r="K23">
        <v>4239.8133333333335</v>
      </c>
      <c r="L23">
        <v>74.786486497903951</v>
      </c>
      <c r="M23">
        <v>63.991437974886438</v>
      </c>
      <c r="N23">
        <f t="shared" ref="N23:N25" si="0">(J23-K23)/J23*100</f>
        <v>6.3815448378477111</v>
      </c>
    </row>
    <row r="24" spans="1:14">
      <c r="I24" t="s">
        <v>170</v>
      </c>
      <c r="J24">
        <v>8375.575505747127</v>
      </c>
      <c r="K24">
        <v>7884.0533333333333</v>
      </c>
      <c r="L24">
        <v>32.578079537658802</v>
      </c>
      <c r="M24">
        <v>91.174930715904665</v>
      </c>
      <c r="N24">
        <f t="shared" si="0"/>
        <v>5.8685181940813802</v>
      </c>
    </row>
    <row r="25" spans="1:14">
      <c r="I25" t="s">
        <v>175</v>
      </c>
      <c r="J25">
        <v>7606.7479195402293</v>
      </c>
      <c r="K25">
        <v>7884.0533333333333</v>
      </c>
      <c r="L25">
        <v>21.413892083092751</v>
      </c>
      <c r="M25">
        <v>91.174930715904665</v>
      </c>
      <c r="N25">
        <f t="shared" si="0"/>
        <v>-3.6455186464213076</v>
      </c>
    </row>
    <row r="27" spans="1:14">
      <c r="A27" s="21"/>
      <c r="B27" s="21"/>
      <c r="C27" s="21"/>
      <c r="D27" s="21"/>
      <c r="E27" s="21" t="s">
        <v>179</v>
      </c>
      <c r="F27" s="21"/>
      <c r="G27" s="21"/>
      <c r="H27" s="21"/>
      <c r="I27" s="21"/>
      <c r="J27" s="21"/>
      <c r="K27" s="21"/>
      <c r="L27" s="21"/>
    </row>
    <row r="28" spans="1:14" ht="65">
      <c r="A28" s="19" t="s">
        <v>45</v>
      </c>
      <c r="B28" s="19" t="s">
        <v>46</v>
      </c>
      <c r="C28" s="16" t="s">
        <v>21</v>
      </c>
      <c r="D28" s="16" t="s">
        <v>20</v>
      </c>
      <c r="E28" s="19" t="s">
        <v>125</v>
      </c>
      <c r="F28" s="16" t="s">
        <v>43</v>
      </c>
    </row>
    <row r="29" spans="1:14">
      <c r="A29">
        <f>B41+D41+A41</f>
        <v>3428.83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4819.4278160919539</v>
      </c>
      <c r="F29" s="17">
        <v>5932</v>
      </c>
    </row>
    <row r="30" spans="1:14">
      <c r="A30">
        <f>B42+D42+A42</f>
        <v>3433.0899999999997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4832.7978160919538</v>
      </c>
      <c r="F30" t="s">
        <v>166</v>
      </c>
      <c r="G30">
        <f>AVERAGE(E29:E31)</f>
        <v>4788.1521494252875</v>
      </c>
    </row>
    <row r="31" spans="1:14" s="2" customFormat="1">
      <c r="A31">
        <f>B43+D43+A43</f>
        <v>3328.52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4712.2308160919538</v>
      </c>
      <c r="F31" t="s">
        <v>167</v>
      </c>
      <c r="G31">
        <f>1.96*(STDEV(E29:E31)/SQRT(3))</f>
        <v>74.786486497903951</v>
      </c>
    </row>
    <row r="32" spans="1:14">
      <c r="E32" s="11"/>
      <c r="H32">
        <f>(F29-F41)/F41*100</f>
        <v>138.52030558906313</v>
      </c>
      <c r="M32" t="s">
        <v>0</v>
      </c>
    </row>
    <row r="33" spans="1:13">
      <c r="M33" t="s">
        <v>1</v>
      </c>
    </row>
    <row r="34" spans="1:13">
      <c r="M34" t="s">
        <v>2</v>
      </c>
    </row>
    <row r="36" spans="1:13">
      <c r="B36" t="s">
        <v>4</v>
      </c>
    </row>
    <row r="37" spans="1:13">
      <c r="H37">
        <f>(G30-G42)/G42*100</f>
        <v>12.933088628712127</v>
      </c>
    </row>
    <row r="40" spans="1:13" ht="65">
      <c r="A40" s="16" t="s">
        <v>126</v>
      </c>
      <c r="B40" s="16" t="s">
        <v>127</v>
      </c>
      <c r="C40" s="16" t="s">
        <v>128</v>
      </c>
      <c r="D40" s="16" t="s">
        <v>129</v>
      </c>
      <c r="E40" s="16" t="s">
        <v>130</v>
      </c>
      <c r="F40" s="16" t="s">
        <v>43</v>
      </c>
      <c r="G40" s="2" t="s">
        <v>44</v>
      </c>
    </row>
    <row r="41" spans="1:13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  <c r="H41">
        <v>18468</v>
      </c>
      <c r="I41">
        <f>2.487/20</f>
        <v>0.12435</v>
      </c>
      <c r="J41">
        <f>2.12/18.46</f>
        <v>0.11484290357529794</v>
      </c>
    </row>
    <row r="42" spans="1:13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2">SUM(A42:D42)</f>
        <v>4273.09</v>
      </c>
      <c r="F42" t="s">
        <v>166</v>
      </c>
      <c r="G42">
        <f>AVERAGE(E41:E43)</f>
        <v>4239.8133333333335</v>
      </c>
      <c r="I42" s="20" t="s">
        <v>177</v>
      </c>
    </row>
    <row r="43" spans="1:13">
      <c r="A43">
        <v>264.32</v>
      </c>
      <c r="B43">
        <v>2668.96</v>
      </c>
      <c r="C43">
        <v>846</v>
      </c>
      <c r="D43">
        <v>395.24</v>
      </c>
      <c r="E43">
        <f t="shared" si="2"/>
        <v>4174.5200000000004</v>
      </c>
      <c r="F43" t="s">
        <v>167</v>
      </c>
      <c r="G43">
        <f>1.96*(STDEV(E41:E43)/SQRT(3))</f>
        <v>63.991437974886438</v>
      </c>
      <c r="I43">
        <f>19029605*2</f>
        <v>38059210</v>
      </c>
    </row>
    <row r="45" spans="1:13">
      <c r="H45" t="s">
        <v>162</v>
      </c>
    </row>
    <row r="46" spans="1:13">
      <c r="C46" t="s">
        <v>74</v>
      </c>
      <c r="D46" t="s">
        <v>75</v>
      </c>
      <c r="F46" t="s">
        <v>76</v>
      </c>
    </row>
    <row r="52" spans="1:12" s="21" customFormat="1">
      <c r="E52" s="21" t="s">
        <v>181</v>
      </c>
    </row>
    <row r="53" spans="1:12">
      <c r="L53" s="2"/>
    </row>
    <row r="54" spans="1:12" ht="65">
      <c r="A54" s="19" t="s">
        <v>45</v>
      </c>
      <c r="B54" s="19" t="s">
        <v>46</v>
      </c>
      <c r="C54" s="16" t="s">
        <v>173</v>
      </c>
      <c r="D54" s="16" t="s">
        <v>174</v>
      </c>
      <c r="E54" s="19" t="s">
        <v>125</v>
      </c>
      <c r="F54" s="16" t="s">
        <v>43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1978.21</v>
      </c>
      <c r="E55" s="11">
        <f>MAX(A55:B55)+C55+D55</f>
        <v>8392.4551724137928</v>
      </c>
      <c r="F55" s="20">
        <v>8946</v>
      </c>
    </row>
    <row r="56" spans="1:12">
      <c r="A56">
        <v>6234.8459999999995</v>
      </c>
      <c r="B56">
        <v>5863.4129999999996</v>
      </c>
      <c r="C56" s="11">
        <f t="shared" ref="C56:C57" si="3">8946/43.5</f>
        <v>205.65517241379311</v>
      </c>
      <c r="D56">
        <v>1970.36</v>
      </c>
      <c r="E56" s="11">
        <f t="shared" ref="E56:E57" si="4">MAX(A56:B56)+C56+D56</f>
        <v>8410.8611724137936</v>
      </c>
      <c r="F56" t="s">
        <v>166</v>
      </c>
      <c r="G56">
        <f>AVERAGE(E55:E57)</f>
        <v>8385.9088390804609</v>
      </c>
    </row>
    <row r="57" spans="1:12">
      <c r="A57">
        <v>6163.4449999999997</v>
      </c>
      <c r="B57">
        <v>5811.2950000000001</v>
      </c>
      <c r="C57" s="11">
        <f t="shared" si="3"/>
        <v>205.65517241379311</v>
      </c>
      <c r="D57" s="2">
        <v>1985.31</v>
      </c>
      <c r="E57" s="11">
        <f t="shared" si="4"/>
        <v>8354.4101724137927</v>
      </c>
      <c r="F57" t="s">
        <v>167</v>
      </c>
      <c r="G57">
        <f>1.96*(STDEV(E55:E57)/SQRT(3))</f>
        <v>32.578079537658802</v>
      </c>
    </row>
    <row r="59" spans="1:12" ht="65">
      <c r="A59" s="16" t="s">
        <v>15</v>
      </c>
      <c r="B59" s="16" t="s">
        <v>16</v>
      </c>
      <c r="C59" s="16" t="s">
        <v>17</v>
      </c>
      <c r="D59" s="16" t="s">
        <v>18</v>
      </c>
      <c r="E59" s="16" t="s">
        <v>19</v>
      </c>
      <c r="F59" s="16" t="s">
        <v>43</v>
      </c>
      <c r="I59" s="20" t="s">
        <v>177</v>
      </c>
    </row>
    <row r="60" spans="1:12">
      <c r="A60">
        <f>1106/2</f>
        <v>553</v>
      </c>
      <c r="B60">
        <v>4859.67</v>
      </c>
      <c r="C60">
        <f>29*60+3</f>
        <v>1743</v>
      </c>
      <c r="D60">
        <v>795.92</v>
      </c>
      <c r="E60">
        <f>SUM(A60:D60)</f>
        <v>7951.59</v>
      </c>
      <c r="F60" s="17">
        <v>4425</v>
      </c>
      <c r="G60">
        <f>4.425/40</f>
        <v>0.110625</v>
      </c>
      <c r="I60">
        <f>38059210*2</f>
        <v>76118420</v>
      </c>
      <c r="K60" s="17"/>
    </row>
    <row r="61" spans="1:12">
      <c r="A61">
        <f>1120/2</f>
        <v>560</v>
      </c>
      <c r="B61">
        <v>4790.34</v>
      </c>
      <c r="C61">
        <f>28*60</f>
        <v>1680</v>
      </c>
      <c r="D61">
        <v>764.53</v>
      </c>
      <c r="E61">
        <f t="shared" ref="E61:E62" si="5">SUM(A61:D61)</f>
        <v>7794.87</v>
      </c>
      <c r="F61" t="s">
        <v>166</v>
      </c>
      <c r="G61">
        <f>AVERAGE(E60:E62)</f>
        <v>7884.0533333333333</v>
      </c>
    </row>
    <row r="62" spans="1:12">
      <c r="A62">
        <f>1103/2</f>
        <v>551.5</v>
      </c>
      <c r="B62">
        <v>4798.96</v>
      </c>
      <c r="C62">
        <f>29*60</f>
        <v>1740</v>
      </c>
      <c r="D62">
        <v>815.24</v>
      </c>
      <c r="E62">
        <f t="shared" si="5"/>
        <v>7905.7</v>
      </c>
      <c r="F62" t="s">
        <v>167</v>
      </c>
      <c r="G62">
        <f>1.96*(STDEV(E60:E62)/SQRT(3))</f>
        <v>91.174930715904665</v>
      </c>
    </row>
    <row r="63" spans="1:12">
      <c r="H63">
        <f>(F55-F60)/F60*100</f>
        <v>102.16949152542374</v>
      </c>
    </row>
    <row r="65" spans="1:10">
      <c r="B65" t="s">
        <v>5</v>
      </c>
    </row>
    <row r="66" spans="1:10" s="21" customFormat="1">
      <c r="E66" s="21" t="s">
        <v>178</v>
      </c>
    </row>
    <row r="70" spans="1:10" ht="65">
      <c r="A70" s="19" t="s">
        <v>45</v>
      </c>
      <c r="B70" s="19" t="s">
        <v>46</v>
      </c>
      <c r="C70" s="16" t="s">
        <v>13</v>
      </c>
      <c r="D70" s="16" t="s">
        <v>14</v>
      </c>
      <c r="E70" s="19" t="s">
        <v>125</v>
      </c>
      <c r="F70" s="16" t="s">
        <v>43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6">5952/43.5</f>
        <v>136.82758620689654</v>
      </c>
      <c r="D72">
        <v>1250.3599999999999</v>
      </c>
      <c r="E72" s="11">
        <f t="shared" ref="E72:E73" si="7">MAX(A72:B72)+C72+D72</f>
        <v>7622.033586206896</v>
      </c>
      <c r="F72" t="s">
        <v>166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6"/>
        <v>136.82758620689654</v>
      </c>
      <c r="D73" s="2">
        <v>1285.31</v>
      </c>
      <c r="E73" s="11">
        <f t="shared" si="7"/>
        <v>7585.5825862068959</v>
      </c>
      <c r="F73" t="s">
        <v>167</v>
      </c>
      <c r="G73">
        <f>1.96*(STDEV(E71:E73)/SQRT(3))</f>
        <v>21.413892083092751</v>
      </c>
    </row>
    <row r="78" spans="1:10">
      <c r="G78">
        <f>AVERAGE(D55:D57)</f>
        <v>1977.9599999999998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opLeftCell="A13" workbookViewId="0">
      <selection activeCell="E30" sqref="E30"/>
    </sheetView>
  </sheetViews>
  <sheetFormatPr baseColWidth="10" defaultRowHeight="13"/>
  <sheetData>
    <row r="1" spans="2:8">
      <c r="C1" t="s">
        <v>104</v>
      </c>
      <c r="D1" s="12" t="s">
        <v>97</v>
      </c>
      <c r="E1" s="13" t="s">
        <v>99</v>
      </c>
    </row>
    <row r="2" spans="2:8">
      <c r="B2" t="s">
        <v>36</v>
      </c>
      <c r="F2" s="14" t="s">
        <v>101</v>
      </c>
      <c r="G2" s="14"/>
      <c r="H2" t="s">
        <v>100</v>
      </c>
    </row>
    <row r="3" spans="2:8">
      <c r="C3" t="s">
        <v>105</v>
      </c>
      <c r="D3" s="12" t="s">
        <v>98</v>
      </c>
      <c r="E3" s="13" t="s">
        <v>67</v>
      </c>
    </row>
    <row r="7" spans="2:8">
      <c r="G7" t="s">
        <v>103</v>
      </c>
      <c r="H7" s="15" t="s">
        <v>110</v>
      </c>
    </row>
    <row r="8" spans="2:8">
      <c r="C8" t="s">
        <v>104</v>
      </c>
      <c r="D8" t="s">
        <v>96</v>
      </c>
      <c r="E8" t="s">
        <v>121</v>
      </c>
      <c r="F8" t="s">
        <v>102</v>
      </c>
      <c r="G8" t="s">
        <v>107</v>
      </c>
      <c r="H8" t="s">
        <v>111</v>
      </c>
    </row>
    <row r="9" spans="2:8">
      <c r="B9" t="s">
        <v>35</v>
      </c>
    </row>
    <row r="10" spans="2:8">
      <c r="C10" t="s">
        <v>106</v>
      </c>
      <c r="D10" t="s">
        <v>96</v>
      </c>
      <c r="E10" t="s">
        <v>121</v>
      </c>
      <c r="F10" t="s">
        <v>102</v>
      </c>
      <c r="G10" t="s">
        <v>109</v>
      </c>
      <c r="H10" t="s">
        <v>112</v>
      </c>
    </row>
    <row r="11" spans="2:8">
      <c r="G11" t="s">
        <v>108</v>
      </c>
      <c r="H11" s="15" t="s">
        <v>110</v>
      </c>
    </row>
    <row r="20" spans="1:12" ht="39">
      <c r="A20" s="2" t="s">
        <v>196</v>
      </c>
      <c r="B20" s="2" t="s">
        <v>83</v>
      </c>
      <c r="D20" s="2" t="s">
        <v>116</v>
      </c>
      <c r="E20" s="2" t="s">
        <v>115</v>
      </c>
      <c r="F20" s="2" t="s">
        <v>113</v>
      </c>
    </row>
    <row r="21" spans="1:12" s="2" customFormat="1">
      <c r="A21" t="s">
        <v>96</v>
      </c>
      <c r="B21" t="s">
        <v>78</v>
      </c>
      <c r="C21">
        <v>9862</v>
      </c>
      <c r="D21">
        <v>1109</v>
      </c>
      <c r="E21">
        <v>1106</v>
      </c>
      <c r="F21">
        <v>2215</v>
      </c>
      <c r="G21"/>
      <c r="H21"/>
      <c r="I21" t="s">
        <v>6</v>
      </c>
      <c r="J21"/>
      <c r="K21"/>
      <c r="L21"/>
    </row>
    <row r="22" spans="1:12">
      <c r="D22">
        <v>1139</v>
      </c>
      <c r="E22">
        <v>1132</v>
      </c>
      <c r="F22">
        <v>2271</v>
      </c>
      <c r="L22">
        <f>(98+92+93)/3</f>
        <v>94.333333333333329</v>
      </c>
    </row>
    <row r="23" spans="1:12">
      <c r="D23">
        <v>1162</v>
      </c>
      <c r="E23">
        <v>1160</v>
      </c>
      <c r="F23">
        <v>2322</v>
      </c>
    </row>
    <row r="24" spans="1:12">
      <c r="D24">
        <v>1189</v>
      </c>
      <c r="E24">
        <v>1206</v>
      </c>
      <c r="F24">
        <v>2395</v>
      </c>
    </row>
    <row r="26" spans="1:12">
      <c r="G26">
        <f>SUM(E21:E24,E27:E30)</f>
        <v>9267</v>
      </c>
      <c r="H26" t="s">
        <v>117</v>
      </c>
      <c r="I26" t="s">
        <v>118</v>
      </c>
    </row>
    <row r="27" spans="1:12">
      <c r="D27">
        <v>1114</v>
      </c>
      <c r="E27">
        <v>1107</v>
      </c>
      <c r="F27">
        <v>2349</v>
      </c>
    </row>
    <row r="28" spans="1:12">
      <c r="B28" t="s">
        <v>79</v>
      </c>
      <c r="C28">
        <v>9838</v>
      </c>
      <c r="D28">
        <v>1141</v>
      </c>
      <c r="E28">
        <v>1158</v>
      </c>
      <c r="F28">
        <v>2427</v>
      </c>
    </row>
    <row r="29" spans="1:12">
      <c r="D29">
        <v>1144</v>
      </c>
      <c r="E29">
        <v>1150</v>
      </c>
      <c r="F29">
        <v>2422</v>
      </c>
    </row>
    <row r="30" spans="1:12">
      <c r="D30">
        <v>1264</v>
      </c>
      <c r="E30">
        <v>1248</v>
      </c>
      <c r="F30">
        <v>2640</v>
      </c>
    </row>
    <row r="32" spans="1:12">
      <c r="D32" t="s">
        <v>72</v>
      </c>
    </row>
    <row r="34" spans="1:11">
      <c r="C34" t="s">
        <v>37</v>
      </c>
      <c r="D34" t="s">
        <v>114</v>
      </c>
      <c r="E34" t="s">
        <v>38</v>
      </c>
    </row>
    <row r="40" spans="1:11" ht="52">
      <c r="A40" s="2" t="s">
        <v>84</v>
      </c>
      <c r="B40" s="2" t="s">
        <v>83</v>
      </c>
      <c r="C40" s="2" t="s">
        <v>88</v>
      </c>
      <c r="D40" s="2" t="s">
        <v>116</v>
      </c>
      <c r="E40" s="2" t="s">
        <v>115</v>
      </c>
      <c r="F40" s="2" t="s">
        <v>89</v>
      </c>
      <c r="G40" s="2" t="s">
        <v>113</v>
      </c>
      <c r="H40" s="2" t="s">
        <v>91</v>
      </c>
      <c r="I40" s="2" t="s">
        <v>92</v>
      </c>
      <c r="K40" s="16" t="s">
        <v>32</v>
      </c>
    </row>
    <row r="41" spans="1:11">
      <c r="A41" t="s">
        <v>85</v>
      </c>
      <c r="B41" t="s">
        <v>86</v>
      </c>
      <c r="C41">
        <v>9862</v>
      </c>
      <c r="D41">
        <f>SUM('10GB'!D21:D24)</f>
        <v>4599</v>
      </c>
      <c r="E41">
        <f>SUM('10GB'!E21:E24)</f>
        <v>4604</v>
      </c>
      <c r="F41" t="s">
        <v>90</v>
      </c>
      <c r="G41">
        <v>7</v>
      </c>
      <c r="H41">
        <f>AVERAGE('10GB'!F21:F24)</f>
        <v>2300.75</v>
      </c>
      <c r="I41">
        <f>SUM(E41:E42)</f>
        <v>9267</v>
      </c>
      <c r="J41" s="18" t="s">
        <v>34</v>
      </c>
      <c r="K41" s="17">
        <f>MAX('10GB'!E21:E24,'10GB'!E27:E30)</f>
        <v>1248</v>
      </c>
    </row>
    <row r="42" spans="1:11">
      <c r="A42" t="s">
        <v>96</v>
      </c>
      <c r="B42" t="s">
        <v>87</v>
      </c>
      <c r="C42">
        <v>9838</v>
      </c>
      <c r="D42">
        <f>SUM('10GB'!D27:D30)</f>
        <v>4663</v>
      </c>
      <c r="E42">
        <f>SUM('10GB'!E27:E30)</f>
        <v>4663</v>
      </c>
      <c r="F42" t="s">
        <v>90</v>
      </c>
      <c r="G42">
        <v>7</v>
      </c>
      <c r="H42">
        <f>AVERAGE('10GB'!F27:F30)</f>
        <v>2459.5</v>
      </c>
      <c r="K42" s="17"/>
    </row>
    <row r="43" spans="1:11">
      <c r="J43" s="18" t="s">
        <v>33</v>
      </c>
      <c r="K43" s="17">
        <f>3120</f>
        <v>3120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"/>
  <sheetViews>
    <sheetView workbookViewId="0">
      <selection activeCell="C2" sqref="C2"/>
    </sheetView>
  </sheetViews>
  <sheetFormatPr baseColWidth="10" defaultRowHeight="13"/>
  <sheetData>
    <row r="1" spans="1:12" ht="65">
      <c r="A1" s="2" t="s">
        <v>84</v>
      </c>
      <c r="B1" s="2" t="s">
        <v>83</v>
      </c>
      <c r="C1" s="2" t="s">
        <v>88</v>
      </c>
      <c r="D1" s="2" t="s">
        <v>116</v>
      </c>
      <c r="E1" s="2" t="s">
        <v>31</v>
      </c>
      <c r="F1" s="2" t="s">
        <v>89</v>
      </c>
      <c r="G1" s="2" t="s">
        <v>28</v>
      </c>
      <c r="H1" s="2" t="s">
        <v>92</v>
      </c>
      <c r="K1" s="16" t="s">
        <v>32</v>
      </c>
    </row>
    <row r="2" spans="1:12">
      <c r="A2" t="s">
        <v>77</v>
      </c>
      <c r="B2" t="s">
        <v>86</v>
      </c>
      <c r="C2">
        <v>18468</v>
      </c>
      <c r="D2">
        <f>SUM(D11:D14)</f>
        <v>9172</v>
      </c>
      <c r="E2">
        <f>SUM(E11:E14)</f>
        <v>9184</v>
      </c>
      <c r="F2" t="s">
        <v>30</v>
      </c>
      <c r="G2" t="s">
        <v>29</v>
      </c>
      <c r="H2">
        <f>SUM(D2:D3)</f>
        <v>18456</v>
      </c>
      <c r="J2" s="18" t="s">
        <v>34</v>
      </c>
      <c r="K2" s="17">
        <f>MAX(E11:E14,E17:E20)</f>
        <v>2487</v>
      </c>
      <c r="L2">
        <f>18.46/20</f>
        <v>0.92300000000000004</v>
      </c>
    </row>
    <row r="3" spans="1:12">
      <c r="A3" t="s">
        <v>77</v>
      </c>
      <c r="B3" t="s">
        <v>87</v>
      </c>
      <c r="C3">
        <v>18468</v>
      </c>
      <c r="D3">
        <f>SUM(D17:D20)</f>
        <v>9284</v>
      </c>
      <c r="E3">
        <f>SUM(E17:E20)</f>
        <v>9296</v>
      </c>
      <c r="F3" t="s">
        <v>30</v>
      </c>
      <c r="G3" t="s">
        <v>29</v>
      </c>
      <c r="H3">
        <f>SUM(D2:D3)</f>
        <v>18456</v>
      </c>
      <c r="K3" s="17"/>
    </row>
    <row r="4" spans="1:12">
      <c r="J4" s="18" t="s">
        <v>33</v>
      </c>
      <c r="K4" s="17">
        <f>2980+2985</f>
        <v>5965</v>
      </c>
    </row>
    <row r="10" spans="1:12" ht="52">
      <c r="A10" s="2" t="s">
        <v>196</v>
      </c>
      <c r="B10" s="2" t="s">
        <v>83</v>
      </c>
      <c r="D10" s="2" t="s">
        <v>27</v>
      </c>
      <c r="E10" s="2" t="s">
        <v>82</v>
      </c>
      <c r="F10" s="2" t="s">
        <v>113</v>
      </c>
    </row>
    <row r="11" spans="1:12">
      <c r="A11" t="s">
        <v>77</v>
      </c>
      <c r="B11" t="s">
        <v>78</v>
      </c>
      <c r="C11">
        <v>18468</v>
      </c>
      <c r="D11">
        <v>2209</v>
      </c>
      <c r="E11">
        <v>2205</v>
      </c>
      <c r="F11">
        <v>4434</v>
      </c>
    </row>
    <row r="12" spans="1:12">
      <c r="D12">
        <v>2374</v>
      </c>
      <c r="E12">
        <v>2405</v>
      </c>
      <c r="F12">
        <v>4799</v>
      </c>
    </row>
    <row r="13" spans="1:12">
      <c r="D13">
        <v>2318</v>
      </c>
      <c r="E13">
        <v>2313</v>
      </c>
      <c r="F13">
        <v>4651</v>
      </c>
    </row>
    <row r="14" spans="1:12">
      <c r="D14">
        <v>2271</v>
      </c>
      <c r="E14">
        <v>2261</v>
      </c>
      <c r="F14">
        <v>4552</v>
      </c>
      <c r="I14" t="s">
        <v>10</v>
      </c>
    </row>
    <row r="16" spans="1:12">
      <c r="D16" t="s">
        <v>114</v>
      </c>
      <c r="E16" t="s">
        <v>80</v>
      </c>
      <c r="F16" t="s">
        <v>81</v>
      </c>
    </row>
    <row r="17" spans="2:6">
      <c r="D17">
        <v>2218</v>
      </c>
      <c r="E17">
        <v>2207</v>
      </c>
      <c r="F17">
        <v>4553</v>
      </c>
    </row>
    <row r="18" spans="2:6">
      <c r="B18" t="s">
        <v>79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5"/>
  <sheetViews>
    <sheetView workbookViewId="0">
      <selection activeCell="D26" sqref="D26"/>
    </sheetView>
  </sheetViews>
  <sheetFormatPr baseColWidth="10" defaultRowHeight="13"/>
  <sheetData>
    <row r="1" spans="1:11" ht="65">
      <c r="A1" s="2" t="s">
        <v>84</v>
      </c>
      <c r="B1" s="2" t="s">
        <v>83</v>
      </c>
      <c r="C1" s="2" t="s">
        <v>88</v>
      </c>
      <c r="D1" s="2" t="s">
        <v>116</v>
      </c>
      <c r="E1" s="2" t="s">
        <v>31</v>
      </c>
      <c r="F1" s="2" t="s">
        <v>89</v>
      </c>
      <c r="G1" s="2" t="s">
        <v>28</v>
      </c>
      <c r="H1" s="2" t="s">
        <v>92</v>
      </c>
      <c r="K1" s="16" t="s">
        <v>32</v>
      </c>
    </row>
    <row r="2" spans="1:11">
      <c r="A2" t="s">
        <v>22</v>
      </c>
      <c r="B2" t="s">
        <v>86</v>
      </c>
      <c r="C2">
        <v>36454.269</v>
      </c>
      <c r="D2">
        <f>SUM(D11:D14)</f>
        <v>17462</v>
      </c>
      <c r="E2">
        <f>SUM(E11:E14)</f>
        <v>17233</v>
      </c>
      <c r="F2" t="s">
        <v>30</v>
      </c>
      <c r="G2" t="s">
        <v>26</v>
      </c>
      <c r="H2">
        <f>SUM(D2:D3)</f>
        <v>34978</v>
      </c>
      <c r="J2" s="18" t="s">
        <v>34</v>
      </c>
      <c r="K2" s="17">
        <f>MAX(E11:E14,E17:E20)</f>
        <v>4425</v>
      </c>
    </row>
    <row r="3" spans="1:11">
      <c r="A3" t="s">
        <v>23</v>
      </c>
      <c r="B3" t="s">
        <v>87</v>
      </c>
      <c r="C3">
        <v>36454.269</v>
      </c>
      <c r="D3">
        <f>SUM(D17:D20)</f>
        <v>17516</v>
      </c>
      <c r="E3">
        <f>SUM(E17:E20)</f>
        <v>17123</v>
      </c>
      <c r="F3" t="s">
        <v>30</v>
      </c>
      <c r="G3" t="s">
        <v>26</v>
      </c>
      <c r="H3">
        <f>SUM(D2:D3)</f>
        <v>34978</v>
      </c>
      <c r="K3" s="17"/>
    </row>
    <row r="4" spans="1:11">
      <c r="J4" s="18" t="s">
        <v>33</v>
      </c>
      <c r="K4" s="17">
        <f>5952</f>
        <v>5952</v>
      </c>
    </row>
    <row r="10" spans="1:11" ht="52">
      <c r="A10" s="2" t="s">
        <v>196</v>
      </c>
      <c r="B10" s="2" t="s">
        <v>83</v>
      </c>
      <c r="D10" s="2" t="s">
        <v>27</v>
      </c>
      <c r="E10" s="2" t="s">
        <v>82</v>
      </c>
      <c r="F10" s="2" t="s">
        <v>113</v>
      </c>
    </row>
    <row r="11" spans="1:11">
      <c r="A11" t="s">
        <v>8</v>
      </c>
      <c r="B11" t="s">
        <v>78</v>
      </c>
      <c r="C11">
        <v>36454.269</v>
      </c>
      <c r="D11">
        <v>4211</v>
      </c>
      <c r="E11">
        <v>4216</v>
      </c>
      <c r="F11">
        <v>8427</v>
      </c>
      <c r="H11">
        <f>'40GB'!E11/'40GB'!C11*100</f>
        <v>11.565174986775897</v>
      </c>
    </row>
    <row r="12" spans="1:11">
      <c r="D12">
        <v>4743</v>
      </c>
      <c r="E12">
        <v>4425</v>
      </c>
      <c r="F12">
        <v>9168</v>
      </c>
      <c r="H12">
        <f>'40GB'!E12/'40GB'!C11*100</f>
        <v>12.138496042809143</v>
      </c>
      <c r="I12" t="s">
        <v>7</v>
      </c>
    </row>
    <row r="13" spans="1:11">
      <c r="D13">
        <v>4381</v>
      </c>
      <c r="E13">
        <v>4331</v>
      </c>
      <c r="F13">
        <v>8712</v>
      </c>
      <c r="H13">
        <f>'40GB'!E13/'40GB'!C11*100</f>
        <v>11.880638725741559</v>
      </c>
    </row>
    <row r="14" spans="1:11">
      <c r="D14">
        <v>4127</v>
      </c>
      <c r="E14">
        <v>4261</v>
      </c>
      <c r="F14">
        <v>8388</v>
      </c>
      <c r="H14">
        <f>'40GB'!E14/'40GB'!C11*100</f>
        <v>11.688617319414634</v>
      </c>
    </row>
    <row r="16" spans="1:11">
      <c r="D16" t="s">
        <v>114</v>
      </c>
      <c r="E16" t="s">
        <v>24</v>
      </c>
      <c r="F16" t="s">
        <v>25</v>
      </c>
    </row>
    <row r="17" spans="1:8">
      <c r="D17">
        <v>4224</v>
      </c>
      <c r="E17">
        <v>4229</v>
      </c>
      <c r="F17">
        <v>8453</v>
      </c>
      <c r="H17">
        <f>'40GB'!E17/'40GB'!C18*100</f>
        <v>11.600836105093755</v>
      </c>
    </row>
    <row r="18" spans="1:8">
      <c r="A18" t="s">
        <v>9</v>
      </c>
      <c r="B18" t="s">
        <v>79</v>
      </c>
      <c r="C18">
        <v>36454.269</v>
      </c>
      <c r="D18">
        <v>4740</v>
      </c>
      <c r="E18">
        <v>4328</v>
      </c>
      <c r="F18">
        <v>9068</v>
      </c>
      <c r="H18">
        <f>'40GB'!E18/'40GB'!C18*100</f>
        <v>11.872409236898976</v>
      </c>
    </row>
    <row r="19" spans="1:8">
      <c r="D19">
        <v>4387</v>
      </c>
      <c r="E19">
        <v>4329</v>
      </c>
      <c r="F19">
        <v>8716</v>
      </c>
      <c r="H19">
        <f>'40GB'!E19/18468</f>
        <v>0.23440545808966862</v>
      </c>
    </row>
    <row r="20" spans="1:8">
      <c r="D20">
        <v>4165</v>
      </c>
      <c r="E20">
        <v>4237</v>
      </c>
      <c r="F20">
        <v>8402</v>
      </c>
      <c r="H20">
        <f>'40GB'!E20/18468</f>
        <v>0.22942386831275721</v>
      </c>
    </row>
    <row r="25" spans="1:8">
      <c r="D25">
        <f>36.54/40</f>
        <v>0.91349999999999998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workbookViewId="0">
      <selection activeCell="I30" sqref="I30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154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39</v>
      </c>
      <c r="B2" s="19" t="s">
        <v>40</v>
      </c>
      <c r="C2" s="16" t="s">
        <v>41</v>
      </c>
      <c r="D2" s="16" t="s">
        <v>186</v>
      </c>
      <c r="E2" s="16" t="s">
        <v>184</v>
      </c>
      <c r="F2" s="19" t="s">
        <v>42</v>
      </c>
      <c r="G2" s="16" t="s">
        <v>43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166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167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11" spans="1:16" ht="65">
      <c r="A11" s="22" t="s">
        <v>187</v>
      </c>
      <c r="B11" s="22" t="s">
        <v>188</v>
      </c>
      <c r="C11" s="22" t="s">
        <v>189</v>
      </c>
      <c r="D11" s="22" t="s">
        <v>190</v>
      </c>
      <c r="E11" s="22" t="s">
        <v>191</v>
      </c>
      <c r="F11" s="22" t="s">
        <v>192</v>
      </c>
      <c r="G11" s="22" t="s">
        <v>193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332.85</v>
      </c>
      <c r="E12">
        <f>SUM(A12:D12)</f>
        <v>2453.4966666666664</v>
      </c>
      <c r="F12" s="17">
        <v>1264</v>
      </c>
      <c r="G12">
        <v>28396</v>
      </c>
      <c r="L12" t="s">
        <v>143</v>
      </c>
      <c r="M12" t="s">
        <v>144</v>
      </c>
      <c r="N12" t="s">
        <v>159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339.45</v>
      </c>
      <c r="E13">
        <f>SUM(A13:D13)</f>
        <v>2363.4366666666665</v>
      </c>
      <c r="F13" s="20" t="s">
        <v>166</v>
      </c>
      <c r="G13">
        <f>AVERAGE(E12:E14)</f>
        <v>2416.8599999999997</v>
      </c>
      <c r="K13" t="s">
        <v>157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345.76</v>
      </c>
      <c r="E14">
        <f>SUM(A14:D14)</f>
        <v>2433.6466666666665</v>
      </c>
      <c r="F14" s="20" t="s">
        <v>167</v>
      </c>
      <c r="G14">
        <f>1.96*(STDEV(E12:E14)/SQRT(3))</f>
        <v>53.54597837390223</v>
      </c>
      <c r="K14" t="s">
        <v>158</v>
      </c>
      <c r="L14">
        <v>2416.8599999999997</v>
      </c>
      <c r="M14">
        <v>4321.2044444444446</v>
      </c>
    </row>
    <row r="17" spans="1:14">
      <c r="K17" t="s">
        <v>160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161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145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45</v>
      </c>
      <c r="B22" s="19" t="s">
        <v>46</v>
      </c>
      <c r="C22" s="16" t="s">
        <v>21</v>
      </c>
      <c r="D22" s="16" t="s">
        <v>146</v>
      </c>
      <c r="E22" s="16" t="s">
        <v>147</v>
      </c>
      <c r="F22" s="19" t="s">
        <v>125</v>
      </c>
      <c r="G22" s="16" t="s">
        <v>43</v>
      </c>
    </row>
    <row r="23" spans="1:14">
      <c r="A23">
        <f>B30+D30+A30</f>
        <v>3437.1733333333336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5530.8511494252871</v>
      </c>
      <c r="G23" s="17">
        <v>5932</v>
      </c>
    </row>
    <row r="24" spans="1:14">
      <c r="A24">
        <f>B31+D31+A31</f>
        <v>3358.99</v>
      </c>
      <c r="B24">
        <v>2837.6559999999999</v>
      </c>
      <c r="C24" s="11">
        <f t="shared" ref="C24:C25" si="0">5932/43.5</f>
        <v>136.36781609195401</v>
      </c>
      <c r="D24" s="11">
        <v>0</v>
      </c>
      <c r="E24">
        <v>1964.54</v>
      </c>
      <c r="F24" s="11">
        <f>MAX(A24:B24)+C24+E24</f>
        <v>5459.8978160919542</v>
      </c>
      <c r="G24" t="s">
        <v>166</v>
      </c>
      <c r="H24">
        <f>AVERAGE(F23:F25)</f>
        <v>5538.1189272030651</v>
      </c>
    </row>
    <row r="25" spans="1:14">
      <c r="A25">
        <f>B32+D32+A32</f>
        <v>3508.45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5623.6078160919533</v>
      </c>
      <c r="G25" t="s">
        <v>167</v>
      </c>
      <c r="H25">
        <f>1.96*(STDEV(F23:F25)/SQRT(3))</f>
        <v>92.901081114213085</v>
      </c>
      <c r="I25" s="2"/>
      <c r="J25" s="2"/>
      <c r="K25" s="2"/>
      <c r="L25" s="2"/>
    </row>
    <row r="26" spans="1:14">
      <c r="E26" s="11"/>
    </row>
    <row r="29" spans="1:14" ht="65">
      <c r="A29" s="22" t="s">
        <v>187</v>
      </c>
      <c r="B29" s="22" t="s">
        <v>188</v>
      </c>
      <c r="C29" s="22" t="s">
        <v>189</v>
      </c>
      <c r="D29" s="22" t="s">
        <v>190</v>
      </c>
      <c r="E29" s="22" t="s">
        <v>191</v>
      </c>
      <c r="F29" s="22" t="s">
        <v>192</v>
      </c>
      <c r="G29" s="22" t="s">
        <v>193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415.92</v>
      </c>
      <c r="E30">
        <f>SUM(A30:D30)</f>
        <v>4290.1733333333332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404.53</v>
      </c>
      <c r="E31">
        <f t="shared" ref="E31:E32" si="1">SUM(A31:D31)</f>
        <v>4258.99</v>
      </c>
      <c r="F31" s="20" t="s">
        <v>151</v>
      </c>
      <c r="G31">
        <f>AVERAGE(E30:E32)</f>
        <v>4321.2044444444446</v>
      </c>
    </row>
    <row r="32" spans="1:14">
      <c r="A32">
        <v>269.72000000000003</v>
      </c>
      <c r="B32">
        <v>2843.49</v>
      </c>
      <c r="C32">
        <v>906</v>
      </c>
      <c r="D32">
        <v>395.24</v>
      </c>
      <c r="E32">
        <f t="shared" si="1"/>
        <v>4414.45</v>
      </c>
      <c r="F32" s="20" t="s">
        <v>152</v>
      </c>
      <c r="G32">
        <f>1.96*(STDEV(E30:E32)/SQRT(3))</f>
        <v>93.068361548559992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153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45</v>
      </c>
      <c r="B37" s="19" t="s">
        <v>46</v>
      </c>
      <c r="C37" s="16" t="s">
        <v>173</v>
      </c>
      <c r="D37" s="16" t="s">
        <v>155</v>
      </c>
      <c r="E37" s="16" t="s">
        <v>156</v>
      </c>
      <c r="F37" s="19" t="s">
        <v>125</v>
      </c>
      <c r="G37" s="16" t="s">
        <v>43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166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167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187</v>
      </c>
      <c r="B44" s="22" t="s">
        <v>188</v>
      </c>
      <c r="C44" s="22" t="s">
        <v>189</v>
      </c>
      <c r="D44" s="22" t="s">
        <v>190</v>
      </c>
      <c r="E44" s="22" t="s">
        <v>191</v>
      </c>
      <c r="F44" s="22" t="s">
        <v>192</v>
      </c>
      <c r="G44" s="22" t="s">
        <v>193</v>
      </c>
    </row>
    <row r="45" spans="1:12">
      <c r="A45">
        <f>1200/3</f>
        <v>400</v>
      </c>
      <c r="F45" s="17"/>
    </row>
    <row r="46" spans="1:12">
      <c r="A46">
        <f>1161/3</f>
        <v>387</v>
      </c>
      <c r="F46" s="20"/>
    </row>
    <row r="47" spans="1:12">
      <c r="F47" s="20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workbookViewId="0">
      <selection activeCell="F32" sqref="F32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196</v>
      </c>
      <c r="B7" s="2" t="s">
        <v>83</v>
      </c>
      <c r="C7" s="2" t="s">
        <v>131</v>
      </c>
      <c r="D7" s="2" t="s">
        <v>132</v>
      </c>
      <c r="E7" s="2" t="s">
        <v>113</v>
      </c>
      <c r="F7" s="2" t="s">
        <v>116</v>
      </c>
      <c r="G7" s="2" t="s">
        <v>115</v>
      </c>
      <c r="H7" s="2" t="s">
        <v>115</v>
      </c>
      <c r="J7" s="2" t="s">
        <v>140</v>
      </c>
    </row>
    <row r="8" spans="1:12">
      <c r="A8" t="s">
        <v>96</v>
      </c>
      <c r="B8" t="s">
        <v>78</v>
      </c>
      <c r="C8">
        <v>9862</v>
      </c>
      <c r="D8" t="s">
        <v>195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12</v>
      </c>
    </row>
    <row r="9" spans="1:12">
      <c r="D9" t="s">
        <v>133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134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141</v>
      </c>
    </row>
    <row r="12" spans="1:12">
      <c r="B12" t="s">
        <v>79</v>
      </c>
      <c r="C12">
        <v>9267</v>
      </c>
      <c r="D12" t="s">
        <v>135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136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149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142</v>
      </c>
    </row>
    <row r="16" spans="1:12">
      <c r="K16">
        <f>SUM(C8+C12+C17)</f>
        <v>28396</v>
      </c>
    </row>
    <row r="17" spans="2:10">
      <c r="B17" t="s">
        <v>194</v>
      </c>
      <c r="C17">
        <v>9267</v>
      </c>
      <c r="D17" t="s">
        <v>150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139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25"/>
  <sheetViews>
    <sheetView topLeftCell="B1" workbookViewId="0">
      <selection activeCell="J31" sqref="J31"/>
    </sheetView>
  </sheetViews>
  <sheetFormatPr baseColWidth="10" defaultRowHeight="13"/>
  <sheetData>
    <row r="7" spans="1:12" ht="39">
      <c r="A7" s="2" t="s">
        <v>196</v>
      </c>
      <c r="B7" s="2" t="s">
        <v>83</v>
      </c>
      <c r="C7" s="2" t="s">
        <v>131</v>
      </c>
      <c r="D7" s="2" t="s">
        <v>132</v>
      </c>
      <c r="E7" s="2" t="s">
        <v>113</v>
      </c>
      <c r="F7" s="2" t="s">
        <v>116</v>
      </c>
      <c r="G7" s="2" t="s">
        <v>115</v>
      </c>
      <c r="H7" s="2" t="s">
        <v>115</v>
      </c>
      <c r="J7" s="2" t="s">
        <v>140</v>
      </c>
    </row>
    <row r="8" spans="1:12">
      <c r="A8" t="s">
        <v>148</v>
      </c>
      <c r="B8" t="s">
        <v>78</v>
      </c>
      <c r="C8">
        <v>18468</v>
      </c>
      <c r="D8" t="s">
        <v>195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12</v>
      </c>
    </row>
    <row r="9" spans="1:12">
      <c r="D9" t="s">
        <v>133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134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141</v>
      </c>
    </row>
    <row r="12" spans="1:12">
      <c r="B12" t="s">
        <v>79</v>
      </c>
      <c r="C12">
        <v>18468</v>
      </c>
      <c r="D12" t="s">
        <v>135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136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137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142</v>
      </c>
    </row>
    <row r="16" spans="1:12">
      <c r="K16">
        <f>SUM(C8+C12+C17)</f>
        <v>55404</v>
      </c>
    </row>
    <row r="17" spans="2:10">
      <c r="B17" t="s">
        <v>194</v>
      </c>
      <c r="C17">
        <v>18468</v>
      </c>
      <c r="D17" t="s">
        <v>138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139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  <row r="25" spans="2:10">
      <c r="H25" t="s">
        <v>11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2012-02-26T07:48:46Z</dcterms:modified>
</cp:coreProperties>
</file>