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405"/>
  <workbookPr date1904="1" showInkAnnotation="0" autoCompressPictures="0"/>
  <bookViews>
    <workbookView xWindow="0" yWindow="0" windowWidth="25600" windowHeight="16060" tabRatio="500" activeTab="2"/>
  </bookViews>
  <sheets>
    <sheet name="GS data" sheetId="1" r:id="rId1"/>
    <sheet name="GS data analysis" sheetId="2" r:id="rId2"/>
    <sheet name="Sheet1" sheetId="3" r:id="rId3"/>
  </sheets>
  <externalReferences>
    <externalReference r:id="rId4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8" i="1" l="1"/>
  <c r="E157" i="1"/>
  <c r="E156" i="1"/>
  <c r="Q150" i="1"/>
  <c r="P150" i="1"/>
  <c r="L150" i="1"/>
  <c r="K150" i="1"/>
  <c r="G150" i="1"/>
  <c r="F150" i="1"/>
  <c r="Q149" i="1"/>
  <c r="P149" i="1"/>
  <c r="L149" i="1"/>
  <c r="K149" i="1"/>
  <c r="G149" i="1"/>
  <c r="F149" i="1"/>
  <c r="Q148" i="1"/>
  <c r="P148" i="1"/>
  <c r="L148" i="1"/>
  <c r="K148" i="1"/>
  <c r="G148" i="1"/>
  <c r="F148" i="1"/>
  <c r="B143" i="1"/>
  <c r="B142" i="1"/>
  <c r="B141" i="1"/>
  <c r="B133" i="1"/>
  <c r="B132" i="1"/>
  <c r="B131" i="1"/>
  <c r="O124" i="1"/>
  <c r="B124" i="1"/>
  <c r="O123" i="1"/>
  <c r="B123" i="1"/>
  <c r="O122" i="1"/>
  <c r="Q122" i="1"/>
  <c r="P122" i="1"/>
  <c r="B122" i="1"/>
  <c r="L90" i="1"/>
  <c r="K90" i="1"/>
  <c r="G90" i="1"/>
  <c r="F90" i="1"/>
  <c r="B90" i="1"/>
  <c r="L89" i="1"/>
  <c r="K89" i="1"/>
  <c r="G89" i="1"/>
  <c r="F89" i="1"/>
  <c r="B89" i="1"/>
  <c r="L88" i="1"/>
  <c r="K88" i="1"/>
  <c r="G88" i="1"/>
  <c r="F88" i="1"/>
  <c r="B88" i="1"/>
  <c r="B83" i="1"/>
  <c r="B82" i="1"/>
  <c r="B81" i="1"/>
  <c r="B76" i="1"/>
  <c r="B75" i="1"/>
  <c r="B74" i="1"/>
  <c r="B69" i="1"/>
  <c r="B68" i="1"/>
  <c r="B67" i="1"/>
  <c r="F36" i="1"/>
  <c r="F35" i="1"/>
  <c r="F34" i="1"/>
  <c r="F33" i="1"/>
  <c r="N28" i="1"/>
  <c r="M28" i="1"/>
  <c r="L28" i="1"/>
  <c r="K28" i="1"/>
  <c r="N27" i="1"/>
  <c r="M27" i="1"/>
  <c r="L27" i="1"/>
  <c r="K27" i="1"/>
  <c r="N26" i="1"/>
  <c r="M26" i="1"/>
  <c r="L26" i="1"/>
  <c r="K26" i="1"/>
  <c r="N25" i="1"/>
  <c r="M25" i="1"/>
  <c r="L25" i="1"/>
  <c r="K25" i="1"/>
  <c r="B21" i="1"/>
  <c r="B20" i="1"/>
  <c r="B19" i="1"/>
  <c r="B18" i="1"/>
  <c r="B13" i="1"/>
  <c r="B12" i="1"/>
  <c r="B11" i="1"/>
  <c r="B10" i="1"/>
  <c r="B6" i="1"/>
  <c r="B5" i="1"/>
  <c r="B4" i="1"/>
  <c r="B3" i="1"/>
  <c r="C83" i="2"/>
  <c r="C82" i="2"/>
  <c r="C81" i="2"/>
  <c r="C8" i="2"/>
  <c r="C7" i="2"/>
  <c r="C6" i="2"/>
  <c r="C5" i="2"/>
  <c r="U110" i="3"/>
  <c r="U111" i="3"/>
  <c r="V73" i="3"/>
  <c r="Z73" i="3"/>
  <c r="C66" i="3"/>
  <c r="M74" i="3"/>
  <c r="V74" i="3"/>
  <c r="Z74" i="3"/>
  <c r="V72" i="3"/>
  <c r="Z72" i="3"/>
  <c r="T19" i="3"/>
  <c r="T18" i="3"/>
  <c r="T17" i="3"/>
  <c r="L9" i="3"/>
  <c r="K36" i="3"/>
  <c r="K35" i="3"/>
  <c r="O73" i="3"/>
  <c r="P73" i="3"/>
  <c r="R73" i="3"/>
  <c r="S73" i="3"/>
  <c r="O72" i="3"/>
  <c r="R72" i="3"/>
  <c r="S72" i="3"/>
  <c r="O74" i="3"/>
  <c r="Q74" i="3"/>
  <c r="R74" i="3"/>
  <c r="S74" i="3"/>
  <c r="P29" i="3"/>
  <c r="R29" i="3"/>
  <c r="P28" i="3"/>
  <c r="R28" i="3"/>
  <c r="M27" i="3"/>
  <c r="P27" i="3"/>
  <c r="R27" i="3"/>
  <c r="E66" i="3"/>
  <c r="G66" i="3"/>
  <c r="E67" i="3"/>
  <c r="G67" i="3"/>
  <c r="G68" i="3"/>
  <c r="I66" i="3"/>
  <c r="H66" i="3"/>
  <c r="F38" i="3"/>
  <c r="E38" i="3"/>
  <c r="D37" i="3"/>
  <c r="E37" i="3"/>
  <c r="C61" i="3"/>
  <c r="G61" i="3"/>
  <c r="G62" i="3"/>
  <c r="C63" i="3"/>
  <c r="E63" i="3"/>
  <c r="G63" i="3"/>
  <c r="I61" i="3"/>
  <c r="H61" i="3"/>
  <c r="C57" i="3"/>
  <c r="G57" i="3"/>
  <c r="C58" i="3"/>
  <c r="G58" i="3"/>
  <c r="C59" i="3"/>
  <c r="G59" i="3"/>
  <c r="I57" i="3"/>
  <c r="H57" i="3"/>
  <c r="C82" i="3"/>
  <c r="C81" i="3"/>
  <c r="G81" i="3"/>
  <c r="G82" i="3"/>
  <c r="C80" i="3"/>
  <c r="G80" i="3"/>
  <c r="B90" i="3"/>
  <c r="P15" i="3"/>
  <c r="P14" i="3"/>
  <c r="P13" i="3"/>
  <c r="G14" i="3"/>
  <c r="F14" i="3"/>
  <c r="F13" i="3"/>
  <c r="E13" i="3"/>
  <c r="I13" i="3"/>
  <c r="I14" i="3"/>
  <c r="D13" i="3"/>
  <c r="H13" i="3"/>
  <c r="H14" i="3"/>
  <c r="G13" i="3"/>
  <c r="F12" i="3"/>
  <c r="I12" i="3"/>
  <c r="H12" i="3"/>
  <c r="G12" i="3"/>
  <c r="E5" i="3"/>
  <c r="H5" i="3"/>
  <c r="K5" i="3"/>
  <c r="M5" i="3"/>
  <c r="E6" i="3"/>
  <c r="H6" i="3"/>
  <c r="K6" i="3"/>
  <c r="M6" i="3"/>
  <c r="E7" i="3"/>
  <c r="H7" i="3"/>
  <c r="K7" i="3"/>
  <c r="M7" i="3"/>
  <c r="O5" i="3"/>
  <c r="Q28" i="3"/>
  <c r="Q29" i="3"/>
  <c r="Q27" i="3"/>
  <c r="N6" i="3"/>
  <c r="N7" i="3"/>
  <c r="N5" i="3"/>
  <c r="B19" i="3"/>
</calcChain>
</file>

<file path=xl/sharedStrings.xml><?xml version="1.0" encoding="utf-8"?>
<sst xmlns="http://schemas.openxmlformats.org/spreadsheetml/2006/main" count="401" uniqueCount="189">
  <si>
    <t>stderr chunk time</t>
    <phoneticPr fontId="2" type="noConversion"/>
  </si>
  <si>
    <t>mean map phase</t>
    <phoneticPr fontId="2" type="noConversion"/>
  </si>
  <si>
    <t>stderr in map phase</t>
    <phoneticPr fontId="2" type="noConversion"/>
  </si>
  <si>
    <t>mean reduce phase</t>
    <phoneticPr fontId="2" type="noConversion"/>
  </si>
  <si>
    <t>stderr reduce phase</t>
    <phoneticPr fontId="2" type="noConversion"/>
  </si>
  <si>
    <t>stderr of map phase</t>
    <phoneticPr fontId="2" type="noConversion"/>
  </si>
  <si>
    <t>Varying Input size, chunk size=62500 reads, number of reduces=8, number of workers=32</t>
  </si>
  <si>
    <t>Varying number of workers, input size = 10 GB, reduces = 8, Number of reads/ chunk=625000</t>
  </si>
  <si>
    <t>Setup</t>
    <phoneticPr fontId="2" type="noConversion"/>
  </si>
  <si>
    <t>Map</t>
    <phoneticPr fontId="2" type="noConversion"/>
  </si>
  <si>
    <t>Shuffle</t>
    <phoneticPr fontId="2" type="noConversion"/>
  </si>
  <si>
    <t>Reduce</t>
    <phoneticPr fontId="2" type="noConversion"/>
  </si>
  <si>
    <t>Total</t>
    <phoneticPr fontId="2" type="noConversion"/>
  </si>
  <si>
    <t>stderr in setup</t>
    <phoneticPr fontId="2" type="noConversion"/>
  </si>
  <si>
    <t>stderr in map</t>
    <phoneticPr fontId="2" type="noConversion"/>
  </si>
  <si>
    <t>stderr I shuffle</t>
    <phoneticPr fontId="2" type="noConversion"/>
  </si>
  <si>
    <t>number of reads</t>
    <phoneticPr fontId="2" type="noConversion"/>
  </si>
  <si>
    <t>Mean Map phase</t>
    <phoneticPr fontId="2" type="noConversion"/>
  </si>
  <si>
    <t>stderr for map phase</t>
    <phoneticPr fontId="2" type="noConversion"/>
  </si>
  <si>
    <t>mean reduce phase</t>
    <phoneticPr fontId="2" type="noConversion"/>
  </si>
  <si>
    <t>stderr for reduce phase</t>
    <phoneticPr fontId="2" type="noConversion"/>
  </si>
  <si>
    <t xml:space="preserve">Mean </t>
    <phoneticPr fontId="2" type="noConversion"/>
  </si>
  <si>
    <t>Stdev</t>
    <phoneticPr fontId="2" type="noConversion"/>
  </si>
  <si>
    <t>Remaining is Filedelimiter which I used.</t>
    <phoneticPr fontId="2" type="noConversion"/>
  </si>
  <si>
    <t>Varying Input size - I</t>
    <phoneticPr fontId="2" type="noConversion"/>
  </si>
  <si>
    <t>Input Data size(GB)</t>
    <phoneticPr fontId="2" type="noConversion"/>
  </si>
  <si>
    <t>duplicate  data size in GB</t>
    <phoneticPr fontId="2" type="noConversion"/>
  </si>
  <si>
    <t>Varying Input size - II</t>
    <phoneticPr fontId="2" type="noConversion"/>
  </si>
  <si>
    <t>calculate tim taken for each map task.</t>
    <phoneticPr fontId="2" type="noConversion"/>
  </si>
  <si>
    <t>calculate time for launching map task.</t>
    <phoneticPr fontId="2" type="noConversion"/>
  </si>
  <si>
    <t>Input Data size(GB)</t>
    <phoneticPr fontId="2" type="noConversion"/>
  </si>
  <si>
    <t>Number of chunks created</t>
    <phoneticPr fontId="2" type="noConversion"/>
  </si>
  <si>
    <t>Number of  subjobs(workers) for both map/reduce phase</t>
    <phoneticPr fontId="2" type="noConversion"/>
  </si>
  <si>
    <t>number of reduces.</t>
    <phoneticPr fontId="2" type="noConversion"/>
  </si>
  <si>
    <t>Total Time sec</t>
  </si>
  <si>
    <t>Time taken to chunk files in seconds</t>
    <phoneticPr fontId="2" type="noConversion"/>
  </si>
  <si>
    <t>Map phase Time in seconds</t>
    <phoneticPr fontId="2" type="noConversion"/>
  </si>
  <si>
    <t>Reduce Phase Time in seconds</t>
    <phoneticPr fontId="2" type="noConversion"/>
  </si>
  <si>
    <t>tts</t>
    <phoneticPr fontId="2" type="noConversion"/>
  </si>
  <si>
    <t>caluclate time for sort time.</t>
    <phoneticPr fontId="2" type="noConversion"/>
  </si>
  <si>
    <t>chunks</t>
    <phoneticPr fontId="2" type="noConversion"/>
  </si>
  <si>
    <t>seqal</t>
    <phoneticPr fontId="2" type="noConversion"/>
  </si>
  <si>
    <t>Map</t>
    <phoneticPr fontId="2" type="noConversion"/>
  </si>
  <si>
    <t>reduce</t>
    <phoneticPr fontId="2" type="noConversion"/>
  </si>
  <si>
    <t>map</t>
    <phoneticPr fontId="2" type="noConversion"/>
  </si>
  <si>
    <t>mahine used -sierra</t>
    <phoneticPr fontId="2" type="noConversion"/>
  </si>
  <si>
    <t>sequences</t>
    <phoneticPr fontId="2" type="noConversion"/>
  </si>
  <si>
    <t>4GB</t>
    <phoneticPr fontId="2" type="noConversion"/>
  </si>
  <si>
    <t>8GB</t>
    <phoneticPr fontId="2" type="noConversion"/>
  </si>
  <si>
    <t>Map</t>
    <phoneticPr fontId="2" type="noConversion"/>
  </si>
  <si>
    <t>chunktime</t>
    <phoneticPr fontId="2" type="noConversion"/>
  </si>
  <si>
    <t>chunktime</t>
    <phoneticPr fontId="2" type="noConversion"/>
  </si>
  <si>
    <t>intermediate data</t>
    <phoneticPr fontId="2" type="noConversion"/>
  </si>
  <si>
    <t>Mean tts</t>
    <phoneticPr fontId="2" type="noConversion"/>
  </si>
  <si>
    <t>std tts</t>
    <phoneticPr fontId="2" type="noConversion"/>
  </si>
  <si>
    <t>mean tts</t>
    <phoneticPr fontId="2" type="noConversion"/>
  </si>
  <si>
    <t>stdtts</t>
    <phoneticPr fontId="2" type="noConversion"/>
  </si>
  <si>
    <t>mean time taken for reduce phase</t>
    <phoneticPr fontId="2" type="noConversion"/>
  </si>
  <si>
    <t>stderr for reduce phase phase time</t>
    <phoneticPr fontId="2" type="noConversion"/>
  </si>
  <si>
    <t>Varying chunk size ,  Input Size = 10GB, Number of workers - 32, Number of reduces -8</t>
    <phoneticPr fontId="2" type="noConversion"/>
  </si>
  <si>
    <t>Mean Map phase</t>
    <phoneticPr fontId="2" type="noConversion"/>
  </si>
  <si>
    <t>Stdev</t>
    <phoneticPr fontId="2" type="noConversion"/>
  </si>
  <si>
    <t>Reduced output size  3120 MB  which is 31.2% of input data</t>
    <phoneticPr fontId="2" type="noConversion"/>
  </si>
  <si>
    <t>mean map phase</t>
    <phoneticPr fontId="2" type="noConversion"/>
  </si>
  <si>
    <t>File Transfer in seconds</t>
    <phoneticPr fontId="2" type="noConversion"/>
  </si>
  <si>
    <t>Map phase Time in seconds - II</t>
    <phoneticPr fontId="2" type="noConversion"/>
  </si>
  <si>
    <t>Reduce Phase Time in seconds-II</t>
    <phoneticPr fontId="2" type="noConversion"/>
  </si>
  <si>
    <t>Map phase Time in seconds-III</t>
    <phoneticPr fontId="2" type="noConversion"/>
  </si>
  <si>
    <t>input data</t>
    <phoneticPr fontId="2" type="noConversion"/>
  </si>
  <si>
    <t>mean time taken for map phase</t>
    <phoneticPr fontId="2" type="noConversion"/>
  </si>
  <si>
    <t>stderr in map phase time</t>
    <phoneticPr fontId="2" type="noConversion"/>
  </si>
  <si>
    <t>sequences per chunk</t>
    <phoneticPr fontId="2" type="noConversion"/>
  </si>
  <si>
    <t>Varying Input size - III</t>
    <phoneticPr fontId="2" type="noConversion"/>
  </si>
  <si>
    <t>mean chunk time</t>
    <phoneticPr fontId="2" type="noConversion"/>
  </si>
  <si>
    <t>Map phase Time in seconds - I</t>
    <phoneticPr fontId="2" type="noConversion"/>
  </si>
  <si>
    <t>Reduce Phase Time in seconds - I</t>
    <phoneticPr fontId="2" type="noConversion"/>
  </si>
  <si>
    <t>seqal</t>
    <phoneticPr fontId="2" type="noConversion"/>
  </si>
  <si>
    <t>seqal default configs</t>
    <phoneticPr fontId="2" type="noConversion"/>
  </si>
  <si>
    <t>tts</t>
    <phoneticPr fontId="2" type="noConversion"/>
  </si>
  <si>
    <t>mean reduce phase</t>
    <phoneticPr fontId="2" type="noConversion"/>
  </si>
  <si>
    <t>Reduce Phase Time in seconds</t>
    <phoneticPr fontId="2" type="noConversion"/>
  </si>
  <si>
    <t>PMR</t>
    <phoneticPr fontId="2" type="noConversion"/>
  </si>
  <si>
    <t>chunk time</t>
    <phoneticPr fontId="2" type="noConversion"/>
  </si>
  <si>
    <t>exchange</t>
    <phoneticPr fontId="2" type="noConversion"/>
  </si>
  <si>
    <t>Duplicate output size is 4445MB which is 44.5% of input data</t>
    <phoneticPr fontId="2" type="noConversion"/>
  </si>
  <si>
    <t>stderr of map phase</t>
  </si>
  <si>
    <t>mean reduce phase</t>
  </si>
  <si>
    <t>stderr of reduce phase</t>
  </si>
  <si>
    <t>&lt; 1sec</t>
    <phoneticPr fontId="2" type="noConversion"/>
  </si>
  <si>
    <t>Data transfer in MB between map &amp; reduce phase is</t>
    <phoneticPr fontId="2" type="noConversion"/>
  </si>
  <si>
    <t>Reduced output size  3120 MB  which is 31.2% of input data</t>
    <phoneticPr fontId="2" type="noConversion"/>
  </si>
  <si>
    <t>Number of workers=(4+4), sierra and hotel used.</t>
    <phoneticPr fontId="2" type="noConversion"/>
  </si>
  <si>
    <t>Number of workers=(4+4), india and hotel used.</t>
    <phoneticPr fontId="2" type="noConversion"/>
  </si>
  <si>
    <t>835 intermediate data</t>
    <phoneticPr fontId="2" type="noConversion"/>
  </si>
  <si>
    <t>phase times</t>
    <phoneticPr fontId="2" type="noConversion"/>
  </si>
  <si>
    <t>seqal map timings</t>
    <phoneticPr fontId="2" type="noConversion"/>
  </si>
  <si>
    <t>Reduced output size  3120 MB  which is 31.2% of input data</t>
    <phoneticPr fontId="2" type="noConversion"/>
  </si>
  <si>
    <t>Varying Input size, chunk size=625000, number  of reduces=8, number of workers=32</t>
    <phoneticPr fontId="2" type="noConversion"/>
  </si>
  <si>
    <t>Input data size in GB</t>
    <phoneticPr fontId="2" type="noConversion"/>
  </si>
  <si>
    <t>Total Time to solution in  secs</t>
    <phoneticPr fontId="2" type="noConversion"/>
  </si>
  <si>
    <t>stderr in chunk time</t>
    <phoneticPr fontId="2" type="noConversion"/>
  </si>
  <si>
    <t>Reduce Phase Time in seconds - III</t>
    <phoneticPr fontId="2" type="noConversion"/>
  </si>
  <si>
    <t>Mean</t>
    <phoneticPr fontId="2" type="noConversion"/>
  </si>
  <si>
    <t>stderr</t>
    <phoneticPr fontId="2" type="noConversion"/>
  </si>
  <si>
    <t>mean</t>
    <phoneticPr fontId="2" type="noConversion"/>
  </si>
  <si>
    <t>Varying chunk size ,  Input Size = 10GB, Number of workers - 32, Number of reduces -8</t>
    <phoneticPr fontId="2" type="noConversion"/>
  </si>
  <si>
    <t>number of reads</t>
    <phoneticPr fontId="2" type="noConversion"/>
  </si>
  <si>
    <t>Number of chunks created</t>
    <phoneticPr fontId="2" type="noConversion"/>
  </si>
  <si>
    <t>Time taken to chunk files in seconds</t>
    <phoneticPr fontId="2" type="noConversion"/>
  </si>
  <si>
    <t>prq</t>
    <phoneticPr fontId="2" type="noConversion"/>
  </si>
  <si>
    <t>2GB</t>
    <phoneticPr fontId="2" type="noConversion"/>
  </si>
  <si>
    <t>shuffle phase time</t>
    <phoneticPr fontId="2" type="noConversion"/>
  </si>
  <si>
    <t>averge sort time</t>
    <phoneticPr fontId="2" type="noConversion"/>
  </si>
  <si>
    <t>Duplicate output size is 4445MB which is 44.5% of input data</t>
    <phoneticPr fontId="2" type="noConversion"/>
  </si>
  <si>
    <t>Remaining is Filedelimiter which I used.</t>
    <phoneticPr fontId="2" type="noConversion"/>
  </si>
  <si>
    <t>+</t>
    <phoneticPr fontId="2" type="noConversion"/>
  </si>
  <si>
    <t>Varying Number of  workers</t>
    <phoneticPr fontId="2" type="noConversion"/>
  </si>
  <si>
    <t>Varying Number of  workers - II</t>
    <phoneticPr fontId="2" type="noConversion"/>
  </si>
  <si>
    <t>Varying Number of  workers - III</t>
    <phoneticPr fontId="2" type="noConversion"/>
  </si>
  <si>
    <t>Number of  subjobs(workers) for both map/reduce phase</t>
    <phoneticPr fontId="2" type="noConversion"/>
  </si>
  <si>
    <t>Map phase Time in seconds</t>
    <phoneticPr fontId="2" type="noConversion"/>
  </si>
  <si>
    <t>Varying Number of chunk size - I</t>
    <phoneticPr fontId="2" type="noConversion"/>
  </si>
  <si>
    <t>chunk size( lines)</t>
    <phoneticPr fontId="2" type="noConversion"/>
  </si>
  <si>
    <t>stderr of reduce phase</t>
    <phoneticPr fontId="2" type="noConversion"/>
  </si>
  <si>
    <t>Varying number of workers, input size = 10 GB, reduces = 8, Number of reads/ chunk=625000</t>
    <phoneticPr fontId="2" type="noConversion"/>
  </si>
  <si>
    <t>Workers</t>
    <phoneticPr fontId="2" type="noConversion"/>
  </si>
  <si>
    <t>mean map phase</t>
  </si>
  <si>
    <t>map align only</t>
    <phoneticPr fontId="2" type="noConversion"/>
  </si>
  <si>
    <t xml:space="preserve">Time to transfer files files between map &amp; reduce phase is </t>
    <phoneticPr fontId="2" type="noConversion"/>
  </si>
  <si>
    <t>Data transfer in MB between map &amp; reduce phase is</t>
    <phoneticPr fontId="2" type="noConversion"/>
  </si>
  <si>
    <t>use default replication factor.</t>
    <phoneticPr fontId="2" type="noConversion"/>
  </si>
  <si>
    <t>avg</t>
    <phoneticPr fontId="2" type="noConversion"/>
  </si>
  <si>
    <t>stderr</t>
    <phoneticPr fontId="2" type="noConversion"/>
  </si>
  <si>
    <t>1GB</t>
    <phoneticPr fontId="2" type="noConversion"/>
  </si>
  <si>
    <t>2GB</t>
    <phoneticPr fontId="2" type="noConversion"/>
  </si>
  <si>
    <t>4GB</t>
    <phoneticPr fontId="2" type="noConversion"/>
  </si>
  <si>
    <t>initial data transfers</t>
    <phoneticPr fontId="2" type="noConversion"/>
  </si>
  <si>
    <t>tts with intial data transfer</t>
    <phoneticPr fontId="2" type="noConversion"/>
  </si>
  <si>
    <t>232MB</t>
    <phoneticPr fontId="2" type="noConversion"/>
  </si>
  <si>
    <t>943MB</t>
    <phoneticPr fontId="2" type="noConversion"/>
  </si>
  <si>
    <t>445MB</t>
    <phoneticPr fontId="2" type="noConversion"/>
  </si>
  <si>
    <t>max data for a reduce</t>
    <phoneticPr fontId="2" type="noConversion"/>
  </si>
  <si>
    <t>8GB</t>
    <phoneticPr fontId="2" type="noConversion"/>
  </si>
  <si>
    <t>MR type</t>
    <phoneticPr fontId="2" type="noConversion"/>
  </si>
  <si>
    <t>SEQAL</t>
    <phoneticPr fontId="2" type="noConversion"/>
  </si>
  <si>
    <t>Local-PMR</t>
    <phoneticPr fontId="2" type="noConversion"/>
  </si>
  <si>
    <t>distributed-PMR</t>
    <phoneticPr fontId="2" type="noConversion"/>
  </si>
  <si>
    <t>Map</t>
    <phoneticPr fontId="2" type="noConversion"/>
  </si>
  <si>
    <t>reduce</t>
    <phoneticPr fontId="2" type="noConversion"/>
  </si>
  <si>
    <t>Chunk</t>
    <phoneticPr fontId="2" type="noConversion"/>
  </si>
  <si>
    <t>Push Data</t>
    <phoneticPr fontId="2" type="noConversion"/>
  </si>
  <si>
    <t>Shuffle</t>
    <phoneticPr fontId="2" type="noConversion"/>
  </si>
  <si>
    <t>Exchange</t>
    <phoneticPr fontId="2" type="noConversion"/>
  </si>
  <si>
    <t>Reduce</t>
    <phoneticPr fontId="2" type="noConversion"/>
  </si>
  <si>
    <t>Total</t>
    <phoneticPr fontId="2" type="noConversion"/>
  </si>
  <si>
    <t>stderr in cunk</t>
    <phoneticPr fontId="2" type="noConversion"/>
  </si>
  <si>
    <t>stderr in setup</t>
    <phoneticPr fontId="2" type="noConversion"/>
  </si>
  <si>
    <t>stderr in Map</t>
    <phoneticPr fontId="2" type="noConversion"/>
  </si>
  <si>
    <t>sterr in exchange</t>
    <phoneticPr fontId="2" type="noConversion"/>
  </si>
  <si>
    <t>stderr in shuffle</t>
    <phoneticPr fontId="2" type="noConversion"/>
  </si>
  <si>
    <t>stderr in total</t>
    <phoneticPr fontId="2" type="noConversion"/>
  </si>
  <si>
    <t>stderr in dt</t>
    <phoneticPr fontId="2" type="noConversion"/>
  </si>
  <si>
    <t>Setup</t>
    <phoneticPr fontId="2" type="noConversion"/>
  </si>
  <si>
    <t>Input data</t>
    <phoneticPr fontId="2" type="noConversion"/>
  </si>
  <si>
    <t>chunk size</t>
    <phoneticPr fontId="2" type="noConversion"/>
  </si>
  <si>
    <t>map</t>
    <phoneticPr fontId="2" type="noConversion"/>
  </si>
  <si>
    <t>reduce</t>
    <phoneticPr fontId="2" type="noConversion"/>
  </si>
  <si>
    <t>tts</t>
    <phoneticPr fontId="2" type="noConversion"/>
  </si>
  <si>
    <t>(1+1)2</t>
    <phoneticPr fontId="2" type="noConversion"/>
  </si>
  <si>
    <t>(2+2)4</t>
    <phoneticPr fontId="2" type="noConversion"/>
  </si>
  <si>
    <t>(4+4)8</t>
    <phoneticPr fontId="2" type="noConversion"/>
  </si>
  <si>
    <t>Map</t>
    <phoneticPr fontId="2" type="noConversion"/>
  </si>
  <si>
    <t>Reduce</t>
    <phoneticPr fontId="2" type="noConversion"/>
  </si>
  <si>
    <t>setup</t>
    <phoneticPr fontId="2" type="noConversion"/>
  </si>
  <si>
    <t>input 2GB, sequences=3805921, chunksize=128MB, number of reduces=8</t>
    <phoneticPr fontId="2" type="noConversion"/>
  </si>
  <si>
    <t>Mapcompletion</t>
    <phoneticPr fontId="2" type="noConversion"/>
  </si>
  <si>
    <t>shuffle completion</t>
    <phoneticPr fontId="2" type="noConversion"/>
  </si>
  <si>
    <t>reduce completion</t>
    <phoneticPr fontId="2" type="noConversion"/>
  </si>
  <si>
    <t>map phase time</t>
    <phoneticPr fontId="2" type="noConversion"/>
  </si>
  <si>
    <t>setup</t>
    <phoneticPr fontId="2" type="noConversion"/>
  </si>
  <si>
    <t>reduce phase time</t>
    <phoneticPr fontId="2" type="noConversion"/>
  </si>
  <si>
    <t>Size of data transferred in MB from Map to reduce phase</t>
    <phoneticPr fontId="2" type="noConversion"/>
  </si>
  <si>
    <t>reduce Output data size in MB</t>
    <phoneticPr fontId="2" type="noConversion"/>
  </si>
  <si>
    <t>duplicate  data size in MB</t>
    <phoneticPr fontId="2" type="noConversion"/>
  </si>
  <si>
    <t>Varying Number of chunk size - II</t>
    <phoneticPr fontId="2" type="noConversion"/>
  </si>
  <si>
    <t>Varying Number of chunk size - III</t>
    <phoneticPr fontId="2" type="noConversion"/>
  </si>
  <si>
    <t>number of reads</t>
    <phoneticPr fontId="2" type="noConversion"/>
  </si>
  <si>
    <t>Number of chunks created</t>
    <phoneticPr fontId="2" type="noConversion"/>
  </si>
  <si>
    <t>Time taken to chunk files in seconds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</si>
</sst>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Verdana"/>
    </font>
    <font>
      <sz val="10"/>
      <name val="Verdana"/>
    </font>
    <font>
      <sz val="8"/>
      <name val="Verdana"/>
    </font>
    <font>
      <b/>
      <sz val="12"/>
      <color indexed="8"/>
      <name val="Calibri"/>
    </font>
    <font>
      <b/>
      <sz val="11"/>
      <color indexed="56"/>
      <name val="Calibri"/>
      <family val="2"/>
    </font>
    <font>
      <b/>
      <sz val="13"/>
      <color indexed="56"/>
      <name val="Calibri"/>
      <family val="2"/>
    </font>
    <font>
      <sz val="12"/>
      <color indexed="8"/>
      <name val="Calibri"/>
      <family val="2"/>
    </font>
    <font>
      <b/>
      <sz val="18"/>
      <color indexed="8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3" borderId="0" xfId="0" applyFont="1" applyFill="1"/>
    <xf numFmtId="0" fontId="0" fillId="3" borderId="0" xfId="0" applyFill="1"/>
    <xf numFmtId="0" fontId="4" fillId="2" borderId="0" xfId="0" applyFont="1" applyFill="1" applyAlignment="1">
      <alignment wrapText="1" shrinkToFit="1"/>
    </xf>
    <xf numFmtId="0" fontId="5" fillId="2" borderId="1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5" fillId="2" borderId="1" xfId="0" applyFont="1" applyFill="1" applyBorder="1" applyAlignment="1">
      <alignment wrapText="1" shrinkToFit="1"/>
    </xf>
    <xf numFmtId="0" fontId="4" fillId="2" borderId="2" xfId="0" applyFont="1" applyFill="1" applyBorder="1" applyAlignment="1">
      <alignment wrapText="1" shrinkToFit="1"/>
    </xf>
    <xf numFmtId="0" fontId="4" fillId="2" borderId="0" xfId="0" applyFont="1" applyFill="1" applyBorder="1" applyAlignment="1">
      <alignment wrapText="1" shrinkToFit="1"/>
    </xf>
    <xf numFmtId="2" fontId="0" fillId="0" borderId="0" xfId="0" applyNumberFormat="1"/>
    <xf numFmtId="0" fontId="6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" fontId="0" fillId="0" borderId="0" xfId="0" applyNumberFormat="1"/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Map Phase time</c:v>
          </c:tx>
          <c:invertIfNegative val="0"/>
          <c:errBars>
            <c:errBarType val="both"/>
            <c:errValType val="cust"/>
            <c:noEndCap val="0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invertIfNegative val="0"/>
          <c:errBars>
            <c:errBarType val="both"/>
            <c:errValType val="cust"/>
            <c:noEndCap val="0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1901880"/>
        <c:axId val="512701240"/>
      </c:barChart>
      <c:catAx>
        <c:axId val="511901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701240"/>
        <c:crosses val="autoZero"/>
        <c:auto val="1"/>
        <c:lblAlgn val="ctr"/>
        <c:lblOffset val="100"/>
        <c:noMultiLvlLbl val="0"/>
      </c:catAx>
      <c:valAx>
        <c:axId val="512701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1901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481896"/>
        <c:axId val="454300232"/>
      </c:scatterChart>
      <c:valAx>
        <c:axId val="573481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4300232"/>
        <c:crosses val="autoZero"/>
        <c:crossBetween val="midCat"/>
      </c:valAx>
      <c:valAx>
        <c:axId val="454300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3481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9986394789204"/>
          <c:y val="0.079508729887025"/>
          <c:w val="0.73110542432196"/>
          <c:h val="0.696871172353456"/>
        </c:manualLayout>
      </c:layout>
      <c:barChart>
        <c:barDir val="col"/>
        <c:grouping val="clustered"/>
        <c:varyColors val="0"/>
        <c:ser>
          <c:idx val="0"/>
          <c:order val="0"/>
          <c:tx>
            <c:v>SEQAL</c:v>
          </c:tx>
          <c:invertIfNegative val="0"/>
          <c:errBars>
            <c:errBarType val="both"/>
            <c:errValType val="cust"/>
            <c:noEndCap val="0"/>
            <c:plus>
              <c:numRef>
                <c:f>Sheet1!$N$5:$N$7</c:f>
                <c:numCache>
                  <c:formatCode>General</c:formatCode>
                  <c:ptCount val="3"/>
                  <c:pt idx="0">
                    <c:v>18.29333333333334</c:v>
                  </c:pt>
                  <c:pt idx="1">
                    <c:v>114.0978909143859</c:v>
                  </c:pt>
                  <c:pt idx="2">
                    <c:v>118.9120511601373</c:v>
                  </c:pt>
                </c:numCache>
              </c:numRef>
            </c:plus>
            <c:minus>
              <c:numRef>
                <c:f>Sheet1!$N$5:$N$7</c:f>
                <c:numCache>
                  <c:formatCode>General</c:formatCode>
                  <c:ptCount val="3"/>
                  <c:pt idx="0">
                    <c:v>18.29333333333334</c:v>
                  </c:pt>
                  <c:pt idx="1">
                    <c:v>114.0978909143859</c:v>
                  </c:pt>
                  <c:pt idx="2">
                    <c:v>118.9120511601373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Sheet1!$M$5:$M$7</c:f>
              <c:numCache>
                <c:formatCode>General</c:formatCode>
                <c:ptCount val="3"/>
                <c:pt idx="0">
                  <c:v>2862.333333333333</c:v>
                </c:pt>
                <c:pt idx="1">
                  <c:v>4903.666666666666</c:v>
                </c:pt>
                <c:pt idx="2">
                  <c:v>8736.666666666666</c:v>
                </c:pt>
              </c:numCache>
            </c:numRef>
          </c:val>
        </c:ser>
        <c:ser>
          <c:idx val="1"/>
          <c:order val="1"/>
          <c:tx>
            <c:v>Local-PMR</c:v>
          </c:tx>
          <c:invertIfNegative val="0"/>
          <c:errBars>
            <c:errBarType val="both"/>
            <c:errValType val="cust"/>
            <c:noEndCap val="0"/>
            <c:plus>
              <c:numRef>
                <c:f>Sheet1!$Q$27:$Q$29</c:f>
                <c:numCache>
                  <c:formatCode>General</c:formatCode>
                  <c:ptCount val="3"/>
                  <c:pt idx="0">
                    <c:v>4.09716907931949</c:v>
                  </c:pt>
                  <c:pt idx="1">
                    <c:v>30.10003705736206</c:v>
                  </c:pt>
                  <c:pt idx="2">
                    <c:v>10.54038909769669</c:v>
                  </c:pt>
                </c:numCache>
              </c:numRef>
            </c:plus>
            <c:minus>
              <c:numRef>
                <c:f>Sheet1!$Q$27:$Q$29</c:f>
                <c:numCache>
                  <c:formatCode>General</c:formatCode>
                  <c:ptCount val="3"/>
                  <c:pt idx="0">
                    <c:v>4.09716907931949</c:v>
                  </c:pt>
                  <c:pt idx="1">
                    <c:v>30.10003705736206</c:v>
                  </c:pt>
                  <c:pt idx="2">
                    <c:v>10.54038909769669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Sheet1!$P$27:$P$29</c:f>
              <c:numCache>
                <c:formatCode>General</c:formatCode>
                <c:ptCount val="3"/>
                <c:pt idx="0">
                  <c:v>1544.667</c:v>
                </c:pt>
                <c:pt idx="1">
                  <c:v>2909.003666666667</c:v>
                </c:pt>
                <c:pt idx="2">
                  <c:v>4941.112333333333</c:v>
                </c:pt>
              </c:numCache>
            </c:numRef>
          </c:val>
        </c:ser>
        <c:ser>
          <c:idx val="2"/>
          <c:order val="2"/>
          <c:tx>
            <c:v>distributed-PMR</c:v>
          </c:tx>
          <c:invertIfNegative val="0"/>
          <c:errBars>
            <c:errBarType val="both"/>
            <c:errValType val="cust"/>
            <c:noEndCap val="0"/>
            <c:plus>
              <c:numRef>
                <c:f>Sheet1!$I$57:$I$59</c:f>
                <c:numCache>
                  <c:formatCode>General</c:formatCode>
                  <c:ptCount val="3"/>
                  <c:pt idx="0">
                    <c:v>12.10328698715066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plus>
            <c:minus>
              <c:numRef>
                <c:f>Sheet1!$I$57:$I$59</c:f>
                <c:numCache>
                  <c:formatCode>General</c:formatCode>
                  <c:ptCount val="3"/>
                  <c:pt idx="0">
                    <c:v>12.10328698715066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Sheet1!$R$27:$R$29</c:f>
              <c:numCache>
                <c:formatCode>General</c:formatCode>
                <c:ptCount val="3"/>
                <c:pt idx="0">
                  <c:v>1633.71047826087</c:v>
                </c:pt>
                <c:pt idx="1">
                  <c:v>3087.090623188406</c:v>
                </c:pt>
                <c:pt idx="2">
                  <c:v>5297.286246376811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3411576"/>
        <c:axId val="457303368"/>
      </c:barChart>
      <c:catAx>
        <c:axId val="573411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>
            <c:manualLayout>
              <c:xMode val="edge"/>
              <c:yMode val="edge"/>
              <c:x val="0.382873760650329"/>
              <c:y val="0.9008065626777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57303368"/>
        <c:crosses val="autoZero"/>
        <c:auto val="1"/>
        <c:lblAlgn val="ctr"/>
        <c:lblOffset val="100"/>
        <c:noMultiLvlLbl val="0"/>
      </c:catAx>
      <c:valAx>
        <c:axId val="457303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73411576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15173891600483"/>
          <c:y val="0.105704096770512"/>
          <c:w val="0.383080219724154"/>
          <c:h val="0.256183669976036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6274290255"/>
          <c:y val="0.0509259259259259"/>
          <c:w val="0.844949432926389"/>
          <c:h val="0.7996489501312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Sheet1!$K$72</c:f>
              <c:strCache>
                <c:ptCount val="1"/>
                <c:pt idx="0">
                  <c:v>SEQAL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Sheet1!$P$79:$W$79</c:f>
                <c:numCache>
                  <c:formatCode>General</c:formatCode>
                  <c:ptCount val="8"/>
                  <c:pt idx="0">
                    <c:v>7.44168872620806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plus>
            <c:minus>
              <c:numRef>
                <c:f>Sheet1!$P$79:$W$79</c:f>
                <c:numCache>
                  <c:formatCode>General</c:formatCode>
                  <c:ptCount val="8"/>
                  <c:pt idx="0">
                    <c:v>7.44168872620806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Sheet1!$L$72:$S$72</c:f>
              <c:numCache>
                <c:formatCode>General</c:formatCode>
                <c:ptCount val="8"/>
                <c:pt idx="0">
                  <c:v>356.1739130434783</c:v>
                </c:pt>
                <c:pt idx="2">
                  <c:v>109.0</c:v>
                </c:pt>
                <c:pt idx="3">
                  <c:v>7066.0</c:v>
                </c:pt>
                <c:pt idx="4">
                  <c:v>103.0</c:v>
                </c:pt>
                <c:pt idx="6">
                  <c:v>1670.666666666667</c:v>
                </c:pt>
                <c:pt idx="7">
                  <c:v>9304.840579710144</c:v>
                </c:pt>
              </c:numCache>
            </c:numRef>
          </c:val>
        </c:ser>
        <c:ser>
          <c:idx val="1"/>
          <c:order val="1"/>
          <c:tx>
            <c:strRef>
              <c:f>Sheet1!$K$73</c:f>
              <c:strCache>
                <c:ptCount val="1"/>
                <c:pt idx="0">
                  <c:v>Local-PMR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plus>
            <c:min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Sheet1!$L$73:$S$73</c:f>
              <c:numCache>
                <c:formatCode>General</c:formatCode>
                <c:ptCount val="8"/>
                <c:pt idx="0">
                  <c:v>356.1739130434783</c:v>
                </c:pt>
                <c:pt idx="1">
                  <c:v>98.637</c:v>
                </c:pt>
                <c:pt idx="3">
                  <c:v>4699.455333333332</c:v>
                </c:pt>
                <c:pt idx="4">
                  <c:v>250.0</c:v>
                </c:pt>
                <c:pt idx="6">
                  <c:v>143.123</c:v>
                </c:pt>
                <c:pt idx="7">
                  <c:v>5547.38924637681</c:v>
                </c:pt>
              </c:numCache>
            </c:numRef>
          </c:val>
        </c:ser>
        <c:ser>
          <c:idx val="2"/>
          <c:order val="2"/>
          <c:tx>
            <c:strRef>
              <c:f>Sheet1!$K$74</c:f>
              <c:strCache>
                <c:ptCount val="1"/>
                <c:pt idx="0">
                  <c:v>distributed-PMR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plus>
            <c:min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Sheet1!$L$74:$S$74</c:f>
              <c:numCache>
                <c:formatCode>General</c:formatCode>
                <c:ptCount val="8"/>
                <c:pt idx="0">
                  <c:v>0.0</c:v>
                </c:pt>
                <c:pt idx="1">
                  <c:v>35.85666666666666</c:v>
                </c:pt>
                <c:pt idx="3">
                  <c:v>4756.134666666666</c:v>
                </c:pt>
                <c:pt idx="5">
                  <c:v>1922.0</c:v>
                </c:pt>
                <c:pt idx="6">
                  <c:v>142.12</c:v>
                </c:pt>
                <c:pt idx="7">
                  <c:v>6856.111333333333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021240"/>
        <c:axId val="573509080"/>
      </c:barChart>
      <c:catAx>
        <c:axId val="3950212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horz" anchor="ctr" anchorCtr="1"/>
          <a:lstStyle/>
          <a:p>
            <a:pPr>
              <a:defRPr sz="1400"/>
            </a:pPr>
            <a:endParaRPr lang="en-US"/>
          </a:p>
        </c:txPr>
        <c:crossAx val="573509080"/>
        <c:crosses val="autoZero"/>
        <c:auto val="1"/>
        <c:lblAlgn val="ctr"/>
        <c:lblOffset val="100"/>
        <c:noMultiLvlLbl val="0"/>
      </c:catAx>
      <c:valAx>
        <c:axId val="573509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Runtime(in 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95021240"/>
        <c:crosses val="autoZero"/>
        <c:crossBetween val="between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78557110620319"/>
          <c:y val="0.131896624955076"/>
          <c:w val="0.493083688506826"/>
          <c:h val="0.093744167395742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4405511811024"/>
          <c:y val="0.0675925925925926"/>
          <c:w val="0.767275590551181"/>
          <c:h val="0.7273592884222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Sheet1!$U$72</c:f>
              <c:strCache>
                <c:ptCount val="1"/>
                <c:pt idx="0">
                  <c:v>SEQAL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Sheet1!$U$110:$Y$110</c:f>
                <c:numCache>
                  <c:formatCode>General</c:formatCode>
                  <c:ptCount val="5"/>
                  <c:pt idx="0">
                    <c:v>11.41576024620806</c:v>
                  </c:pt>
                  <c:pt idx="1">
                    <c:v>95.10208690314496</c:v>
                  </c:pt>
                  <c:pt idx="2">
                    <c:v>1.131606527611667</c:v>
                  </c:pt>
                  <c:pt idx="3">
                    <c:v>23.90700129901929</c:v>
                  </c:pt>
                  <c:pt idx="4">
                    <c:v>118.9120511601106</c:v>
                  </c:pt>
                </c:numCache>
              </c:numRef>
            </c:plus>
            <c:minus>
              <c:numRef>
                <c:f>Sheet1!$U$110:$Y$110</c:f>
                <c:numCache>
                  <c:formatCode>General</c:formatCode>
                  <c:ptCount val="5"/>
                  <c:pt idx="0">
                    <c:v>11.41576024620806</c:v>
                  </c:pt>
                  <c:pt idx="1">
                    <c:v>95.10208690314496</c:v>
                  </c:pt>
                  <c:pt idx="2">
                    <c:v>1.131606527611667</c:v>
                  </c:pt>
                  <c:pt idx="3">
                    <c:v>23.90700129901929</c:v>
                  </c:pt>
                  <c:pt idx="4">
                    <c:v>118.9120511601106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Sheet1!$V$72:$Z$72</c:f>
              <c:numCache>
                <c:formatCode>General</c:formatCode>
                <c:ptCount val="5"/>
                <c:pt idx="0">
                  <c:v>465.1739130434783</c:v>
                </c:pt>
                <c:pt idx="1">
                  <c:v>7066.0</c:v>
                </c:pt>
                <c:pt idx="2">
                  <c:v>103.0</c:v>
                </c:pt>
                <c:pt idx="3">
                  <c:v>1670.666666666667</c:v>
                </c:pt>
                <c:pt idx="4">
                  <c:v>9304.840579710144</c:v>
                </c:pt>
              </c:numCache>
            </c:numRef>
          </c:val>
        </c:ser>
        <c:ser>
          <c:idx val="1"/>
          <c:order val="1"/>
          <c:tx>
            <c:strRef>
              <c:f>Sheet1!$U$73</c:f>
              <c:strCache>
                <c:ptCount val="1"/>
                <c:pt idx="0">
                  <c:v>Local-PMR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Sheet1!$U$111:$Y$111</c:f>
                <c:numCache>
                  <c:formatCode>General</c:formatCode>
                  <c:ptCount val="5"/>
                  <c:pt idx="0">
                    <c:v>10.38155566097427</c:v>
                  </c:pt>
                  <c:pt idx="1">
                    <c:v>11.31218638858732</c:v>
                  </c:pt>
                  <c:pt idx="2">
                    <c:v>5.185672569686598</c:v>
                  </c:pt>
                  <c:pt idx="3">
                    <c:v>1.761676959264712</c:v>
                  </c:pt>
                  <c:pt idx="4">
                    <c:v>10.54038909809311</c:v>
                  </c:pt>
                </c:numCache>
              </c:numRef>
            </c:plus>
            <c:minus>
              <c:numRef>
                <c:f>Sheet1!$U$111:$Y$111</c:f>
                <c:numCache>
                  <c:formatCode>General</c:formatCode>
                  <c:ptCount val="5"/>
                  <c:pt idx="0">
                    <c:v>10.38155566097427</c:v>
                  </c:pt>
                  <c:pt idx="1">
                    <c:v>11.31218638858732</c:v>
                  </c:pt>
                  <c:pt idx="2">
                    <c:v>5.185672569686598</c:v>
                  </c:pt>
                  <c:pt idx="3">
                    <c:v>1.761676959264712</c:v>
                  </c:pt>
                  <c:pt idx="4">
                    <c:v>10.54038909809311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Sheet1!$V$73:$Z$73</c:f>
              <c:numCache>
                <c:formatCode>General</c:formatCode>
                <c:ptCount val="5"/>
                <c:pt idx="0">
                  <c:v>454.8109130434783</c:v>
                </c:pt>
                <c:pt idx="1">
                  <c:v>4699.455333333332</c:v>
                </c:pt>
                <c:pt idx="2">
                  <c:v>250.0</c:v>
                </c:pt>
                <c:pt idx="3">
                  <c:v>143.123</c:v>
                </c:pt>
                <c:pt idx="4">
                  <c:v>5547.38924637681</c:v>
                </c:pt>
              </c:numCache>
            </c:numRef>
          </c:val>
        </c:ser>
        <c:ser>
          <c:idx val="2"/>
          <c:order val="2"/>
          <c:tx>
            <c:strRef>
              <c:f>Sheet1!$U$74</c:f>
              <c:strCache>
                <c:ptCount val="1"/>
                <c:pt idx="0">
                  <c:v>distributed-PMR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Sheet1!$U$112:$Y$112</c:f>
                <c:numCache>
                  <c:formatCode>General</c:formatCode>
                  <c:ptCount val="5"/>
                  <c:pt idx="0">
                    <c:v>0.634641960303525</c:v>
                  </c:pt>
                  <c:pt idx="1">
                    <c:v>23.77030017401586</c:v>
                  </c:pt>
                  <c:pt idx="2">
                    <c:v>1.728557523113877</c:v>
                  </c:pt>
                  <c:pt idx="3">
                    <c:v>2.076212744396057</c:v>
                  </c:pt>
                  <c:pt idx="4">
                    <c:v>24.16702109756067</c:v>
                  </c:pt>
                </c:numCache>
              </c:numRef>
            </c:plus>
            <c:minus>
              <c:numRef>
                <c:f>Sheet1!$U$112:$Y$112</c:f>
                <c:numCache>
                  <c:formatCode>General</c:formatCode>
                  <c:ptCount val="5"/>
                  <c:pt idx="0">
                    <c:v>0.634641960303525</c:v>
                  </c:pt>
                  <c:pt idx="1">
                    <c:v>23.77030017401586</c:v>
                  </c:pt>
                  <c:pt idx="2">
                    <c:v>1.728557523113877</c:v>
                  </c:pt>
                  <c:pt idx="3">
                    <c:v>2.076212744396057</c:v>
                  </c:pt>
                  <c:pt idx="4">
                    <c:v>24.16702109756067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Sheet1!$V$74:$Z$74</c:f>
              <c:numCache>
                <c:formatCode>General</c:formatCode>
                <c:ptCount val="5"/>
                <c:pt idx="0">
                  <c:v>35.85666666666666</c:v>
                </c:pt>
                <c:pt idx="1">
                  <c:v>4756.134666666666</c:v>
                </c:pt>
                <c:pt idx="2">
                  <c:v>1922.0</c:v>
                </c:pt>
                <c:pt idx="3">
                  <c:v>142.12</c:v>
                </c:pt>
                <c:pt idx="4">
                  <c:v>6856.111333333333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6775288"/>
        <c:axId val="456536472"/>
      </c:barChart>
      <c:catAx>
        <c:axId val="4567752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456536472"/>
        <c:crosses val="autoZero"/>
        <c:auto val="1"/>
        <c:lblAlgn val="ctr"/>
        <c:lblOffset val="100"/>
        <c:noMultiLvlLbl val="0"/>
      </c:catAx>
      <c:valAx>
        <c:axId val="456536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56775288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484542922988285"/>
          <c:y val="0.103340399757723"/>
          <c:w val="0.282565559739815"/>
          <c:h val="0.241094286291137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Varying number of workers, input size = 10 GB, reduces = 8, Number of reads/ chunk=625000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Map Phase time</c:v>
          </c:tx>
          <c:invertIfNegative val="0"/>
          <c:errBars>
            <c:errBarType val="both"/>
            <c:errValType val="cust"/>
            <c:noEndCap val="0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Analaysis'!$C$51:$C$53</c:f>
              <c:numCache>
                <c:formatCode>General</c:formatCode>
                <c:ptCount val="3"/>
                <c:pt idx="0">
                  <c:v>3735.89</c:v>
                </c:pt>
                <c:pt idx="1">
                  <c:v>2059.595666666667</c:v>
                </c:pt>
                <c:pt idx="2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invertIfNegative val="0"/>
          <c:errBars>
            <c:errBarType val="both"/>
            <c:errValType val="cust"/>
            <c:noEndCap val="0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7275624"/>
        <c:axId val="573138856"/>
      </c:barChart>
      <c:catAx>
        <c:axId val="457275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workers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3138856"/>
        <c:crosses val="autoZero"/>
        <c:auto val="1"/>
        <c:lblAlgn val="ctr"/>
        <c:lblOffset val="100"/>
        <c:noMultiLvlLbl val="0"/>
      </c:catAx>
      <c:valAx>
        <c:axId val="573138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275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Varying Input size, chunk size=62500 reads, number of reduces=8, number of workers=32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chunk time</c:v>
          </c:tx>
          <c:invertIfNegative val="0"/>
          <c:errBars>
            <c:errBarType val="both"/>
            <c:errValType val="cust"/>
            <c:noEndCap val="0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 phase time</c:v>
          </c:tx>
          <c:invertIfNegative val="0"/>
          <c:errBars>
            <c:errBarType val="both"/>
            <c:errValType val="cust"/>
            <c:noEndCap val="0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Analaysis'!$F$81:$F$83</c:f>
              <c:numCache>
                <c:formatCode>General</c:formatCode>
                <c:ptCount val="3"/>
                <c:pt idx="0">
                  <c:v>1169.86</c:v>
                </c:pt>
                <c:pt idx="1">
                  <c:v>2174.028</c:v>
                </c:pt>
                <c:pt idx="2">
                  <c:v>4351.129</c:v>
                </c:pt>
              </c:numCache>
            </c:numRef>
          </c:val>
        </c:ser>
        <c:ser>
          <c:idx val="2"/>
          <c:order val="2"/>
          <c:tx>
            <c:v>Reduce phase time</c:v>
          </c:tx>
          <c:invertIfNegative val="0"/>
          <c:errBars>
            <c:errBarType val="both"/>
            <c:errValType val="cust"/>
            <c:noEndCap val="0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4962632"/>
        <c:axId val="573542152"/>
      </c:barChart>
      <c:catAx>
        <c:axId val="454962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GB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3542152"/>
        <c:crosses val="autoZero"/>
        <c:auto val="1"/>
        <c:lblAlgn val="ctr"/>
        <c:lblOffset val="100"/>
        <c:noMultiLvlLbl val="0"/>
      </c:catAx>
      <c:valAx>
        <c:axId val="573542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4962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Map Phase time</c:v>
          </c:tx>
          <c:invertIfNegative val="0"/>
          <c:errBars>
            <c:errBarType val="both"/>
            <c:errValType val="cust"/>
            <c:noEndCap val="0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invertIfNegative val="0"/>
          <c:errBars>
            <c:errBarType val="both"/>
            <c:errValType val="cust"/>
            <c:noEndCap val="0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6763208"/>
        <c:axId val="511963832"/>
      </c:barChart>
      <c:catAx>
        <c:axId val="456763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1963832"/>
        <c:crosses val="autoZero"/>
        <c:auto val="1"/>
        <c:lblAlgn val="ctr"/>
        <c:lblOffset val="100"/>
        <c:noMultiLvlLbl val="0"/>
      </c:catAx>
      <c:valAx>
        <c:axId val="511963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6763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957480314961"/>
          <c:y val="0.0634782608695652"/>
          <c:w val="0.790560772679619"/>
          <c:h val="0.714612461485792"/>
        </c:manualLayout>
      </c:layout>
      <c:barChart>
        <c:barDir val="col"/>
        <c:grouping val="stacked"/>
        <c:varyColors val="0"/>
        <c:ser>
          <c:idx val="0"/>
          <c:order val="0"/>
          <c:tx>
            <c:v>Map</c:v>
          </c:tx>
          <c:invertIfNegative val="0"/>
          <c:errBars>
            <c:errBarType val="both"/>
            <c:errValType val="cust"/>
            <c:noEndCap val="0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'GS data analysis'!$E$71:$E$73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'[1]GS Data Analaysis'!$C$51:$C$53</c:f>
              <c:numCache>
                <c:formatCode>General</c:formatCode>
                <c:ptCount val="3"/>
                <c:pt idx="0">
                  <c:v>3735.89</c:v>
                </c:pt>
                <c:pt idx="1">
                  <c:v>2059.595666666667</c:v>
                </c:pt>
                <c:pt idx="2">
                  <c:v>1169.86</c:v>
                </c:pt>
              </c:numCache>
            </c:numRef>
          </c:val>
        </c:ser>
        <c:ser>
          <c:idx val="1"/>
          <c:order val="1"/>
          <c:tx>
            <c:v>Reduce</c:v>
          </c:tx>
          <c:invertIfNegative val="0"/>
          <c:errBars>
            <c:errBarType val="both"/>
            <c:errValType val="cust"/>
            <c:noEndCap val="0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'GS data analysis'!$E$71:$E$73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6340600"/>
        <c:axId val="379835704"/>
      </c:barChart>
      <c:catAx>
        <c:axId val="456340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#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379835704"/>
        <c:crosses val="autoZero"/>
        <c:auto val="1"/>
        <c:lblAlgn val="ctr"/>
        <c:lblOffset val="100"/>
        <c:noMultiLvlLbl val="0"/>
      </c:catAx>
      <c:valAx>
        <c:axId val="379835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56340600"/>
        <c:crosses val="autoZero"/>
        <c:crossBetween val="between"/>
      </c:valAx>
      <c:spPr>
        <a:ln w="19050" cmpd="sng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07013286310386"/>
          <c:y val="0.15614241401643"/>
          <c:w val="0.340303793843951"/>
          <c:h val="0.157242725094146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263369944999"/>
          <c:y val="0.0584070796460177"/>
          <c:w val="0.778208201681796"/>
          <c:h val="0.670217754860288"/>
        </c:manualLayout>
      </c:layout>
      <c:barChart>
        <c:barDir val="col"/>
        <c:grouping val="stacked"/>
        <c:varyColors val="0"/>
        <c:ser>
          <c:idx val="0"/>
          <c:order val="0"/>
          <c:tx>
            <c:v>Chunk</c:v>
          </c:tx>
          <c:invertIfNegative val="0"/>
          <c:errBars>
            <c:errBarType val="both"/>
            <c:errValType val="cust"/>
            <c:noEndCap val="0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</c:v>
          </c:tx>
          <c:invertIfNegative val="0"/>
          <c:errBars>
            <c:errBarType val="both"/>
            <c:errValType val="cust"/>
            <c:noEndCap val="0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Analaysis'!$F$81:$F$83</c:f>
              <c:numCache>
                <c:formatCode>General</c:formatCode>
                <c:ptCount val="3"/>
                <c:pt idx="0">
                  <c:v>1169.86</c:v>
                </c:pt>
                <c:pt idx="1">
                  <c:v>2174.028</c:v>
                </c:pt>
                <c:pt idx="2">
                  <c:v>4351.129</c:v>
                </c:pt>
              </c:numCache>
            </c:numRef>
          </c:val>
        </c:ser>
        <c:ser>
          <c:idx val="2"/>
          <c:order val="2"/>
          <c:tx>
            <c:v>Reduce</c:v>
          </c:tx>
          <c:invertIfNegative val="0"/>
          <c:errBars>
            <c:errBarType val="both"/>
            <c:errValType val="cust"/>
            <c:noEndCap val="0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1885576"/>
        <c:axId val="511891112"/>
      </c:barChart>
      <c:catAx>
        <c:axId val="511885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>
            <c:manualLayout>
              <c:xMode val="edge"/>
              <c:yMode val="edge"/>
              <c:x val="0.424227729182036"/>
              <c:y val="0.8690265486725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9050"/>
        </c:spPr>
        <c:txPr>
          <a:bodyPr/>
          <a:lstStyle/>
          <a:p>
            <a:pPr>
              <a:defRPr sz="1600"/>
            </a:pPr>
            <a:endParaRPr lang="en-US"/>
          </a:p>
        </c:txPr>
        <c:crossAx val="511891112"/>
        <c:crosses val="autoZero"/>
        <c:auto val="1"/>
        <c:lblAlgn val="ctr"/>
        <c:lblOffset val="100"/>
        <c:noMultiLvlLbl val="0"/>
      </c:catAx>
      <c:valAx>
        <c:axId val="511891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 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11885576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52644193854353"/>
          <c:y val="0.0923698696954916"/>
          <c:w val="0.491715270772798"/>
          <c:h val="0.142693540519824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scatter plot - Varying chunk size, Input size = 10GB, number of workers =32, Number of reduces = 8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61877296587926"/>
          <c:y val="0.415740740740741"/>
          <c:w val="0.512661854768154"/>
          <c:h val="0.457982283464567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0112777777777778"/>
                  <c:y val="0.0350160396617089"/>
                </c:manualLayout>
              </c:layout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Analaysis'!$C$5:$C$8</c:f>
              <c:numCache>
                <c:formatCode>General</c:formatCode>
                <c:ptCount val="4"/>
                <c:pt idx="0">
                  <c:v>2482.182666666667</c:v>
                </c:pt>
                <c:pt idx="1">
                  <c:v>1864.965666666666</c:v>
                </c:pt>
                <c:pt idx="2">
                  <c:v>1641.498333333333</c:v>
                </c:pt>
                <c:pt idx="3">
                  <c:v>1502.405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254792"/>
        <c:axId val="573260248"/>
      </c:scatterChart>
      <c:valAx>
        <c:axId val="573254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3260248"/>
        <c:crosses val="autoZero"/>
        <c:crossBetween val="midCat"/>
      </c:valAx>
      <c:valAx>
        <c:axId val="573260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3254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xVal>
          <c:yVal>
            <c:numRef>
              <c:f>'[1]GS Data Analaysis'!$B$51:$B$53</c:f>
              <c:numCache>
                <c:formatCode>General</c:formatCode>
                <c:ptCount val="3"/>
                <c:pt idx="0">
                  <c:v>3890.74</c:v>
                </c:pt>
                <c:pt idx="1">
                  <c:v>2210.230666666666</c:v>
                </c:pt>
                <c:pt idx="2">
                  <c:v>1314.206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96168"/>
        <c:axId val="454681576"/>
      </c:scatterChart>
      <c:valAx>
        <c:axId val="456396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4681576"/>
        <c:crosses val="autoZero"/>
        <c:crossBetween val="midCat"/>
      </c:valAx>
      <c:valAx>
        <c:axId val="454681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6396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xVal>
          <c:yVal>
            <c:numRef>
              <c:f>'[1]GS Data Analaysis'!$C$81:$C$83</c:f>
              <c:numCache>
                <c:formatCode>General</c:formatCode>
                <c:ptCount val="3"/>
                <c:pt idx="0">
                  <c:v>1498.897</c:v>
                </c:pt>
                <c:pt idx="1">
                  <c:v>2872.723</c:v>
                </c:pt>
                <c:pt idx="2">
                  <c:v>5882.974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389960"/>
        <c:axId val="573392920"/>
      </c:scatterChart>
      <c:valAx>
        <c:axId val="573389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3392920"/>
        <c:crosses val="autoZero"/>
        <c:crossBetween val="midCat"/>
      </c:valAx>
      <c:valAx>
        <c:axId val="573392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3389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7" Type="http://schemas.openxmlformats.org/officeDocument/2006/relationships/chart" Target="../charts/chart10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6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39</xdr:row>
      <xdr:rowOff>0</xdr:rowOff>
    </xdr:from>
    <xdr:to>
      <xdr:col>10</xdr:col>
      <xdr:colOff>812800</xdr:colOff>
      <xdr:row>57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100</xdr:row>
      <xdr:rowOff>38100</xdr:rowOff>
    </xdr:from>
    <xdr:to>
      <xdr:col>7</xdr:col>
      <xdr:colOff>584200</xdr:colOff>
      <xdr:row>117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159</xdr:row>
      <xdr:rowOff>0</xdr:rowOff>
    </xdr:from>
    <xdr:to>
      <xdr:col>10</xdr:col>
      <xdr:colOff>800100</xdr:colOff>
      <xdr:row>173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9</xdr:row>
      <xdr:rowOff>63500</xdr:rowOff>
    </xdr:from>
    <xdr:to>
      <xdr:col>8</xdr:col>
      <xdr:colOff>533400</xdr:colOff>
      <xdr:row>28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241300</xdr:colOff>
      <xdr:row>49</xdr:row>
      <xdr:rowOff>292100</xdr:rowOff>
    </xdr:from>
    <xdr:to>
      <xdr:col>13</xdr:col>
      <xdr:colOff>254000</xdr:colOff>
      <xdr:row>66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723900</xdr:colOff>
      <xdr:row>93</xdr:row>
      <xdr:rowOff>127000</xdr:rowOff>
    </xdr:from>
    <xdr:to>
      <xdr:col>7</xdr:col>
      <xdr:colOff>787400</xdr:colOff>
      <xdr:row>111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647700</xdr:colOff>
      <xdr:row>10</xdr:row>
      <xdr:rowOff>127000</xdr:rowOff>
    </xdr:from>
    <xdr:to>
      <xdr:col>16</xdr:col>
      <xdr:colOff>596900</xdr:colOff>
      <xdr:row>28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342900</xdr:colOff>
      <xdr:row>51</xdr:row>
      <xdr:rowOff>114300</xdr:rowOff>
    </xdr:from>
    <xdr:to>
      <xdr:col>22</xdr:col>
      <xdr:colOff>25400</xdr:colOff>
      <xdr:row>69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76200</xdr:colOff>
      <xdr:row>84</xdr:row>
      <xdr:rowOff>177800</xdr:rowOff>
    </xdr:from>
    <xdr:to>
      <xdr:col>14</xdr:col>
      <xdr:colOff>469900</xdr:colOff>
      <xdr:row>105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31</xdr:row>
      <xdr:rowOff>25400</xdr:rowOff>
    </xdr:from>
    <xdr:to>
      <xdr:col>14</xdr:col>
      <xdr:colOff>457200</xdr:colOff>
      <xdr:row>42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37</xdr:row>
      <xdr:rowOff>50800</xdr:rowOff>
    </xdr:from>
    <xdr:to>
      <xdr:col>15</xdr:col>
      <xdr:colOff>825500</xdr:colOff>
      <xdr:row>58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850900</xdr:colOff>
      <xdr:row>82</xdr:row>
      <xdr:rowOff>152400</xdr:rowOff>
    </xdr:from>
    <xdr:to>
      <xdr:col>18</xdr:col>
      <xdr:colOff>876300</xdr:colOff>
      <xdr:row>103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19</xdr:col>
      <xdr:colOff>812800</xdr:colOff>
      <xdr:row>84</xdr:row>
      <xdr:rowOff>139700</xdr:rowOff>
    </xdr:from>
    <xdr:to>
      <xdr:col>25</xdr:col>
      <xdr:colOff>304800</xdr:colOff>
      <xdr:row>102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anth2/Downloads/Python_MR_result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Ingle Reduce"/>
      <sheetName val="Sheet2"/>
      <sheetName val="Sheet3"/>
      <sheetName val="Sheet5"/>
      <sheetName val="Sheet4"/>
      <sheetName val="Single MR Grid"/>
      <sheetName val="Distributed MR Grid"/>
      <sheetName val="Dist MR  + parBigjob"/>
      <sheetName val="Latest Distributed MR Results"/>
      <sheetName val="Latest Local MR results"/>
      <sheetName val="LMR, GS results"/>
      <sheetName val="GS Data Analaysis"/>
      <sheetName val="Sheet1"/>
      <sheetName val="Sheet6"/>
      <sheetName val="Sheet7"/>
      <sheetName val="Sheet8"/>
      <sheetName val="Sheet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A5">
            <v>78125</v>
          </cell>
          <cell r="C5">
            <v>2482.1826666666666</v>
          </cell>
          <cell r="E5">
            <v>2104.2950000000001</v>
          </cell>
          <cell r="F5">
            <v>0.95113318365910415</v>
          </cell>
          <cell r="G5">
            <v>161.07566666666665</v>
          </cell>
          <cell r="H5">
            <v>3.8921515186908202</v>
          </cell>
        </row>
        <row r="6">
          <cell r="A6">
            <v>156250</v>
          </cell>
          <cell r="C6">
            <v>1864.9656666666665</v>
          </cell>
          <cell r="E6">
            <v>1504.33</v>
          </cell>
          <cell r="F6">
            <v>25.902892328855973</v>
          </cell>
          <cell r="G6">
            <v>145.63166666666666</v>
          </cell>
          <cell r="H6">
            <v>1.2000589337377248</v>
          </cell>
        </row>
        <row r="7">
          <cell r="A7">
            <v>312500</v>
          </cell>
          <cell r="C7">
            <v>1641.4983333333334</v>
          </cell>
          <cell r="E7">
            <v>1283.6106666666667</v>
          </cell>
          <cell r="F7">
            <v>15.299896648162512</v>
          </cell>
          <cell r="G7">
            <v>146.48266666666669</v>
          </cell>
          <cell r="H7">
            <v>2.2325377438638392</v>
          </cell>
        </row>
        <row r="8">
          <cell r="A8">
            <v>625000</v>
          </cell>
          <cell r="C8">
            <v>1502.4049999999997</v>
          </cell>
          <cell r="E8">
            <v>1169.8599999999999</v>
          </cell>
          <cell r="F8">
            <v>19.678437700520611</v>
          </cell>
          <cell r="G8">
            <v>141.32000000000002</v>
          </cell>
          <cell r="H8">
            <v>2.6636263501721773</v>
          </cell>
        </row>
        <row r="51">
          <cell r="A51">
            <v>8</v>
          </cell>
          <cell r="B51">
            <v>3890.74</v>
          </cell>
          <cell r="C51">
            <v>3735.89</v>
          </cell>
          <cell r="D51">
            <v>44.339394594427489</v>
          </cell>
          <cell r="E51">
            <v>142.43299999999999</v>
          </cell>
          <cell r="F51">
            <v>7.5428862071049236</v>
          </cell>
        </row>
        <row r="52">
          <cell r="A52">
            <v>16</v>
          </cell>
          <cell r="B52">
            <v>2210.2306666666664</v>
          </cell>
          <cell r="C52">
            <v>2059.5956666666666</v>
          </cell>
          <cell r="D52">
            <v>58.385792408006402</v>
          </cell>
          <cell r="E52">
            <v>142.59299999999999</v>
          </cell>
          <cell r="F52">
            <v>4.1344438965032166</v>
          </cell>
        </row>
        <row r="53">
          <cell r="A53">
            <v>32</v>
          </cell>
          <cell r="B53">
            <v>1314.2059999999999</v>
          </cell>
          <cell r="C53">
            <v>1169.8599999999999</v>
          </cell>
          <cell r="D53">
            <v>19.678437700520611</v>
          </cell>
          <cell r="E53">
            <v>141.32000000000002</v>
          </cell>
          <cell r="F53">
            <v>2.6636263501721773</v>
          </cell>
        </row>
        <row r="81">
          <cell r="A81">
            <v>10</v>
          </cell>
          <cell r="C81">
            <v>1498.8969999999997</v>
          </cell>
          <cell r="D81">
            <v>187.71699999999998</v>
          </cell>
          <cell r="E81">
            <v>1.7540000000002831</v>
          </cell>
          <cell r="F81">
            <v>1169.8599999999999</v>
          </cell>
          <cell r="G81">
            <v>19.678437700520611</v>
          </cell>
          <cell r="H81">
            <v>141.32000000000002</v>
          </cell>
          <cell r="I81">
            <v>2.6636263501721773</v>
          </cell>
        </row>
        <row r="82">
          <cell r="A82">
            <v>20</v>
          </cell>
          <cell r="C82">
            <v>2872.7230000000004</v>
          </cell>
          <cell r="D82">
            <v>396.57833333333332</v>
          </cell>
          <cell r="E82">
            <v>3.5763333333362866</v>
          </cell>
          <cell r="F82">
            <v>2174.0280000000002</v>
          </cell>
          <cell r="G82">
            <v>13.902016196695632</v>
          </cell>
          <cell r="H82">
            <v>302.11666666666673</v>
          </cell>
          <cell r="I82">
            <v>10.873797593807824</v>
          </cell>
        </row>
        <row r="83">
          <cell r="A83">
            <v>40</v>
          </cell>
          <cell r="C83">
            <v>5882.9740000000002</v>
          </cell>
          <cell r="D83">
            <v>860.74866666666674</v>
          </cell>
          <cell r="E83">
            <v>24.97066666666846</v>
          </cell>
          <cell r="F83">
            <v>4351.1290000000008</v>
          </cell>
          <cell r="G83">
            <v>67.344362268343815</v>
          </cell>
          <cell r="H83">
            <v>671.09633333333329</v>
          </cell>
          <cell r="I83">
            <v>5.7530535177223436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8"/>
  <sheetViews>
    <sheetView topLeftCell="A130" workbookViewId="0">
      <selection activeCell="H6" sqref="H6:J6"/>
    </sheetView>
  </sheetViews>
  <sheetFormatPr baseColWidth="10" defaultRowHeight="13" x14ac:dyDescent="0"/>
  <sheetData>
    <row r="1" spans="1:14" ht="15">
      <c r="A1" s="1"/>
      <c r="B1" s="2"/>
      <c r="C1" s="2"/>
      <c r="D1" s="2"/>
      <c r="E1" s="2"/>
      <c r="F1" s="2"/>
      <c r="G1" s="1" t="s">
        <v>121</v>
      </c>
      <c r="H1" s="1"/>
      <c r="I1" s="2"/>
      <c r="J1" s="2"/>
      <c r="K1" s="2"/>
      <c r="L1" s="2"/>
      <c r="M1" s="2"/>
      <c r="N1" s="2"/>
    </row>
    <row r="2" spans="1:14" ht="71" thickBot="1">
      <c r="A2" s="3" t="s">
        <v>122</v>
      </c>
      <c r="B2" s="3" t="s">
        <v>16</v>
      </c>
      <c r="C2" s="4" t="s">
        <v>30</v>
      </c>
      <c r="D2" s="5" t="s">
        <v>31</v>
      </c>
      <c r="E2" s="3" t="s">
        <v>32</v>
      </c>
      <c r="F2" s="3" t="s">
        <v>33</v>
      </c>
      <c r="G2" s="6" t="s">
        <v>34</v>
      </c>
      <c r="H2" s="3" t="s">
        <v>35</v>
      </c>
      <c r="I2" s="7" t="s">
        <v>36</v>
      </c>
      <c r="J2" s="7" t="s">
        <v>37</v>
      </c>
      <c r="K2" s="8" t="s">
        <v>64</v>
      </c>
      <c r="L2" s="8" t="s">
        <v>181</v>
      </c>
      <c r="M2" s="8" t="s">
        <v>182</v>
      </c>
      <c r="N2" s="8" t="s">
        <v>183</v>
      </c>
    </row>
    <row r="3" spans="1:14">
      <c r="A3">
        <v>312500</v>
      </c>
      <c r="B3">
        <f>A3/4</f>
        <v>78125</v>
      </c>
      <c r="C3">
        <v>10</v>
      </c>
      <c r="D3">
        <v>256</v>
      </c>
      <c r="E3">
        <v>32</v>
      </c>
      <c r="F3">
        <v>8</v>
      </c>
      <c r="G3">
        <v>2475.4369999999999</v>
      </c>
      <c r="H3">
        <v>216.81200000000001</v>
      </c>
      <c r="I3">
        <v>2104.4259999999999</v>
      </c>
      <c r="J3">
        <v>154.19800000000001</v>
      </c>
      <c r="K3">
        <v>3.4049999999999998</v>
      </c>
      <c r="L3">
        <v>9169.9570000000003</v>
      </c>
      <c r="M3">
        <v>3120</v>
      </c>
    </row>
    <row r="4" spans="1:14">
      <c r="A4">
        <v>625000</v>
      </c>
      <c r="B4">
        <f>A4/4</f>
        <v>156250</v>
      </c>
      <c r="C4">
        <v>10</v>
      </c>
      <c r="D4">
        <v>128</v>
      </c>
      <c r="E4">
        <v>32</v>
      </c>
      <c r="F4">
        <v>8</v>
      </c>
      <c r="G4">
        <v>1812.8209999999999</v>
      </c>
      <c r="H4">
        <v>215.00399999999999</v>
      </c>
      <c r="I4">
        <v>1452.8620000000001</v>
      </c>
      <c r="J4">
        <v>144.95599999999999</v>
      </c>
      <c r="K4">
        <v>1.8129999999999999</v>
      </c>
      <c r="L4">
        <v>9158.0529999999999</v>
      </c>
      <c r="M4">
        <v>3120</v>
      </c>
    </row>
    <row r="5" spans="1:14">
      <c r="A5">
        <v>1250000</v>
      </c>
      <c r="B5">
        <f>A5/4</f>
        <v>312500</v>
      </c>
      <c r="C5">
        <v>10</v>
      </c>
      <c r="D5">
        <v>64</v>
      </c>
      <c r="E5">
        <v>32</v>
      </c>
      <c r="F5">
        <v>8</v>
      </c>
      <c r="G5">
        <v>1631.0630000000001</v>
      </c>
      <c r="H5">
        <v>211.405</v>
      </c>
      <c r="I5">
        <v>1268.711</v>
      </c>
      <c r="J5">
        <v>150.947</v>
      </c>
      <c r="K5">
        <v>0.73199999999999998</v>
      </c>
      <c r="L5">
        <v>9149.9449999999997</v>
      </c>
      <c r="M5">
        <v>3120</v>
      </c>
    </row>
    <row r="6" spans="1:14">
      <c r="A6">
        <v>2500000</v>
      </c>
      <c r="B6">
        <f>A6/4</f>
        <v>625000</v>
      </c>
      <c r="C6">
        <v>10</v>
      </c>
      <c r="D6">
        <v>32</v>
      </c>
      <c r="E6">
        <v>32</v>
      </c>
      <c r="F6">
        <v>8</v>
      </c>
      <c r="G6">
        <v>1536.421</v>
      </c>
      <c r="H6">
        <v>191.22499999999999</v>
      </c>
      <c r="I6">
        <v>1209.1849999999999</v>
      </c>
      <c r="J6">
        <v>136.01</v>
      </c>
      <c r="K6">
        <v>0.39400000000000002</v>
      </c>
      <c r="L6">
        <v>9144.5290000000005</v>
      </c>
      <c r="M6">
        <v>3120</v>
      </c>
    </row>
    <row r="8" spans="1:14" ht="15">
      <c r="A8" s="1"/>
      <c r="B8" s="2"/>
      <c r="C8" s="2"/>
      <c r="D8" s="2"/>
      <c r="E8" s="2"/>
      <c r="F8" s="2"/>
      <c r="G8" s="1" t="s">
        <v>184</v>
      </c>
      <c r="H8" s="1"/>
      <c r="I8" s="2"/>
      <c r="J8" s="2"/>
      <c r="K8" s="2"/>
      <c r="L8" s="2"/>
      <c r="M8" s="2"/>
      <c r="N8" s="2"/>
    </row>
    <row r="9" spans="1:14" ht="71" thickBot="1">
      <c r="A9" s="3" t="s">
        <v>122</v>
      </c>
      <c r="B9" s="3" t="s">
        <v>16</v>
      </c>
      <c r="C9" s="4" t="s">
        <v>30</v>
      </c>
      <c r="D9" s="5" t="s">
        <v>31</v>
      </c>
      <c r="E9" s="3" t="s">
        <v>32</v>
      </c>
      <c r="F9" s="3" t="s">
        <v>33</v>
      </c>
      <c r="G9" s="6" t="s">
        <v>34</v>
      </c>
      <c r="H9" s="3" t="s">
        <v>35</v>
      </c>
      <c r="I9" s="7" t="s">
        <v>36</v>
      </c>
      <c r="J9" s="7" t="s">
        <v>37</v>
      </c>
      <c r="K9" s="8" t="s">
        <v>64</v>
      </c>
      <c r="L9" s="8" t="s">
        <v>181</v>
      </c>
      <c r="M9" s="8" t="s">
        <v>182</v>
      </c>
      <c r="N9" s="8" t="s">
        <v>183</v>
      </c>
    </row>
    <row r="10" spans="1:14">
      <c r="A10">
        <v>312500</v>
      </c>
      <c r="B10">
        <f>A10/4</f>
        <v>78125</v>
      </c>
      <c r="C10">
        <v>10</v>
      </c>
      <c r="D10">
        <v>256</v>
      </c>
      <c r="E10">
        <v>32</v>
      </c>
      <c r="F10">
        <v>8</v>
      </c>
      <c r="G10">
        <v>2491.7570000000001</v>
      </c>
      <c r="H10">
        <v>218.21100000000001</v>
      </c>
      <c r="I10">
        <v>2105.873</v>
      </c>
      <c r="J10">
        <v>167.672</v>
      </c>
      <c r="K10">
        <v>3.044</v>
      </c>
      <c r="L10">
        <v>9169.9570000000003</v>
      </c>
      <c r="M10">
        <v>3120</v>
      </c>
    </row>
    <row r="11" spans="1:14">
      <c r="A11">
        <v>625000</v>
      </c>
      <c r="B11">
        <f>A11/4</f>
        <v>156250</v>
      </c>
      <c r="C11">
        <v>10</v>
      </c>
      <c r="D11">
        <v>128</v>
      </c>
      <c r="E11">
        <v>32</v>
      </c>
      <c r="F11">
        <v>8</v>
      </c>
      <c r="G11">
        <v>1883.1469999999999</v>
      </c>
      <c r="H11">
        <v>214.22300000000001</v>
      </c>
      <c r="I11">
        <v>1524.9490000000001</v>
      </c>
      <c r="J11">
        <v>143.97499999999999</v>
      </c>
      <c r="K11">
        <v>1.4950000000000001</v>
      </c>
      <c r="L11">
        <v>9158.0529999999999</v>
      </c>
      <c r="M11">
        <v>3120</v>
      </c>
    </row>
    <row r="12" spans="1:14">
      <c r="A12">
        <v>1250000</v>
      </c>
      <c r="B12">
        <f>A12/4</f>
        <v>312500</v>
      </c>
      <c r="C12">
        <v>10</v>
      </c>
      <c r="D12">
        <v>64</v>
      </c>
      <c r="E12">
        <v>32</v>
      </c>
      <c r="F12">
        <v>8</v>
      </c>
      <c r="G12">
        <v>1672.1559999999999</v>
      </c>
      <c r="H12">
        <v>213.62899999999999</v>
      </c>
      <c r="I12">
        <v>1314.2070000000001</v>
      </c>
      <c r="J12">
        <v>144.321</v>
      </c>
      <c r="K12">
        <v>0.77100000000000002</v>
      </c>
      <c r="L12">
        <v>9149.9449999999997</v>
      </c>
      <c r="M12">
        <v>3120</v>
      </c>
    </row>
    <row r="13" spans="1:14">
      <c r="A13">
        <v>2500000</v>
      </c>
      <c r="B13">
        <f>A13/4</f>
        <v>625000</v>
      </c>
      <c r="C13">
        <v>10</v>
      </c>
      <c r="D13">
        <v>32</v>
      </c>
      <c r="E13">
        <v>32</v>
      </c>
      <c r="F13">
        <v>8</v>
      </c>
      <c r="G13">
        <v>1473.1859999999999</v>
      </c>
      <c r="H13">
        <v>180.756</v>
      </c>
      <c r="I13">
        <v>1148.826</v>
      </c>
      <c r="J13">
        <v>143.60400000000001</v>
      </c>
      <c r="K13">
        <v>0.36899999999999999</v>
      </c>
      <c r="L13">
        <v>9144.5290000000005</v>
      </c>
      <c r="M13">
        <v>3120</v>
      </c>
    </row>
    <row r="16" spans="1:14" ht="15">
      <c r="A16" s="1"/>
      <c r="B16" s="2"/>
      <c r="C16" s="2"/>
      <c r="D16" s="2"/>
      <c r="E16" s="2"/>
      <c r="F16" s="2"/>
      <c r="G16" s="1" t="s">
        <v>185</v>
      </c>
      <c r="H16" s="1"/>
      <c r="I16" s="2"/>
      <c r="J16" s="2"/>
      <c r="K16" s="2"/>
      <c r="L16" s="2"/>
      <c r="M16" s="2"/>
      <c r="N16" s="2"/>
    </row>
    <row r="17" spans="1:19" ht="71" thickBot="1">
      <c r="A17" s="3" t="s">
        <v>122</v>
      </c>
      <c r="B17" s="3" t="s">
        <v>16</v>
      </c>
      <c r="C17" s="4" t="s">
        <v>30</v>
      </c>
      <c r="D17" s="5" t="s">
        <v>31</v>
      </c>
      <c r="E17" s="3" t="s">
        <v>32</v>
      </c>
      <c r="F17" s="3" t="s">
        <v>33</v>
      </c>
      <c r="G17" s="6" t="s">
        <v>34</v>
      </c>
      <c r="H17" s="3" t="s">
        <v>35</v>
      </c>
      <c r="I17" s="7" t="s">
        <v>36</v>
      </c>
      <c r="J17" s="7" t="s">
        <v>37</v>
      </c>
      <c r="K17" s="8" t="s">
        <v>64</v>
      </c>
      <c r="L17" s="8" t="s">
        <v>181</v>
      </c>
      <c r="M17" s="8" t="s">
        <v>182</v>
      </c>
      <c r="N17" s="8" t="s">
        <v>183</v>
      </c>
    </row>
    <row r="18" spans="1:19">
      <c r="A18">
        <v>312500</v>
      </c>
      <c r="B18">
        <f>A18/4</f>
        <v>78125</v>
      </c>
      <c r="C18">
        <v>10</v>
      </c>
      <c r="D18">
        <v>256</v>
      </c>
      <c r="E18">
        <v>32</v>
      </c>
      <c r="F18">
        <v>8</v>
      </c>
      <c r="G18">
        <v>2486.7020000000002</v>
      </c>
      <c r="H18">
        <v>222.75899999999999</v>
      </c>
      <c r="I18">
        <v>2102.5859999999998</v>
      </c>
      <c r="J18">
        <v>161.357</v>
      </c>
      <c r="K18">
        <v>3.2330000000000001</v>
      </c>
      <c r="L18">
        <v>9169.9570000000003</v>
      </c>
      <c r="M18">
        <v>3120</v>
      </c>
    </row>
    <row r="19" spans="1:19">
      <c r="A19">
        <v>625000</v>
      </c>
      <c r="B19">
        <f>A19/4</f>
        <v>156250</v>
      </c>
      <c r="C19">
        <v>10</v>
      </c>
      <c r="D19">
        <v>128</v>
      </c>
      <c r="E19">
        <v>32</v>
      </c>
      <c r="F19">
        <v>8</v>
      </c>
      <c r="G19">
        <v>1897.8610000000001</v>
      </c>
      <c r="H19">
        <v>214.71700000000001</v>
      </c>
      <c r="I19">
        <v>1535.1790000000001</v>
      </c>
      <c r="J19">
        <v>147.964</v>
      </c>
      <c r="K19">
        <v>4.8929999999999998</v>
      </c>
      <c r="L19">
        <v>9158.0529999999999</v>
      </c>
      <c r="M19">
        <v>3120</v>
      </c>
    </row>
    <row r="20" spans="1:19">
      <c r="A20">
        <v>1250000</v>
      </c>
      <c r="B20">
        <f>A20/4</f>
        <v>312500</v>
      </c>
      <c r="C20">
        <v>10</v>
      </c>
      <c r="D20">
        <v>64</v>
      </c>
      <c r="E20">
        <v>32</v>
      </c>
      <c r="F20">
        <v>8</v>
      </c>
      <c r="G20">
        <v>1602.171</v>
      </c>
      <c r="H20">
        <v>190.077</v>
      </c>
      <c r="I20">
        <v>1267.914</v>
      </c>
      <c r="J20">
        <v>144.18</v>
      </c>
      <c r="K20">
        <v>0.82</v>
      </c>
      <c r="L20">
        <v>9149.9449999999997</v>
      </c>
      <c r="M20">
        <v>3120</v>
      </c>
    </row>
    <row r="21" spans="1:19">
      <c r="A21">
        <v>2500000</v>
      </c>
      <c r="B21">
        <f>A21/4</f>
        <v>625000</v>
      </c>
      <c r="C21">
        <v>10</v>
      </c>
      <c r="D21">
        <v>32</v>
      </c>
      <c r="E21">
        <v>32</v>
      </c>
      <c r="F21">
        <v>8</v>
      </c>
      <c r="G21">
        <v>1481.8779999999999</v>
      </c>
      <c r="H21">
        <v>185.96299999999999</v>
      </c>
      <c r="I21">
        <v>1151.569</v>
      </c>
      <c r="J21">
        <v>144.346</v>
      </c>
      <c r="K21">
        <v>0.42099999999999999</v>
      </c>
      <c r="L21">
        <v>9144.5290000000005</v>
      </c>
      <c r="M21">
        <v>3120</v>
      </c>
    </row>
    <row r="24" spans="1:19" ht="46" thickBot="1">
      <c r="A24" s="3" t="s">
        <v>186</v>
      </c>
      <c r="B24" s="5" t="s">
        <v>187</v>
      </c>
      <c r="C24" s="6" t="s">
        <v>34</v>
      </c>
      <c r="D24" s="3" t="s">
        <v>188</v>
      </c>
      <c r="E24" s="7" t="s">
        <v>74</v>
      </c>
      <c r="F24" s="7" t="s">
        <v>75</v>
      </c>
      <c r="G24" s="7" t="s">
        <v>65</v>
      </c>
      <c r="H24" s="7" t="s">
        <v>66</v>
      </c>
      <c r="I24" s="7" t="s">
        <v>67</v>
      </c>
      <c r="J24" s="7" t="s">
        <v>101</v>
      </c>
      <c r="K24" s="8" t="s">
        <v>102</v>
      </c>
      <c r="L24" s="8" t="s">
        <v>103</v>
      </c>
      <c r="M24" s="8" t="s">
        <v>104</v>
      </c>
      <c r="N24" s="8" t="s">
        <v>103</v>
      </c>
    </row>
    <row r="25" spans="1:19">
      <c r="A25">
        <v>78125</v>
      </c>
      <c r="B25">
        <v>256</v>
      </c>
      <c r="C25">
        <v>2475.4369999999999</v>
      </c>
      <c r="D25">
        <v>216.81200000000001</v>
      </c>
      <c r="E25">
        <v>2104.4259999999999</v>
      </c>
      <c r="F25">
        <v>154.19800000000001</v>
      </c>
      <c r="G25">
        <v>2105.873</v>
      </c>
      <c r="H25">
        <v>167.672</v>
      </c>
      <c r="I25">
        <v>2102.5859999999998</v>
      </c>
      <c r="J25">
        <v>161.357</v>
      </c>
      <c r="K25">
        <f>AVERAGE(E25,G25,I25)</f>
        <v>2104.2950000000001</v>
      </c>
      <c r="L25">
        <f>STDEV(E25,G25,I25)/SQRT(3)</f>
        <v>0.95113318380418077</v>
      </c>
      <c r="M25">
        <f>AVERAGE(F25,H25,J25)</f>
        <v>161.07566666666665</v>
      </c>
      <c r="N25">
        <f>STDEV(F25,H25,J25)/SQRT(3)</f>
        <v>3.8921515186904561</v>
      </c>
    </row>
    <row r="26" spans="1:19">
      <c r="A26">
        <v>156250</v>
      </c>
      <c r="B26">
        <v>128</v>
      </c>
      <c r="C26">
        <v>1812.8209999999999</v>
      </c>
      <c r="D26">
        <v>215.00399999999999</v>
      </c>
      <c r="E26">
        <v>1452.8620000000001</v>
      </c>
      <c r="F26">
        <v>144.95599999999999</v>
      </c>
      <c r="G26">
        <v>1524.9490000000001</v>
      </c>
      <c r="H26">
        <v>143.97499999999999</v>
      </c>
      <c r="I26">
        <v>1535.1790000000001</v>
      </c>
      <c r="J26">
        <v>147.964</v>
      </c>
      <c r="K26">
        <f>AVERAGE(E26,G26,I26)</f>
        <v>1504.33</v>
      </c>
      <c r="L26">
        <f>STDEV(E26,G26,I26)/SQRT(3)</f>
        <v>25.902892328850076</v>
      </c>
      <c r="M26">
        <f>AVERAGE(F26,H26,J26)</f>
        <v>145.63166666666666</v>
      </c>
      <c r="N26">
        <f>STDEV(F26,H26,J26)/SQRT(3)</f>
        <v>1.2000589337380267</v>
      </c>
    </row>
    <row r="27" spans="1:19">
      <c r="A27">
        <v>312500</v>
      </c>
      <c r="B27">
        <v>64</v>
      </c>
      <c r="C27">
        <v>1631.0630000000001</v>
      </c>
      <c r="D27">
        <v>211.405</v>
      </c>
      <c r="E27">
        <v>1268.711</v>
      </c>
      <c r="F27">
        <v>150.947</v>
      </c>
      <c r="G27">
        <v>1314.2070000000001</v>
      </c>
      <c r="H27">
        <v>144.321</v>
      </c>
      <c r="I27">
        <v>1267.914</v>
      </c>
      <c r="J27">
        <v>144.18</v>
      </c>
      <c r="K27">
        <f>AVERAGE(E27,G27,I27)</f>
        <v>1283.6106666666667</v>
      </c>
      <c r="L27">
        <f>STDEV(E27,G27,I27)/SQRT(3)</f>
        <v>15.299896648162221</v>
      </c>
      <c r="M27">
        <f>AVERAGE(F27,H27,J27)</f>
        <v>146.48266666666669</v>
      </c>
      <c r="N27">
        <f>STDEV(F27,H27,J27)/SQRT(3)</f>
        <v>2.2325377438640941</v>
      </c>
    </row>
    <row r="28" spans="1:19">
      <c r="A28">
        <v>625000</v>
      </c>
      <c r="B28">
        <v>32</v>
      </c>
      <c r="C28">
        <v>1536.421</v>
      </c>
      <c r="D28">
        <v>191.22499999999999</v>
      </c>
      <c r="E28">
        <v>1209.1849999999999</v>
      </c>
      <c r="F28">
        <v>136.01</v>
      </c>
      <c r="G28">
        <v>1148.826</v>
      </c>
      <c r="H28">
        <v>143.60400000000001</v>
      </c>
      <c r="I28">
        <v>1151.569</v>
      </c>
      <c r="J28">
        <v>144.346</v>
      </c>
      <c r="K28">
        <f>AVERAGE(E28,G28,I28)</f>
        <v>1169.8599999999999</v>
      </c>
      <c r="L28">
        <f>STDEV(E28,G28,I28)/SQRT(3)</f>
        <v>19.678437700522181</v>
      </c>
      <c r="M28">
        <f>AVERAGE(F28,H28,J28)</f>
        <v>141.32000000000002</v>
      </c>
      <c r="N28">
        <f>STDEV(F28,H28,J28)/SQRT(3)</f>
        <v>2.6636263501725166</v>
      </c>
    </row>
    <row r="31" spans="1:19">
      <c r="D31" t="s">
        <v>105</v>
      </c>
    </row>
    <row r="32" spans="1:19" ht="46" thickBot="1">
      <c r="D32" s="3" t="s">
        <v>106</v>
      </c>
      <c r="E32" s="5" t="s">
        <v>107</v>
      </c>
      <c r="F32" s="6" t="s">
        <v>34</v>
      </c>
      <c r="G32" s="3" t="s">
        <v>108</v>
      </c>
      <c r="H32" s="8" t="s">
        <v>17</v>
      </c>
      <c r="I32" s="8" t="s">
        <v>18</v>
      </c>
      <c r="J32" s="8" t="s">
        <v>19</v>
      </c>
      <c r="K32" s="8" t="s">
        <v>20</v>
      </c>
      <c r="R32" t="s">
        <v>21</v>
      </c>
      <c r="S32" t="s">
        <v>22</v>
      </c>
    </row>
    <row r="33" spans="4:19">
      <c r="D33">
        <v>78125</v>
      </c>
      <c r="E33">
        <v>256</v>
      </c>
      <c r="F33" s="9">
        <f>H33+J33+G33</f>
        <v>2482.1826666666666</v>
      </c>
      <c r="G33">
        <v>216.81200000000001</v>
      </c>
      <c r="H33" s="9">
        <v>2104.2950000000001</v>
      </c>
      <c r="I33" s="9">
        <v>0.95113318365910415</v>
      </c>
      <c r="J33" s="9">
        <v>161.07566666666665</v>
      </c>
      <c r="K33" s="9">
        <v>3.8921515186908202</v>
      </c>
      <c r="M33" t="s">
        <v>128</v>
      </c>
      <c r="R33">
        <v>1.59</v>
      </c>
      <c r="S33">
        <v>1.36</v>
      </c>
    </row>
    <row r="34" spans="4:19" ht="15">
      <c r="D34">
        <v>156250</v>
      </c>
      <c r="E34">
        <v>128</v>
      </c>
      <c r="F34" s="9">
        <f>H34+J34+G34</f>
        <v>1864.9656666666665</v>
      </c>
      <c r="G34">
        <v>215.00399999999999</v>
      </c>
      <c r="H34" s="9">
        <v>1504.33</v>
      </c>
      <c r="I34" s="9">
        <v>25.902892328855973</v>
      </c>
      <c r="J34" s="9">
        <v>145.63166666666666</v>
      </c>
      <c r="K34" s="9">
        <v>1.2000589337377248</v>
      </c>
      <c r="M34" t="s">
        <v>129</v>
      </c>
      <c r="R34" s="10">
        <v>9155.6200000000008</v>
      </c>
      <c r="S34" s="10">
        <v>11.06</v>
      </c>
    </row>
    <row r="35" spans="4:19">
      <c r="D35">
        <v>312500</v>
      </c>
      <c r="E35">
        <v>64</v>
      </c>
      <c r="F35" s="9">
        <f>H35+J35+G35</f>
        <v>1641.4983333333334</v>
      </c>
      <c r="G35">
        <v>211.405</v>
      </c>
      <c r="H35" s="9">
        <v>1283.6106666666667</v>
      </c>
      <c r="I35" s="9">
        <v>15.299896648162512</v>
      </c>
      <c r="J35" s="9">
        <v>146.48266666666669</v>
      </c>
      <c r="K35" s="9">
        <v>2.2325377438638392</v>
      </c>
      <c r="M35" t="s">
        <v>96</v>
      </c>
    </row>
    <row r="36" spans="4:19">
      <c r="D36">
        <v>625000</v>
      </c>
      <c r="E36">
        <v>32</v>
      </c>
      <c r="F36" s="9">
        <f>H36+J36+G36</f>
        <v>1502.4049999999997</v>
      </c>
      <c r="G36">
        <v>191.22499999999999</v>
      </c>
      <c r="H36" s="9">
        <v>1169.8599999999999</v>
      </c>
      <c r="I36" s="9">
        <v>19.678437700520611</v>
      </c>
      <c r="J36" s="9">
        <v>141.32000000000002</v>
      </c>
      <c r="K36" s="9">
        <v>2.6636263501721773</v>
      </c>
      <c r="M36" t="s">
        <v>113</v>
      </c>
    </row>
    <row r="37" spans="4:19">
      <c r="M37" t="s">
        <v>114</v>
      </c>
    </row>
    <row r="60" spans="25:25">
      <c r="Y60" t="s">
        <v>115</v>
      </c>
    </row>
    <row r="65" spans="1:14" ht="15">
      <c r="A65" s="1"/>
      <c r="B65" s="2"/>
      <c r="C65" s="2"/>
      <c r="D65" s="2"/>
      <c r="E65" s="2"/>
      <c r="F65" s="2"/>
      <c r="G65" s="1" t="s">
        <v>116</v>
      </c>
      <c r="H65" s="1"/>
      <c r="I65" s="2"/>
      <c r="J65" s="2"/>
      <c r="K65" s="2"/>
      <c r="L65" s="2"/>
      <c r="M65" s="2"/>
      <c r="N65" s="2"/>
    </row>
    <row r="66" spans="1:14" ht="71" thickBot="1">
      <c r="A66" s="3" t="s">
        <v>122</v>
      </c>
      <c r="B66" s="3" t="s">
        <v>16</v>
      </c>
      <c r="C66" s="4" t="s">
        <v>30</v>
      </c>
      <c r="D66" s="5" t="s">
        <v>31</v>
      </c>
      <c r="E66" s="3" t="s">
        <v>32</v>
      </c>
      <c r="F66" s="3" t="s">
        <v>33</v>
      </c>
      <c r="G66" s="6" t="s">
        <v>34</v>
      </c>
      <c r="H66" s="3" t="s">
        <v>35</v>
      </c>
      <c r="I66" s="7" t="s">
        <v>36</v>
      </c>
      <c r="J66" s="7" t="s">
        <v>37</v>
      </c>
      <c r="K66" s="8" t="s">
        <v>64</v>
      </c>
      <c r="L66" s="8" t="s">
        <v>181</v>
      </c>
      <c r="M66" s="8" t="s">
        <v>182</v>
      </c>
      <c r="N66" s="8" t="s">
        <v>183</v>
      </c>
    </row>
    <row r="67" spans="1:14">
      <c r="A67">
        <v>2500000</v>
      </c>
      <c r="B67">
        <f>A67/4</f>
        <v>625000</v>
      </c>
      <c r="C67">
        <v>10</v>
      </c>
      <c r="D67">
        <v>32</v>
      </c>
      <c r="E67">
        <v>8</v>
      </c>
      <c r="F67">
        <v>8</v>
      </c>
      <c r="G67">
        <v>4010.2890000000002</v>
      </c>
      <c r="H67">
        <v>191.22499999999999</v>
      </c>
      <c r="I67">
        <v>3691.875</v>
      </c>
      <c r="J67">
        <v>128.80500000000001</v>
      </c>
      <c r="K67">
        <v>0.39400000000000002</v>
      </c>
      <c r="L67">
        <v>9144.5290000000005</v>
      </c>
      <c r="M67">
        <v>3120</v>
      </c>
    </row>
    <row r="68" spans="1:14">
      <c r="A68">
        <v>2500000</v>
      </c>
      <c r="B68">
        <f>A68/4</f>
        <v>625000</v>
      </c>
      <c r="C68">
        <v>10</v>
      </c>
      <c r="D68">
        <v>32</v>
      </c>
      <c r="E68">
        <v>16</v>
      </c>
      <c r="F68">
        <v>8</v>
      </c>
      <c r="G68">
        <v>2552.3510000000001</v>
      </c>
      <c r="H68">
        <v>185.40199999999999</v>
      </c>
      <c r="I68">
        <v>2166.7109999999998</v>
      </c>
      <c r="J68">
        <v>140.238</v>
      </c>
      <c r="K68">
        <v>0.79100000000000004</v>
      </c>
      <c r="L68">
        <v>9144.5290000000005</v>
      </c>
      <c r="M68">
        <v>3120</v>
      </c>
    </row>
    <row r="69" spans="1:14">
      <c r="A69">
        <v>2500000</v>
      </c>
      <c r="B69">
        <f>A69/4</f>
        <v>625000</v>
      </c>
      <c r="C69">
        <v>10</v>
      </c>
      <c r="D69">
        <v>32</v>
      </c>
      <c r="E69">
        <v>32</v>
      </c>
      <c r="F69">
        <v>8</v>
      </c>
      <c r="G69">
        <v>1536.421</v>
      </c>
      <c r="H69">
        <v>191.22499999999999</v>
      </c>
      <c r="I69">
        <v>1209.1849999999999</v>
      </c>
      <c r="J69">
        <v>136.01</v>
      </c>
      <c r="K69">
        <v>0.42799999999999999</v>
      </c>
      <c r="L69">
        <v>9144.5290000000005</v>
      </c>
      <c r="M69">
        <v>3120</v>
      </c>
    </row>
    <row r="72" spans="1:14" ht="15">
      <c r="A72" s="1"/>
      <c r="B72" s="2"/>
      <c r="C72" s="2"/>
      <c r="D72" s="2"/>
      <c r="E72" s="2"/>
      <c r="F72" s="2"/>
      <c r="G72" s="1" t="s">
        <v>117</v>
      </c>
      <c r="H72" s="1"/>
      <c r="I72" s="2"/>
      <c r="J72" s="2"/>
      <c r="K72" s="2"/>
      <c r="L72" s="2"/>
      <c r="M72" s="2"/>
      <c r="N72" s="2"/>
    </row>
    <row r="73" spans="1:14" ht="71" thickBot="1">
      <c r="A73" s="3" t="s">
        <v>122</v>
      </c>
      <c r="B73" s="3" t="s">
        <v>16</v>
      </c>
      <c r="C73" s="4" t="s">
        <v>30</v>
      </c>
      <c r="D73" s="5" t="s">
        <v>31</v>
      </c>
      <c r="E73" s="3" t="s">
        <v>32</v>
      </c>
      <c r="F73" s="3" t="s">
        <v>33</v>
      </c>
      <c r="G73" s="6" t="s">
        <v>34</v>
      </c>
      <c r="H73" s="3" t="s">
        <v>35</v>
      </c>
      <c r="I73" s="7" t="s">
        <v>36</v>
      </c>
      <c r="J73" s="7" t="s">
        <v>37</v>
      </c>
      <c r="K73" s="8" t="s">
        <v>64</v>
      </c>
      <c r="L73" s="8" t="s">
        <v>181</v>
      </c>
      <c r="M73" s="8" t="s">
        <v>182</v>
      </c>
      <c r="N73" s="8" t="s">
        <v>183</v>
      </c>
    </row>
    <row r="74" spans="1:14">
      <c r="A74">
        <v>2500000</v>
      </c>
      <c r="B74">
        <f>A74/4</f>
        <v>625000</v>
      </c>
      <c r="C74">
        <v>10</v>
      </c>
      <c r="D74">
        <v>32</v>
      </c>
      <c r="E74">
        <v>8</v>
      </c>
      <c r="F74">
        <v>8</v>
      </c>
      <c r="G74">
        <v>4023.6149999999998</v>
      </c>
      <c r="H74">
        <v>188.74299999999999</v>
      </c>
      <c r="I74">
        <v>3691.2269999999999</v>
      </c>
      <c r="J74">
        <v>143.64400000000001</v>
      </c>
      <c r="K74">
        <v>0.39400000000000002</v>
      </c>
      <c r="L74">
        <v>9144.5290000000005</v>
      </c>
      <c r="M74">
        <v>3120</v>
      </c>
    </row>
    <row r="75" spans="1:14">
      <c r="A75">
        <v>2500000</v>
      </c>
      <c r="B75">
        <f>A75/4</f>
        <v>625000</v>
      </c>
      <c r="C75">
        <v>10</v>
      </c>
      <c r="D75">
        <v>32</v>
      </c>
      <c r="E75">
        <v>16</v>
      </c>
      <c r="F75">
        <v>8</v>
      </c>
      <c r="G75">
        <v>2293.154</v>
      </c>
      <c r="H75">
        <v>190.477</v>
      </c>
      <c r="I75">
        <v>1965.771</v>
      </c>
      <c r="J75">
        <v>136.90600000000001</v>
      </c>
      <c r="K75">
        <v>0.79100000000000004</v>
      </c>
      <c r="L75">
        <v>9144.5290000000005</v>
      </c>
      <c r="M75">
        <v>3120</v>
      </c>
    </row>
    <row r="76" spans="1:14">
      <c r="A76">
        <v>2500000</v>
      </c>
      <c r="B76">
        <f>A76/4</f>
        <v>625000</v>
      </c>
      <c r="C76">
        <v>10</v>
      </c>
      <c r="D76">
        <v>32</v>
      </c>
      <c r="E76">
        <v>32</v>
      </c>
      <c r="F76">
        <v>8</v>
      </c>
      <c r="G76">
        <v>1473.1859999999999</v>
      </c>
      <c r="H76">
        <v>180.756</v>
      </c>
      <c r="I76">
        <v>1148.826</v>
      </c>
      <c r="J76">
        <v>143.60400000000001</v>
      </c>
      <c r="K76">
        <v>0.42799999999999999</v>
      </c>
      <c r="L76">
        <v>9144.5290000000005</v>
      </c>
      <c r="M76">
        <v>3120</v>
      </c>
    </row>
    <row r="79" spans="1:14" ht="15">
      <c r="A79" s="1"/>
      <c r="B79" s="2"/>
      <c r="C79" s="2"/>
      <c r="D79" s="2"/>
      <c r="E79" s="2"/>
      <c r="F79" s="2"/>
      <c r="G79" s="1" t="s">
        <v>118</v>
      </c>
      <c r="H79" s="1"/>
      <c r="I79" s="2"/>
      <c r="J79" s="2"/>
      <c r="K79" s="2"/>
      <c r="L79" s="2"/>
      <c r="M79" s="2"/>
      <c r="N79" s="2"/>
    </row>
    <row r="80" spans="1:14" ht="71" thickBot="1">
      <c r="A80" s="3" t="s">
        <v>122</v>
      </c>
      <c r="B80" s="3" t="s">
        <v>16</v>
      </c>
      <c r="C80" s="4" t="s">
        <v>30</v>
      </c>
      <c r="D80" s="5" t="s">
        <v>31</v>
      </c>
      <c r="E80" s="3" t="s">
        <v>32</v>
      </c>
      <c r="F80" s="3" t="s">
        <v>33</v>
      </c>
      <c r="G80" s="6" t="s">
        <v>34</v>
      </c>
      <c r="H80" s="3" t="s">
        <v>35</v>
      </c>
      <c r="I80" s="7" t="s">
        <v>36</v>
      </c>
      <c r="J80" s="7" t="s">
        <v>37</v>
      </c>
      <c r="K80" s="8" t="s">
        <v>64</v>
      </c>
      <c r="L80" s="8" t="s">
        <v>181</v>
      </c>
      <c r="M80" s="8" t="s">
        <v>182</v>
      </c>
      <c r="N80" s="8" t="s">
        <v>183</v>
      </c>
    </row>
    <row r="81" spans="1:12">
      <c r="A81">
        <v>2500000</v>
      </c>
      <c r="B81">
        <f>A81/4</f>
        <v>625000</v>
      </c>
      <c r="C81">
        <v>10</v>
      </c>
      <c r="D81">
        <v>32</v>
      </c>
      <c r="E81">
        <v>8</v>
      </c>
      <c r="F81">
        <v>8</v>
      </c>
      <c r="G81">
        <v>4167.0680000000002</v>
      </c>
      <c r="H81">
        <v>187.65</v>
      </c>
      <c r="I81">
        <v>3824.5680000000002</v>
      </c>
      <c r="J81">
        <v>154.85</v>
      </c>
      <c r="K81">
        <v>0.39400000000000002</v>
      </c>
      <c r="L81">
        <v>9144.5290000000005</v>
      </c>
    </row>
    <row r="82" spans="1:12">
      <c r="A82">
        <v>2500000</v>
      </c>
      <c r="B82">
        <f>A82/4</f>
        <v>625000</v>
      </c>
      <c r="C82">
        <v>10</v>
      </c>
      <c r="D82">
        <v>32</v>
      </c>
      <c r="E82">
        <v>16</v>
      </c>
      <c r="F82">
        <v>8</v>
      </c>
      <c r="G82">
        <v>2346.3620000000001</v>
      </c>
      <c r="H82">
        <v>189.422</v>
      </c>
      <c r="I82">
        <v>2046.3050000000001</v>
      </c>
      <c r="J82">
        <v>150.63499999999999</v>
      </c>
      <c r="K82">
        <v>0.79100000000000004</v>
      </c>
      <c r="L82">
        <v>9144.5290000000005</v>
      </c>
    </row>
    <row r="83" spans="1:12">
      <c r="A83">
        <v>2500000</v>
      </c>
      <c r="B83">
        <f>A83/4</f>
        <v>625000</v>
      </c>
      <c r="C83">
        <v>10</v>
      </c>
      <c r="D83">
        <v>32</v>
      </c>
      <c r="E83">
        <v>32</v>
      </c>
      <c r="F83">
        <v>8</v>
      </c>
      <c r="G83">
        <v>1481.8779999999999</v>
      </c>
      <c r="H83">
        <v>185.96299999999999</v>
      </c>
      <c r="I83">
        <v>1151.569</v>
      </c>
      <c r="J83">
        <v>144.346</v>
      </c>
      <c r="K83">
        <v>0.42099999999999999</v>
      </c>
      <c r="L83">
        <v>9144.5290000000005</v>
      </c>
    </row>
    <row r="87" spans="1:12" ht="71" thickBot="1">
      <c r="A87" s="3" t="s">
        <v>119</v>
      </c>
      <c r="B87" s="6" t="s">
        <v>34</v>
      </c>
      <c r="C87" s="7" t="s">
        <v>120</v>
      </c>
      <c r="D87" s="7" t="s">
        <v>120</v>
      </c>
      <c r="E87" s="7" t="s">
        <v>120</v>
      </c>
      <c r="F87" s="8" t="s">
        <v>63</v>
      </c>
      <c r="G87" s="8" t="s">
        <v>5</v>
      </c>
      <c r="H87" s="7" t="s">
        <v>80</v>
      </c>
      <c r="I87" s="7" t="s">
        <v>80</v>
      </c>
      <c r="J87" s="7" t="s">
        <v>80</v>
      </c>
      <c r="K87" s="8" t="s">
        <v>79</v>
      </c>
      <c r="L87" s="8" t="s">
        <v>123</v>
      </c>
    </row>
    <row r="88" spans="1:12">
      <c r="A88">
        <v>8</v>
      </c>
      <c r="B88">
        <f>F88+J88</f>
        <v>3890.74</v>
      </c>
      <c r="C88">
        <v>3691.875</v>
      </c>
      <c r="D88">
        <v>3691.2269999999999</v>
      </c>
      <c r="E88">
        <v>3824.5680000000002</v>
      </c>
      <c r="F88">
        <f>AVERAGE(C88,D88,E88)</f>
        <v>3735.89</v>
      </c>
      <c r="G88">
        <f>STDEV(C88,D88,E88)/SQRT(3)</f>
        <v>44.33939459442368</v>
      </c>
      <c r="H88">
        <v>128.80500000000001</v>
      </c>
      <c r="I88">
        <v>143.64400000000001</v>
      </c>
      <c r="J88">
        <v>154.85</v>
      </c>
      <c r="K88">
        <f>AVERAGE(H88,I88,J88)</f>
        <v>142.43299999999999</v>
      </c>
      <c r="L88">
        <f>STDEV(H88,I88,J88)/SQRT(3)</f>
        <v>7.5428862071048961</v>
      </c>
    </row>
    <row r="89" spans="1:12">
      <c r="A89">
        <v>16</v>
      </c>
      <c r="B89">
        <f>F89+J89</f>
        <v>2210.2306666666664</v>
      </c>
      <c r="C89">
        <v>2166.7109999999998</v>
      </c>
      <c r="D89">
        <v>1965.771</v>
      </c>
      <c r="E89">
        <v>2046.3050000000001</v>
      </c>
      <c r="F89">
        <f>AVERAGE(C89,D89,E89)</f>
        <v>2059.5956666666666</v>
      </c>
      <c r="G89">
        <f>STDEV(C89,D89,E89)/SQRT(3)</f>
        <v>58.385792408008861</v>
      </c>
      <c r="H89">
        <v>140.238</v>
      </c>
      <c r="I89">
        <v>136.90600000000001</v>
      </c>
      <c r="J89">
        <v>150.63499999999999</v>
      </c>
      <c r="K89">
        <f>AVERAGE(H89,I89,J89)</f>
        <v>142.59299999999999</v>
      </c>
      <c r="L89">
        <f>STDEV(H89,I89,J89)/SQRT(3)</f>
        <v>4.1344438965032886</v>
      </c>
    </row>
    <row r="90" spans="1:12">
      <c r="A90">
        <v>32</v>
      </c>
      <c r="B90">
        <f>F90+J90</f>
        <v>1314.2059999999999</v>
      </c>
      <c r="C90">
        <v>1209.1849999999999</v>
      </c>
      <c r="D90">
        <v>1148.826</v>
      </c>
      <c r="E90">
        <v>1151.569</v>
      </c>
      <c r="F90">
        <f>AVERAGE(C90,D90,E90)</f>
        <v>1169.8599999999999</v>
      </c>
      <c r="G90">
        <f>STDEV(C90,D90,E90)/SQRT(3)</f>
        <v>19.678437700522181</v>
      </c>
      <c r="H90">
        <v>136.01</v>
      </c>
      <c r="I90">
        <v>143.60400000000001</v>
      </c>
      <c r="J90">
        <v>144.346</v>
      </c>
      <c r="K90">
        <f>AVERAGE(H90,I90,J90)</f>
        <v>141.32000000000002</v>
      </c>
      <c r="L90">
        <f>STDEV(H90,I90,J90)/SQRT(3)</f>
        <v>2.6636263501725166</v>
      </c>
    </row>
    <row r="94" spans="1:12">
      <c r="A94" t="s">
        <v>124</v>
      </c>
    </row>
    <row r="96" spans="1:12" ht="33" thickBot="1">
      <c r="A96" s="3" t="s">
        <v>125</v>
      </c>
      <c r="B96" s="5" t="s">
        <v>34</v>
      </c>
      <c r="C96" s="6" t="s">
        <v>126</v>
      </c>
      <c r="D96" s="3" t="s">
        <v>85</v>
      </c>
      <c r="E96" s="3" t="s">
        <v>86</v>
      </c>
      <c r="F96" s="5" t="s">
        <v>87</v>
      </c>
      <c r="G96" s="11"/>
    </row>
    <row r="97" spans="1:22">
      <c r="A97">
        <v>8</v>
      </c>
      <c r="B97" s="9">
        <v>3890.74</v>
      </c>
      <c r="C97" s="9">
        <v>3735.89</v>
      </c>
      <c r="D97" s="9">
        <v>44.339394594427489</v>
      </c>
      <c r="E97" s="9">
        <v>142.43299999999999</v>
      </c>
      <c r="F97" s="9">
        <v>7.5428862071049236</v>
      </c>
    </row>
    <row r="98" spans="1:22">
      <c r="A98">
        <v>16</v>
      </c>
      <c r="B98" s="9">
        <v>2210.2306666666664</v>
      </c>
      <c r="C98" s="9">
        <v>2059.5956666666666</v>
      </c>
      <c r="D98" s="9">
        <v>58.385792408006402</v>
      </c>
      <c r="E98" s="9">
        <v>142.59299999999999</v>
      </c>
      <c r="F98" s="9">
        <v>4.1344438965032166</v>
      </c>
    </row>
    <row r="99" spans="1:22">
      <c r="A99">
        <v>32</v>
      </c>
      <c r="B99" s="9">
        <v>1314.2059999999999</v>
      </c>
      <c r="C99" s="9">
        <v>1169.8599999999999</v>
      </c>
      <c r="D99" s="9">
        <v>19.678437700520611</v>
      </c>
      <c r="E99" s="9">
        <v>141.32000000000002</v>
      </c>
      <c r="F99" s="9">
        <v>2.6636263501721773</v>
      </c>
    </row>
    <row r="100" spans="1:22">
      <c r="V100" t="s">
        <v>88</v>
      </c>
    </row>
    <row r="101" spans="1:22">
      <c r="V101">
        <v>9144.5290000000005</v>
      </c>
    </row>
    <row r="105" spans="1:22">
      <c r="I105" t="s">
        <v>128</v>
      </c>
    </row>
    <row r="106" spans="1:22">
      <c r="I106" t="s">
        <v>89</v>
      </c>
    </row>
    <row r="107" spans="1:22">
      <c r="I107" t="s">
        <v>90</v>
      </c>
    </row>
    <row r="108" spans="1:22">
      <c r="I108" t="s">
        <v>84</v>
      </c>
    </row>
    <row r="109" spans="1:22">
      <c r="I109" t="s">
        <v>23</v>
      </c>
    </row>
    <row r="120" spans="1:17" ht="15">
      <c r="A120" s="1"/>
      <c r="B120" s="2"/>
      <c r="C120" s="2"/>
      <c r="D120" s="2"/>
      <c r="E120" s="2"/>
      <c r="F120" s="2"/>
      <c r="G120" s="1" t="s">
        <v>24</v>
      </c>
      <c r="H120" s="1"/>
      <c r="I120" s="2"/>
      <c r="J120" s="2"/>
      <c r="K120" s="2"/>
      <c r="L120" s="2"/>
      <c r="M120" s="2"/>
      <c r="N120" s="2"/>
    </row>
    <row r="121" spans="1:17" ht="71" thickBot="1">
      <c r="A121" s="3" t="s">
        <v>122</v>
      </c>
      <c r="B121" s="3" t="s">
        <v>186</v>
      </c>
      <c r="C121" s="4" t="s">
        <v>25</v>
      </c>
      <c r="D121" s="5" t="s">
        <v>31</v>
      </c>
      <c r="E121" s="3" t="s">
        <v>32</v>
      </c>
      <c r="F121" s="3" t="s">
        <v>33</v>
      </c>
      <c r="G121" s="6" t="s">
        <v>34</v>
      </c>
      <c r="H121" s="3" t="s">
        <v>35</v>
      </c>
      <c r="I121" s="7" t="s">
        <v>36</v>
      </c>
      <c r="J121" s="7" t="s">
        <v>37</v>
      </c>
      <c r="K121" s="8" t="s">
        <v>64</v>
      </c>
      <c r="L121" s="8" t="s">
        <v>181</v>
      </c>
      <c r="M121" s="8" t="s">
        <v>182</v>
      </c>
      <c r="N121" s="8" t="s">
        <v>26</v>
      </c>
    </row>
    <row r="122" spans="1:17">
      <c r="A122">
        <v>2500000</v>
      </c>
      <c r="B122">
        <f>A122/4</f>
        <v>625000</v>
      </c>
      <c r="C122">
        <v>10</v>
      </c>
      <c r="D122">
        <v>32</v>
      </c>
      <c r="E122">
        <v>32</v>
      </c>
      <c r="F122">
        <v>8</v>
      </c>
      <c r="G122">
        <v>1536.421</v>
      </c>
      <c r="H122">
        <v>191.22499999999999</v>
      </c>
      <c r="I122">
        <v>1209.1849999999999</v>
      </c>
      <c r="J122">
        <v>136.01</v>
      </c>
      <c r="K122">
        <v>0.39400000000000002</v>
      </c>
      <c r="L122">
        <v>9144.5290000000005</v>
      </c>
      <c r="M122">
        <v>3120</v>
      </c>
      <c r="N122">
        <v>4.45</v>
      </c>
      <c r="O122">
        <f>3.12/10</f>
        <v>0.312</v>
      </c>
      <c r="P122">
        <f>AVERAGE(O122,O123)</f>
        <v>0.3044</v>
      </c>
      <c r="Q122">
        <f>STDEV(O122:O123)</f>
        <v>1.0748023074035516E-2</v>
      </c>
    </row>
    <row r="123" spans="1:17">
      <c r="A123">
        <v>2500000</v>
      </c>
      <c r="B123">
        <f>A123/4</f>
        <v>625000</v>
      </c>
      <c r="C123">
        <v>20</v>
      </c>
      <c r="D123">
        <v>64</v>
      </c>
      <c r="E123">
        <v>32</v>
      </c>
      <c r="F123">
        <v>8</v>
      </c>
      <c r="G123">
        <v>2914.9259999999999</v>
      </c>
      <c r="H123">
        <v>403.73099999999999</v>
      </c>
      <c r="I123">
        <v>2187.7220000000002</v>
      </c>
      <c r="J123">
        <v>323.47300000000001</v>
      </c>
      <c r="K123">
        <v>0.84499999999999997</v>
      </c>
      <c r="L123">
        <v>18227.145</v>
      </c>
      <c r="M123">
        <v>5936</v>
      </c>
      <c r="N123">
        <v>9.3000000000000007</v>
      </c>
      <c r="O123">
        <f>5.936/20</f>
        <v>0.29680000000000001</v>
      </c>
    </row>
    <row r="124" spans="1:17">
      <c r="A124">
        <v>2500000</v>
      </c>
      <c r="B124">
        <f>A124/4</f>
        <v>625000</v>
      </c>
      <c r="C124">
        <v>40</v>
      </c>
      <c r="D124">
        <v>128</v>
      </c>
      <c r="E124">
        <v>32</v>
      </c>
      <c r="F124">
        <v>8</v>
      </c>
      <c r="G124">
        <v>5811.2950000000001</v>
      </c>
      <c r="H124">
        <v>910.69</v>
      </c>
      <c r="I124">
        <v>4227.183</v>
      </c>
      <c r="J124">
        <v>673.399</v>
      </c>
      <c r="K124">
        <v>1.615</v>
      </c>
      <c r="L124">
        <v>36454.269</v>
      </c>
      <c r="M124">
        <v>5952</v>
      </c>
      <c r="N124">
        <v>24</v>
      </c>
      <c r="O124">
        <f>5.952/40</f>
        <v>0.14879999999999999</v>
      </c>
    </row>
    <row r="129" spans="1:14" ht="15">
      <c r="A129" s="1"/>
      <c r="B129" s="2"/>
      <c r="C129" s="2"/>
      <c r="D129" s="2"/>
      <c r="E129" s="2"/>
      <c r="F129" s="2"/>
      <c r="G129" s="1" t="s">
        <v>27</v>
      </c>
      <c r="H129" s="1"/>
      <c r="I129" s="2"/>
      <c r="J129" s="2"/>
      <c r="K129" s="2"/>
      <c r="L129" s="2"/>
      <c r="M129" s="2"/>
      <c r="N129" s="2"/>
    </row>
    <row r="130" spans="1:14" ht="71" thickBot="1">
      <c r="A130" s="3" t="s">
        <v>122</v>
      </c>
      <c r="B130" s="3" t="s">
        <v>16</v>
      </c>
      <c r="C130" s="4" t="s">
        <v>30</v>
      </c>
      <c r="D130" s="5" t="s">
        <v>31</v>
      </c>
      <c r="E130" s="3" t="s">
        <v>32</v>
      </c>
      <c r="F130" s="3" t="s">
        <v>33</v>
      </c>
      <c r="G130" s="6" t="s">
        <v>34</v>
      </c>
      <c r="H130" s="3" t="s">
        <v>35</v>
      </c>
      <c r="I130" s="7" t="s">
        <v>36</v>
      </c>
      <c r="J130" s="7" t="s">
        <v>37</v>
      </c>
      <c r="K130" s="8" t="s">
        <v>64</v>
      </c>
      <c r="L130" s="8" t="s">
        <v>181</v>
      </c>
      <c r="M130" s="8" t="s">
        <v>182</v>
      </c>
      <c r="N130" s="8" t="s">
        <v>183</v>
      </c>
    </row>
    <row r="131" spans="1:14">
      <c r="A131">
        <v>2500000</v>
      </c>
      <c r="B131">
        <f>A131/4</f>
        <v>625000</v>
      </c>
      <c r="C131">
        <v>10</v>
      </c>
      <c r="D131">
        <v>32</v>
      </c>
      <c r="E131">
        <v>32</v>
      </c>
      <c r="F131">
        <v>8</v>
      </c>
      <c r="G131">
        <v>1473.1859999999999</v>
      </c>
      <c r="H131">
        <v>180.756</v>
      </c>
      <c r="I131">
        <v>1148.826</v>
      </c>
      <c r="J131">
        <v>143.60400000000001</v>
      </c>
      <c r="K131">
        <v>0.36899999999999999</v>
      </c>
      <c r="L131">
        <v>9144.5290000000005</v>
      </c>
    </row>
    <row r="132" spans="1:14">
      <c r="A132">
        <v>2500000</v>
      </c>
      <c r="B132">
        <f>A132/4</f>
        <v>625000</v>
      </c>
      <c r="C132">
        <v>20</v>
      </c>
      <c r="D132">
        <v>64</v>
      </c>
      <c r="E132">
        <v>32</v>
      </c>
      <c r="F132">
        <v>8</v>
      </c>
      <c r="G132">
        <v>2837.6559999999999</v>
      </c>
      <c r="H132">
        <v>396.435</v>
      </c>
      <c r="I132">
        <v>2146.2249999999999</v>
      </c>
      <c r="J132">
        <v>294.995</v>
      </c>
      <c r="K132">
        <v>0.72599999999999998</v>
      </c>
      <c r="L132">
        <v>18227.145</v>
      </c>
      <c r="M132">
        <v>5936</v>
      </c>
      <c r="N132">
        <v>9.3000000000000007</v>
      </c>
    </row>
    <row r="133" spans="1:14">
      <c r="A133">
        <v>2500000</v>
      </c>
      <c r="B133">
        <f>A133/4</f>
        <v>625000</v>
      </c>
      <c r="C133">
        <v>40</v>
      </c>
      <c r="D133">
        <v>128</v>
      </c>
      <c r="E133">
        <v>32</v>
      </c>
      <c r="F133">
        <v>8</v>
      </c>
      <c r="G133">
        <v>5615.8459999999995</v>
      </c>
      <c r="H133">
        <v>877.34900000000005</v>
      </c>
      <c r="I133">
        <v>4458.7510000000002</v>
      </c>
      <c r="J133">
        <v>679.70799999999997</v>
      </c>
      <c r="K133">
        <v>1.532</v>
      </c>
      <c r="L133">
        <v>36454.269</v>
      </c>
      <c r="M133">
        <v>5952</v>
      </c>
      <c r="N133">
        <v>24</v>
      </c>
    </row>
    <row r="139" spans="1:14" ht="15">
      <c r="A139" s="1"/>
      <c r="B139" s="2"/>
      <c r="C139" s="2"/>
      <c r="D139" s="2"/>
      <c r="E139" s="2"/>
      <c r="F139" s="2"/>
      <c r="G139" s="1" t="s">
        <v>72</v>
      </c>
      <c r="H139" s="1"/>
      <c r="I139" s="2"/>
      <c r="J139" s="2"/>
      <c r="K139" s="2"/>
      <c r="L139" s="2"/>
      <c r="M139" s="2"/>
      <c r="N139" s="2"/>
    </row>
    <row r="140" spans="1:14" ht="71" thickBot="1">
      <c r="A140" s="3" t="s">
        <v>122</v>
      </c>
      <c r="B140" s="3" t="s">
        <v>16</v>
      </c>
      <c r="C140" s="4" t="s">
        <v>30</v>
      </c>
      <c r="D140" s="5" t="s">
        <v>31</v>
      </c>
      <c r="E140" s="3" t="s">
        <v>32</v>
      </c>
      <c r="F140" s="3" t="s">
        <v>33</v>
      </c>
      <c r="G140" s="6" t="s">
        <v>34</v>
      </c>
      <c r="H140" s="3" t="s">
        <v>35</v>
      </c>
      <c r="I140" s="7" t="s">
        <v>36</v>
      </c>
      <c r="J140" s="7" t="s">
        <v>37</v>
      </c>
      <c r="K140" s="8" t="s">
        <v>64</v>
      </c>
      <c r="L140" s="8" t="s">
        <v>181</v>
      </c>
      <c r="M140" s="8" t="s">
        <v>182</v>
      </c>
      <c r="N140" s="8" t="s">
        <v>26</v>
      </c>
    </row>
    <row r="141" spans="1:14">
      <c r="A141">
        <v>2500000</v>
      </c>
      <c r="B141">
        <f>A141/4</f>
        <v>625000</v>
      </c>
      <c r="C141">
        <v>10</v>
      </c>
      <c r="D141">
        <v>32</v>
      </c>
      <c r="E141">
        <v>32</v>
      </c>
      <c r="F141">
        <v>8</v>
      </c>
      <c r="G141">
        <v>1481.8779999999999</v>
      </c>
      <c r="H141">
        <v>185.96299999999999</v>
      </c>
      <c r="I141">
        <v>1151.569</v>
      </c>
      <c r="J141">
        <v>144.346</v>
      </c>
      <c r="K141">
        <v>0.42099999999999999</v>
      </c>
      <c r="L141">
        <v>9144.5290000000005</v>
      </c>
    </row>
    <row r="142" spans="1:14">
      <c r="A142">
        <v>2500000</v>
      </c>
      <c r="B142">
        <f>A142/4</f>
        <v>625000</v>
      </c>
      <c r="C142">
        <v>20</v>
      </c>
      <c r="D142">
        <v>64</v>
      </c>
      <c r="E142">
        <v>32</v>
      </c>
      <c r="F142">
        <v>8</v>
      </c>
      <c r="G142">
        <v>2869.0210000000002</v>
      </c>
      <c r="H142">
        <v>393.00200000000001</v>
      </c>
      <c r="I142">
        <v>2188.1370000000002</v>
      </c>
      <c r="J142">
        <v>287.88200000000001</v>
      </c>
      <c r="K142">
        <v>0.78300000000000003</v>
      </c>
      <c r="L142">
        <v>18227.145</v>
      </c>
      <c r="M142">
        <v>5936</v>
      </c>
      <c r="N142">
        <v>9.3000000000000007</v>
      </c>
    </row>
    <row r="143" spans="1:14">
      <c r="A143">
        <v>2500000</v>
      </c>
      <c r="B143">
        <f>A143/4</f>
        <v>625000</v>
      </c>
      <c r="C143">
        <v>40</v>
      </c>
      <c r="D143">
        <v>128</v>
      </c>
      <c r="E143">
        <v>32</v>
      </c>
      <c r="F143">
        <v>8</v>
      </c>
      <c r="G143">
        <v>5863.4449999999997</v>
      </c>
      <c r="H143">
        <v>835.77800000000002</v>
      </c>
      <c r="I143">
        <v>4367.4530000000004</v>
      </c>
      <c r="J143">
        <v>660.18200000000002</v>
      </c>
      <c r="K143">
        <v>1.746</v>
      </c>
      <c r="L143">
        <v>36454.269</v>
      </c>
      <c r="M143">
        <v>5952</v>
      </c>
      <c r="N143">
        <v>24</v>
      </c>
    </row>
    <row r="147" spans="1:17" ht="43" thickBot="1">
      <c r="A147" s="4" t="s">
        <v>30</v>
      </c>
      <c r="B147" s="6" t="s">
        <v>34</v>
      </c>
      <c r="C147" s="3" t="s">
        <v>35</v>
      </c>
      <c r="D147" s="3" t="s">
        <v>35</v>
      </c>
      <c r="E147" s="3" t="s">
        <v>35</v>
      </c>
      <c r="F147" s="3" t="s">
        <v>73</v>
      </c>
      <c r="G147" s="3" t="s">
        <v>0</v>
      </c>
      <c r="H147" s="7" t="s">
        <v>36</v>
      </c>
      <c r="I147" s="7" t="s">
        <v>36</v>
      </c>
      <c r="J147" s="7" t="s">
        <v>36</v>
      </c>
      <c r="K147" s="8" t="s">
        <v>1</v>
      </c>
      <c r="L147" s="8" t="s">
        <v>2</v>
      </c>
      <c r="M147" s="7" t="s">
        <v>37</v>
      </c>
      <c r="N147" s="7" t="s">
        <v>37</v>
      </c>
      <c r="O147" s="7" t="s">
        <v>37</v>
      </c>
      <c r="P147" s="8" t="s">
        <v>3</v>
      </c>
      <c r="Q147" s="8" t="s">
        <v>4</v>
      </c>
    </row>
    <row r="148" spans="1:17">
      <c r="C148">
        <v>185.96299999999999</v>
      </c>
      <c r="D148">
        <v>191.22499999999999</v>
      </c>
      <c r="E148">
        <v>185.96299999999999</v>
      </c>
      <c r="F148">
        <f>AVERAGE(C148,D148,E148)</f>
        <v>187.71699999999998</v>
      </c>
      <c r="G148">
        <f>STDEV(C148,D148,E148)/SQRT(3)</f>
        <v>1.7540000000000004</v>
      </c>
      <c r="H148">
        <v>1209.1849999999999</v>
      </c>
      <c r="I148">
        <v>1148.826</v>
      </c>
      <c r="J148">
        <v>1151.569</v>
      </c>
      <c r="K148">
        <f>AVERAGE(H148,I148,J148)</f>
        <v>1169.8599999999999</v>
      </c>
      <c r="L148">
        <f>STDEV(H148,I148,J148)/SQRT(3)</f>
        <v>19.678437700522181</v>
      </c>
      <c r="M148">
        <v>136.01</v>
      </c>
      <c r="N148">
        <v>143.60400000000001</v>
      </c>
      <c r="O148">
        <v>144.346</v>
      </c>
      <c r="P148">
        <f>AVERAGE(M148,N148,O148)</f>
        <v>141.32000000000002</v>
      </c>
      <c r="Q148">
        <f>STDEV(M148,N148,O148)/SQRT(3)</f>
        <v>2.6636263501725166</v>
      </c>
    </row>
    <row r="149" spans="1:17">
      <c r="C149">
        <v>393.00200000000001</v>
      </c>
      <c r="D149">
        <v>403.73099999999999</v>
      </c>
      <c r="E149">
        <v>393.00200000000001</v>
      </c>
      <c r="F149">
        <f>AVERAGE(C149,D149,E149)</f>
        <v>396.57833333333332</v>
      </c>
      <c r="G149">
        <f>STDEV(C149,D149,E149)/SQRT(3)</f>
        <v>3.5763333333333285</v>
      </c>
      <c r="H149">
        <v>2187.7220000000002</v>
      </c>
      <c r="I149">
        <v>2146.2249999999999</v>
      </c>
      <c r="J149">
        <v>2188.1370000000002</v>
      </c>
      <c r="K149">
        <f>AVERAGE(H149,I149,J149)</f>
        <v>2174.0280000000002</v>
      </c>
      <c r="L149">
        <f>STDEV(H149,I149,J149)/SQRT(3)</f>
        <v>13.902016196700965</v>
      </c>
      <c r="M149">
        <v>323.47300000000001</v>
      </c>
      <c r="N149">
        <v>294.995</v>
      </c>
      <c r="O149">
        <v>287.88200000000001</v>
      </c>
      <c r="P149">
        <f>AVERAGE(M149,N149,O149)</f>
        <v>302.11666666666673</v>
      </c>
      <c r="Q149">
        <f>STDEV(M149,N149,O149)/SQRT(3)</f>
        <v>10.8737975938083</v>
      </c>
    </row>
    <row r="150" spans="1:17">
      <c r="C150">
        <v>835.77800000000002</v>
      </c>
      <c r="D150">
        <v>910.69</v>
      </c>
      <c r="E150">
        <v>835.77800000000002</v>
      </c>
      <c r="F150">
        <f>AVERAGE(C150,D150,E150)</f>
        <v>860.74866666666674</v>
      </c>
      <c r="G150">
        <f>STDEV(C150,D150,E150)/SQRT(3)</f>
        <v>24.970666666666681</v>
      </c>
      <c r="H150">
        <v>4227.183</v>
      </c>
      <c r="I150">
        <v>4458.7510000000002</v>
      </c>
      <c r="J150">
        <v>4367.4530000000004</v>
      </c>
      <c r="K150">
        <f>AVERAGE(H150,I150,J150)</f>
        <v>4351.1290000000008</v>
      </c>
      <c r="L150">
        <f>STDEV(H150,I150,J150)/SQRT(3)</f>
        <v>67.344362268369153</v>
      </c>
      <c r="M150">
        <v>673.399</v>
      </c>
      <c r="N150">
        <v>679.70799999999997</v>
      </c>
      <c r="O150">
        <v>660.18200000000002</v>
      </c>
      <c r="P150">
        <f>AVERAGE(M150,N150,O150)</f>
        <v>671.09633333333329</v>
      </c>
      <c r="Q150">
        <f>STDEV(M150,N150,O150)/SQRT(3)</f>
        <v>5.7530535177223614</v>
      </c>
    </row>
    <row r="153" spans="1:17">
      <c r="C153" t="s">
        <v>97</v>
      </c>
    </row>
    <row r="155" spans="1:17" ht="49" thickBot="1">
      <c r="C155" s="3" t="s">
        <v>98</v>
      </c>
      <c r="D155" s="5" t="s">
        <v>31</v>
      </c>
      <c r="E155" s="6" t="s">
        <v>99</v>
      </c>
      <c r="F155" s="3" t="s">
        <v>35</v>
      </c>
      <c r="G155" s="3" t="s">
        <v>100</v>
      </c>
      <c r="H155" s="8" t="s">
        <v>69</v>
      </c>
      <c r="I155" s="8" t="s">
        <v>70</v>
      </c>
      <c r="J155" s="8" t="s">
        <v>57</v>
      </c>
      <c r="K155" s="8" t="s">
        <v>58</v>
      </c>
    </row>
    <row r="156" spans="1:17">
      <c r="C156">
        <v>10</v>
      </c>
      <c r="D156">
        <v>32</v>
      </c>
      <c r="E156" s="9">
        <f>F156+H156+J156</f>
        <v>1498.8969999999997</v>
      </c>
      <c r="F156" s="9">
        <v>187.71699999999998</v>
      </c>
      <c r="G156" s="9">
        <v>1.7540000000002831</v>
      </c>
      <c r="H156" s="9">
        <v>1169.8599999999999</v>
      </c>
      <c r="I156" s="9">
        <v>19.678437700520611</v>
      </c>
      <c r="J156" s="9">
        <v>141.32000000000002</v>
      </c>
      <c r="K156" s="9">
        <v>2.6636263501721773</v>
      </c>
    </row>
    <row r="157" spans="1:17">
      <c r="C157">
        <v>20</v>
      </c>
      <c r="D157">
        <v>64</v>
      </c>
      <c r="E157" s="9">
        <f>F157+H157+J157</f>
        <v>2872.7230000000004</v>
      </c>
      <c r="F157" s="9">
        <v>396.57833333333332</v>
      </c>
      <c r="G157" s="9">
        <v>3.5763333333362866</v>
      </c>
      <c r="H157" s="9">
        <v>2174.0280000000002</v>
      </c>
      <c r="I157" s="9">
        <v>13.902016196695632</v>
      </c>
      <c r="J157" s="9">
        <v>302.11666666666673</v>
      </c>
      <c r="K157" s="9">
        <v>10.873797593807824</v>
      </c>
    </row>
    <row r="158" spans="1:17">
      <c r="C158">
        <v>40</v>
      </c>
      <c r="D158">
        <v>128</v>
      </c>
      <c r="E158" s="9">
        <f>F158+H158+J158</f>
        <v>5882.9740000000002</v>
      </c>
      <c r="F158" s="9">
        <v>860.74866666666674</v>
      </c>
      <c r="G158" s="9">
        <v>24.97066666666846</v>
      </c>
      <c r="H158" s="9">
        <v>4351.1290000000008</v>
      </c>
      <c r="I158" s="9">
        <v>67.344362268343815</v>
      </c>
      <c r="J158" s="9">
        <v>671.09633333333329</v>
      </c>
      <c r="K158" s="9">
        <v>5.7530535177223436</v>
      </c>
    </row>
  </sheetData>
  <phoneticPr fontId="2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85"/>
  <sheetViews>
    <sheetView topLeftCell="A28" workbookViewId="0">
      <selection activeCell="H73" sqref="H73"/>
    </sheetView>
  </sheetViews>
  <sheetFormatPr baseColWidth="10" defaultRowHeight="13" x14ac:dyDescent="0"/>
  <sheetData>
    <row r="3" spans="1:8">
      <c r="A3" t="s">
        <v>59</v>
      </c>
    </row>
    <row r="4" spans="1:8" ht="46" thickBot="1">
      <c r="A4" s="3" t="s">
        <v>16</v>
      </c>
      <c r="B4" s="5" t="s">
        <v>31</v>
      </c>
      <c r="C4" s="6" t="s">
        <v>34</v>
      </c>
      <c r="D4" s="3" t="s">
        <v>35</v>
      </c>
      <c r="E4" s="8" t="s">
        <v>60</v>
      </c>
      <c r="F4" s="8" t="s">
        <v>18</v>
      </c>
      <c r="G4" s="8" t="s">
        <v>19</v>
      </c>
      <c r="H4" s="8" t="s">
        <v>20</v>
      </c>
    </row>
    <row r="5" spans="1:8">
      <c r="A5">
        <v>78125</v>
      </c>
      <c r="B5">
        <v>256</v>
      </c>
      <c r="C5" s="9">
        <f>E5+G5+D5</f>
        <v>2482.1826666666666</v>
      </c>
      <c r="D5">
        <v>216.81200000000001</v>
      </c>
      <c r="E5" s="9">
        <v>2104.2950000000001</v>
      </c>
      <c r="F5" s="9">
        <v>0.95113318365910415</v>
      </c>
      <c r="G5" s="9">
        <v>161.07566666666665</v>
      </c>
      <c r="H5" s="9">
        <v>3.8921515186908202</v>
      </c>
    </row>
    <row r="6" spans="1:8">
      <c r="A6">
        <v>156250</v>
      </c>
      <c r="B6">
        <v>128</v>
      </c>
      <c r="C6" s="9">
        <f>E6+G6+D6</f>
        <v>1864.9656666666665</v>
      </c>
      <c r="D6">
        <v>215.00399999999999</v>
      </c>
      <c r="E6" s="9">
        <v>1504.33</v>
      </c>
      <c r="F6" s="9">
        <v>25.902892328855973</v>
      </c>
      <c r="G6" s="9">
        <v>145.63166666666666</v>
      </c>
      <c r="H6" s="9">
        <v>1.2000589337377248</v>
      </c>
    </row>
    <row r="7" spans="1:8">
      <c r="A7">
        <v>312500</v>
      </c>
      <c r="B7">
        <v>64</v>
      </c>
      <c r="C7" s="9">
        <f>E7+G7+D7</f>
        <v>1641.4983333333334</v>
      </c>
      <c r="D7">
        <v>211.405</v>
      </c>
      <c r="E7" s="9">
        <v>1283.6106666666667</v>
      </c>
      <c r="F7" s="9">
        <v>15.299896648162512</v>
      </c>
      <c r="G7" s="9">
        <v>146.48266666666669</v>
      </c>
      <c r="H7" s="9">
        <v>2.2325377438638392</v>
      </c>
    </row>
    <row r="8" spans="1:8">
      <c r="A8">
        <v>625000</v>
      </c>
      <c r="B8">
        <v>32</v>
      </c>
      <c r="C8" s="9">
        <f>E8+G8+D8</f>
        <v>1502.4049999999997</v>
      </c>
      <c r="D8">
        <v>191.22499999999999</v>
      </c>
      <c r="E8" s="9">
        <v>1169.8599999999999</v>
      </c>
      <c r="F8" s="9">
        <v>19.678437700520611</v>
      </c>
      <c r="G8" s="9">
        <v>141.32000000000002</v>
      </c>
      <c r="H8" s="9">
        <v>2.6636263501721773</v>
      </c>
    </row>
    <row r="31" spans="2:8">
      <c r="G31" t="s">
        <v>21</v>
      </c>
      <c r="H31" t="s">
        <v>61</v>
      </c>
    </row>
    <row r="32" spans="2:8">
      <c r="B32" t="s">
        <v>128</v>
      </c>
      <c r="G32">
        <v>1.59</v>
      </c>
      <c r="H32">
        <v>1.36</v>
      </c>
    </row>
    <row r="33" spans="1:8" ht="15">
      <c r="B33" t="s">
        <v>129</v>
      </c>
      <c r="G33" s="10">
        <v>9155.6200000000008</v>
      </c>
      <c r="H33" s="10">
        <v>11.06</v>
      </c>
    </row>
    <row r="34" spans="1:8">
      <c r="B34" t="s">
        <v>62</v>
      </c>
    </row>
    <row r="35" spans="1:8">
      <c r="B35" t="s">
        <v>84</v>
      </c>
    </row>
    <row r="36" spans="1:8">
      <c r="B36" t="s">
        <v>23</v>
      </c>
    </row>
    <row r="48" spans="1:8">
      <c r="A48" t="s">
        <v>124</v>
      </c>
    </row>
    <row r="50" spans="1:9" ht="33" thickBot="1">
      <c r="A50" s="3" t="s">
        <v>125</v>
      </c>
      <c r="B50" s="5" t="s">
        <v>34</v>
      </c>
      <c r="C50" s="6" t="s">
        <v>126</v>
      </c>
      <c r="D50" s="3" t="s">
        <v>85</v>
      </c>
      <c r="E50" s="3" t="s">
        <v>86</v>
      </c>
      <c r="F50" s="5" t="s">
        <v>87</v>
      </c>
      <c r="G50" s="11"/>
    </row>
    <row r="51" spans="1:9" ht="14" thickTop="1">
      <c r="A51">
        <v>8</v>
      </c>
      <c r="B51" s="9">
        <v>3890.74</v>
      </c>
      <c r="C51" s="9">
        <v>3735.89</v>
      </c>
      <c r="D51" s="9">
        <v>44.339394594427489</v>
      </c>
      <c r="E51" s="9">
        <v>142.43299999999999</v>
      </c>
      <c r="F51" s="9">
        <v>7.5428862071049236</v>
      </c>
    </row>
    <row r="52" spans="1:9" ht="23">
      <c r="A52">
        <v>16</v>
      </c>
      <c r="B52" s="9">
        <v>2210.2306666666664</v>
      </c>
      <c r="C52" s="9">
        <v>2059.5956666666666</v>
      </c>
      <c r="D52" s="9">
        <v>58.385792408006402</v>
      </c>
      <c r="E52" s="9">
        <v>142.59299999999999</v>
      </c>
      <c r="F52" s="9">
        <v>4.1344438965032166</v>
      </c>
      <c r="I52" s="14" t="s">
        <v>7</v>
      </c>
    </row>
    <row r="53" spans="1:9">
      <c r="A53">
        <v>32</v>
      </c>
      <c r="B53" s="9">
        <v>1314.2059999999999</v>
      </c>
      <c r="C53" s="9">
        <v>1169.8599999999999</v>
      </c>
      <c r="D53" s="9">
        <v>19.678437700520611</v>
      </c>
      <c r="E53" s="9">
        <v>141.32000000000002</v>
      </c>
      <c r="F53" s="9">
        <v>2.6636263501721773</v>
      </c>
    </row>
    <row r="64" spans="1:9">
      <c r="B64" t="s">
        <v>128</v>
      </c>
      <c r="G64" t="s">
        <v>88</v>
      </c>
    </row>
    <row r="65" spans="1:9" ht="15">
      <c r="B65" t="s">
        <v>129</v>
      </c>
      <c r="G65">
        <v>9144.5290000000005</v>
      </c>
      <c r="H65" s="10"/>
    </row>
    <row r="66" spans="1:9">
      <c r="B66" t="s">
        <v>62</v>
      </c>
    </row>
    <row r="67" spans="1:9">
      <c r="B67" t="s">
        <v>84</v>
      </c>
    </row>
    <row r="68" spans="1:9">
      <c r="B68" t="s">
        <v>23</v>
      </c>
    </row>
    <row r="71" spans="1:9">
      <c r="E71">
        <v>4</v>
      </c>
    </row>
    <row r="72" spans="1:9">
      <c r="E72">
        <v>8</v>
      </c>
    </row>
    <row r="73" spans="1:9">
      <c r="E73">
        <v>16</v>
      </c>
    </row>
    <row r="78" spans="1:9">
      <c r="A78" t="s">
        <v>97</v>
      </c>
    </row>
    <row r="80" spans="1:9" ht="49" thickBot="1">
      <c r="A80" s="3" t="s">
        <v>98</v>
      </c>
      <c r="B80" s="5" t="s">
        <v>31</v>
      </c>
      <c r="C80" s="6" t="s">
        <v>99</v>
      </c>
      <c r="D80" s="3" t="s">
        <v>35</v>
      </c>
      <c r="E80" s="3" t="s">
        <v>100</v>
      </c>
      <c r="F80" s="8" t="s">
        <v>69</v>
      </c>
      <c r="G80" s="8" t="s">
        <v>70</v>
      </c>
      <c r="H80" s="8" t="s">
        <v>57</v>
      </c>
      <c r="I80" s="8" t="s">
        <v>58</v>
      </c>
    </row>
    <row r="81" spans="1:9">
      <c r="A81">
        <v>10</v>
      </c>
      <c r="B81">
        <v>32</v>
      </c>
      <c r="C81" s="9">
        <f>D81+F81+H81</f>
        <v>1498.8969999999997</v>
      </c>
      <c r="D81" s="9">
        <v>187.71699999999998</v>
      </c>
      <c r="E81" s="9">
        <v>1.7540000000002831</v>
      </c>
      <c r="F81" s="9">
        <v>1169.8599999999999</v>
      </c>
      <c r="G81" s="9">
        <v>19.678437700520611</v>
      </c>
      <c r="H81" s="9">
        <v>141.32000000000002</v>
      </c>
      <c r="I81" s="9">
        <v>2.6636263501721773</v>
      </c>
    </row>
    <row r="82" spans="1:9">
      <c r="A82">
        <v>20</v>
      </c>
      <c r="B82">
        <v>64</v>
      </c>
      <c r="C82" s="9">
        <f>D82+F82+H82</f>
        <v>2872.7230000000004</v>
      </c>
      <c r="D82" s="9">
        <v>396.57833333333332</v>
      </c>
      <c r="E82" s="9">
        <v>3.5763333333362866</v>
      </c>
      <c r="F82" s="9">
        <v>2174.0280000000002</v>
      </c>
      <c r="G82" s="9">
        <v>13.902016196695632</v>
      </c>
      <c r="H82" s="9">
        <v>302.11666666666673</v>
      </c>
      <c r="I82" s="9">
        <v>10.873797593807824</v>
      </c>
    </row>
    <row r="83" spans="1:9">
      <c r="A83">
        <v>40</v>
      </c>
      <c r="B83">
        <v>128</v>
      </c>
      <c r="C83" s="9">
        <f>D83+F83+H83</f>
        <v>5882.9740000000002</v>
      </c>
      <c r="D83" s="9">
        <v>860.74866666666674</v>
      </c>
      <c r="E83" s="9">
        <v>24.97066666666846</v>
      </c>
      <c r="F83" s="9">
        <v>4351.1290000000008</v>
      </c>
      <c r="G83" s="9">
        <v>67.344362268343815</v>
      </c>
      <c r="H83" s="9">
        <v>671.09633333333329</v>
      </c>
      <c r="I83" s="9">
        <v>5.7530535177223436</v>
      </c>
    </row>
    <row r="85" spans="1:9" ht="23">
      <c r="C85" s="14" t="s">
        <v>6</v>
      </c>
    </row>
  </sheetData>
  <phoneticPr fontId="2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57"/>
  <sheetViews>
    <sheetView tabSelected="1" topLeftCell="N72" workbookViewId="0">
      <selection activeCell="AA102" sqref="AA102"/>
    </sheetView>
  </sheetViews>
  <sheetFormatPr baseColWidth="10" defaultRowHeight="13" x14ac:dyDescent="0"/>
  <sheetData>
    <row r="2" spans="1:21">
      <c r="A2" t="s">
        <v>41</v>
      </c>
      <c r="B2" t="s">
        <v>174</v>
      </c>
      <c r="H2" t="s">
        <v>45</v>
      </c>
    </row>
    <row r="4" spans="1:21">
      <c r="A4" t="s">
        <v>68</v>
      </c>
      <c r="B4" t="s">
        <v>40</v>
      </c>
      <c r="C4" t="s">
        <v>171</v>
      </c>
      <c r="D4" t="s">
        <v>172</v>
      </c>
      <c r="E4" t="s">
        <v>167</v>
      </c>
      <c r="F4" t="s">
        <v>42</v>
      </c>
      <c r="G4" t="s">
        <v>43</v>
      </c>
      <c r="H4" t="s">
        <v>38</v>
      </c>
      <c r="I4" t="s">
        <v>44</v>
      </c>
      <c r="J4" t="s">
        <v>166</v>
      </c>
      <c r="K4" t="s">
        <v>38</v>
      </c>
      <c r="L4" t="s">
        <v>46</v>
      </c>
      <c r="M4" t="s">
        <v>53</v>
      </c>
      <c r="N4" t="s">
        <v>54</v>
      </c>
      <c r="O4" t="s">
        <v>71</v>
      </c>
    </row>
    <row r="5" spans="1:21">
      <c r="A5">
        <v>2</v>
      </c>
      <c r="B5">
        <v>13</v>
      </c>
      <c r="C5">
        <v>2427</v>
      </c>
      <c r="D5">
        <v>426</v>
      </c>
      <c r="E5">
        <f>C5+D5</f>
        <v>2853</v>
      </c>
      <c r="F5">
        <v>2438</v>
      </c>
      <c r="G5">
        <v>443</v>
      </c>
      <c r="H5">
        <f>F5+G5</f>
        <v>2881</v>
      </c>
      <c r="I5">
        <v>2422</v>
      </c>
      <c r="J5">
        <v>431</v>
      </c>
      <c r="K5">
        <f>I5+J5</f>
        <v>2853</v>
      </c>
      <c r="L5">
        <v>3805921</v>
      </c>
      <c r="M5">
        <f>AVERAGE(E5,H5,K5)</f>
        <v>2862.3333333333335</v>
      </c>
      <c r="N5">
        <f>1.96 * STDEV(E5,H5,K5)/SQRT(3)</f>
        <v>18.293333333333337</v>
      </c>
      <c r="O5">
        <f>L5/13</f>
        <v>292763.15384615387</v>
      </c>
    </row>
    <row r="6" spans="1:21">
      <c r="A6">
        <v>4</v>
      </c>
      <c r="B6">
        <v>25</v>
      </c>
      <c r="C6">
        <v>4192</v>
      </c>
      <c r="D6">
        <v>824</v>
      </c>
      <c r="E6">
        <f>C6+D6</f>
        <v>5016</v>
      </c>
      <c r="F6">
        <v>4006</v>
      </c>
      <c r="G6">
        <v>815</v>
      </c>
      <c r="H6">
        <f>F6+G6</f>
        <v>4821</v>
      </c>
      <c r="I6">
        <v>4053</v>
      </c>
      <c r="J6">
        <v>821</v>
      </c>
      <c r="K6">
        <f>J6+I6</f>
        <v>4874</v>
      </c>
      <c r="L6">
        <v>7611659</v>
      </c>
      <c r="M6">
        <f t="shared" ref="M6:M7" si="0">AVERAGE(E6,H6,K6)</f>
        <v>4903.666666666667</v>
      </c>
      <c r="N6">
        <f t="shared" ref="N6:N7" si="1">1.96 * STDEV(E6,H6,K6)/SQRT(3)</f>
        <v>114.09789091438593</v>
      </c>
    </row>
    <row r="7" spans="1:21">
      <c r="A7">
        <v>8</v>
      </c>
      <c r="B7">
        <v>50</v>
      </c>
      <c r="C7">
        <v>7163</v>
      </c>
      <c r="D7">
        <v>1695</v>
      </c>
      <c r="E7">
        <f>C7+D7</f>
        <v>8858</v>
      </c>
      <c r="F7">
        <v>7015</v>
      </c>
      <c r="G7">
        <v>1660</v>
      </c>
      <c r="H7">
        <f>F7+G7</f>
        <v>8675</v>
      </c>
      <c r="I7">
        <v>7020</v>
      </c>
      <c r="J7">
        <v>1657</v>
      </c>
      <c r="K7">
        <f>I7+J7</f>
        <v>8677</v>
      </c>
      <c r="L7">
        <v>15224713</v>
      </c>
      <c r="M7">
        <f t="shared" si="0"/>
        <v>8736.6666666666661</v>
      </c>
      <c r="N7">
        <f t="shared" si="1"/>
        <v>118.91205116013731</v>
      </c>
    </row>
    <row r="9" spans="1:21">
      <c r="L9">
        <f>L5*5</f>
        <v>19029605</v>
      </c>
    </row>
    <row r="10" spans="1:21">
      <c r="A10" t="s">
        <v>76</v>
      </c>
      <c r="B10" t="s">
        <v>94</v>
      </c>
    </row>
    <row r="11" spans="1:21" ht="26">
      <c r="A11" s="11" t="s">
        <v>68</v>
      </c>
      <c r="B11" s="11" t="s">
        <v>179</v>
      </c>
      <c r="C11" s="11" t="s">
        <v>40</v>
      </c>
      <c r="D11" s="11" t="s">
        <v>175</v>
      </c>
      <c r="E11" s="11" t="s">
        <v>176</v>
      </c>
      <c r="F11" s="11" t="s">
        <v>177</v>
      </c>
      <c r="G11" s="11" t="s">
        <v>178</v>
      </c>
      <c r="H11" s="11" t="s">
        <v>111</v>
      </c>
      <c r="I11" s="11" t="s">
        <v>180</v>
      </c>
      <c r="J11" s="11" t="s">
        <v>112</v>
      </c>
      <c r="M11" t="s">
        <v>77</v>
      </c>
      <c r="R11" t="s">
        <v>95</v>
      </c>
    </row>
    <row r="12" spans="1:21" ht="26">
      <c r="A12">
        <v>2</v>
      </c>
      <c r="B12">
        <v>116</v>
      </c>
      <c r="C12">
        <v>13</v>
      </c>
      <c r="D12">
        <v>2451</v>
      </c>
      <c r="E12">
        <v>2469</v>
      </c>
      <c r="F12">
        <f>47*60+41</f>
        <v>2861</v>
      </c>
      <c r="G12">
        <f>D12-B12</f>
        <v>2335</v>
      </c>
      <c r="H12">
        <f>E12-D12</f>
        <v>18</v>
      </c>
      <c r="I12">
        <f>F12-E12</f>
        <v>392</v>
      </c>
      <c r="J12">
        <v>9</v>
      </c>
      <c r="M12" s="11" t="s">
        <v>68</v>
      </c>
      <c r="N12" s="11" t="s">
        <v>179</v>
      </c>
      <c r="O12" s="11" t="s">
        <v>40</v>
      </c>
      <c r="P12" s="11" t="s">
        <v>78</v>
      </c>
      <c r="Q12" s="11"/>
      <c r="R12" s="11" t="s">
        <v>68</v>
      </c>
      <c r="S12" s="11" t="s">
        <v>173</v>
      </c>
      <c r="T12" s="11" t="s">
        <v>127</v>
      </c>
      <c r="U12" s="11"/>
    </row>
    <row r="13" spans="1:21">
      <c r="A13">
        <v>4</v>
      </c>
      <c r="B13">
        <v>116</v>
      </c>
      <c r="C13">
        <v>25</v>
      </c>
      <c r="D13">
        <f>66*60+47</f>
        <v>4007</v>
      </c>
      <c r="E13">
        <f>67*60+41</f>
        <v>4061</v>
      </c>
      <c r="F13">
        <f>80*60+29</f>
        <v>4829</v>
      </c>
      <c r="G13">
        <f t="shared" ref="G13" si="2">D13-B13</f>
        <v>3891</v>
      </c>
      <c r="H13">
        <f t="shared" ref="H13:H14" si="3">E13-D13</f>
        <v>54</v>
      </c>
      <c r="I13">
        <f t="shared" ref="I13:I14" si="4">F13-E13</f>
        <v>768</v>
      </c>
      <c r="J13">
        <v>16</v>
      </c>
      <c r="M13">
        <v>2</v>
      </c>
      <c r="N13">
        <v>115</v>
      </c>
      <c r="O13">
        <v>13</v>
      </c>
      <c r="P13">
        <f>47*60+36</f>
        <v>2856</v>
      </c>
      <c r="R13">
        <v>2</v>
      </c>
      <c r="S13">
        <v>115</v>
      </c>
      <c r="T13">
        <v>2657</v>
      </c>
    </row>
    <row r="14" spans="1:21">
      <c r="A14">
        <v>8</v>
      </c>
      <c r="B14">
        <v>109</v>
      </c>
      <c r="C14">
        <v>50</v>
      </c>
      <c r="D14">
        <v>7149</v>
      </c>
      <c r="E14">
        <v>7252</v>
      </c>
      <c r="F14">
        <f>2*60*60+26*60+56</f>
        <v>8816</v>
      </c>
      <c r="G14">
        <f>D14-B14</f>
        <v>7040</v>
      </c>
      <c r="H14">
        <f t="shared" si="3"/>
        <v>103</v>
      </c>
      <c r="I14">
        <f t="shared" si="4"/>
        <v>1564</v>
      </c>
      <c r="J14">
        <v>11</v>
      </c>
      <c r="N14">
        <v>143</v>
      </c>
      <c r="O14">
        <v>13</v>
      </c>
      <c r="P14">
        <f>49*60+42</f>
        <v>2982</v>
      </c>
      <c r="S14">
        <v>116</v>
      </c>
      <c r="T14">
        <v>2569</v>
      </c>
    </row>
    <row r="15" spans="1:21">
      <c r="N15">
        <v>139</v>
      </c>
      <c r="O15">
        <v>13</v>
      </c>
      <c r="P15">
        <f>49*60+14</f>
        <v>2954</v>
      </c>
      <c r="S15">
        <v>117</v>
      </c>
      <c r="T15">
        <v>2495</v>
      </c>
    </row>
    <row r="17" spans="1:20">
      <c r="A17" t="s">
        <v>109</v>
      </c>
      <c r="B17" t="s">
        <v>38</v>
      </c>
      <c r="M17">
        <v>4</v>
      </c>
      <c r="N17">
        <v>115</v>
      </c>
      <c r="O17">
        <v>25</v>
      </c>
      <c r="P17">
        <v>5006</v>
      </c>
      <c r="R17">
        <v>4</v>
      </c>
      <c r="S17">
        <v>115</v>
      </c>
      <c r="T17">
        <f>67*60+57</f>
        <v>4077</v>
      </c>
    </row>
    <row r="18" spans="1:20">
      <c r="A18" t="s">
        <v>110</v>
      </c>
      <c r="B18">
        <v>563</v>
      </c>
      <c r="N18">
        <v>123</v>
      </c>
      <c r="O18">
        <v>25</v>
      </c>
      <c r="P18">
        <v>4731</v>
      </c>
      <c r="S18">
        <v>120</v>
      </c>
      <c r="T18">
        <f>65*60+2</f>
        <v>3902</v>
      </c>
    </row>
    <row r="19" spans="1:20">
      <c r="A19" t="s">
        <v>47</v>
      </c>
      <c r="B19">
        <f>19*60</f>
        <v>1140</v>
      </c>
      <c r="N19">
        <v>116</v>
      </c>
      <c r="O19">
        <v>25</v>
      </c>
      <c r="P19">
        <v>4804</v>
      </c>
      <c r="S19">
        <v>113</v>
      </c>
      <c r="T19">
        <f>65*60+57</f>
        <v>3957</v>
      </c>
    </row>
    <row r="20" spans="1:20">
      <c r="A20" t="s">
        <v>48</v>
      </c>
      <c r="B20">
        <v>2611</v>
      </c>
    </row>
    <row r="21" spans="1:20">
      <c r="M21">
        <v>8</v>
      </c>
      <c r="N21">
        <v>116</v>
      </c>
      <c r="O21">
        <v>50</v>
      </c>
      <c r="P21">
        <v>8765</v>
      </c>
      <c r="R21">
        <v>8</v>
      </c>
      <c r="S21">
        <v>115</v>
      </c>
      <c r="T21">
        <v>7259</v>
      </c>
    </row>
    <row r="22" spans="1:20">
      <c r="N22">
        <v>115</v>
      </c>
      <c r="O22">
        <v>50</v>
      </c>
      <c r="P22">
        <v>8546</v>
      </c>
      <c r="S22">
        <v>120</v>
      </c>
      <c r="T22">
        <v>7242</v>
      </c>
    </row>
    <row r="23" spans="1:20">
      <c r="N23">
        <v>136</v>
      </c>
      <c r="O23">
        <v>50</v>
      </c>
      <c r="P23">
        <v>8579</v>
      </c>
      <c r="S23">
        <v>112</v>
      </c>
      <c r="T23">
        <v>7183</v>
      </c>
    </row>
    <row r="26" spans="1:20">
      <c r="A26" t="s">
        <v>68</v>
      </c>
      <c r="B26" t="s">
        <v>50</v>
      </c>
      <c r="C26" t="s">
        <v>49</v>
      </c>
      <c r="D26" t="s">
        <v>172</v>
      </c>
      <c r="E26" t="s">
        <v>38</v>
      </c>
      <c r="F26" t="s">
        <v>50</v>
      </c>
      <c r="G26" t="s">
        <v>49</v>
      </c>
      <c r="H26" t="s">
        <v>172</v>
      </c>
      <c r="I26" t="s">
        <v>38</v>
      </c>
      <c r="J26" t="s">
        <v>51</v>
      </c>
      <c r="K26" t="s">
        <v>49</v>
      </c>
      <c r="L26" t="s">
        <v>172</v>
      </c>
      <c r="M26" t="s">
        <v>38</v>
      </c>
      <c r="N26" t="s">
        <v>52</v>
      </c>
      <c r="P26" t="s">
        <v>55</v>
      </c>
      <c r="Q26" t="s">
        <v>56</v>
      </c>
      <c r="R26" t="s">
        <v>137</v>
      </c>
    </row>
    <row r="27" spans="1:20">
      <c r="A27">
        <v>2</v>
      </c>
      <c r="B27">
        <v>24.536999999999999</v>
      </c>
      <c r="C27">
        <v>1480.663</v>
      </c>
      <c r="D27">
        <v>40.225999999999999</v>
      </c>
      <c r="E27">
        <v>1545.4259999999999</v>
      </c>
      <c r="F27">
        <v>24.632000000000001</v>
      </c>
      <c r="G27">
        <v>1475.8620000000001</v>
      </c>
      <c r="H27">
        <v>40.232999999999997</v>
      </c>
      <c r="I27">
        <v>1540.7270000000001</v>
      </c>
      <c r="J27">
        <v>23.358000000000001</v>
      </c>
      <c r="K27">
        <v>1483.2449999999999</v>
      </c>
      <c r="L27">
        <v>41.244999999999997</v>
      </c>
      <c r="M27">
        <f>K27+L27+J27</f>
        <v>1547.8479999999997</v>
      </c>
      <c r="N27">
        <v>1736.0070000000001</v>
      </c>
      <c r="P27">
        <f>AVERAGE(E27+I27+M27)/3</f>
        <v>1544.6670000000001</v>
      </c>
      <c r="Q27">
        <f>1.96 * STDEV(E27,I27,M27)/SQRT(3)</f>
        <v>4.0971690793194897</v>
      </c>
      <c r="R27">
        <f>P27+I34</f>
        <v>1633.7104782608696</v>
      </c>
    </row>
    <row r="28" spans="1:20">
      <c r="A28">
        <v>4</v>
      </c>
      <c r="B28">
        <v>48.817999999999998</v>
      </c>
      <c r="C28">
        <v>2767.5140000000001</v>
      </c>
      <c r="D28">
        <v>71.721000000000004</v>
      </c>
      <c r="E28">
        <v>2888.0540000000001</v>
      </c>
      <c r="F28">
        <v>49.430999999999997</v>
      </c>
      <c r="G28">
        <v>2776.223</v>
      </c>
      <c r="H28">
        <v>74.373000000000005</v>
      </c>
      <c r="I28">
        <v>2900.027</v>
      </c>
      <c r="J28">
        <v>49.23</v>
      </c>
      <c r="K28">
        <v>2812.97</v>
      </c>
      <c r="L28">
        <v>76.73</v>
      </c>
      <c r="M28">
        <v>2938.93</v>
      </c>
      <c r="N28">
        <v>3580.5070000000001</v>
      </c>
      <c r="P28">
        <f t="shared" ref="P28:P29" si="5">AVERAGE(E28+I28+M28)/3</f>
        <v>2909.003666666667</v>
      </c>
      <c r="Q28">
        <f t="shared" ref="Q28:Q29" si="6">1.96 * STDEV(E28,I28,M28)/SQRT(3)</f>
        <v>30.100037057362055</v>
      </c>
      <c r="R28">
        <f>P28+J34</f>
        <v>3087.090623188406</v>
      </c>
    </row>
    <row r="29" spans="1:20">
      <c r="A29">
        <v>8</v>
      </c>
      <c r="B29">
        <v>98.637</v>
      </c>
      <c r="C29">
        <v>4699.8230000000003</v>
      </c>
      <c r="D29">
        <v>142.68100000000001</v>
      </c>
      <c r="E29">
        <v>4941.1419999999998</v>
      </c>
      <c r="F29">
        <v>99.403999999999996</v>
      </c>
      <c r="G29">
        <v>4709.2629999999999</v>
      </c>
      <c r="H29">
        <v>144.85300000000001</v>
      </c>
      <c r="I29">
        <v>4950.4120000000003</v>
      </c>
      <c r="J29">
        <v>94.57</v>
      </c>
      <c r="K29">
        <v>4689.28</v>
      </c>
      <c r="L29">
        <v>141.83500000000001</v>
      </c>
      <c r="M29">
        <v>4931.7830000000004</v>
      </c>
      <c r="N29">
        <v>7332.8770000000004</v>
      </c>
      <c r="P29">
        <f t="shared" si="5"/>
        <v>4941.1123333333335</v>
      </c>
      <c r="Q29">
        <f t="shared" si="6"/>
        <v>10.540389097696695</v>
      </c>
      <c r="R29">
        <f>P29+K34</f>
        <v>5297.2862463768115</v>
      </c>
    </row>
    <row r="32" spans="1:20">
      <c r="I32" t="s">
        <v>136</v>
      </c>
    </row>
    <row r="33" spans="3:17">
      <c r="I33" t="s">
        <v>133</v>
      </c>
      <c r="J33" t="s">
        <v>134</v>
      </c>
      <c r="K33" t="s">
        <v>135</v>
      </c>
    </row>
    <row r="34" spans="3:17">
      <c r="I34">
        <v>89.043478260869563</v>
      </c>
      <c r="J34">
        <v>178.08695652173913</v>
      </c>
      <c r="K34">
        <v>356.17391304347825</v>
      </c>
    </row>
    <row r="35" spans="3:17">
      <c r="K35">
        <f>4096/11.2</f>
        <v>365.71428571428572</v>
      </c>
    </row>
    <row r="36" spans="3:17">
      <c r="K36">
        <f>4096/11.6</f>
        <v>353.10344827586209</v>
      </c>
    </row>
    <row r="37" spans="3:17">
      <c r="D37">
        <f>30446636</f>
        <v>30446636</v>
      </c>
      <c r="E37">
        <f>D37-E38</f>
        <v>-716</v>
      </c>
    </row>
    <row r="38" spans="3:17">
      <c r="E38">
        <f>1171052*26</f>
        <v>30447352</v>
      </c>
      <c r="F38">
        <f>716/4</f>
        <v>179</v>
      </c>
    </row>
    <row r="41" spans="3:17">
      <c r="H41" s="13"/>
    </row>
    <row r="43" spans="3:17">
      <c r="Q43">
        <v>2</v>
      </c>
    </row>
    <row r="44" spans="3:17">
      <c r="C44" t="s">
        <v>130</v>
      </c>
      <c r="Q44">
        <v>4</v>
      </c>
    </row>
    <row r="45" spans="3:17">
      <c r="C45" t="s">
        <v>28</v>
      </c>
      <c r="Q45">
        <v>8</v>
      </c>
    </row>
    <row r="46" spans="3:17">
      <c r="C46" t="s">
        <v>29</v>
      </c>
    </row>
    <row r="47" spans="3:17">
      <c r="C47" t="s">
        <v>39</v>
      </c>
    </row>
    <row r="53" spans="1:11">
      <c r="D53" t="s">
        <v>91</v>
      </c>
    </row>
    <row r="56" spans="1:11">
      <c r="A56" t="s">
        <v>163</v>
      </c>
      <c r="B56" t="s">
        <v>164</v>
      </c>
      <c r="C56" t="s">
        <v>82</v>
      </c>
      <c r="D56" t="s">
        <v>165</v>
      </c>
      <c r="E56" t="s">
        <v>83</v>
      </c>
      <c r="F56" t="s">
        <v>166</v>
      </c>
      <c r="G56" t="s">
        <v>167</v>
      </c>
      <c r="H56" t="s">
        <v>131</v>
      </c>
      <c r="I56" t="s">
        <v>132</v>
      </c>
      <c r="K56" t="s">
        <v>141</v>
      </c>
    </row>
    <row r="57" spans="1:11">
      <c r="A57" t="s">
        <v>168</v>
      </c>
      <c r="B57">
        <v>1171052</v>
      </c>
      <c r="C57">
        <f>27.1/2</f>
        <v>13.55</v>
      </c>
      <c r="D57">
        <v>1514.68</v>
      </c>
      <c r="E57">
        <v>451</v>
      </c>
      <c r="F57">
        <v>71.5</v>
      </c>
      <c r="G57">
        <f>C57+D57+F57+E57</f>
        <v>2050.73</v>
      </c>
      <c r="H57">
        <f>AVERAGE(G57:G59)</f>
        <v>2062.12</v>
      </c>
      <c r="I57">
        <f>1.96*(STDEV(G57:G59)/SQRT(3))</f>
        <v>12.103286987150657</v>
      </c>
      <c r="K57" t="s">
        <v>138</v>
      </c>
    </row>
    <row r="58" spans="1:11">
      <c r="B58">
        <v>1171052</v>
      </c>
      <c r="C58">
        <f>27.64/2</f>
        <v>13.82</v>
      </c>
      <c r="D58">
        <v>1527.62</v>
      </c>
      <c r="E58">
        <v>449</v>
      </c>
      <c r="F58">
        <v>73.239999999999995</v>
      </c>
      <c r="G58">
        <f>C58+D58+F58+E58</f>
        <v>2063.6799999999998</v>
      </c>
      <c r="H58">
        <v>3847.2836666666662</v>
      </c>
      <c r="I58">
        <v>19.032393616609415</v>
      </c>
    </row>
    <row r="59" spans="1:11">
      <c r="B59">
        <v>1171052</v>
      </c>
      <c r="C59">
        <f>27.44/2</f>
        <v>13.72</v>
      </c>
      <c r="D59">
        <v>1538.22</v>
      </c>
      <c r="E59">
        <v>449</v>
      </c>
      <c r="F59">
        <v>71.010000000000005</v>
      </c>
      <c r="G59">
        <f>C59+D59+F59+E59</f>
        <v>2071.9499999999998</v>
      </c>
      <c r="H59">
        <v>6855.4446666666663</v>
      </c>
      <c r="I59">
        <v>24.167021097560671</v>
      </c>
    </row>
    <row r="61" spans="1:11">
      <c r="A61" t="s">
        <v>169</v>
      </c>
      <c r="B61">
        <v>1171052</v>
      </c>
      <c r="C61">
        <f>57.14/2</f>
        <v>28.57</v>
      </c>
      <c r="D61">
        <v>2762.45</v>
      </c>
      <c r="E61">
        <v>952</v>
      </c>
      <c r="F61">
        <v>90.721000000000004</v>
      </c>
      <c r="G61">
        <f>C61+D61+E61+F61</f>
        <v>3833.741</v>
      </c>
      <c r="H61">
        <f>AVERAGE(G61:G63)</f>
        <v>3847.2836666666662</v>
      </c>
      <c r="I61">
        <f>1.96*(STDEV(G61:G63)/SQRT(3))</f>
        <v>19.032393616362871</v>
      </c>
      <c r="K61" t="s">
        <v>140</v>
      </c>
    </row>
    <row r="62" spans="1:11">
      <c r="B62">
        <v>1171052</v>
      </c>
      <c r="C62">
        <v>25.68</v>
      </c>
      <c r="D62">
        <v>2792.7</v>
      </c>
      <c r="E62">
        <v>958</v>
      </c>
      <c r="F62">
        <v>89.73</v>
      </c>
      <c r="G62">
        <f t="shared" ref="G62:G63" si="7">C62+D62+E62+F62</f>
        <v>3866.1099999999997</v>
      </c>
    </row>
    <row r="63" spans="1:11">
      <c r="B63">
        <v>1171052</v>
      </c>
      <c r="C63">
        <f>42.48/2</f>
        <v>21.24</v>
      </c>
      <c r="D63">
        <v>2770.53</v>
      </c>
      <c r="E63">
        <f>16*60</f>
        <v>960</v>
      </c>
      <c r="F63">
        <v>90.23</v>
      </c>
      <c r="G63">
        <f t="shared" si="7"/>
        <v>3842</v>
      </c>
    </row>
    <row r="66" spans="1:26">
      <c r="A66" t="s">
        <v>170</v>
      </c>
      <c r="B66">
        <v>1171052</v>
      </c>
      <c r="C66">
        <f>72.3/2</f>
        <v>36.15</v>
      </c>
      <c r="D66">
        <v>4742.82</v>
      </c>
      <c r="E66">
        <f>32*60</f>
        <v>1920</v>
      </c>
      <c r="F66">
        <v>140.9</v>
      </c>
      <c r="G66">
        <f>C66+D66+E66+F66</f>
        <v>6839.869999999999</v>
      </c>
      <c r="H66">
        <f>AVERAGE(G66:G68)</f>
        <v>6855.4446666666663</v>
      </c>
      <c r="I66">
        <f>1.96*(STDEV(G66:G68)/SQRT(3))</f>
        <v>24.16702109730387</v>
      </c>
      <c r="K66" t="s">
        <v>139</v>
      </c>
    </row>
    <row r="67" spans="1:26">
      <c r="B67">
        <v>1171052</v>
      </c>
      <c r="C67">
        <v>35.21</v>
      </c>
      <c r="D67">
        <v>4780.3500000000004</v>
      </c>
      <c r="E67">
        <f>1923</f>
        <v>1923</v>
      </c>
      <c r="F67">
        <v>141.22999999999999</v>
      </c>
      <c r="G67">
        <f t="shared" ref="G67:G68" si="8">C67+D67+E67+F67</f>
        <v>6879.79</v>
      </c>
    </row>
    <row r="68" spans="1:26">
      <c r="B68">
        <v>1171052</v>
      </c>
      <c r="C68">
        <v>36.21</v>
      </c>
      <c r="D68">
        <v>4745.2340000000004</v>
      </c>
      <c r="E68">
        <v>1921</v>
      </c>
      <c r="F68">
        <v>144.22999999999999</v>
      </c>
      <c r="G68">
        <f t="shared" si="8"/>
        <v>6846.674</v>
      </c>
    </row>
    <row r="71" spans="1:26">
      <c r="K71" t="s">
        <v>143</v>
      </c>
      <c r="L71" t="s">
        <v>150</v>
      </c>
      <c r="M71" t="s">
        <v>149</v>
      </c>
      <c r="N71" t="s">
        <v>162</v>
      </c>
      <c r="O71" t="s">
        <v>147</v>
      </c>
      <c r="P71" t="s">
        <v>151</v>
      </c>
      <c r="Q71" t="s">
        <v>152</v>
      </c>
      <c r="R71" t="s">
        <v>153</v>
      </c>
      <c r="S71" t="s">
        <v>154</v>
      </c>
      <c r="V71" t="s">
        <v>8</v>
      </c>
      <c r="W71" t="s">
        <v>9</v>
      </c>
      <c r="X71" t="s">
        <v>10</v>
      </c>
      <c r="Y71" t="s">
        <v>11</v>
      </c>
      <c r="Z71" t="s">
        <v>12</v>
      </c>
    </row>
    <row r="72" spans="1:26">
      <c r="J72" t="s">
        <v>142</v>
      </c>
      <c r="K72" t="s">
        <v>144</v>
      </c>
      <c r="L72">
        <v>356.17391304347825</v>
      </c>
      <c r="N72">
        <v>109</v>
      </c>
      <c r="O72">
        <f>AVERAGE(C7,F7,I7)</f>
        <v>7066</v>
      </c>
      <c r="P72">
        <v>103</v>
      </c>
      <c r="R72">
        <f>AVERAGE(D7,G7,J7)</f>
        <v>1670.6666666666667</v>
      </c>
      <c r="S72">
        <f>SUM(L72:R72)</f>
        <v>9304.8405797101441</v>
      </c>
      <c r="U72" t="s">
        <v>144</v>
      </c>
      <c r="V72">
        <f>L72+N72</f>
        <v>465.17391304347825</v>
      </c>
      <c r="W72">
        <v>7066</v>
      </c>
      <c r="X72">
        <v>103</v>
      </c>
      <c r="Y72">
        <v>1670.6666666666667</v>
      </c>
      <c r="Z72">
        <f>SUM(V72:Y72)</f>
        <v>9304.8405797101441</v>
      </c>
    </row>
    <row r="73" spans="1:26">
      <c r="K73" t="s">
        <v>145</v>
      </c>
      <c r="L73">
        <v>356.17391304347825</v>
      </c>
      <c r="M73">
        <v>98.637</v>
      </c>
      <c r="O73">
        <f>AVERAGE(C29,G29,K29)</f>
        <v>4699.4553333333324</v>
      </c>
      <c r="P73">
        <f>250</f>
        <v>250</v>
      </c>
      <c r="R73">
        <f>AVERAGE(D29,H29,L29)</f>
        <v>143.12300000000002</v>
      </c>
      <c r="S73">
        <f>SUM(L73:R73)</f>
        <v>5547.3892463768107</v>
      </c>
      <c r="U73" t="s">
        <v>145</v>
      </c>
      <c r="V73">
        <f>L73+M73</f>
        <v>454.81091304347825</v>
      </c>
      <c r="W73">
        <v>4699.4553333333324</v>
      </c>
      <c r="X73">
        <v>250</v>
      </c>
      <c r="Y73">
        <v>143.12300000000002</v>
      </c>
      <c r="Z73">
        <f t="shared" ref="Z73:Z74" si="9">SUM(V73:Y73)</f>
        <v>5547.3892463768107</v>
      </c>
    </row>
    <row r="74" spans="1:26">
      <c r="K74" t="s">
        <v>146</v>
      </c>
      <c r="L74">
        <v>0</v>
      </c>
      <c r="M74">
        <f>AVERAGE(C66:C68)</f>
        <v>35.856666666666662</v>
      </c>
      <c r="O74">
        <f>AVERAGE(D66:D68)</f>
        <v>4756.1346666666668</v>
      </c>
      <c r="Q74">
        <f>1922</f>
        <v>1922</v>
      </c>
      <c r="R74">
        <f>AVERAGE(F66:F68)</f>
        <v>142.12</v>
      </c>
      <c r="S74">
        <f t="shared" ref="S74" si="10">SUM(M74:R74)</f>
        <v>6856.1113333333333</v>
      </c>
      <c r="U74" t="s">
        <v>146</v>
      </c>
      <c r="V74">
        <f>M74</f>
        <v>35.856666666666662</v>
      </c>
      <c r="W74">
        <v>4756.1346666666668</v>
      </c>
      <c r="X74">
        <v>1922</v>
      </c>
      <c r="Y74">
        <v>142.12</v>
      </c>
      <c r="Z74">
        <f t="shared" si="9"/>
        <v>6856.1113333333333</v>
      </c>
    </row>
    <row r="76" spans="1:26">
      <c r="D76" t="s">
        <v>92</v>
      </c>
    </row>
    <row r="78" spans="1:26">
      <c r="P78" t="s">
        <v>161</v>
      </c>
      <c r="Q78" t="s">
        <v>155</v>
      </c>
      <c r="R78" t="s">
        <v>156</v>
      </c>
      <c r="S78" t="s">
        <v>157</v>
      </c>
      <c r="T78" t="s">
        <v>159</v>
      </c>
      <c r="U78" t="s">
        <v>158</v>
      </c>
      <c r="V78" t="s">
        <v>148</v>
      </c>
      <c r="W78" t="s">
        <v>160</v>
      </c>
    </row>
    <row r="79" spans="1:26">
      <c r="A79" t="s">
        <v>163</v>
      </c>
      <c r="B79" t="s">
        <v>164</v>
      </c>
      <c r="C79" t="s">
        <v>82</v>
      </c>
      <c r="D79" t="s">
        <v>165</v>
      </c>
      <c r="E79" t="s">
        <v>83</v>
      </c>
      <c r="F79" t="s">
        <v>166</v>
      </c>
      <c r="G79" t="s">
        <v>38</v>
      </c>
      <c r="P79">
        <v>7.44168872620806</v>
      </c>
      <c r="R79">
        <v>3.9740715197946423</v>
      </c>
      <c r="S79">
        <v>95.102086903144965</v>
      </c>
      <c r="T79">
        <v>1.1316065276116667</v>
      </c>
      <c r="V79">
        <v>23.907001299019289</v>
      </c>
      <c r="W79">
        <v>118.91205116011056</v>
      </c>
    </row>
    <row r="80" spans="1:26">
      <c r="A80" t="s">
        <v>168</v>
      </c>
      <c r="B80">
        <v>1171052</v>
      </c>
      <c r="C80">
        <f>33.35/2</f>
        <v>16.675000000000001</v>
      </c>
      <c r="D80">
        <v>1122.4000000000001</v>
      </c>
      <c r="E80">
        <v>77.94</v>
      </c>
      <c r="F80">
        <v>62.5</v>
      </c>
      <c r="G80">
        <f>C80+D80+E80+F80</f>
        <v>1279.5150000000001</v>
      </c>
      <c r="H80" t="s">
        <v>93</v>
      </c>
      <c r="P80">
        <v>7.4416887262080644</v>
      </c>
      <c r="Q80">
        <v>2.9398669347662101</v>
      </c>
      <c r="S80">
        <v>11.312186388587316</v>
      </c>
      <c r="T80">
        <v>5.1856725696865977</v>
      </c>
      <c r="U80">
        <v>1.1316065276116667</v>
      </c>
      <c r="V80">
        <v>1.7616769592647126</v>
      </c>
      <c r="W80">
        <v>10.540389098093113</v>
      </c>
    </row>
    <row r="81" spans="1:23">
      <c r="B81">
        <v>1171052</v>
      </c>
      <c r="C81">
        <f>20.3/2</f>
        <v>10.15</v>
      </c>
      <c r="D81">
        <v>1113.1300000000001</v>
      </c>
      <c r="E81">
        <v>80.67</v>
      </c>
      <c r="F81">
        <v>58.19</v>
      </c>
      <c r="G81">
        <f t="shared" ref="G81:G82" si="11">C81+D81+E81+F81</f>
        <v>1262.1400000000003</v>
      </c>
      <c r="Q81">
        <v>0.63464196030352471</v>
      </c>
      <c r="S81">
        <v>23.770300174015858</v>
      </c>
      <c r="U81">
        <v>1.728557523113877</v>
      </c>
      <c r="V81">
        <v>2.0762127443960567</v>
      </c>
      <c r="W81">
        <v>24.167021097560671</v>
      </c>
    </row>
    <row r="82" spans="1:23">
      <c r="B82">
        <v>1171052</v>
      </c>
      <c r="C82">
        <f>20.12/2</f>
        <v>10.06</v>
      </c>
      <c r="D82">
        <v>1117.4000000000001</v>
      </c>
      <c r="E82">
        <v>82.82</v>
      </c>
      <c r="F82">
        <v>54.21</v>
      </c>
      <c r="G82">
        <f t="shared" si="11"/>
        <v>1264.49</v>
      </c>
    </row>
    <row r="84" spans="1:23">
      <c r="A84" t="s">
        <v>169</v>
      </c>
      <c r="B84">
        <v>1171052</v>
      </c>
    </row>
    <row r="85" spans="1:23">
      <c r="A85" t="s">
        <v>170</v>
      </c>
      <c r="B85">
        <v>1171052</v>
      </c>
    </row>
    <row r="88" spans="1:23">
      <c r="A88" t="s">
        <v>109</v>
      </c>
      <c r="B88" t="s">
        <v>38</v>
      </c>
    </row>
    <row r="89" spans="1:23">
      <c r="A89" t="s">
        <v>110</v>
      </c>
      <c r="B89">
        <v>563</v>
      </c>
    </row>
    <row r="90" spans="1:23">
      <c r="A90" t="s">
        <v>47</v>
      </c>
      <c r="B90">
        <f>19*60</f>
        <v>1140</v>
      </c>
    </row>
    <row r="91" spans="1:23" s="12" customFormat="1">
      <c r="A91" t="s">
        <v>48</v>
      </c>
      <c r="B91">
        <v>2611</v>
      </c>
      <c r="C91"/>
      <c r="D91"/>
      <c r="E91"/>
      <c r="F91"/>
      <c r="G91"/>
    </row>
    <row r="102" spans="7:25" s="11" customFormat="1"/>
    <row r="109" spans="7:25">
      <c r="U109" t="s">
        <v>13</v>
      </c>
      <c r="V109" t="s">
        <v>14</v>
      </c>
      <c r="W109" t="s">
        <v>15</v>
      </c>
      <c r="X109" t="s">
        <v>148</v>
      </c>
      <c r="Y109" t="s">
        <v>160</v>
      </c>
    </row>
    <row r="110" spans="7:25">
      <c r="U110">
        <f>7.44168872620806+3.97407152</f>
        <v>11.415760246208059</v>
      </c>
      <c r="V110">
        <v>95.102086903144965</v>
      </c>
      <c r="W110">
        <v>1.1316065276116667</v>
      </c>
      <c r="X110">
        <v>23.907001299019289</v>
      </c>
      <c r="Y110">
        <v>118.91205116011056</v>
      </c>
    </row>
    <row r="111" spans="7:25">
      <c r="G111" s="11"/>
      <c r="H111" s="11"/>
      <c r="I111" s="11"/>
      <c r="J111" s="11"/>
      <c r="K111" s="11"/>
      <c r="U111">
        <f>SUM(P80:Q80)</f>
        <v>10.381555660974275</v>
      </c>
      <c r="V111">
        <v>11.312186388587316</v>
      </c>
      <c r="W111">
        <v>5.1856725696865977</v>
      </c>
      <c r="X111">
        <v>1.7616769592647126</v>
      </c>
      <c r="Y111">
        <v>10.540389098093113</v>
      </c>
    </row>
    <row r="112" spans="7:25">
      <c r="U112">
        <v>0.63464196030352471</v>
      </c>
      <c r="V112">
        <v>23.770300174015858</v>
      </c>
      <c r="W112">
        <v>1.728557523113877</v>
      </c>
      <c r="X112">
        <v>2.0762127443960567</v>
      </c>
      <c r="Y112">
        <v>24.167021097560671</v>
      </c>
    </row>
    <row r="144" spans="2:6">
      <c r="B144" t="s">
        <v>81</v>
      </c>
      <c r="C144" t="s">
        <v>50</v>
      </c>
      <c r="D144" t="s">
        <v>49</v>
      </c>
      <c r="E144" t="s">
        <v>172</v>
      </c>
      <c r="F144" t="s">
        <v>38</v>
      </c>
    </row>
    <row r="145" spans="2:2">
      <c r="B145">
        <v>2</v>
      </c>
    </row>
    <row r="149" spans="2:2">
      <c r="B149">
        <v>4</v>
      </c>
    </row>
    <row r="153" spans="2:2">
      <c r="B153">
        <v>8</v>
      </c>
    </row>
    <row r="157" spans="2:2">
      <c r="B157">
        <v>10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GS data</vt:lpstr>
      <vt:lpstr>GS data analysis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Mantha</dc:creator>
  <cp:lastModifiedBy>Joohyun Kim</cp:lastModifiedBy>
  <dcterms:created xsi:type="dcterms:W3CDTF">2012-01-29T21:31:05Z</dcterms:created>
  <dcterms:modified xsi:type="dcterms:W3CDTF">2012-02-24T01:57:08Z</dcterms:modified>
</cp:coreProperties>
</file>