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Override PartName="/xl/charts/chart18.xml" ContentType="application/vnd.openxmlformats-officedocument.drawingml.chart+xml"/>
  <Override PartName="/xl/worksheets/sheet12.xml" ContentType="application/vnd.openxmlformats-officedocument.spreadsheetml.worksheet+xml"/>
  <Default Extension="rels" ContentType="application/vnd.openxmlformats-package.relationships+xml"/>
  <Default Extension="jpeg" ContentType="image/jpeg"/>
  <Default Extension="xml" ContentType="application/xml"/>
  <Override PartName="/xl/charts/chart7.xml" ContentType="application/vnd.openxmlformats-officedocument.drawingml.chart+xml"/>
  <Override PartName="/xl/charts/chart16.xml" ContentType="application/vnd.openxmlformats-officedocument.drawingml.chart+xml"/>
  <Override PartName="/xl/worksheets/sheet10.xml" ContentType="application/vnd.openxmlformats-officedocument.spreadsheetml.workshee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worksheets/sheet8.xml" ContentType="application/vnd.openxmlformats-officedocument.spreadsheetml.worksheet+xml"/>
  <Override PartName="/xl/charts/chart14.xml" ContentType="application/vnd.openxmlformats-officedocument.drawingml.chart+xml"/>
  <Override PartName="/xl/charts/chart12.xml" ContentType="application/vnd.openxmlformats-officedocument.drawingml.chart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charts/chart10.xml" ContentType="application/vnd.openxmlformats-officedocument.drawingml.chart+xml"/>
  <Override PartName="/xl/worksheets/sheet4.xml" ContentType="application/vnd.openxmlformats-officedocument.spreadsheetml.workshee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charts/chart17.xml" ContentType="application/vnd.openxmlformats-officedocument.drawingml.chart+xml"/>
  <Override PartName="/xl/worksheets/sheet11.xml" ContentType="application/vnd.openxmlformats-officedocument.spreadsheetml.worksheet+xml"/>
  <Override PartName="/xl/charts/chart22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harts/chart15.xml" ContentType="application/vnd.openxmlformats-officedocument.drawingml.chart+xml"/>
  <Override PartName="/xl/theme/theme1.xml" ContentType="application/vnd.openxmlformats-officedocument.theme+xml"/>
  <Override PartName="/xl/charts/chart20.xml" ContentType="application/vnd.openxmlformats-officedocument.drawingml.char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6700" yWindow="-7780" windowWidth="26680" windowHeight="15900" tabRatio="500" firstSheet="6" activeTab="10"/>
  </bookViews>
  <sheets>
    <sheet name=" hdata sheet" sheetId="1" r:id="rId1"/>
    <sheet name="Hadoop data" sheetId="2" r:id="rId2"/>
    <sheet name="pdata sheet" sheetId="5" r:id="rId3"/>
    <sheet name="Local PMR data" sheetId="6" r:id="rId4"/>
    <sheet name="comparision" sheetId="7" r:id="rId5"/>
    <sheet name="Sheet1" sheetId="8" r:id="rId6"/>
    <sheet name="10GB" sheetId="9" r:id="rId7"/>
    <sheet name="data transfers information" sheetId="10" r:id="rId8"/>
    <sheet name="20GB" sheetId="11" r:id="rId9"/>
    <sheet name="40GB" sheetId="12" r:id="rId10"/>
    <sheet name="latest comp results" sheetId="13" r:id="rId11"/>
    <sheet name="Sheet2" sheetId="14" r:id="rId12"/>
  </sheets>
  <externalReferences>
    <externalReference r:id="rId13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6" i="1"/>
  <c r="G7"/>
  <c r="G8"/>
  <c r="C10"/>
  <c r="C11"/>
  <c r="J10"/>
  <c r="J11"/>
  <c r="I10"/>
  <c r="I11"/>
  <c r="H10"/>
  <c r="H11"/>
  <c r="G10"/>
  <c r="G11"/>
  <c r="F10"/>
  <c r="F11"/>
  <c r="E10"/>
  <c r="E11"/>
  <c r="D10"/>
  <c r="D11"/>
  <c r="K9"/>
  <c r="G75"/>
  <c r="G76"/>
  <c r="G77"/>
  <c r="G78"/>
  <c r="F75"/>
  <c r="F76"/>
  <c r="F77"/>
  <c r="F78"/>
  <c r="E75"/>
  <c r="E76"/>
  <c r="E77"/>
  <c r="E78"/>
  <c r="D75"/>
  <c r="D76"/>
  <c r="D77"/>
  <c r="D78"/>
  <c r="C75"/>
  <c r="C76"/>
  <c r="C77"/>
  <c r="C78"/>
  <c r="B75"/>
  <c r="B76"/>
  <c r="B77"/>
  <c r="B78"/>
  <c r="G74"/>
  <c r="F74"/>
  <c r="E74"/>
  <c r="D74"/>
  <c r="C74"/>
  <c r="B74"/>
  <c r="G54"/>
  <c r="G55"/>
  <c r="G56"/>
  <c r="G57"/>
  <c r="F54"/>
  <c r="F55"/>
  <c r="F56"/>
  <c r="F57"/>
  <c r="E54"/>
  <c r="E55"/>
  <c r="E56"/>
  <c r="E57"/>
  <c r="D54"/>
  <c r="D55"/>
  <c r="D56"/>
  <c r="D57"/>
  <c r="C54"/>
  <c r="C55"/>
  <c r="C56"/>
  <c r="C57"/>
  <c r="B54"/>
  <c r="B55"/>
  <c r="B56"/>
  <c r="B57"/>
  <c r="G53"/>
  <c r="F53"/>
  <c r="E53"/>
  <c r="D53"/>
  <c r="C53"/>
  <c r="B53"/>
  <c r="H31"/>
  <c r="H32"/>
  <c r="H33"/>
  <c r="H34"/>
  <c r="G31"/>
  <c r="G32"/>
  <c r="G33"/>
  <c r="G34"/>
  <c r="F31"/>
  <c r="F32"/>
  <c r="F33"/>
  <c r="F34"/>
  <c r="E31"/>
  <c r="E32"/>
  <c r="E33"/>
  <c r="E34"/>
  <c r="D31"/>
  <c r="D32"/>
  <c r="D33"/>
  <c r="D34"/>
  <c r="C31"/>
  <c r="C32"/>
  <c r="C33"/>
  <c r="C34"/>
  <c r="H30"/>
  <c r="G30"/>
  <c r="F30"/>
  <c r="E30"/>
  <c r="D30"/>
  <c r="C30"/>
  <c r="J6"/>
  <c r="J7"/>
  <c r="J8"/>
  <c r="J9"/>
  <c r="I6"/>
  <c r="I7"/>
  <c r="I8"/>
  <c r="I9"/>
  <c r="H6"/>
  <c r="H7"/>
  <c r="H8"/>
  <c r="H9"/>
  <c r="G9"/>
  <c r="F6"/>
  <c r="F7"/>
  <c r="F8"/>
  <c r="F9"/>
  <c r="E6"/>
  <c r="E7"/>
  <c r="E8"/>
  <c r="E9"/>
  <c r="D6"/>
  <c r="D7"/>
  <c r="D8"/>
  <c r="D9"/>
  <c r="C6"/>
  <c r="C7"/>
  <c r="C8"/>
  <c r="C9"/>
  <c r="C39" i="9"/>
  <c r="M10"/>
  <c r="O10"/>
  <c r="M11"/>
  <c r="O11"/>
  <c r="M12"/>
  <c r="O12"/>
  <c r="M9"/>
  <c r="O9"/>
  <c r="N10"/>
  <c r="N11"/>
  <c r="N12"/>
  <c r="N9"/>
  <c r="L10"/>
  <c r="L11"/>
  <c r="L12"/>
  <c r="L9"/>
  <c r="I10"/>
  <c r="I11"/>
  <c r="I12"/>
  <c r="I9"/>
  <c r="K10"/>
  <c r="K11"/>
  <c r="K12"/>
  <c r="K9"/>
  <c r="H10"/>
  <c r="H11"/>
  <c r="H12"/>
  <c r="H9"/>
  <c r="E19"/>
  <c r="D19"/>
  <c r="E20"/>
  <c r="E21"/>
  <c r="E22"/>
  <c r="D20"/>
  <c r="D21"/>
  <c r="D22"/>
  <c r="M39"/>
  <c r="F52"/>
  <c r="F51"/>
  <c r="M70"/>
  <c r="C70"/>
  <c r="E92"/>
  <c r="E91"/>
  <c r="E126"/>
  <c r="H128"/>
  <c r="E139"/>
  <c r="L104"/>
  <c r="C104"/>
  <c r="E130"/>
  <c r="E70"/>
  <c r="G78"/>
  <c r="C71"/>
  <c r="E71"/>
  <c r="M71"/>
  <c r="G79"/>
  <c r="C72"/>
  <c r="E72"/>
  <c r="M72"/>
  <c r="G80"/>
  <c r="C73"/>
  <c r="E73"/>
  <c r="M73"/>
  <c r="G81"/>
  <c r="E74"/>
  <c r="G82"/>
  <c r="C80"/>
  <c r="K115"/>
  <c r="G122"/>
  <c r="E104"/>
  <c r="M104"/>
  <c r="P104"/>
  <c r="G119"/>
  <c r="G116"/>
  <c r="D117"/>
  <c r="E117"/>
  <c r="L40"/>
  <c r="M40"/>
  <c r="P40"/>
  <c r="L41"/>
  <c r="M41"/>
  <c r="P41"/>
  <c r="L42"/>
  <c r="M42"/>
  <c r="P42"/>
  <c r="G20"/>
  <c r="G21"/>
  <c r="G22"/>
  <c r="G19"/>
  <c r="L105"/>
  <c r="M105"/>
  <c r="P105"/>
  <c r="L106"/>
  <c r="M106"/>
  <c r="P106"/>
  <c r="L107"/>
  <c r="M107"/>
  <c r="P107"/>
  <c r="P109"/>
  <c r="P108"/>
  <c r="L39"/>
  <c r="P39"/>
  <c r="P44"/>
  <c r="P43"/>
  <c r="L70"/>
  <c r="P70"/>
  <c r="L71"/>
  <c r="P71"/>
  <c r="L72"/>
  <c r="P72"/>
  <c r="L73"/>
  <c r="P73"/>
  <c r="P75"/>
  <c r="P74"/>
  <c r="C105"/>
  <c r="D105"/>
  <c r="E105"/>
  <c r="C106"/>
  <c r="E106"/>
  <c r="C107"/>
  <c r="E107"/>
  <c r="E109"/>
  <c r="E108"/>
  <c r="E39"/>
  <c r="C40"/>
  <c r="E40"/>
  <c r="C41"/>
  <c r="E41"/>
  <c r="C42"/>
  <c r="E42"/>
  <c r="E44"/>
  <c r="E43"/>
  <c r="E75"/>
  <c r="G25"/>
  <c r="G24"/>
  <c r="S9"/>
  <c r="S10"/>
  <c r="S11"/>
  <c r="S12"/>
  <c r="I25"/>
  <c r="I24"/>
  <c r="H10" i="11"/>
  <c r="I10"/>
  <c r="J10"/>
  <c r="K10"/>
  <c r="L10"/>
  <c r="N10"/>
  <c r="O10"/>
  <c r="S10"/>
  <c r="H11"/>
  <c r="I11"/>
  <c r="J11"/>
  <c r="K11"/>
  <c r="L11"/>
  <c r="N11"/>
  <c r="O11"/>
  <c r="S11"/>
  <c r="H12"/>
  <c r="I12"/>
  <c r="J12"/>
  <c r="K12"/>
  <c r="L12"/>
  <c r="N12"/>
  <c r="O12"/>
  <c r="S12"/>
  <c r="H9"/>
  <c r="I9"/>
  <c r="J9"/>
  <c r="K9"/>
  <c r="L9"/>
  <c r="N9"/>
  <c r="O9"/>
  <c r="S9"/>
  <c r="B26"/>
  <c r="B25"/>
  <c r="T18" i="7"/>
  <c r="R18"/>
  <c r="P18"/>
  <c r="I17"/>
  <c r="I18"/>
  <c r="I16"/>
  <c r="G17"/>
  <c r="G18"/>
  <c r="G16"/>
  <c r="E17"/>
  <c r="E18"/>
  <c r="E16"/>
  <c r="F35" i="10"/>
  <c r="A12"/>
  <c r="G11"/>
  <c r="A11"/>
  <c r="A10"/>
  <c r="G9"/>
  <c r="A9"/>
  <c r="G8"/>
  <c r="A8"/>
  <c r="L7"/>
  <c r="J7"/>
  <c r="G6"/>
  <c r="G7"/>
  <c r="H7"/>
  <c r="D7"/>
  <c r="A6"/>
  <c r="A7"/>
  <c r="B7"/>
  <c r="L6"/>
  <c r="J6"/>
  <c r="H6"/>
  <c r="F6"/>
  <c r="D6"/>
  <c r="B6"/>
  <c r="F5"/>
  <c r="H118" i="13"/>
  <c r="G118"/>
  <c r="F118"/>
  <c r="E118"/>
  <c r="D118"/>
  <c r="K184"/>
  <c r="J184"/>
  <c r="I184"/>
  <c r="H184"/>
  <c r="C184"/>
  <c r="J183"/>
  <c r="I183"/>
  <c r="H183"/>
  <c r="C183"/>
  <c r="G179"/>
  <c r="F179"/>
  <c r="E179"/>
  <c r="K179"/>
  <c r="L181"/>
  <c r="L180"/>
  <c r="K181"/>
  <c r="F181"/>
  <c r="J181"/>
  <c r="I181"/>
  <c r="G181"/>
  <c r="E181"/>
  <c r="H181"/>
  <c r="J115"/>
  <c r="F152"/>
  <c r="G152"/>
  <c r="F153"/>
  <c r="G153"/>
  <c r="F154"/>
  <c r="G154"/>
  <c r="F155"/>
  <c r="G155"/>
  <c r="G180"/>
  <c r="K180"/>
  <c r="F180"/>
  <c r="J180"/>
  <c r="E180"/>
  <c r="I180"/>
  <c r="H180"/>
  <c r="J179"/>
  <c r="I179"/>
  <c r="H179"/>
  <c r="L122"/>
  <c r="K122"/>
  <c r="J122"/>
  <c r="I122"/>
  <c r="P139"/>
  <c r="O139"/>
  <c r="N139"/>
  <c r="D142"/>
  <c r="D143"/>
  <c r="D144"/>
  <c r="M139"/>
  <c r="P138"/>
  <c r="O138"/>
  <c r="N138"/>
  <c r="D138"/>
  <c r="D139"/>
  <c r="D140"/>
  <c r="M138"/>
  <c r="P137"/>
  <c r="O137"/>
  <c r="N137"/>
  <c r="D134"/>
  <c r="D135"/>
  <c r="D136"/>
  <c r="M137"/>
  <c r="P136"/>
  <c r="O136"/>
  <c r="N136"/>
  <c r="D130"/>
  <c r="D131"/>
  <c r="D132"/>
  <c r="M136"/>
  <c r="L121"/>
  <c r="K121"/>
  <c r="J121"/>
  <c r="I121"/>
  <c r="L120"/>
  <c r="K120"/>
  <c r="J120"/>
  <c r="I120"/>
  <c r="L119"/>
  <c r="K119"/>
  <c r="J119"/>
  <c r="I119"/>
  <c r="L118"/>
  <c r="K118"/>
  <c r="J118"/>
  <c r="I118"/>
  <c r="G175"/>
  <c r="F175"/>
  <c r="J175"/>
  <c r="G176"/>
  <c r="F176"/>
  <c r="J176"/>
  <c r="G177"/>
  <c r="F177"/>
  <c r="J177"/>
  <c r="R175"/>
  <c r="E175"/>
  <c r="I175"/>
  <c r="E176"/>
  <c r="I176"/>
  <c r="E177"/>
  <c r="I177"/>
  <c r="Q175"/>
  <c r="H175"/>
  <c r="H176"/>
  <c r="H177"/>
  <c r="P175"/>
  <c r="O175"/>
  <c r="G172"/>
  <c r="F172"/>
  <c r="J172"/>
  <c r="J173"/>
  <c r="R172"/>
  <c r="I172"/>
  <c r="I173"/>
  <c r="Q172"/>
  <c r="H172"/>
  <c r="H173"/>
  <c r="P172"/>
  <c r="O172"/>
  <c r="J168"/>
  <c r="G169"/>
  <c r="J169"/>
  <c r="R168"/>
  <c r="I168"/>
  <c r="I169"/>
  <c r="Q168"/>
  <c r="H168"/>
  <c r="H169"/>
  <c r="P168"/>
  <c r="O168"/>
  <c r="J163"/>
  <c r="J164"/>
  <c r="J165"/>
  <c r="R163"/>
  <c r="I163"/>
  <c r="I164"/>
  <c r="I165"/>
  <c r="Q163"/>
  <c r="H163"/>
  <c r="H164"/>
  <c r="H165"/>
  <c r="P163"/>
  <c r="O163"/>
  <c r="H91"/>
  <c r="H90"/>
  <c r="K163"/>
  <c r="K164"/>
  <c r="K165"/>
  <c r="L164"/>
  <c r="M164"/>
  <c r="L165"/>
  <c r="M165"/>
  <c r="G167"/>
  <c r="H167"/>
  <c r="I167"/>
  <c r="J167"/>
  <c r="K167"/>
  <c r="K168"/>
  <c r="K169"/>
  <c r="L168"/>
  <c r="M168"/>
  <c r="L169"/>
  <c r="M169"/>
  <c r="H171"/>
  <c r="I171"/>
  <c r="J171"/>
  <c r="K171"/>
  <c r="K172"/>
  <c r="K173"/>
  <c r="L172"/>
  <c r="M172"/>
  <c r="L173"/>
  <c r="M173"/>
  <c r="K175"/>
  <c r="K176"/>
  <c r="K177"/>
  <c r="L176"/>
  <c r="M176"/>
  <c r="L177"/>
  <c r="M177"/>
  <c r="D233"/>
  <c r="D234"/>
  <c r="J216"/>
  <c r="D229"/>
  <c r="D230"/>
  <c r="D225"/>
  <c r="D226"/>
  <c r="D237"/>
  <c r="D238"/>
  <c r="J217"/>
  <c r="L218"/>
  <c r="K218"/>
  <c r="H142"/>
  <c r="H143"/>
  <c r="H144"/>
  <c r="O228"/>
  <c r="O227"/>
  <c r="O226"/>
  <c r="N228"/>
  <c r="N227"/>
  <c r="K226"/>
  <c r="N226"/>
  <c r="M228"/>
  <c r="M227"/>
  <c r="L226"/>
  <c r="K228"/>
  <c r="K227"/>
  <c r="J228"/>
  <c r="J227"/>
  <c r="C227"/>
  <c r="C231"/>
  <c r="C235"/>
  <c r="C239"/>
  <c r="C238"/>
  <c r="C234"/>
  <c r="C230"/>
  <c r="C226"/>
  <c r="J110"/>
  <c r="H238"/>
  <c r="H237"/>
  <c r="I238"/>
  <c r="J106"/>
  <c r="H234"/>
  <c r="H233"/>
  <c r="I234"/>
  <c r="J102"/>
  <c r="H230"/>
  <c r="H229"/>
  <c r="I230"/>
  <c r="J98"/>
  <c r="H226"/>
  <c r="H225"/>
  <c r="I226"/>
  <c r="J143"/>
  <c r="H239"/>
  <c r="H138"/>
  <c r="H139"/>
  <c r="H140"/>
  <c r="J139"/>
  <c r="H235"/>
  <c r="H134"/>
  <c r="H135"/>
  <c r="H136"/>
  <c r="J135"/>
  <c r="H231"/>
  <c r="H130"/>
  <c r="H131"/>
  <c r="H132"/>
  <c r="J131"/>
  <c r="H227"/>
  <c r="E238"/>
  <c r="G238"/>
  <c r="G226"/>
  <c r="G234"/>
  <c r="G230"/>
  <c r="G239"/>
  <c r="G235"/>
  <c r="G231"/>
  <c r="G227"/>
  <c r="E237"/>
  <c r="E233"/>
  <c r="E229"/>
  <c r="E225"/>
  <c r="G237"/>
  <c r="G233"/>
  <c r="G229"/>
  <c r="G225"/>
  <c r="E239"/>
  <c r="E235"/>
  <c r="E231"/>
  <c r="E227"/>
  <c r="E234"/>
  <c r="E230"/>
  <c r="E226"/>
  <c r="D239"/>
  <c r="D235"/>
  <c r="D231"/>
  <c r="D227"/>
  <c r="K131"/>
  <c r="J132"/>
  <c r="I134"/>
  <c r="K135"/>
  <c r="J136"/>
  <c r="H137"/>
  <c r="K139"/>
  <c r="J140"/>
  <c r="K143"/>
  <c r="J144"/>
  <c r="J111"/>
  <c r="J107"/>
  <c r="J103"/>
  <c r="J99"/>
  <c r="M59"/>
  <c r="M55"/>
  <c r="M51"/>
  <c r="M45"/>
  <c r="Q75"/>
  <c r="I101"/>
  <c r="I97"/>
  <c r="S98"/>
  <c r="S99"/>
  <c r="R101"/>
  <c r="S101"/>
  <c r="R102"/>
  <c r="S102"/>
  <c r="R103"/>
  <c r="S103"/>
  <c r="S97"/>
  <c r="O75"/>
  <c r="E62"/>
  <c r="H62"/>
  <c r="F62"/>
  <c r="I62"/>
  <c r="G62"/>
  <c r="J62"/>
  <c r="K62"/>
  <c r="O50"/>
  <c r="O11"/>
  <c r="O49"/>
  <c r="P50"/>
  <c r="P11"/>
  <c r="P49"/>
  <c r="Q50"/>
  <c r="Q11"/>
  <c r="Q49"/>
  <c r="H50"/>
  <c r="H51"/>
  <c r="H52"/>
  <c r="R50"/>
  <c r="H11"/>
  <c r="H12"/>
  <c r="H13"/>
  <c r="R11"/>
  <c r="R49"/>
  <c r="I50"/>
  <c r="I51"/>
  <c r="I52"/>
  <c r="S50"/>
  <c r="I11"/>
  <c r="I12"/>
  <c r="I13"/>
  <c r="S11"/>
  <c r="S49"/>
  <c r="J50"/>
  <c r="J51"/>
  <c r="J52"/>
  <c r="T50"/>
  <c r="J11"/>
  <c r="J12"/>
  <c r="J13"/>
  <c r="T11"/>
  <c r="T49"/>
  <c r="K50"/>
  <c r="K51"/>
  <c r="K52"/>
  <c r="U50"/>
  <c r="K11"/>
  <c r="K12"/>
  <c r="K13"/>
  <c r="U11"/>
  <c r="U49"/>
  <c r="M50"/>
  <c r="M11"/>
  <c r="M49"/>
  <c r="U51"/>
  <c r="T51"/>
  <c r="S51"/>
  <c r="R51"/>
  <c r="Q51"/>
  <c r="P51"/>
  <c r="O51"/>
  <c r="N51"/>
  <c r="N50"/>
  <c r="K44"/>
  <c r="K45"/>
  <c r="K46"/>
  <c r="U44"/>
  <c r="K7"/>
  <c r="K8"/>
  <c r="K9"/>
  <c r="U7"/>
  <c r="U43"/>
  <c r="J44"/>
  <c r="J45"/>
  <c r="J46"/>
  <c r="T44"/>
  <c r="J7"/>
  <c r="J8"/>
  <c r="J9"/>
  <c r="T7"/>
  <c r="T43"/>
  <c r="I44"/>
  <c r="I45"/>
  <c r="I46"/>
  <c r="S44"/>
  <c r="I7"/>
  <c r="I8"/>
  <c r="I9"/>
  <c r="S7"/>
  <c r="S43"/>
  <c r="H44"/>
  <c r="H45"/>
  <c r="H46"/>
  <c r="R44"/>
  <c r="H7"/>
  <c r="H8"/>
  <c r="H9"/>
  <c r="R7"/>
  <c r="R43"/>
  <c r="Q44"/>
  <c r="Q7"/>
  <c r="Q43"/>
  <c r="P44"/>
  <c r="P7"/>
  <c r="P43"/>
  <c r="O44"/>
  <c r="O7"/>
  <c r="O43"/>
  <c r="M44"/>
  <c r="M7"/>
  <c r="M43"/>
  <c r="U45"/>
  <c r="T45"/>
  <c r="S45"/>
  <c r="R45"/>
  <c r="Q45"/>
  <c r="P45"/>
  <c r="O45"/>
  <c r="N45"/>
  <c r="N44"/>
  <c r="U12"/>
  <c r="T12"/>
  <c r="S12"/>
  <c r="R12"/>
  <c r="Q12"/>
  <c r="P12"/>
  <c r="O12"/>
  <c r="N12"/>
  <c r="M12"/>
  <c r="N11"/>
  <c r="U8"/>
  <c r="T8"/>
  <c r="S8"/>
  <c r="R8"/>
  <c r="Q8"/>
  <c r="P8"/>
  <c r="O8"/>
  <c r="N8"/>
  <c r="M8"/>
  <c r="N7"/>
  <c r="O54"/>
  <c r="O17"/>
  <c r="O53"/>
  <c r="P54"/>
  <c r="P17"/>
  <c r="P53"/>
  <c r="Q54"/>
  <c r="Q17"/>
  <c r="Q53"/>
  <c r="H54"/>
  <c r="H55"/>
  <c r="H56"/>
  <c r="R54"/>
  <c r="H17"/>
  <c r="H18"/>
  <c r="H19"/>
  <c r="R17"/>
  <c r="R53"/>
  <c r="I54"/>
  <c r="I55"/>
  <c r="I56"/>
  <c r="S54"/>
  <c r="I17"/>
  <c r="I18"/>
  <c r="I19"/>
  <c r="S17"/>
  <c r="S53"/>
  <c r="J54"/>
  <c r="J55"/>
  <c r="J56"/>
  <c r="T54"/>
  <c r="J17"/>
  <c r="J18"/>
  <c r="J19"/>
  <c r="T17"/>
  <c r="T53"/>
  <c r="K54"/>
  <c r="K55"/>
  <c r="K56"/>
  <c r="U54"/>
  <c r="K17"/>
  <c r="K18"/>
  <c r="K19"/>
  <c r="U17"/>
  <c r="U53"/>
  <c r="M54"/>
  <c r="M17"/>
  <c r="M53"/>
  <c r="U55"/>
  <c r="T55"/>
  <c r="S55"/>
  <c r="R55"/>
  <c r="Q55"/>
  <c r="P55"/>
  <c r="O55"/>
  <c r="N55"/>
  <c r="N54"/>
  <c r="H58"/>
  <c r="I58"/>
  <c r="J58"/>
  <c r="K58"/>
  <c r="H59"/>
  <c r="F59"/>
  <c r="I59"/>
  <c r="J59"/>
  <c r="K59"/>
  <c r="H60"/>
  <c r="I60"/>
  <c r="J60"/>
  <c r="K60"/>
  <c r="U59"/>
  <c r="T59"/>
  <c r="S59"/>
  <c r="R59"/>
  <c r="Q59"/>
  <c r="P59"/>
  <c r="O59"/>
  <c r="N59"/>
  <c r="U58"/>
  <c r="T58"/>
  <c r="S58"/>
  <c r="R58"/>
  <c r="Q58"/>
  <c r="P58"/>
  <c r="O58"/>
  <c r="N58"/>
  <c r="M58"/>
  <c r="N18"/>
  <c r="O18"/>
  <c r="P18"/>
  <c r="Q18"/>
  <c r="R18"/>
  <c r="S18"/>
  <c r="T18"/>
  <c r="U18"/>
  <c r="M18"/>
  <c r="N17"/>
  <c r="G78" i="5"/>
  <c r="G79"/>
  <c r="G80"/>
  <c r="F78"/>
  <c r="F79"/>
  <c r="F80"/>
  <c r="E78"/>
  <c r="E79"/>
  <c r="E80"/>
  <c r="D78"/>
  <c r="D79"/>
  <c r="D80"/>
  <c r="C78"/>
  <c r="C79"/>
  <c r="C80"/>
  <c r="B78"/>
  <c r="B79"/>
  <c r="B80"/>
  <c r="G58"/>
  <c r="G59"/>
  <c r="G60"/>
  <c r="G61"/>
  <c r="F58"/>
  <c r="F59"/>
  <c r="F60"/>
  <c r="F61"/>
  <c r="E58"/>
  <c r="E59"/>
  <c r="E60"/>
  <c r="E61"/>
  <c r="D58"/>
  <c r="D59"/>
  <c r="D60"/>
  <c r="D61"/>
  <c r="C58"/>
  <c r="C59"/>
  <c r="C60"/>
  <c r="C61"/>
  <c r="B58"/>
  <c r="B59"/>
  <c r="B60"/>
  <c r="B61"/>
  <c r="H36"/>
  <c r="H37"/>
  <c r="H38"/>
  <c r="G36"/>
  <c r="G37"/>
  <c r="G38"/>
  <c r="F36"/>
  <c r="F37"/>
  <c r="F38"/>
  <c r="E36"/>
  <c r="E37"/>
  <c r="E38"/>
  <c r="D36"/>
  <c r="D37"/>
  <c r="D38"/>
  <c r="C36"/>
  <c r="C37"/>
  <c r="C38"/>
  <c r="J7"/>
  <c r="J8"/>
  <c r="J9"/>
  <c r="J10"/>
  <c r="J11"/>
  <c r="I7"/>
  <c r="I8"/>
  <c r="I9"/>
  <c r="I10"/>
  <c r="I11"/>
  <c r="H7"/>
  <c r="H8"/>
  <c r="H9"/>
  <c r="H10"/>
  <c r="H11"/>
  <c r="G7"/>
  <c r="G8"/>
  <c r="G9"/>
  <c r="G10"/>
  <c r="G11"/>
  <c r="F7"/>
  <c r="F8"/>
  <c r="F9"/>
  <c r="F10"/>
  <c r="F11"/>
  <c r="E7"/>
  <c r="E8"/>
  <c r="E9"/>
  <c r="E10"/>
  <c r="E11"/>
  <c r="D7"/>
  <c r="D8"/>
  <c r="D9"/>
  <c r="D10"/>
  <c r="D11"/>
  <c r="C7"/>
  <c r="C8"/>
  <c r="C9"/>
  <c r="C10"/>
  <c r="C11"/>
  <c r="G77"/>
  <c r="F77"/>
  <c r="E77"/>
  <c r="D77"/>
  <c r="C77"/>
  <c r="B77"/>
  <c r="G57"/>
  <c r="F57"/>
  <c r="E57"/>
  <c r="D57"/>
  <c r="C57"/>
  <c r="B57"/>
  <c r="H35"/>
  <c r="G35"/>
  <c r="F35"/>
  <c r="E35"/>
  <c r="D35"/>
  <c r="C35"/>
  <c r="J6"/>
  <c r="I6"/>
  <c r="H6"/>
  <c r="G6"/>
  <c r="F6"/>
  <c r="E6"/>
  <c r="D6"/>
  <c r="C6"/>
  <c r="R54" i="8"/>
  <c r="G18"/>
  <c r="G16"/>
  <c r="G17"/>
  <c r="G19"/>
  <c r="O18"/>
  <c r="N18"/>
  <c r="G81"/>
  <c r="H81"/>
  <c r="I81"/>
  <c r="J81"/>
  <c r="K81"/>
  <c r="L81"/>
  <c r="M81"/>
  <c r="N81"/>
  <c r="O81"/>
  <c r="A91"/>
  <c r="E99"/>
  <c r="N88"/>
  <c r="M88"/>
  <c r="K88"/>
  <c r="L88"/>
  <c r="I88"/>
  <c r="J88"/>
  <c r="A77"/>
  <c r="J66"/>
  <c r="G70"/>
  <c r="G69"/>
  <c r="G68"/>
  <c r="G67"/>
  <c r="E54"/>
  <c r="F54"/>
  <c r="G54"/>
  <c r="H54"/>
  <c r="K54"/>
  <c r="Q63"/>
  <c r="R63"/>
  <c r="Q54"/>
  <c r="E37"/>
  <c r="E38"/>
  <c r="E39"/>
  <c r="E40"/>
  <c r="F9"/>
  <c r="B10"/>
  <c r="C10"/>
  <c r="F10"/>
  <c r="G10"/>
  <c r="B11"/>
  <c r="C11"/>
  <c r="F11"/>
  <c r="G11"/>
  <c r="B12"/>
  <c r="C12"/>
  <c r="F12"/>
  <c r="G12"/>
  <c r="B9"/>
  <c r="G9"/>
  <c r="F29"/>
  <c r="F30"/>
  <c r="F31"/>
  <c r="F32"/>
  <c r="F28"/>
  <c r="C43" i="14"/>
  <c r="A43"/>
  <c r="E43"/>
  <c r="B22"/>
  <c r="B21"/>
  <c r="K39"/>
  <c r="L35"/>
  <c r="J39"/>
  <c r="K35"/>
  <c r="I50"/>
  <c r="I39"/>
  <c r="J35"/>
  <c r="M50"/>
  <c r="M49"/>
  <c r="M48"/>
  <c r="M46"/>
  <c r="M45"/>
  <c r="M44"/>
  <c r="G14"/>
  <c r="G13"/>
  <c r="G12"/>
  <c r="G11"/>
  <c r="D22"/>
  <c r="E22"/>
  <c r="G22"/>
  <c r="D21"/>
  <c r="E21"/>
  <c r="G21"/>
  <c r="D20"/>
  <c r="E20"/>
  <c r="G20"/>
  <c r="D19"/>
  <c r="E19"/>
  <c r="G19"/>
  <c r="D30"/>
  <c r="E30"/>
  <c r="G30"/>
  <c r="D31"/>
  <c r="E31"/>
  <c r="G31"/>
  <c r="D32"/>
  <c r="E32"/>
  <c r="G32"/>
  <c r="D29"/>
  <c r="E29"/>
  <c r="G29"/>
</calcChain>
</file>

<file path=xl/sharedStrings.xml><?xml version="1.0" encoding="utf-8"?>
<sst xmlns="http://schemas.openxmlformats.org/spreadsheetml/2006/main" count="841" uniqueCount="417">
  <si>
    <t>Hadoop performance issues.</t>
    <phoneticPr fontId="5" type="noConversion"/>
  </si>
  <si>
    <t>total data exchanged (A&lt;-&gt;B)</t>
    <phoneticPr fontId="5" type="noConversion"/>
  </si>
  <si>
    <t>Reduce phase time in secs</t>
    <phoneticPr fontId="5" type="noConversion"/>
  </si>
  <si>
    <t>Intermediate data transfer</t>
    <phoneticPr fontId="5" type="noConversion"/>
  </si>
  <si>
    <t>Map Phase time in secs</t>
    <phoneticPr fontId="5" type="noConversion"/>
  </si>
  <si>
    <t>chunking time in seconds</t>
    <phoneticPr fontId="5" type="noConversion"/>
  </si>
  <si>
    <t>stderr</t>
    <phoneticPr fontId="5" type="noConversion"/>
  </si>
  <si>
    <t>Hadoop MR</t>
    <phoneticPr fontId="5" type="noConversion"/>
  </si>
  <si>
    <t>Local-PMR</t>
    <phoneticPr fontId="5" type="noConversion"/>
  </si>
  <si>
    <t>distributed-PMR</t>
    <phoneticPr fontId="5" type="noConversion"/>
  </si>
  <si>
    <t>Input in GB</t>
    <phoneticPr fontId="5" type="noConversion"/>
  </si>
  <si>
    <t>distributed</t>
    <phoneticPr fontId="5" type="noConversion"/>
  </si>
  <si>
    <t>Comparision data.</t>
    <phoneticPr fontId="5" type="noConversion"/>
  </si>
  <si>
    <t>india and hotel</t>
    <phoneticPr fontId="5" type="noConversion"/>
  </si>
  <si>
    <t>hadoop</t>
    <phoneticPr fontId="5" type="noConversion"/>
  </si>
  <si>
    <t>setup</t>
    <phoneticPr fontId="5" type="noConversion"/>
  </si>
  <si>
    <t>Map</t>
  </si>
  <si>
    <t>Map</t>
    <phoneticPr fontId="5" type="noConversion"/>
  </si>
  <si>
    <t>Shuffle</t>
  </si>
  <si>
    <t>Shuffle</t>
    <phoneticPr fontId="5" type="noConversion"/>
  </si>
  <si>
    <t>Reduce</t>
  </si>
  <si>
    <t>Reduce</t>
    <phoneticPr fontId="5" type="noConversion"/>
  </si>
  <si>
    <t>Setup</t>
  </si>
  <si>
    <t>Setup</t>
    <phoneticPr fontId="5" type="noConversion"/>
  </si>
  <si>
    <t>map</t>
    <phoneticPr fontId="5" type="noConversion"/>
  </si>
  <si>
    <t>shuffle</t>
    <phoneticPr fontId="5" type="noConversion"/>
  </si>
  <si>
    <t>reduce</t>
    <phoneticPr fontId="5" type="noConversion"/>
  </si>
  <si>
    <t>LMR on alamo</t>
    <phoneticPr fontId="5" type="noConversion"/>
  </si>
  <si>
    <t>shuffle time</t>
    <phoneticPr fontId="5" type="noConversion"/>
  </si>
  <si>
    <t>Data transferred between map and reduce phases but between machines</t>
    <phoneticPr fontId="5" type="noConversion"/>
  </si>
  <si>
    <t>Maximum amount transferred serially..between machines, using paramiko..</t>
    <phoneticPr fontId="5" type="noConversion"/>
  </si>
  <si>
    <t>total</t>
    <phoneticPr fontId="5" type="noConversion"/>
  </si>
  <si>
    <t>Input data</t>
    <phoneticPr fontId="5" type="noConversion"/>
  </si>
  <si>
    <t>India,Hotel</t>
    <phoneticPr fontId="5" type="noConversion"/>
  </si>
  <si>
    <t>4+4</t>
    <phoneticPr fontId="5" type="noConversion"/>
  </si>
  <si>
    <t>Number of workers</t>
    <phoneticPr fontId="5" type="noConversion"/>
  </si>
  <si>
    <t>Distributed-PMR for wordcount</t>
    <phoneticPr fontId="5" type="noConversion"/>
  </si>
  <si>
    <t>Varying Number of reduces - Input size - 2048MB, Chunk size=64MB, number of workers=32</t>
  </si>
  <si>
    <t>Varying Number of reduces - Input size - 2048MB, Chunk size=64MB, number of workers=32</t>
    <phoneticPr fontId="5" type="noConversion"/>
  </si>
  <si>
    <t>Number of reduces</t>
  </si>
  <si>
    <t>Number of reduces</t>
    <phoneticPr fontId="5" type="noConversion"/>
  </si>
  <si>
    <t>Input data in MB</t>
  </si>
  <si>
    <t>PMR</t>
    <phoneticPr fontId="5" type="noConversion"/>
  </si>
  <si>
    <t>Hadoop MR</t>
    <phoneticPr fontId="5" type="noConversion"/>
  </si>
  <si>
    <t>PMR</t>
    <phoneticPr fontId="5" type="noConversion"/>
  </si>
  <si>
    <t>Number of reduces</t>
    <phoneticPr fontId="5" type="noConversion"/>
  </si>
  <si>
    <t>India machine,  word count application</t>
    <phoneticPr fontId="5" type="noConversion"/>
  </si>
  <si>
    <t xml:space="preserve">chunk </t>
    <phoneticPr fontId="5" type="noConversion"/>
  </si>
  <si>
    <t xml:space="preserve">Map </t>
    <phoneticPr fontId="5" type="noConversion"/>
  </si>
  <si>
    <t xml:space="preserve">Shuffle </t>
    <phoneticPr fontId="5" type="noConversion"/>
  </si>
  <si>
    <t>Exchange</t>
    <phoneticPr fontId="5" type="noConversion"/>
  </si>
  <si>
    <t>Reduce</t>
    <phoneticPr fontId="5" type="noConversion"/>
  </si>
  <si>
    <t>Total</t>
    <phoneticPr fontId="5" type="noConversion"/>
  </si>
  <si>
    <t>stderr in chunk</t>
    <phoneticPr fontId="5" type="noConversion"/>
  </si>
  <si>
    <t>stderr in map time</t>
    <phoneticPr fontId="5" type="noConversion"/>
  </si>
  <si>
    <t>stderr in shuffle</t>
    <phoneticPr fontId="5" type="noConversion"/>
  </si>
  <si>
    <t>stderr in exchange</t>
    <phoneticPr fontId="5" type="noConversion"/>
  </si>
  <si>
    <t>stderr in reduce</t>
    <phoneticPr fontId="5" type="noConversion"/>
  </si>
  <si>
    <t>stderr in tts</t>
    <phoneticPr fontId="5" type="noConversion"/>
  </si>
  <si>
    <t>increase in time to solution from hadoop to local-PMR</t>
    <phoneticPr fontId="5" type="noConversion"/>
  </si>
  <si>
    <t>chunk time</t>
    <phoneticPr fontId="5" type="noConversion"/>
  </si>
  <si>
    <t>reasons for this problem………..http://tech.backtype.com/the-dark-side-of-hadoop+J204</t>
    <phoneticPr fontId="5" type="noConversion"/>
  </si>
  <si>
    <t xml:space="preserve">1) File systems- hadoop performs better when nodes local data directory is used.. But performance degrades if shared storage is used. </t>
    <phoneticPr fontId="5" type="noConversion"/>
  </si>
  <si>
    <t>2) when a single node is used to launch all workers, hadoop fails with lot of memory problems, whereas PMR successfully completed all tasks.</t>
    <phoneticPr fontId="5" type="noConversion"/>
  </si>
  <si>
    <t>the map  phase time includes shuffle time and sort time</t>
    <phoneticPr fontId="5" type="noConversion"/>
  </si>
  <si>
    <t>type of MR</t>
    <phoneticPr fontId="5" type="noConversion"/>
  </si>
  <si>
    <t>HMR</t>
    <phoneticPr fontId="5" type="noConversion"/>
  </si>
  <si>
    <t>distributed-PMR</t>
    <phoneticPr fontId="5" type="noConversion"/>
  </si>
  <si>
    <t>Map phase time</t>
    <phoneticPr fontId="5" type="noConversion"/>
  </si>
  <si>
    <t>shuffle time</t>
    <phoneticPr fontId="5" type="noConversion"/>
  </si>
  <si>
    <t>reduce time</t>
    <phoneticPr fontId="5" type="noConversion"/>
  </si>
  <si>
    <t>tts</t>
    <phoneticPr fontId="5" type="noConversion"/>
  </si>
  <si>
    <t>chunk time+map phase time+intermediate data transfer + reduce phase</t>
    <phoneticPr fontId="5" type="noConversion"/>
  </si>
  <si>
    <t>If it is considred then PMR performs better than HMR</t>
    <phoneticPr fontId="5" type="noConversion"/>
  </si>
  <si>
    <t>Hadoop configuration</t>
    <phoneticPr fontId="5" type="noConversion"/>
  </si>
  <si>
    <t>default settings used.</t>
    <phoneticPr fontId="5" type="noConversion"/>
  </si>
  <si>
    <t xml:space="preserve">except </t>
    <phoneticPr fontId="5" type="noConversion"/>
  </si>
  <si>
    <t>shuffle phase to start after  map phase.. Otheriwise shuffle is started parallelly before map phase completes</t>
    <phoneticPr fontId="5" type="noConversion"/>
  </si>
  <si>
    <t>and it is difficult to find total time to solution.</t>
    <phoneticPr fontId="5" type="noConversion"/>
  </si>
  <si>
    <t>time for loading data into hdfs is not considred as  it is not a part of MR framwork.</t>
    <phoneticPr fontId="5" type="noConversion"/>
  </si>
  <si>
    <t>Total time to solution in seconds</t>
  </si>
  <si>
    <t>stderr of Total time to solution in seconds</t>
  </si>
  <si>
    <t>Input in MB</t>
  </si>
  <si>
    <t>Chunk time1</t>
  </si>
  <si>
    <t>chunk time2</t>
  </si>
  <si>
    <t>chunk time3</t>
  </si>
  <si>
    <t>map1</t>
  </si>
  <si>
    <t>map2</t>
  </si>
  <si>
    <t>map3</t>
  </si>
  <si>
    <t>reduce1</t>
  </si>
  <si>
    <t>reduce2</t>
  </si>
  <si>
    <t>reduce3</t>
  </si>
  <si>
    <t>tts1</t>
  </si>
  <si>
    <t>tts2</t>
  </si>
  <si>
    <t>tts3</t>
  </si>
  <si>
    <t>Amount of data transferred in MB</t>
    <phoneticPr fontId="5" type="noConversion"/>
  </si>
  <si>
    <t>time taken to transfer the data in secs</t>
    <phoneticPr fontId="5" type="noConversion"/>
  </si>
  <si>
    <t>avg chunk time of 2GB is  10.49secs with 0.16 secs standard deviation.</t>
  </si>
  <si>
    <t>Machine used for Hadoop and Local-PMR</t>
    <phoneticPr fontId="5" type="noConversion"/>
  </si>
  <si>
    <t>India</t>
    <phoneticPr fontId="5" type="noConversion"/>
  </si>
  <si>
    <t>Number of nodes used</t>
    <phoneticPr fontId="5" type="noConversion"/>
  </si>
  <si>
    <t>Number of workers running on each node</t>
    <phoneticPr fontId="5" type="noConversion"/>
  </si>
  <si>
    <t>(total workers = 8)</t>
    <phoneticPr fontId="5" type="noConversion"/>
  </si>
  <si>
    <t xml:space="preserve">Number of reduces </t>
    <phoneticPr fontId="5" type="noConversion"/>
  </si>
  <si>
    <t>chunk size</t>
    <phoneticPr fontId="5" type="noConversion"/>
  </si>
  <si>
    <t>128MB</t>
    <phoneticPr fontId="5" type="noConversion"/>
  </si>
  <si>
    <t>tts for Hadoop MR is</t>
    <phoneticPr fontId="5" type="noConversion"/>
  </si>
  <si>
    <t>tts for PMR is</t>
    <phoneticPr fontId="5" type="noConversion"/>
  </si>
  <si>
    <t>assumption - data already resides on cluster.</t>
    <phoneticPr fontId="5" type="noConversion"/>
  </si>
  <si>
    <t>map phase + shuffle + reduce phase</t>
    <phoneticPr fontId="5" type="noConversion"/>
  </si>
  <si>
    <t>Combined LMR on Hotel(3120*3MB of input data - 3120MB from each of machines)</t>
    <phoneticPr fontId="5" type="noConversion"/>
  </si>
  <si>
    <t>LMR on hotel</t>
    <phoneticPr fontId="5" type="noConversion"/>
  </si>
  <si>
    <t>reduce3</t>
    <phoneticPr fontId="5" type="noConversion"/>
  </si>
  <si>
    <t>tts1</t>
    <phoneticPr fontId="5" type="noConversion"/>
  </si>
  <si>
    <t>tts2</t>
    <phoneticPr fontId="5" type="noConversion"/>
  </si>
  <si>
    <t>tts3</t>
    <phoneticPr fontId="5" type="noConversion"/>
  </si>
  <si>
    <t>India machine, Hadoop MR word count application</t>
    <phoneticPr fontId="5" type="noConversion"/>
  </si>
  <si>
    <t>map3</t>
    <phoneticPr fontId="5" type="noConversion"/>
  </si>
  <si>
    <t>Input in MB</t>
    <phoneticPr fontId="5" type="noConversion"/>
  </si>
  <si>
    <t>Input data in MB</t>
    <phoneticPr fontId="5" type="noConversion"/>
  </si>
  <si>
    <t>Average Map Phase time in secs</t>
  </si>
  <si>
    <t>Average Map Phase time in secs</t>
    <phoneticPr fontId="5" type="noConversion"/>
  </si>
  <si>
    <t xml:space="preserve">data transferred is more in PMR than DMR. But since the data is exchanged </t>
    <phoneticPr fontId="5" type="noConversion"/>
  </si>
  <si>
    <t>concurrently in case of PMR, the time taken to transfer data is same.</t>
    <phoneticPr fontId="5" type="noConversion"/>
  </si>
  <si>
    <t xml:space="preserve">The combine LMR is an  overhead in this case. </t>
    <phoneticPr fontId="5" type="noConversion"/>
  </si>
  <si>
    <t>qs</t>
    <phoneticPr fontId="5" type="noConversion"/>
  </si>
  <si>
    <t>Hadoop</t>
    <phoneticPr fontId="5" type="noConversion"/>
  </si>
  <si>
    <t>Input data</t>
    <phoneticPr fontId="5" type="noConversion"/>
  </si>
  <si>
    <t>shuffle phase</t>
    <phoneticPr fontId="5" type="noConversion"/>
  </si>
  <si>
    <t>data load time</t>
    <phoneticPr fontId="5" type="noConversion"/>
  </si>
  <si>
    <t>number of chunks</t>
    <phoneticPr fontId="5" type="noConversion"/>
  </si>
  <si>
    <t>number of workers=32, chunk size=128MB, number of reduces=8</t>
    <phoneticPr fontId="5" type="noConversion"/>
  </si>
  <si>
    <t>setup</t>
    <phoneticPr fontId="5" type="noConversion"/>
  </si>
  <si>
    <t xml:space="preserve">map phase complettion time </t>
    <phoneticPr fontId="5" type="noConversion"/>
  </si>
  <si>
    <t>shuffle  completion time</t>
    <phoneticPr fontId="5" type="noConversion"/>
  </si>
  <si>
    <t>reduce completion time</t>
    <phoneticPr fontId="5" type="noConversion"/>
  </si>
  <si>
    <t>map phase time</t>
    <phoneticPr fontId="5" type="noConversion"/>
  </si>
  <si>
    <t>reduce phase time</t>
    <phoneticPr fontId="5" type="noConversion"/>
  </si>
  <si>
    <t>tts</t>
    <phoneticPr fontId="5" type="noConversion"/>
  </si>
  <si>
    <t>avg</t>
    <phoneticPr fontId="5" type="noConversion"/>
  </si>
  <si>
    <t>stdev</t>
    <phoneticPr fontId="5" type="noConversion"/>
  </si>
  <si>
    <t>Map output on sierra</t>
    <phoneticPr fontId="5" type="noConversion"/>
  </si>
  <si>
    <t>India-&gt;sierra</t>
    <phoneticPr fontId="5" type="noConversion"/>
  </si>
  <si>
    <t>transfer time</t>
    <phoneticPr fontId="5" type="noConversion"/>
  </si>
  <si>
    <t>data transferred from india-&gt;sierra</t>
    <phoneticPr fontId="5" type="noConversion"/>
  </si>
  <si>
    <t>time taken to transfer data from india-&gt;sierra</t>
    <phoneticPr fontId="5" type="noConversion"/>
  </si>
  <si>
    <t>data transferred from sierra-&gt;india</t>
    <phoneticPr fontId="5" type="noConversion"/>
  </si>
  <si>
    <t>sierra-&gt;india tranfer time</t>
    <phoneticPr fontId="5" type="noConversion"/>
  </si>
  <si>
    <t>time taken to transfer data from sierra-&gt;india</t>
    <phoneticPr fontId="5" type="noConversion"/>
  </si>
  <si>
    <t>reduce on india</t>
    <phoneticPr fontId="5" type="noConversion"/>
  </si>
  <si>
    <t>reduce on sierra</t>
    <phoneticPr fontId="5" type="noConversion"/>
  </si>
  <si>
    <t>avg chunk time of 2GB is  10.49secs with 0.16 secs standard deviation.</t>
    <phoneticPr fontId="5" type="noConversion"/>
  </si>
  <si>
    <t>Number of chunks/map tasks  created</t>
  </si>
  <si>
    <t>Avg time to load data into hdfs in seconds</t>
  </si>
  <si>
    <t>stderr in time to load data into hdfs in seconds</t>
  </si>
  <si>
    <t>loadtime1</t>
    <phoneticPr fontId="5" type="noConversion"/>
  </si>
  <si>
    <t>stderr</t>
    <phoneticPr fontId="5" type="noConversion"/>
  </si>
  <si>
    <t>avg</t>
    <phoneticPr fontId="5" type="noConversion"/>
  </si>
  <si>
    <t xml:space="preserve"> data transferred </t>
    <phoneticPr fontId="5" type="noConversion"/>
  </si>
  <si>
    <t>LMR tts on sierra in secs</t>
    <phoneticPr fontId="5" type="noConversion"/>
  </si>
  <si>
    <t>LMR tts on hotel in secs</t>
    <phoneticPr fontId="5" type="noConversion"/>
  </si>
  <si>
    <t>Time taken in seconds to transfer 3120MB from sierra-&gt;hotel</t>
    <phoneticPr fontId="5" type="noConversion"/>
  </si>
  <si>
    <t>Combined LMR tts in secods on hotel for 6120 MB data.</t>
    <phoneticPr fontId="5" type="noConversion"/>
  </si>
  <si>
    <t>DMR</t>
    <phoneticPr fontId="5" type="noConversion"/>
  </si>
  <si>
    <t xml:space="preserve"> </t>
    <phoneticPr fontId="5" type="noConversion"/>
  </si>
  <si>
    <t>average = 5403.64 seconds</t>
    <phoneticPr fontId="5" type="noConversion"/>
  </si>
  <si>
    <t>Map time on India</t>
    <phoneticPr fontId="5" type="noConversion"/>
  </si>
  <si>
    <t>Map time  on Sierra</t>
    <phoneticPr fontId="5" type="noConversion"/>
  </si>
  <si>
    <t>Map time on hotel</t>
    <phoneticPr fontId="5" type="noConversion"/>
  </si>
  <si>
    <t>time is measure in seconds</t>
    <phoneticPr fontId="5" type="noConversion"/>
  </si>
  <si>
    <t>data in MB</t>
    <phoneticPr fontId="5" type="noConversion"/>
  </si>
  <si>
    <t>time to slution=max(Map on india Map on hotel)+max(time taken to transfer 4570MB from India-&gt;hotel time taken to transfer 4570MB from India-&gt;hotel)+max(reduce on india reduce on hotel)</t>
    <phoneticPr fontId="5" type="noConversion"/>
  </si>
  <si>
    <t>average</t>
    <phoneticPr fontId="5" type="noConversion"/>
  </si>
  <si>
    <t>stderr</t>
    <phoneticPr fontId="5" type="noConversion"/>
  </si>
  <si>
    <t>Map on sierra</t>
    <phoneticPr fontId="5" type="noConversion"/>
  </si>
  <si>
    <t>TTS=MAX(LMR on India LMR on sierra LMr on hotel)+MAX(Time taken to transfer 3120MB from sierra-&gt;india Time taken to transfer 3120MB from hotel-&gt;india)+Combined LMR on india(9GB of input data - 3120MB from each of machines)</t>
    <phoneticPr fontId="5" type="noConversion"/>
  </si>
  <si>
    <t>sierra-&gt;india</t>
    <phoneticPr fontId="5" type="noConversion"/>
  </si>
  <si>
    <t>sierra-&gt;hotel</t>
    <phoneticPr fontId="5" type="noConversion"/>
  </si>
  <si>
    <t>india-&gt;hotel</t>
    <phoneticPr fontId="5" type="noConversion"/>
  </si>
  <si>
    <t>india-&gt;sierra</t>
    <phoneticPr fontId="5" type="noConversion"/>
  </si>
  <si>
    <t>hotel-&gt;india</t>
    <phoneticPr fontId="5" type="noConversion"/>
  </si>
  <si>
    <t>hotel--&gt;sierra</t>
    <phoneticPr fontId="5" type="noConversion"/>
  </si>
  <si>
    <t>stderr of chunking time in seconds</t>
  </si>
  <si>
    <t>Stderr of Map Phase time in secs</t>
  </si>
  <si>
    <t>Stderr of reduce phase time in secs</t>
  </si>
  <si>
    <t>(pmr data transfer time - lmr data transfer time )</t>
    <phoneticPr fontId="5" type="noConversion"/>
  </si>
  <si>
    <t>dmr overhead</t>
    <phoneticPr fontId="5" type="noConversion"/>
  </si>
  <si>
    <t>pmr overhead</t>
    <phoneticPr fontId="5" type="noConversion"/>
  </si>
  <si>
    <t>dmr overhead=</t>
    <phoneticPr fontId="5" type="noConversion"/>
  </si>
  <si>
    <t>pmr overhead=</t>
    <phoneticPr fontId="5" type="noConversion"/>
  </si>
  <si>
    <t>Time taken to transfer 5936MB from sierra-&gt;hotel</t>
    <phoneticPr fontId="5" type="noConversion"/>
  </si>
  <si>
    <t>Time taken to transfer 3120MB from india-&gt;hotel</t>
    <phoneticPr fontId="5" type="noConversion"/>
  </si>
  <si>
    <t>Time taken to transfer 3120MB from sierra-&gt;hotel</t>
    <phoneticPr fontId="5" type="noConversion"/>
  </si>
  <si>
    <t>Time taken to transfer 3120MB from india-&gt;hotel</t>
    <phoneticPr fontId="5" type="noConversion"/>
  </si>
  <si>
    <t>Output fileszie in MB</t>
    <phoneticPr fontId="5" type="noConversion"/>
  </si>
  <si>
    <t>tts1</t>
    <phoneticPr fontId="5" type="noConversion"/>
  </si>
  <si>
    <t>Stderr in Map Phase time in secs</t>
    <phoneticPr fontId="5" type="noConversion"/>
  </si>
  <si>
    <t>GB</t>
    <phoneticPr fontId="5" type="noConversion"/>
  </si>
  <si>
    <t>compute node local directory</t>
    <phoneticPr fontId="5" type="noConversion"/>
  </si>
  <si>
    <t xml:space="preserve">comput ode /tmp direcotry pointing to Home directory </t>
    <phoneticPr fontId="5" type="noConversion"/>
  </si>
  <si>
    <t>Data transfers data. In MB/sec.</t>
    <phoneticPr fontId="5" type="noConversion"/>
  </si>
  <si>
    <t>std error = 19.26</t>
    <phoneticPr fontId="5" type="noConversion"/>
  </si>
  <si>
    <t>Total time to solution in seconds in secs</t>
  </si>
  <si>
    <t>DMR is much better in this case as the data to be transferred is &lt; when compared to PMR intermediate data exchange.</t>
    <phoneticPr fontId="5" type="noConversion"/>
  </si>
  <si>
    <t xml:space="preserve">PMR is better in this case..  </t>
    <phoneticPr fontId="5" type="noConversion"/>
  </si>
  <si>
    <t xml:space="preserve">The intermediate data transfer time of PMR dominated the reduce times of indivial </t>
    <phoneticPr fontId="5" type="noConversion"/>
  </si>
  <si>
    <t>time is measure in seconds</t>
    <phoneticPr fontId="5" type="noConversion"/>
  </si>
  <si>
    <t>data in MB</t>
    <phoneticPr fontId="5" type="noConversion"/>
  </si>
  <si>
    <t>reduce on sierra + LMr on india + 3354.84</t>
    <phoneticPr fontId="5" type="noConversion"/>
  </si>
  <si>
    <t>total time to solution=max(LMR on india, LMR on sierra) + Time taken to transfer 3120MB from sierra-&gt;india + LMR on india</t>
    <phoneticPr fontId="5" type="noConversion"/>
  </si>
  <si>
    <t>average=</t>
    <phoneticPr fontId="5" type="noConversion"/>
  </si>
  <si>
    <t>stderr=</t>
    <phoneticPr fontId="5" type="noConversion"/>
  </si>
  <si>
    <t>average=</t>
    <phoneticPr fontId="5" type="noConversion"/>
  </si>
  <si>
    <t>average=</t>
    <phoneticPr fontId="5" type="noConversion"/>
  </si>
  <si>
    <t>time to slution=max(Map on india Map on sierra)+max(time taken to transfer 4570MB from India-&gt;sierra, time taken to transfer 4570MB from sierrra-&gt;India)+max(reduce on sierra, reduce on india)</t>
    <phoneticPr fontId="5" type="noConversion"/>
  </si>
  <si>
    <t>PMR</t>
    <phoneticPr fontId="5" type="noConversion"/>
  </si>
  <si>
    <t>DMR</t>
    <phoneticPr fontId="5" type="noConversion"/>
  </si>
  <si>
    <t>PMR</t>
    <phoneticPr fontId="5" type="noConversion"/>
  </si>
  <si>
    <t>Varying Chunk Size - Input size - 2048MB, number of workers - 32, number of reduces - 8</t>
    <phoneticPr fontId="5" type="noConversion"/>
  </si>
  <si>
    <t>Number of workers</t>
    <phoneticPr fontId="5" type="noConversion"/>
  </si>
  <si>
    <t>time taken to transfer data from hotel-india in seconds</t>
    <phoneticPr fontId="5" type="noConversion"/>
  </si>
  <si>
    <t>reduce on india</t>
    <phoneticPr fontId="5" type="noConversion"/>
  </si>
  <si>
    <t>Redis</t>
    <phoneticPr fontId="5" type="noConversion"/>
  </si>
  <si>
    <t>10GB</t>
    <phoneticPr fontId="5" type="noConversion"/>
  </si>
  <si>
    <t>Map on India</t>
    <phoneticPr fontId="5" type="noConversion"/>
  </si>
  <si>
    <t>Map on sierra</t>
    <phoneticPr fontId="5" type="noConversion"/>
  </si>
  <si>
    <t>Map output on India</t>
    <phoneticPr fontId="5" type="noConversion"/>
  </si>
  <si>
    <t>hotel</t>
    <phoneticPr fontId="5" type="noConversion"/>
  </si>
  <si>
    <t>sierra</t>
    <phoneticPr fontId="5" type="noConversion"/>
  </si>
  <si>
    <t>sierra</t>
    <phoneticPr fontId="5" type="noConversion"/>
  </si>
  <si>
    <t>india</t>
    <phoneticPr fontId="5" type="noConversion"/>
  </si>
  <si>
    <t>LMR on India</t>
    <phoneticPr fontId="5" type="noConversion"/>
  </si>
  <si>
    <t>map output on hotel</t>
    <phoneticPr fontId="5" type="noConversion"/>
  </si>
  <si>
    <t>37.4MB</t>
    <phoneticPr fontId="5" type="noConversion"/>
  </si>
  <si>
    <t>data transferred from india to other machines</t>
    <phoneticPr fontId="5" type="noConversion"/>
  </si>
  <si>
    <t>data transferred from sierra-&gt;to other macines</t>
    <phoneticPr fontId="5" type="noConversion"/>
  </si>
  <si>
    <t>tts</t>
    <phoneticPr fontId="5" type="noConversion"/>
  </si>
  <si>
    <t>3mchines</t>
    <phoneticPr fontId="5" type="noConversion"/>
  </si>
  <si>
    <t>lmr</t>
    <phoneticPr fontId="5" type="noConversion"/>
  </si>
  <si>
    <t>3machines</t>
    <phoneticPr fontId="5" type="noConversion"/>
  </si>
  <si>
    <t>5655.24706060606/</t>
    <phoneticPr fontId="5" type="noConversion"/>
  </si>
  <si>
    <t>tts in seconds</t>
    <phoneticPr fontId="5" type="noConversion"/>
  </si>
  <si>
    <t>between two machines</t>
    <phoneticPr fontId="5" type="noConversion"/>
  </si>
  <si>
    <t>loadtime2</t>
    <phoneticPr fontId="5" type="noConversion"/>
  </si>
  <si>
    <t>loadtime3</t>
    <phoneticPr fontId="5" type="noConversion"/>
  </si>
  <si>
    <t>time taken to transfer 4570MB from sierra-&gt;hotel</t>
    <phoneticPr fontId="5" type="noConversion"/>
  </si>
  <si>
    <t>time taken to transfer 4570MB from hotel-&gt;sierra</t>
    <phoneticPr fontId="5" type="noConversion"/>
  </si>
  <si>
    <t>reduce on sierra</t>
    <phoneticPr fontId="5" type="noConversion"/>
  </si>
  <si>
    <t>2machines</t>
    <phoneticPr fontId="5" type="noConversion"/>
  </si>
  <si>
    <t>map on hotel</t>
    <phoneticPr fontId="5" type="noConversion"/>
  </si>
  <si>
    <t>time to slution=max(Map on sierra, Map on hotel)+max(time taken to transfer 4570MB from sierra-&gt;hotel time taken to transfer 4570MB from hotel-&gt;sierra)+max(reduce on sierra, reduce on hotel)</t>
    <phoneticPr fontId="5" type="noConversion"/>
  </si>
  <si>
    <t>time taken to transfer 4570MB from India-&gt;sierra</t>
    <phoneticPr fontId="5" type="noConversion"/>
  </si>
  <si>
    <t>time taken to transfer 4570MB from sierra-&gt;india</t>
    <phoneticPr fontId="5" type="noConversion"/>
  </si>
  <si>
    <t>reduce on sierra</t>
    <phoneticPr fontId="5" type="noConversion"/>
  </si>
  <si>
    <t>average=</t>
    <phoneticPr fontId="5" type="noConversion"/>
  </si>
  <si>
    <t>stderr=</t>
    <phoneticPr fontId="5" type="noConversion"/>
  </si>
  <si>
    <t>Time taken to transfer 3120MB from sierra-&gt;india</t>
    <phoneticPr fontId="5" type="noConversion"/>
  </si>
  <si>
    <t>total time to solution=max(LMR on sierra LMr on hotel) + Time taken to transfer 3120MB from sierra-&gt;hotel + LMR on hotel</t>
    <phoneticPr fontId="5" type="noConversion"/>
  </si>
  <si>
    <t>Time taken to transfer 3120MB from india-&gt;hotel</t>
    <phoneticPr fontId="5" type="noConversion"/>
  </si>
  <si>
    <t>total time to solution=max(LMR on india, LMr on hotel) + Time taken to transfer 3120MB from sierra-&gt;hotel + LMR on hotel</t>
    <phoneticPr fontId="5" type="noConversion"/>
  </si>
  <si>
    <t>Map on india</t>
    <phoneticPr fontId="5" type="noConversion"/>
  </si>
  <si>
    <t>Map on hotel</t>
    <phoneticPr fontId="5" type="noConversion"/>
  </si>
  <si>
    <t>time taken to transfer 4570MB from India-&gt;hotel</t>
    <phoneticPr fontId="5" type="noConversion"/>
  </si>
  <si>
    <t>reduce on india</t>
    <phoneticPr fontId="5" type="noConversion"/>
  </si>
  <si>
    <t>reduce on hotel</t>
    <phoneticPr fontId="5" type="noConversion"/>
  </si>
  <si>
    <t>India machine, PMR word count application</t>
  </si>
  <si>
    <t>Avg time chunking time in seconds</t>
  </si>
  <si>
    <t>overhead induced by reduce.</t>
    <phoneticPr fontId="5" type="noConversion"/>
  </si>
  <si>
    <t>dt</t>
    <phoneticPr fontId="5" type="noConversion"/>
  </si>
  <si>
    <t>pmr</t>
    <phoneticPr fontId="5" type="noConversion"/>
  </si>
  <si>
    <t>total dmr overhead =</t>
    <phoneticPr fontId="5" type="noConversion"/>
  </si>
  <si>
    <t>dt overhead involved=</t>
    <phoneticPr fontId="5" type="noConversion"/>
  </si>
  <si>
    <t>lmr overhead+combned lmr overhead.</t>
    <phoneticPr fontId="5" type="noConversion"/>
  </si>
  <si>
    <t xml:space="preserve">on sierra </t>
    <phoneticPr fontId="5" type="noConversion"/>
  </si>
  <si>
    <t>using redis</t>
    <phoneticPr fontId="5" type="noConversion"/>
  </si>
  <si>
    <t>time to transfer data from sierra to India in secs</t>
    <phoneticPr fontId="5" type="noConversion"/>
  </si>
  <si>
    <t>time to transfer data from hotel to India secs</t>
    <phoneticPr fontId="5" type="noConversion"/>
  </si>
  <si>
    <t>tts in seconds</t>
    <phoneticPr fontId="5" type="noConversion"/>
  </si>
  <si>
    <t>redis</t>
    <phoneticPr fontId="5" type="noConversion"/>
  </si>
  <si>
    <t>Stderr in Map Phase time in secs</t>
  </si>
  <si>
    <t>time taken for intermediate data exchange &lt;= reduce time of the slowest machine + combined LMR time</t>
    <phoneticPr fontId="5" type="noConversion"/>
  </si>
  <si>
    <t>lmr</t>
    <phoneticPr fontId="5" type="noConversion"/>
  </si>
  <si>
    <t>PMR</t>
    <phoneticPr fontId="5" type="noConversion"/>
  </si>
  <si>
    <t>india-&gt;hotel</t>
    <phoneticPr fontId="5" type="noConversion"/>
  </si>
  <si>
    <t>Average Reduce phase time in secs</t>
    <phoneticPr fontId="5" type="noConversion"/>
  </si>
  <si>
    <t>Stderr in reduce phase time in secs</t>
  </si>
  <si>
    <t>Average Reduce phase time in secs</t>
  </si>
  <si>
    <t>Time taken to transfer 3120MB from sierra-&gt;india</t>
    <phoneticPr fontId="5" type="noConversion"/>
  </si>
  <si>
    <t>Time taken to transfer 3120MB from hotel-&gt;india</t>
    <phoneticPr fontId="5" type="noConversion"/>
  </si>
  <si>
    <t>Stderr in reduce phase time in secs</t>
    <phoneticPr fontId="5" type="noConversion"/>
  </si>
  <si>
    <t>3 machines</t>
    <phoneticPr fontId="5" type="noConversion"/>
  </si>
  <si>
    <t>Total time to solution in seconds in secs</t>
    <phoneticPr fontId="5" type="noConversion"/>
  </si>
  <si>
    <t>stderr in Total time to solution in seconds in secs</t>
  </si>
  <si>
    <t>stderr in Total time to solution in seconds in secs</t>
    <phoneticPr fontId="5" type="noConversion"/>
  </si>
  <si>
    <t>Chunk size</t>
    <phoneticPr fontId="5" type="noConversion"/>
  </si>
  <si>
    <t>ls -</t>
    <phoneticPr fontId="5" type="noConversion"/>
  </si>
  <si>
    <t>avg load time for 2GB data is 10.49secs with 0.06 secs standard deviation.</t>
  </si>
  <si>
    <t>avg load time for 2GB data is 10.49secs with 0.06 secs standard deviation.</t>
    <phoneticPr fontId="5" type="noConversion"/>
  </si>
  <si>
    <t>Chunk size  in MB</t>
  </si>
  <si>
    <t>Chunk size  in MB</t>
    <phoneticPr fontId="5" type="noConversion"/>
  </si>
  <si>
    <t>Varying Number of workers  - Input size - 2048MB, chunk size=64MB, number of reduces - 8</t>
  </si>
  <si>
    <t>Varying Number of workers  - Input size - 2048MB, chunk size=64MB, number of reduces - 8</t>
    <phoneticPr fontId="5" type="noConversion"/>
  </si>
  <si>
    <t>Number of workers</t>
  </si>
  <si>
    <t>Number of workers</t>
    <phoneticPr fontId="5" type="noConversion"/>
  </si>
  <si>
    <t>Varying Input Size - chunk size - 64MB, number of workers - 32, number of reduces - 8</t>
  </si>
  <si>
    <t>Varying Input Size - chunk size - 64MB, number of workers - 32, number of reduces - 8</t>
    <phoneticPr fontId="5" type="noConversion"/>
  </si>
  <si>
    <t>Varying Chunk Size - Input size - 2048MB, number of workers - 32, number of reduces - 8</t>
  </si>
  <si>
    <t>time taken to transfer data from hotel-&gt;sierra in seconds</t>
    <phoneticPr fontId="5" type="noConversion"/>
  </si>
  <si>
    <t>LMr on hotel</t>
    <phoneticPr fontId="5" type="noConversion"/>
  </si>
  <si>
    <t>Data transfer rate</t>
    <phoneticPr fontId="5" type="noConversion"/>
  </si>
  <si>
    <t>India</t>
    <phoneticPr fontId="5" type="noConversion"/>
  </si>
  <si>
    <t>sierra</t>
    <phoneticPr fontId="5" type="noConversion"/>
  </si>
  <si>
    <t>Machine 1</t>
    <phoneticPr fontId="5" type="noConversion"/>
  </si>
  <si>
    <t>Machine2</t>
    <phoneticPr fontId="5" type="noConversion"/>
  </si>
  <si>
    <t>India</t>
    <phoneticPr fontId="5" type="noConversion"/>
  </si>
  <si>
    <t>hotel</t>
    <phoneticPr fontId="5" type="noConversion"/>
  </si>
  <si>
    <t>Time taken to transfer 3120MB from sierra-&gt;hotel</t>
  </si>
  <si>
    <t>Time taken to transfer 3120MB from india-&gt;hotel</t>
  </si>
  <si>
    <t>Combined LMR on Hotel(3120*3MB of input data - 3120MB from each of machines)</t>
  </si>
  <si>
    <t>TTS=MAX(LMR on India, LMR on sierra, LMr on hotel)+MAX(Time taken to transfer 3120MB from sierra-&gt;india Time taken to transfer 3120MB from hotel-&gt;india)+Combined LMR on india(9GB of input data - 3120MB from each of machines)</t>
    <phoneticPr fontId="5" type="noConversion"/>
  </si>
  <si>
    <t>Number of workers=32.</t>
    <phoneticPr fontId="5" type="noConversion"/>
  </si>
  <si>
    <t>Input size = 10GB, number of workers = 32, chunksize=6,25,000 reads,reduces</t>
    <phoneticPr fontId="5" type="noConversion"/>
  </si>
  <si>
    <t>time taken to transfer data from india-hotel in seconds</t>
    <phoneticPr fontId="5" type="noConversion"/>
  </si>
  <si>
    <t>time taken to transfer data from india-&gt;sierra in seconds</t>
    <phoneticPr fontId="5" type="noConversion"/>
  </si>
  <si>
    <t>map1</t>
    <phoneticPr fontId="5" type="noConversion"/>
  </si>
  <si>
    <t>map2</t>
    <phoneticPr fontId="5" type="noConversion"/>
  </si>
  <si>
    <t>reduce1</t>
    <phoneticPr fontId="5" type="noConversion"/>
  </si>
  <si>
    <t>reduce2</t>
    <phoneticPr fontId="5" type="noConversion"/>
  </si>
  <si>
    <t>reduce on hotel</t>
    <phoneticPr fontId="5" type="noConversion"/>
  </si>
  <si>
    <t>data transferred from hotel -&gt;india</t>
    <phoneticPr fontId="5" type="noConversion"/>
  </si>
  <si>
    <t>data transferred from india-hotel</t>
    <phoneticPr fontId="5" type="noConversion"/>
  </si>
  <si>
    <t>Input data in GB</t>
    <phoneticPr fontId="5" type="noConversion"/>
  </si>
  <si>
    <t>Pilot data, pilot-api,(100seconds sleep induced for sync problem in reduce phase , but not calculated towards tts)</t>
    <phoneticPr fontId="5" type="noConversion"/>
  </si>
  <si>
    <t>bigjob, no pilot api used</t>
    <phoneticPr fontId="5" type="noConversion"/>
  </si>
  <si>
    <t>avg</t>
    <phoneticPr fontId="5" type="noConversion"/>
  </si>
  <si>
    <t>stderr</t>
    <phoneticPr fontId="5" type="noConversion"/>
  </si>
  <si>
    <t>avg</t>
    <phoneticPr fontId="5" type="noConversion"/>
  </si>
  <si>
    <t>Hadoop MR</t>
    <phoneticPr fontId="5" type="noConversion"/>
  </si>
  <si>
    <t>stderr</t>
    <phoneticPr fontId="5" type="noConversion"/>
  </si>
  <si>
    <t>time taken to transfer data from sierra-&gt;india in seconds</t>
    <phoneticPr fontId="5" type="noConversion"/>
  </si>
  <si>
    <t>time taken to transfer data from sierra-&gt;hotel in seconds</t>
    <phoneticPr fontId="5" type="noConversion"/>
  </si>
  <si>
    <t>data transferred from hotel to other machines</t>
    <phoneticPr fontId="5" type="noConversion"/>
  </si>
  <si>
    <t>time transferred from hotel -&gt;india</t>
    <phoneticPr fontId="5" type="noConversion"/>
  </si>
  <si>
    <t>Map output on india</t>
    <phoneticPr fontId="5" type="noConversion"/>
  </si>
  <si>
    <t>Map output on sierra</t>
    <phoneticPr fontId="5" type="noConversion"/>
  </si>
  <si>
    <t>DMR = LMR + time to transfer data + combined LMR</t>
    <phoneticPr fontId="5" type="noConversion"/>
  </si>
  <si>
    <t>LMR on India</t>
    <phoneticPr fontId="5" type="noConversion"/>
  </si>
  <si>
    <t>LMR on sierra</t>
    <phoneticPr fontId="5" type="noConversion"/>
  </si>
  <si>
    <t>Combined LMR on india</t>
    <phoneticPr fontId="5" type="noConversion"/>
  </si>
  <si>
    <t>LMR on Hotel</t>
    <phoneticPr fontId="5" type="noConversion"/>
  </si>
  <si>
    <t>using redis</t>
    <phoneticPr fontId="5" type="noConversion"/>
  </si>
  <si>
    <t>using advert</t>
    <phoneticPr fontId="5" type="noConversion"/>
  </si>
  <si>
    <t>on india</t>
    <phoneticPr fontId="5" type="noConversion"/>
  </si>
  <si>
    <t xml:space="preserve">on india </t>
    <phoneticPr fontId="5" type="noConversion"/>
  </si>
  <si>
    <t>using redis</t>
    <phoneticPr fontId="5" type="noConversion"/>
  </si>
  <si>
    <t>on hotel</t>
    <phoneticPr fontId="5" type="noConversion"/>
  </si>
  <si>
    <t xml:space="preserve">on hotel using </t>
    <phoneticPr fontId="5" type="noConversion"/>
  </si>
  <si>
    <t>advert</t>
    <phoneticPr fontId="5" type="noConversion"/>
  </si>
  <si>
    <t>wc</t>
    <phoneticPr fontId="5" type="noConversion"/>
  </si>
  <si>
    <t>gs</t>
    <phoneticPr fontId="5" type="noConversion"/>
  </si>
  <si>
    <t>on sierra using</t>
    <phoneticPr fontId="5" type="noConversion"/>
  </si>
  <si>
    <t>on india</t>
    <phoneticPr fontId="5" type="noConversion"/>
  </si>
  <si>
    <t>using redis</t>
    <phoneticPr fontId="5" type="noConversion"/>
  </si>
  <si>
    <t>reduce-5</t>
    <phoneticPr fontId="5" type="noConversion"/>
  </si>
  <si>
    <t>reduce-4</t>
    <phoneticPr fontId="5" type="noConversion"/>
  </si>
  <si>
    <t>reduce-6</t>
    <phoneticPr fontId="5" type="noConversion"/>
  </si>
  <si>
    <t>reduce-7</t>
    <phoneticPr fontId="5" type="noConversion"/>
  </si>
  <si>
    <t>chunk</t>
    <phoneticPr fontId="5" type="noConversion"/>
  </si>
  <si>
    <t>time to solution</t>
    <phoneticPr fontId="5" type="noConversion"/>
  </si>
  <si>
    <t>exchange</t>
    <phoneticPr fontId="5" type="noConversion"/>
  </si>
  <si>
    <t>india</t>
    <phoneticPr fontId="5" type="noConversion"/>
  </si>
  <si>
    <t>hotel</t>
    <phoneticPr fontId="5" type="noConversion"/>
  </si>
  <si>
    <t>1.28 bigjob launched on india</t>
    <phoneticPr fontId="5" type="noConversion"/>
  </si>
  <si>
    <t>22.30 bigjob launched on sierra</t>
    <phoneticPr fontId="5" type="noConversion"/>
  </si>
  <si>
    <t>00:30 bigjob luanched on hotel</t>
    <phoneticPr fontId="5" type="noConversion"/>
  </si>
  <si>
    <t>22.36 started jobs</t>
    <phoneticPr fontId="5" type="noConversion"/>
  </si>
  <si>
    <t>00.33 started jobs</t>
    <phoneticPr fontId="5" type="noConversion"/>
  </si>
  <si>
    <t>1:49:14 AM started</t>
    <phoneticPr fontId="5" type="noConversion"/>
  </si>
  <si>
    <t>23minutes</t>
    <phoneticPr fontId="5" type="noConversion"/>
  </si>
  <si>
    <t>27mintues</t>
    <phoneticPr fontId="5" type="noConversion"/>
  </si>
  <si>
    <t>16minuts</t>
    <phoneticPr fontId="5" type="noConversion"/>
  </si>
  <si>
    <t>3.2G</t>
    <phoneticPr fontId="5" type="noConversion"/>
  </si>
  <si>
    <t>3.5G</t>
    <phoneticPr fontId="5" type="noConversion"/>
  </si>
  <si>
    <t>3.4G</t>
    <phoneticPr fontId="5" type="noConversion"/>
  </si>
  <si>
    <t>(2mins+4mins+64mins)</t>
    <phoneticPr fontId="5" type="noConversion"/>
  </si>
  <si>
    <t xml:space="preserve">sierra Is slowest machine and it caused </t>
    <phoneticPr fontId="5" type="noConversion"/>
  </si>
  <si>
    <t>LMR on alamo</t>
    <phoneticPr fontId="5" type="noConversion"/>
  </si>
  <si>
    <t>Map</t>
    <phoneticPr fontId="5" type="noConversion"/>
  </si>
  <si>
    <t xml:space="preserve">Reduce </t>
    <phoneticPr fontId="5" type="noConversion"/>
  </si>
  <si>
    <t>Number of reduces=9</t>
    <phoneticPr fontId="5" type="noConversion"/>
  </si>
  <si>
    <t>10GB of data</t>
    <phoneticPr fontId="5" type="noConversion"/>
  </si>
  <si>
    <t>20GB of data</t>
    <phoneticPr fontId="5" type="noConversion"/>
  </si>
  <si>
    <t>40GB of data</t>
    <phoneticPr fontId="5" type="noConversion"/>
  </si>
  <si>
    <t>Time taken to transfer 5936MB from india-&gt;hotel</t>
    <phoneticPr fontId="5" type="noConversion"/>
  </si>
  <si>
    <t>Combined LMR on Hotel(5936*3MB of input data - 17808MB from each of machines)</t>
    <phoneticPr fontId="5" type="noConversion"/>
  </si>
  <si>
    <t>Time taken to transfer 8952MB from sierra-&gt;hotel</t>
    <phoneticPr fontId="5" type="noConversion"/>
  </si>
  <si>
    <t>Time taken to transfer 8952MB from India-&gt;hotel</t>
    <phoneticPr fontId="5" type="noConversion"/>
  </si>
  <si>
    <t>Combined LMR on Hotel(8952*3MB of input data - 26856MB from each of machines)</t>
    <phoneticPr fontId="5" type="noConversion"/>
  </si>
  <si>
    <t>distribtued-PMR</t>
    <phoneticPr fontId="5" type="noConversion"/>
  </si>
  <si>
    <t>chunk size=6,25,000</t>
    <phoneticPr fontId="5" type="noConversion"/>
  </si>
  <si>
    <t>intermediate data transfr</t>
    <phoneticPr fontId="5" type="noConversion"/>
  </si>
  <si>
    <t>reduce-1</t>
    <phoneticPr fontId="5" type="noConversion"/>
  </si>
  <si>
    <t>reduce-2</t>
    <phoneticPr fontId="5" type="noConversion"/>
  </si>
  <si>
    <t>redce-0</t>
    <phoneticPr fontId="5" type="noConversion"/>
  </si>
  <si>
    <t>reduce-3</t>
    <phoneticPr fontId="5" type="noConversion"/>
  </si>
  <si>
    <t>32 orkers , number of reduces=8, chunk size=64MB</t>
    <phoneticPr fontId="5" type="noConversion"/>
  </si>
  <si>
    <t>chunking time in seconds</t>
    <phoneticPr fontId="5" type="noConversion"/>
  </si>
  <si>
    <t>Map Phase time in secs</t>
    <phoneticPr fontId="5" type="noConversion"/>
  </si>
  <si>
    <t>Intermediate data transfer</t>
    <phoneticPr fontId="5" type="noConversion"/>
  </si>
  <si>
    <t>Reduce phase time in secs</t>
    <phoneticPr fontId="5" type="noConversion"/>
  </si>
  <si>
    <t>reduce on sierra</t>
    <phoneticPr fontId="5" type="noConversion"/>
  </si>
  <si>
    <t>reduce on hotel</t>
    <phoneticPr fontId="5" type="noConversion"/>
  </si>
  <si>
    <t>tts=max(Map on India Map on Sierra Map on hotel)+max(intermediate data exchange) + max(reduce)</t>
    <phoneticPr fontId="5" type="noConversion"/>
  </si>
  <si>
    <t>Number of machines -3, India, sierra, hotel.</t>
    <phoneticPr fontId="5" type="noConversion"/>
  </si>
  <si>
    <t>Hotel fastest machine, sierra slow machine.</t>
    <phoneticPr fontId="5" type="noConversion"/>
  </si>
  <si>
    <t>LMR on India</t>
  </si>
  <si>
    <t>LMr on hotel</t>
  </si>
</sst>
</file>

<file path=xl/styles.xml><?xml version="1.0" encoding="utf-8"?>
<styleSheet xmlns="http://schemas.openxmlformats.org/spreadsheetml/2006/main">
  <numFmts count="1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"/>
    <numFmt numFmtId="169" formatCode="0.00000000000"/>
    <numFmt numFmtId="170" formatCode="0.0"/>
    <numFmt numFmtId="171" formatCode="0.000000000000"/>
    <numFmt numFmtId="172" formatCode="0.000000"/>
    <numFmt numFmtId="173" formatCode="0.00"/>
  </numFmts>
  <fonts count="7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2" fontId="0" fillId="0" borderId="0" xfId="0" applyNumberFormat="1"/>
    <xf numFmtId="2" fontId="6" fillId="2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2" fontId="4" fillId="0" borderId="0" xfId="0" applyNumberFormat="1" applyFont="1"/>
    <xf numFmtId="2" fontId="0" fillId="2" borderId="0" xfId="0" applyNumberFormat="1" applyFill="1" applyAlignment="1">
      <alignment wrapText="1"/>
    </xf>
    <xf numFmtId="0" fontId="3" fillId="0" borderId="0" xfId="0" applyFont="1"/>
    <xf numFmtId="0" fontId="0" fillId="3" borderId="0" xfId="0" applyFill="1"/>
    <xf numFmtId="2" fontId="0" fillId="0" borderId="0" xfId="0" applyNumberFormat="1" applyAlignment="1">
      <alignment wrapText="1"/>
    </xf>
    <xf numFmtId="2" fontId="0" fillId="0" borderId="0" xfId="0" applyNumberFormat="1"/>
    <xf numFmtId="1" fontId="0" fillId="0" borderId="0" xfId="0" applyNumberFormat="1"/>
    <xf numFmtId="2" fontId="0" fillId="0" borderId="0" xfId="0" applyNumberFormat="1"/>
    <xf numFmtId="2" fontId="0" fillId="0" borderId="0" xfId="0" applyNumberFormat="1"/>
    <xf numFmtId="168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1" fillId="0" borderId="0" xfId="0" applyFont="1"/>
    <xf numFmtId="0" fontId="0" fillId="4" borderId="0" xfId="0" applyFill="1"/>
    <xf numFmtId="0" fontId="1" fillId="4" borderId="0" xfId="0" applyFont="1" applyFill="1"/>
    <xf numFmtId="0" fontId="0" fillId="0" borderId="0" xfId="0" applyAlignment="1"/>
    <xf numFmtId="169" fontId="0" fillId="0" borderId="0" xfId="0" applyNumberFormat="1"/>
    <xf numFmtId="169" fontId="0" fillId="0" borderId="0" xfId="0" applyNumberFormat="1"/>
    <xf numFmtId="171" fontId="0" fillId="0" borderId="0" xfId="0" applyNumberFormat="1"/>
    <xf numFmtId="2" fontId="0" fillId="0" borderId="0" xfId="0" applyNumberFormat="1"/>
    <xf numFmtId="168" fontId="0" fillId="0" borderId="0" xfId="0" applyNumberFormat="1"/>
    <xf numFmtId="2" fontId="0" fillId="0" borderId="0" xfId="0" applyNumberFormat="1"/>
    <xf numFmtId="169" fontId="0" fillId="0" borderId="0" xfId="0" applyNumberFormat="1"/>
    <xf numFmtId="169" fontId="0" fillId="0" borderId="0" xfId="0" applyNumberFormat="1"/>
    <xf numFmtId="168" fontId="0" fillId="0" borderId="0" xfId="0" applyNumberFormat="1"/>
    <xf numFmtId="172" fontId="0" fillId="0" borderId="0" xfId="0" applyNumberFormat="1"/>
    <xf numFmtId="171" fontId="0" fillId="0" borderId="0" xfId="0" applyNumberFormat="1"/>
    <xf numFmtId="168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173" fontId="0" fillId="0" borderId="0" xfId="0" applyNumberFormat="1"/>
    <xf numFmtId="0" fontId="0" fillId="0" borderId="0" xfId="0" applyAlignment="1">
      <alignment wrapText="1"/>
    </xf>
    <xf numFmtId="169" fontId="0" fillId="0" borderId="0" xfId="0" applyNumberFormat="1"/>
    <xf numFmtId="21" fontId="0" fillId="0" borderId="0" xfId="0" applyNumberFormat="1"/>
    <xf numFmtId="20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PMR</a:t>
            </a:r>
          </a:p>
        </c:rich>
      </c:tx>
    </c:title>
    <c:plotArea>
      <c:layout/>
      <c:barChart>
        <c:barDir val="col"/>
        <c:grouping val="stacked"/>
        <c:ser>
          <c:idx val="1"/>
          <c:order val="0"/>
          <c:tx>
            <c:v>Map time</c:v>
          </c:tx>
          <c:errBars>
            <c:errBarType val="both"/>
            <c:errValType val="cust"/>
            <c:plus>
              <c:numRef>
                <c:f>comparision!$F$10:$F$15</c:f>
                <c:numCache>
                  <c:formatCode>General</c:formatCode>
                  <c:ptCount val="6"/>
                  <c:pt idx="0">
                    <c:v>0.0479490470305963</c:v>
                  </c:pt>
                  <c:pt idx="1">
                    <c:v>4.697599635274735</c:v>
                  </c:pt>
                  <c:pt idx="2">
                    <c:v>1.949621074294501</c:v>
                  </c:pt>
                  <c:pt idx="3">
                    <c:v>3.286648056066302</c:v>
                  </c:pt>
                  <c:pt idx="4">
                    <c:v>9.801978411411524</c:v>
                  </c:pt>
                  <c:pt idx="5">
                    <c:v>12.47803725662727</c:v>
                  </c:pt>
                </c:numCache>
              </c:numRef>
            </c:plus>
            <c:minus>
              <c:numRef>
                <c:f>comparision!$F$10:$F$15</c:f>
                <c:numCache>
                  <c:formatCode>General</c:formatCode>
                  <c:ptCount val="6"/>
                  <c:pt idx="0">
                    <c:v>0.0479490470305963</c:v>
                  </c:pt>
                  <c:pt idx="1">
                    <c:v>4.697599635274735</c:v>
                  </c:pt>
                  <c:pt idx="2">
                    <c:v>1.949621074294501</c:v>
                  </c:pt>
                  <c:pt idx="3">
                    <c:v>3.286648056066302</c:v>
                  </c:pt>
                  <c:pt idx="4">
                    <c:v>9.801978411411524</c:v>
                  </c:pt>
                  <c:pt idx="5">
                    <c:v>12.47803725662727</c:v>
                  </c:pt>
                </c:numCache>
              </c:numRef>
            </c:minus>
          </c:errBars>
          <c:cat>
            <c:numRef>
              <c:f>comparision!$L$10:$L$15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comparision!$E$10:$E$15</c:f>
              <c:numCache>
                <c:formatCode>0.00</c:formatCode>
                <c:ptCount val="6"/>
                <c:pt idx="0">
                  <c:v>29.66366666666667</c:v>
                </c:pt>
                <c:pt idx="1">
                  <c:v>38.874</c:v>
                </c:pt>
                <c:pt idx="2">
                  <c:v>37.616</c:v>
                </c:pt>
                <c:pt idx="3">
                  <c:v>47.58133333333333</c:v>
                </c:pt>
                <c:pt idx="4">
                  <c:v>65.37066666666666</c:v>
                </c:pt>
                <c:pt idx="5">
                  <c:v>86.3466666666666</c:v>
                </c:pt>
              </c:numCache>
            </c:numRef>
          </c:val>
        </c:ser>
        <c:ser>
          <c:idx val="2"/>
          <c:order val="1"/>
          <c:tx>
            <c:v>Reduce time</c:v>
          </c:tx>
          <c:errBars>
            <c:errBarType val="both"/>
            <c:errValType val="cust"/>
            <c:plus>
              <c:numRef>
                <c:f>comparision!$H$10:$H$15</c:f>
                <c:numCache>
                  <c:formatCode>General</c:formatCode>
                  <c:ptCount val="6"/>
                  <c:pt idx="0">
                    <c:v>0.739444461140321</c:v>
                  </c:pt>
                  <c:pt idx="1">
                    <c:v>0.110340382453587</c:v>
                  </c:pt>
                  <c:pt idx="2">
                    <c:v>0.622869791993304</c:v>
                  </c:pt>
                  <c:pt idx="3">
                    <c:v>4.068172084746544</c:v>
                  </c:pt>
                  <c:pt idx="4">
                    <c:v>1.781025079366816</c:v>
                  </c:pt>
                  <c:pt idx="5">
                    <c:v>0.692601456667372</c:v>
                  </c:pt>
                </c:numCache>
              </c:numRef>
            </c:plus>
            <c:minus>
              <c:numRef>
                <c:f>comparision!$H$10:$H$15</c:f>
                <c:numCache>
                  <c:formatCode>General</c:formatCode>
                  <c:ptCount val="6"/>
                  <c:pt idx="0">
                    <c:v>0.739444461140321</c:v>
                  </c:pt>
                  <c:pt idx="1">
                    <c:v>0.110340382453587</c:v>
                  </c:pt>
                  <c:pt idx="2">
                    <c:v>0.622869791993304</c:v>
                  </c:pt>
                  <c:pt idx="3">
                    <c:v>4.068172084746544</c:v>
                  </c:pt>
                  <c:pt idx="4">
                    <c:v>1.781025079366816</c:v>
                  </c:pt>
                  <c:pt idx="5">
                    <c:v>0.692601456667372</c:v>
                  </c:pt>
                </c:numCache>
              </c:numRef>
            </c:minus>
          </c:errBars>
          <c:cat>
            <c:numRef>
              <c:f>comparision!$L$10:$L$15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comparision!$G$10:$G$15</c:f>
              <c:numCache>
                <c:formatCode>0.00</c:formatCode>
                <c:ptCount val="6"/>
                <c:pt idx="0">
                  <c:v>9.515333333333332</c:v>
                </c:pt>
                <c:pt idx="1">
                  <c:v>8.94</c:v>
                </c:pt>
                <c:pt idx="2">
                  <c:v>19.70033333333333</c:v>
                </c:pt>
                <c:pt idx="3">
                  <c:v>33.12466666666667</c:v>
                </c:pt>
                <c:pt idx="4">
                  <c:v>57.985</c:v>
                </c:pt>
                <c:pt idx="5">
                  <c:v>116.6356666666667</c:v>
                </c:pt>
              </c:numCache>
            </c:numRef>
          </c:val>
        </c:ser>
        <c:overlap val="100"/>
        <c:axId val="516743528"/>
        <c:axId val="516808328"/>
      </c:barChart>
      <c:catAx>
        <c:axId val="516743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MB</a:t>
                </a:r>
              </a:p>
            </c:rich>
          </c:tx>
        </c:title>
        <c:numFmt formatCode="General" sourceLinked="1"/>
        <c:tickLblPos val="nextTo"/>
        <c:crossAx val="516808328"/>
        <c:crosses val="autoZero"/>
        <c:auto val="1"/>
        <c:lblAlgn val="ctr"/>
        <c:lblOffset val="100"/>
      </c:catAx>
      <c:valAx>
        <c:axId val="5168083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</c:title>
        <c:numFmt formatCode="0.00" sourceLinked="1"/>
        <c:tickLblPos val="nextTo"/>
        <c:crossAx val="5167435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Hadoop MR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comparision!$M$120:$M$124</c:f>
                <c:numCache>
                  <c:formatCode>General</c:formatCode>
                  <c:ptCount val="5"/>
                  <c:pt idx="0">
                    <c:v>2.027587510100204</c:v>
                  </c:pt>
                  <c:pt idx="1">
                    <c:v>1.452966314513836</c:v>
                  </c:pt>
                  <c:pt idx="2">
                    <c:v>1.201850425154747</c:v>
                  </c:pt>
                  <c:pt idx="3">
                    <c:v>0.666666666666591</c:v>
                  </c:pt>
                  <c:pt idx="4">
                    <c:v>4.096068575814824</c:v>
                  </c:pt>
                </c:numCache>
              </c:numRef>
            </c:plus>
            <c:minus>
              <c:numRef>
                <c:f>comparision!$M$120:$M$124</c:f>
                <c:numCache>
                  <c:formatCode>General</c:formatCode>
                  <c:ptCount val="5"/>
                  <c:pt idx="0">
                    <c:v>2.027587510100204</c:v>
                  </c:pt>
                  <c:pt idx="1">
                    <c:v>1.452966314513836</c:v>
                  </c:pt>
                  <c:pt idx="2">
                    <c:v>1.201850425154747</c:v>
                  </c:pt>
                  <c:pt idx="3">
                    <c:v>0.666666666666591</c:v>
                  </c:pt>
                  <c:pt idx="4">
                    <c:v>4.096068575814824</c:v>
                  </c:pt>
                </c:numCache>
              </c:numRef>
            </c:minus>
          </c:errBars>
          <c:cat>
            <c:numRef>
              <c:f>comparision!$K$120:$K$124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comparision!$L$120:$L$124</c:f>
              <c:numCache>
                <c:formatCode>0.00</c:formatCode>
                <c:ptCount val="5"/>
                <c:pt idx="0">
                  <c:v>346.6666666666666</c:v>
                </c:pt>
                <c:pt idx="1">
                  <c:v>168.3333333333333</c:v>
                </c:pt>
                <c:pt idx="2">
                  <c:v>96.66666666666667</c:v>
                </c:pt>
                <c:pt idx="3">
                  <c:v>64.66666666666667</c:v>
                </c:pt>
                <c:pt idx="4">
                  <c:v>61.33333333333334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comparision!$O$120:$O$124</c:f>
                <c:numCache>
                  <c:formatCode>General</c:formatCode>
                  <c:ptCount val="5"/>
                  <c:pt idx="0">
                    <c:v>0.577350269189626</c:v>
                  </c:pt>
                  <c:pt idx="1">
                    <c:v>2.645751311064591</c:v>
                  </c:pt>
                  <c:pt idx="2">
                    <c:v>1.763834207376387</c:v>
                  </c:pt>
                  <c:pt idx="3">
                    <c:v>0.881917103688183</c:v>
                  </c:pt>
                  <c:pt idx="4">
                    <c:v>2.603416558635546</c:v>
                  </c:pt>
                </c:numCache>
              </c:numRef>
            </c:plus>
            <c:minus>
              <c:numRef>
                <c:f>comparision!$O$120:$O$124</c:f>
                <c:numCache>
                  <c:formatCode>General</c:formatCode>
                  <c:ptCount val="5"/>
                  <c:pt idx="0">
                    <c:v>0.577350269189626</c:v>
                  </c:pt>
                  <c:pt idx="1">
                    <c:v>2.645751311064591</c:v>
                  </c:pt>
                  <c:pt idx="2">
                    <c:v>1.763834207376387</c:v>
                  </c:pt>
                  <c:pt idx="3">
                    <c:v>0.881917103688183</c:v>
                  </c:pt>
                  <c:pt idx="4">
                    <c:v>2.603416558635546</c:v>
                  </c:pt>
                </c:numCache>
              </c:numRef>
            </c:minus>
          </c:errBars>
          <c:cat>
            <c:numRef>
              <c:f>comparision!$K$120:$K$124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comparision!$N$120:$N$124</c:f>
              <c:numCache>
                <c:formatCode>0.00</c:formatCode>
                <c:ptCount val="5"/>
                <c:pt idx="0">
                  <c:v>62.0</c:v>
                </c:pt>
                <c:pt idx="1">
                  <c:v>32.0</c:v>
                </c:pt>
                <c:pt idx="2">
                  <c:v>29.66666666666667</c:v>
                </c:pt>
                <c:pt idx="3">
                  <c:v>28.66666666666667</c:v>
                </c:pt>
                <c:pt idx="4">
                  <c:v>28.66666666666667</c:v>
                </c:pt>
              </c:numCache>
            </c:numRef>
          </c:val>
        </c:ser>
        <c:overlap val="100"/>
        <c:axId val="510018280"/>
        <c:axId val="513270584"/>
      </c:barChart>
      <c:catAx>
        <c:axId val="510018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513270584"/>
        <c:crosses val="autoZero"/>
        <c:auto val="1"/>
        <c:lblAlgn val="ctr"/>
        <c:lblOffset val="100"/>
      </c:catAx>
      <c:valAx>
        <c:axId val="5132705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</a:t>
                </a:r>
              </a:p>
            </c:rich>
          </c:tx>
        </c:title>
        <c:numFmt formatCode="0.00" sourceLinked="1"/>
        <c:tickLblPos val="nextTo"/>
        <c:crossAx val="5100182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Comparision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PMR</c:v>
          </c:tx>
          <c:marker>
            <c:symbol val="none"/>
          </c:marker>
          <c:cat>
            <c:numRef>
              <c:f>comparision!$A$120:$A$124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comparision!$F$120:$F$124</c:f>
              <c:numCache>
                <c:formatCode>0.00</c:formatCode>
                <c:ptCount val="5"/>
                <c:pt idx="0">
                  <c:v>886.0453333333333</c:v>
                </c:pt>
                <c:pt idx="1">
                  <c:v>497.1213333333333</c:v>
                </c:pt>
                <c:pt idx="2">
                  <c:v>299.2903333333333</c:v>
                </c:pt>
                <c:pt idx="3">
                  <c:v>249.7443333333333</c:v>
                </c:pt>
                <c:pt idx="4">
                  <c:v>227.81</c:v>
                </c:pt>
              </c:numCache>
            </c:numRef>
          </c:val>
        </c:ser>
        <c:ser>
          <c:idx val="1"/>
          <c:order val="1"/>
          <c:tx>
            <c:v>Hadoop MR</c:v>
          </c:tx>
          <c:marker>
            <c:symbol val="none"/>
          </c:marker>
          <c:cat>
            <c:numRef>
              <c:f>comparision!$A$120:$A$124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comparision!$P$120:$P$124</c:f>
              <c:numCache>
                <c:formatCode>0.00</c:formatCode>
                <c:ptCount val="5"/>
                <c:pt idx="0">
                  <c:v>412.329</c:v>
                </c:pt>
                <c:pt idx="1">
                  <c:v>204.2573333333333</c:v>
                </c:pt>
                <c:pt idx="2">
                  <c:v>133.8383333333333</c:v>
                </c:pt>
                <c:pt idx="3">
                  <c:v>97.15233333333333</c:v>
                </c:pt>
                <c:pt idx="4">
                  <c:v>89.21733333333334</c:v>
                </c:pt>
              </c:numCache>
            </c:numRef>
          </c:val>
        </c:ser>
        <c:marker val="1"/>
        <c:axId val="516710696"/>
        <c:axId val="516820344"/>
      </c:lineChart>
      <c:catAx>
        <c:axId val="516710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516820344"/>
        <c:crosses val="autoZero"/>
        <c:auto val="1"/>
        <c:lblAlgn val="ctr"/>
        <c:lblOffset val="100"/>
      </c:catAx>
      <c:valAx>
        <c:axId val="5168203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</c:title>
        <c:numFmt formatCode="0.00" sourceLinked="1"/>
        <c:tickLblPos val="nextTo"/>
        <c:crossAx val="516710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PMR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"Map phase time"</c:v>
          </c:tx>
          <c:errBars>
            <c:errBarType val="both"/>
            <c:errValType val="cust"/>
            <c:plus>
              <c:numRef>
                <c:f>comparision!$C$170:$C$173</c:f>
                <c:numCache>
                  <c:formatCode>General</c:formatCode>
                  <c:ptCount val="4"/>
                  <c:pt idx="0">
                    <c:v>1.860064544877591</c:v>
                  </c:pt>
                  <c:pt idx="1">
                    <c:v>1.73095359075096</c:v>
                  </c:pt>
                  <c:pt idx="2">
                    <c:v>2.547171066977164</c:v>
                  </c:pt>
                  <c:pt idx="3">
                    <c:v>2.089758917514804</c:v>
                  </c:pt>
                </c:numCache>
              </c:numRef>
            </c:plus>
            <c:minus>
              <c:numRef>
                <c:f>comparision!$C$170:$C$173</c:f>
                <c:numCache>
                  <c:formatCode>General</c:formatCode>
                  <c:ptCount val="4"/>
                  <c:pt idx="0">
                    <c:v>1.860064544877591</c:v>
                  </c:pt>
                  <c:pt idx="1">
                    <c:v>1.73095359075096</c:v>
                  </c:pt>
                  <c:pt idx="2">
                    <c:v>2.547171066977164</c:v>
                  </c:pt>
                  <c:pt idx="3">
                    <c:v>2.089758917514804</c:v>
                  </c:pt>
                </c:numCache>
              </c:numRef>
            </c:minus>
          </c:errBars>
          <c:cat>
            <c:numRef>
              <c:f>comparision!$A$170:$A$173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comparision!$B$170:$B$173</c:f>
              <c:numCache>
                <c:formatCode>0.00</c:formatCode>
                <c:ptCount val="4"/>
                <c:pt idx="0">
                  <c:v>85.75433333333335</c:v>
                </c:pt>
                <c:pt idx="1">
                  <c:v>85.625</c:v>
                </c:pt>
                <c:pt idx="2">
                  <c:v>86.34666666666664</c:v>
                </c:pt>
                <c:pt idx="3">
                  <c:v>91.06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comparision!$E$170:$E$173</c:f>
                <c:numCache>
                  <c:formatCode>General</c:formatCode>
                  <c:ptCount val="4"/>
                  <c:pt idx="0">
                    <c:v>4.843877005503273</c:v>
                  </c:pt>
                  <c:pt idx="1">
                    <c:v>1.890599228933777</c:v>
                  </c:pt>
                  <c:pt idx="2">
                    <c:v>0.692601456667372</c:v>
                  </c:pt>
                  <c:pt idx="3">
                    <c:v>0.988763593810226</c:v>
                  </c:pt>
                </c:numCache>
              </c:numRef>
            </c:plus>
            <c:minus>
              <c:numRef>
                <c:f>comparision!$E$170:$E$173</c:f>
                <c:numCache>
                  <c:formatCode>General</c:formatCode>
                  <c:ptCount val="4"/>
                  <c:pt idx="0">
                    <c:v>4.843877005503273</c:v>
                  </c:pt>
                  <c:pt idx="1">
                    <c:v>1.890599228933777</c:v>
                  </c:pt>
                  <c:pt idx="2">
                    <c:v>0.692601456667372</c:v>
                  </c:pt>
                  <c:pt idx="3">
                    <c:v>0.988763593810226</c:v>
                  </c:pt>
                </c:numCache>
              </c:numRef>
            </c:minus>
          </c:errBars>
          <c:cat>
            <c:numRef>
              <c:f>comparision!$A$170:$A$173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comparision!$D$170:$D$173</c:f>
              <c:numCache>
                <c:formatCode>0.00</c:formatCode>
                <c:ptCount val="4"/>
                <c:pt idx="0">
                  <c:v>334.3016666666666</c:v>
                </c:pt>
                <c:pt idx="1">
                  <c:v>181.7263333333333</c:v>
                </c:pt>
                <c:pt idx="2">
                  <c:v>116.6356666666667</c:v>
                </c:pt>
                <c:pt idx="3">
                  <c:v>82.14733333333334</c:v>
                </c:pt>
              </c:numCache>
            </c:numRef>
          </c:val>
        </c:ser>
        <c:overlap val="100"/>
        <c:axId val="509837032"/>
        <c:axId val="510008968"/>
      </c:barChart>
      <c:catAx>
        <c:axId val="509837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reduces</a:t>
                </a:r>
              </a:p>
            </c:rich>
          </c:tx>
        </c:title>
        <c:numFmt formatCode="General" sourceLinked="1"/>
        <c:tickLblPos val="nextTo"/>
        <c:crossAx val="510008968"/>
        <c:crosses val="autoZero"/>
        <c:auto val="1"/>
        <c:lblAlgn val="ctr"/>
        <c:lblOffset val="100"/>
      </c:catAx>
      <c:valAx>
        <c:axId val="5100089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</c:title>
        <c:numFmt formatCode="0.00" sourceLinked="1"/>
        <c:tickLblPos val="nextTo"/>
        <c:crossAx val="5098370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Hadoop MR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comparision!$L$170:$L$173</c:f>
                <c:numCache>
                  <c:formatCode>General</c:formatCode>
                  <c:ptCount val="4"/>
                  <c:pt idx="0">
                    <c:v>6.110100926607787</c:v>
                  </c:pt>
                  <c:pt idx="1">
                    <c:v>4.04145188432738</c:v>
                  </c:pt>
                  <c:pt idx="2">
                    <c:v>4.484541349024559</c:v>
                  </c:pt>
                  <c:pt idx="3">
                    <c:v>5.696002496878345</c:v>
                  </c:pt>
                </c:numCache>
              </c:numRef>
            </c:plus>
            <c:minus>
              <c:numRef>
                <c:f>comparision!$L$170:$L$173</c:f>
                <c:numCache>
                  <c:formatCode>General</c:formatCode>
                  <c:ptCount val="4"/>
                  <c:pt idx="0">
                    <c:v>6.110100926607787</c:v>
                  </c:pt>
                  <c:pt idx="1">
                    <c:v>4.04145188432738</c:v>
                  </c:pt>
                  <c:pt idx="2">
                    <c:v>4.484541349024559</c:v>
                  </c:pt>
                  <c:pt idx="3">
                    <c:v>5.696002496878345</c:v>
                  </c:pt>
                </c:numCache>
              </c:numRef>
            </c:minus>
          </c:errBars>
          <c:cat>
            <c:numRef>
              <c:f>comparision!$J$170:$J$173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comparision!$K$170:$K$173</c:f>
              <c:numCache>
                <c:formatCode>0.00</c:formatCode>
                <c:ptCount val="4"/>
                <c:pt idx="0">
                  <c:v>65.0</c:v>
                </c:pt>
                <c:pt idx="1">
                  <c:v>73.0</c:v>
                </c:pt>
                <c:pt idx="2">
                  <c:v>62.33333333333334</c:v>
                </c:pt>
                <c:pt idx="3">
                  <c:v>69.33333333333333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comparision!$N$170:$N$173</c:f>
                <c:numCache>
                  <c:formatCode>General</c:formatCode>
                  <c:ptCount val="4"/>
                  <c:pt idx="0">
                    <c:v>3.282952600598698</c:v>
                  </c:pt>
                  <c:pt idx="1">
                    <c:v>1.66666666666667</c:v>
                  </c:pt>
                  <c:pt idx="2">
                    <c:v>3.785938897200182</c:v>
                  </c:pt>
                  <c:pt idx="3">
                    <c:v>4.371625682868006</c:v>
                  </c:pt>
                </c:numCache>
              </c:numRef>
            </c:plus>
            <c:minus>
              <c:numRef>
                <c:f>comparision!$N$170:$N$173</c:f>
                <c:numCache>
                  <c:formatCode>General</c:formatCode>
                  <c:ptCount val="4"/>
                  <c:pt idx="0">
                    <c:v>3.282952600598698</c:v>
                  </c:pt>
                  <c:pt idx="1">
                    <c:v>1.66666666666667</c:v>
                  </c:pt>
                  <c:pt idx="2">
                    <c:v>3.785938897200182</c:v>
                  </c:pt>
                  <c:pt idx="3">
                    <c:v>4.371625682868006</c:v>
                  </c:pt>
                </c:numCache>
              </c:numRef>
            </c:minus>
          </c:errBars>
          <c:cat>
            <c:numRef>
              <c:f>comparision!$J$170:$J$173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comparision!$M$170:$M$173</c:f>
              <c:numCache>
                <c:formatCode>0.00</c:formatCode>
                <c:ptCount val="4"/>
                <c:pt idx="0">
                  <c:v>28.33333333333333</c:v>
                </c:pt>
                <c:pt idx="1">
                  <c:v>22.66666666666667</c:v>
                </c:pt>
                <c:pt idx="2">
                  <c:v>35.0</c:v>
                </c:pt>
                <c:pt idx="3">
                  <c:v>43.33333333333334</c:v>
                </c:pt>
              </c:numCache>
            </c:numRef>
          </c:val>
        </c:ser>
        <c:overlap val="100"/>
        <c:axId val="510632168"/>
        <c:axId val="516555960"/>
      </c:barChart>
      <c:catAx>
        <c:axId val="510632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reduces</a:t>
                </a:r>
              </a:p>
            </c:rich>
          </c:tx>
        </c:title>
        <c:numFmt formatCode="General" sourceLinked="1"/>
        <c:tickLblPos val="nextTo"/>
        <c:crossAx val="516555960"/>
        <c:crosses val="autoZero"/>
        <c:auto val="1"/>
        <c:lblAlgn val="ctr"/>
        <c:lblOffset val="100"/>
      </c:catAx>
      <c:valAx>
        <c:axId val="5165559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</c:title>
        <c:numFmt formatCode="0.00" sourceLinked="1"/>
        <c:tickLblPos val="nextTo"/>
        <c:crossAx val="5106321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comparision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PMR</c:v>
          </c:tx>
          <c:marker>
            <c:symbol val="none"/>
          </c:marker>
          <c:cat>
            <c:numRef>
              <c:f>comparision!$A$170:$A$173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comparision!$F$170:$F$173</c:f>
              <c:numCache>
                <c:formatCode>0.00</c:formatCode>
                <c:ptCount val="4"/>
                <c:pt idx="0">
                  <c:v>444.913</c:v>
                </c:pt>
                <c:pt idx="1">
                  <c:v>294.9516666666666</c:v>
                </c:pt>
                <c:pt idx="2">
                  <c:v>227.81</c:v>
                </c:pt>
                <c:pt idx="3">
                  <c:v>206.3546666666667</c:v>
                </c:pt>
              </c:numCache>
            </c:numRef>
          </c:val>
        </c:ser>
        <c:ser>
          <c:idx val="1"/>
          <c:order val="1"/>
          <c:tx>
            <c:v>Hadoop MR</c:v>
          </c:tx>
          <c:marker>
            <c:symbol val="none"/>
          </c:marker>
          <c:cat>
            <c:numRef>
              <c:f>comparision!$A$170:$A$173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comparision!$O$170:$O$173</c:f>
              <c:numCache>
                <c:formatCode>0.00</c:formatCode>
                <c:ptCount val="4"/>
                <c:pt idx="0">
                  <c:v>97.39766666666666</c:v>
                </c:pt>
                <c:pt idx="1">
                  <c:v>99.32466666666665</c:v>
                </c:pt>
                <c:pt idx="2">
                  <c:v>100.9683333333333</c:v>
                </c:pt>
                <c:pt idx="3">
                  <c:v>116.4136666666667</c:v>
                </c:pt>
              </c:numCache>
            </c:numRef>
          </c:val>
        </c:ser>
        <c:marker val="1"/>
        <c:axId val="509612776"/>
        <c:axId val="516828072"/>
      </c:lineChart>
      <c:catAx>
        <c:axId val="509612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reduces</a:t>
                </a:r>
              </a:p>
            </c:rich>
          </c:tx>
        </c:title>
        <c:numFmt formatCode="General" sourceLinked="1"/>
        <c:tickLblPos val="nextTo"/>
        <c:crossAx val="516828072"/>
        <c:crosses val="autoZero"/>
        <c:auto val="1"/>
        <c:lblAlgn val="ctr"/>
        <c:lblOffset val="100"/>
      </c:catAx>
      <c:valAx>
        <c:axId val="516828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</c:title>
        <c:numFmt formatCode="0.00" sourceLinked="1"/>
        <c:tickLblPos val="nextTo"/>
        <c:crossAx val="5096127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987478127734033"/>
          <c:y val="0.0740740740740741"/>
          <c:w val="0.56913167104112"/>
          <c:h val="0.799648950131234"/>
        </c:manualLayout>
      </c:layout>
      <c:scatterChart>
        <c:scatterStyle val="smoothMarker"/>
        <c:ser>
          <c:idx val="0"/>
          <c:order val="0"/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Sheet1!$D$28:$D$32</c:f>
              <c:numCache>
                <c:formatCode>General</c:formatCode>
                <c:ptCount val="5"/>
                <c:pt idx="0">
                  <c:v>130.684</c:v>
                </c:pt>
                <c:pt idx="1">
                  <c:v>163.754</c:v>
                </c:pt>
                <c:pt idx="2">
                  <c:v>214.603</c:v>
                </c:pt>
                <c:pt idx="3">
                  <c:v>371.447</c:v>
                </c:pt>
                <c:pt idx="4">
                  <c:v>637.118</c:v>
                </c:pt>
              </c:numCache>
            </c:numRef>
          </c:xVal>
          <c:yVal>
            <c:numRef>
              <c:f>Sheet1!$F$28:$F$32</c:f>
              <c:numCache>
                <c:formatCode>General</c:formatCode>
                <c:ptCount val="5"/>
                <c:pt idx="0">
                  <c:v>149.4811594202899</c:v>
                </c:pt>
                <c:pt idx="1">
                  <c:v>167.463768115942</c:v>
                </c:pt>
                <c:pt idx="2">
                  <c:v>258.2608695652174</c:v>
                </c:pt>
                <c:pt idx="3">
                  <c:v>506.4985507246377</c:v>
                </c:pt>
                <c:pt idx="4">
                  <c:v>945.6956521739132</c:v>
                </c:pt>
              </c:numCache>
            </c:numRef>
          </c:yVal>
          <c:smooth val="1"/>
        </c:ser>
        <c:axId val="71141448"/>
        <c:axId val="71019656"/>
      </c:scatterChart>
      <c:valAx>
        <c:axId val="71141448"/>
        <c:scaling>
          <c:orientation val="minMax"/>
        </c:scaling>
        <c:axPos val="b"/>
        <c:numFmt formatCode="General" sourceLinked="1"/>
        <c:tickLblPos val="nextTo"/>
        <c:crossAx val="71019656"/>
        <c:crosses val="autoZero"/>
        <c:crossBetween val="midCat"/>
      </c:valAx>
      <c:valAx>
        <c:axId val="71019656"/>
        <c:scaling>
          <c:orientation val="minMax"/>
        </c:scaling>
        <c:axPos val="l"/>
        <c:majorGridlines/>
        <c:numFmt formatCode="General" sourceLinked="1"/>
        <c:tickLblPos val="nextTo"/>
        <c:crossAx val="711414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Sheet1!$D$28:$D$32</c:f>
              <c:numCache>
                <c:formatCode>General</c:formatCode>
                <c:ptCount val="5"/>
                <c:pt idx="0">
                  <c:v>130.684</c:v>
                </c:pt>
                <c:pt idx="1">
                  <c:v>163.754</c:v>
                </c:pt>
                <c:pt idx="2">
                  <c:v>214.603</c:v>
                </c:pt>
                <c:pt idx="3">
                  <c:v>371.447</c:v>
                </c:pt>
                <c:pt idx="4">
                  <c:v>637.118</c:v>
                </c:pt>
              </c:numCache>
            </c:numRef>
          </c:xVal>
          <c:yVal>
            <c:numRef>
              <c:f>Sheet1!$E$28:$E$32</c:f>
              <c:numCache>
                <c:formatCode>0.00</c:formatCode>
                <c:ptCount val="5"/>
                <c:pt idx="0">
                  <c:v>54.409</c:v>
                </c:pt>
                <c:pt idx="1">
                  <c:v>60.407</c:v>
                </c:pt>
                <c:pt idx="2">
                  <c:v>91.05633333333333</c:v>
                </c:pt>
                <c:pt idx="3">
                  <c:v>143.0123333333333</c:v>
                </c:pt>
                <c:pt idx="4">
                  <c:v>227.81</c:v>
                </c:pt>
              </c:numCache>
            </c:numRef>
          </c:yVal>
          <c:smooth val="1"/>
        </c:ser>
        <c:axId val="617006008"/>
        <c:axId val="502407288"/>
      </c:scatterChart>
      <c:valAx>
        <c:axId val="617006008"/>
        <c:scaling>
          <c:orientation val="minMax"/>
        </c:scaling>
        <c:axPos val="b"/>
        <c:numFmt formatCode="General" sourceLinked="1"/>
        <c:tickLblPos val="nextTo"/>
        <c:crossAx val="502407288"/>
        <c:crosses val="autoZero"/>
        <c:crossBetween val="midCat"/>
      </c:valAx>
      <c:valAx>
        <c:axId val="502407288"/>
        <c:scaling>
          <c:orientation val="minMax"/>
        </c:scaling>
        <c:axPos val="l"/>
        <c:majorGridlines/>
        <c:numFmt formatCode="0.00" sourceLinked="1"/>
        <c:tickLblPos val="nextTo"/>
        <c:crossAx val="6170060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sierra, hotel, input size=10GB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dLblPos val="ctr"/>
              <c:showVal val="1"/>
            </c:dLbl>
            <c:dLbl>
              <c:idx val="1"/>
              <c:layout/>
              <c:dLblPos val="ctr"/>
              <c:showVal val="1"/>
            </c:dLbl>
            <c:delete val="1"/>
          </c:dLbls>
          <c:errBars>
            <c:errBarType val="both"/>
            <c:errValType val="cust"/>
            <c:plus>
              <c:numRef>
                <c:f>('10GB'!$E$44,'10GB'!$P$44)</c:f>
                <c:numCache>
                  <c:formatCode>General</c:formatCode>
                  <c:ptCount val="2"/>
                  <c:pt idx="0">
                    <c:v>18.18479509724978</c:v>
                  </c:pt>
                  <c:pt idx="1">
                    <c:v>19.25545819311482</c:v>
                  </c:pt>
                </c:numCache>
              </c:numRef>
            </c:plus>
            <c:minus>
              <c:numRef>
                <c:f>('10GB'!$E$44,'10GB'!$P$44)</c:f>
                <c:numCache>
                  <c:formatCode>General</c:formatCode>
                  <c:ptCount val="2"/>
                  <c:pt idx="0">
                    <c:v>18.18479509724978</c:v>
                  </c:pt>
                  <c:pt idx="1">
                    <c:v>19.25545819311482</c:v>
                  </c:pt>
                </c:numCache>
              </c:numRef>
            </c:minus>
          </c:errBars>
          <c:cat>
            <c:strRef>
              <c:f>'10GB'!$B$50:$B$51</c:f>
              <c:strCache>
                <c:ptCount val="2"/>
                <c:pt idx="0">
                  <c:v>DMR</c:v>
                </c:pt>
                <c:pt idx="1">
                  <c:v>PMR</c:v>
                </c:pt>
              </c:strCache>
            </c:strRef>
          </c:cat>
          <c:val>
            <c:numRef>
              <c:f>('10GB'!$E$43,'10GB'!$P$43)</c:f>
              <c:numCache>
                <c:formatCode>0.00</c:formatCode>
                <c:ptCount val="2"/>
                <c:pt idx="0">
                  <c:v>3238.826097826087</c:v>
                </c:pt>
                <c:pt idx="1">
                  <c:v>7077.403271978022</c:v>
                </c:pt>
              </c:numCache>
            </c:numRef>
          </c:val>
        </c:ser>
        <c:axId val="512892264"/>
        <c:axId val="503184840"/>
      </c:barChart>
      <c:catAx>
        <c:axId val="512892264"/>
        <c:scaling>
          <c:orientation val="minMax"/>
        </c:scaling>
        <c:axPos val="b"/>
        <c:tickLblPos val="nextTo"/>
        <c:crossAx val="503184840"/>
        <c:crosses val="autoZero"/>
        <c:auto val="1"/>
        <c:lblAlgn val="ctr"/>
        <c:lblOffset val="100"/>
      </c:catAx>
      <c:valAx>
        <c:axId val="503184840"/>
        <c:scaling>
          <c:orientation val="minMax"/>
        </c:scaling>
        <c:axPos val="l"/>
        <c:majorGridlines/>
        <c:numFmt formatCode="0.00" sourceLinked="1"/>
        <c:tickLblPos val="nextTo"/>
        <c:crossAx val="512892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dLblPos val="ctr"/>
              <c:showVal val="1"/>
            </c:dLbl>
            <c:dLbl>
              <c:idx val="1"/>
              <c:layout/>
              <c:dLblPos val="ctr"/>
              <c:showVal val="1"/>
            </c:dLbl>
            <c:delete val="1"/>
          </c:dLbls>
          <c:errBars>
            <c:errBarType val="both"/>
            <c:errValType val="cust"/>
            <c:plus>
              <c:numRef>
                <c:f>('10GB'!$E$75,'10GB'!$P$75)</c:f>
                <c:numCache>
                  <c:formatCode>General</c:formatCode>
                  <c:ptCount val="2"/>
                  <c:pt idx="0">
                    <c:v>27.22216168893508</c:v>
                  </c:pt>
                  <c:pt idx="1">
                    <c:v>13.11250793057505</c:v>
                  </c:pt>
                </c:numCache>
              </c:numRef>
            </c:plus>
            <c:minus>
              <c:numRef>
                <c:f>('10GB'!$E$75,'10GB'!$P$75)</c:f>
                <c:numCache>
                  <c:formatCode>General</c:formatCode>
                  <c:ptCount val="2"/>
                  <c:pt idx="0">
                    <c:v>27.22216168893508</c:v>
                  </c:pt>
                  <c:pt idx="1">
                    <c:v>13.11250793057505</c:v>
                  </c:pt>
                </c:numCache>
              </c:numRef>
            </c:minus>
          </c:errBars>
          <c:cat>
            <c:strRef>
              <c:f>'10GB'!$B$50:$B$51</c:f>
              <c:strCache>
                <c:ptCount val="2"/>
                <c:pt idx="0">
                  <c:v>DMR</c:v>
                </c:pt>
                <c:pt idx="1">
                  <c:v>PMR</c:v>
                </c:pt>
              </c:strCache>
            </c:strRef>
          </c:cat>
          <c:val>
            <c:numRef>
              <c:f>('10GB'!$E$74,'10GB'!$P$74)</c:f>
              <c:numCache>
                <c:formatCode>0.00</c:formatCode>
                <c:ptCount val="2"/>
                <c:pt idx="0">
                  <c:v>2554.533097931034</c:v>
                </c:pt>
                <c:pt idx="1">
                  <c:v>2200.68744047619</c:v>
                </c:pt>
              </c:numCache>
            </c:numRef>
          </c:val>
        </c:ser>
        <c:axId val="513151976"/>
        <c:axId val="513154968"/>
      </c:barChart>
      <c:catAx>
        <c:axId val="513151976"/>
        <c:scaling>
          <c:orientation val="minMax"/>
        </c:scaling>
        <c:axPos val="b"/>
        <c:tickLblPos val="nextTo"/>
        <c:crossAx val="513154968"/>
        <c:crosses val="autoZero"/>
        <c:auto val="1"/>
        <c:lblAlgn val="ctr"/>
        <c:lblOffset val="100"/>
      </c:catAx>
      <c:valAx>
        <c:axId val="513154968"/>
        <c:scaling>
          <c:orientation val="minMax"/>
        </c:scaling>
        <c:axPos val="l"/>
        <c:majorGridlines/>
        <c:numFmt formatCode="0.00" sourceLinked="1"/>
        <c:tickLblPos val="nextTo"/>
        <c:crossAx val="51315197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dLblPos val="ctr"/>
              <c:showVal val="1"/>
            </c:dLbl>
            <c:dLbl>
              <c:idx val="1"/>
              <c:dLblPos val="ctr"/>
              <c:showVal val="1"/>
            </c:dLbl>
            <c:delete val="1"/>
          </c:dLbls>
          <c:errBars>
            <c:errBarType val="both"/>
            <c:errValType val="cust"/>
            <c:plus>
              <c:numRef>
                <c:f>('10GB'!$E$109,'10GB'!$P$109)</c:f>
                <c:numCache>
                  <c:formatCode>General</c:formatCode>
                  <c:ptCount val="2"/>
                  <c:pt idx="0">
                    <c:v>15.90385036957458</c:v>
                  </c:pt>
                  <c:pt idx="1">
                    <c:v>19.2554581931793</c:v>
                  </c:pt>
                </c:numCache>
              </c:numRef>
            </c:plus>
            <c:minus>
              <c:numRef>
                <c:f>('10GB'!$E$109,'10GB'!$P$109)</c:f>
                <c:numCache>
                  <c:formatCode>General</c:formatCode>
                  <c:ptCount val="2"/>
                  <c:pt idx="0">
                    <c:v>15.90385036957458</c:v>
                  </c:pt>
                  <c:pt idx="1">
                    <c:v>19.2554581931793</c:v>
                  </c:pt>
                </c:numCache>
              </c:numRef>
            </c:minus>
          </c:errBars>
          <c:cat>
            <c:strRef>
              <c:f>'10GB'!$B$50:$B$51</c:f>
              <c:strCache>
                <c:ptCount val="2"/>
                <c:pt idx="0">
                  <c:v>DMR</c:v>
                </c:pt>
                <c:pt idx="1">
                  <c:v>PMR</c:v>
                </c:pt>
              </c:strCache>
            </c:strRef>
          </c:cat>
          <c:val>
            <c:numRef>
              <c:f>('10GB'!$E$108,'10GB'!$P$108)</c:f>
              <c:numCache>
                <c:formatCode>0.0</c:formatCode>
                <c:ptCount val="2"/>
                <c:pt idx="0" formatCode="0.00">
                  <c:v>6585.01940498992</c:v>
                </c:pt>
                <c:pt idx="1">
                  <c:v>6305.52525</c:v>
                </c:pt>
              </c:numCache>
            </c:numRef>
          </c:val>
        </c:ser>
        <c:axId val="503277720"/>
        <c:axId val="503104552"/>
      </c:barChart>
      <c:catAx>
        <c:axId val="503277720"/>
        <c:scaling>
          <c:orientation val="minMax"/>
        </c:scaling>
        <c:axPos val="b"/>
        <c:tickLblPos val="nextTo"/>
        <c:crossAx val="503104552"/>
        <c:crosses val="autoZero"/>
        <c:auto val="1"/>
        <c:lblAlgn val="ctr"/>
        <c:lblOffset val="100"/>
      </c:catAx>
      <c:valAx>
        <c:axId val="503104552"/>
        <c:scaling>
          <c:orientation val="minMax"/>
        </c:scaling>
        <c:axPos val="l"/>
        <c:majorGridlines/>
        <c:numFmt formatCode="0.00" sourceLinked="1"/>
        <c:tickLblPos val="nextTo"/>
        <c:crossAx val="5032777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Hadoop MR</a:t>
            </a:r>
          </a:p>
        </c:rich>
      </c:tx>
    </c:title>
    <c:plotArea>
      <c:layout/>
      <c:barChart>
        <c:barDir val="col"/>
        <c:grouping val="stacked"/>
        <c:ser>
          <c:idx val="1"/>
          <c:order val="0"/>
          <c:tx>
            <c:v>Map time</c:v>
          </c:tx>
          <c:errBars>
            <c:errBarType val="both"/>
            <c:errValType val="cust"/>
            <c:plus>
              <c:numRef>
                <c:f>comparision!$S$10:$S$15</c:f>
                <c:numCache>
                  <c:formatCode>General</c:formatCode>
                  <c:ptCount val="6"/>
                  <c:pt idx="0">
                    <c:v>0.333333333333352</c:v>
                  </c:pt>
                  <c:pt idx="1">
                    <c:v>0.333333333333352</c:v>
                  </c:pt>
                  <c:pt idx="2">
                    <c:v>1.855921454276677</c:v>
                  </c:pt>
                  <c:pt idx="3">
                    <c:v>0.333333333333352</c:v>
                  </c:pt>
                  <c:pt idx="4">
                    <c:v>1.201850425154668</c:v>
                  </c:pt>
                  <c:pt idx="5">
                    <c:v>2.603416558635546</c:v>
                  </c:pt>
                </c:numCache>
              </c:numRef>
            </c:plus>
            <c:minus>
              <c:numRef>
                <c:f>comparision!$S$10:$S$15</c:f>
                <c:numCache>
                  <c:formatCode>General</c:formatCode>
                  <c:ptCount val="6"/>
                  <c:pt idx="0">
                    <c:v>0.333333333333352</c:v>
                  </c:pt>
                  <c:pt idx="1">
                    <c:v>0.333333333333352</c:v>
                  </c:pt>
                  <c:pt idx="2">
                    <c:v>1.855921454276677</c:v>
                  </c:pt>
                  <c:pt idx="3">
                    <c:v>0.333333333333352</c:v>
                  </c:pt>
                  <c:pt idx="4">
                    <c:v>1.201850425154668</c:v>
                  </c:pt>
                  <c:pt idx="5">
                    <c:v>2.603416558635546</c:v>
                  </c:pt>
                </c:numCache>
              </c:numRef>
            </c:minus>
          </c:errBars>
          <c:cat>
            <c:numRef>
              <c:f>comparision!$L$10:$L$15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comparision!$P$10:$P$15</c:f>
              <c:numCache>
                <c:formatCode>0.00</c:formatCode>
                <c:ptCount val="6"/>
                <c:pt idx="0">
                  <c:v>26.66666666666667</c:v>
                </c:pt>
                <c:pt idx="1">
                  <c:v>27.33333333333333</c:v>
                </c:pt>
                <c:pt idx="2">
                  <c:v>25.66666666666667</c:v>
                </c:pt>
                <c:pt idx="3">
                  <c:v>26.0</c:v>
                </c:pt>
                <c:pt idx="4">
                  <c:v>34.0</c:v>
                </c:pt>
                <c:pt idx="5">
                  <c:v>61.33333333333334</c:v>
                </c:pt>
              </c:numCache>
            </c:numRef>
          </c:val>
        </c:ser>
        <c:ser>
          <c:idx val="2"/>
          <c:order val="1"/>
          <c:tx>
            <c:v>Reduce time</c:v>
          </c:tx>
          <c:errBars>
            <c:errBarType val="both"/>
            <c:errValType val="cust"/>
            <c:plus>
              <c:numRef>
                <c:f>comparision!$Q$10:$Q$15</c:f>
                <c:numCache>
                  <c:formatCode>General</c:formatCode>
                  <c:ptCount val="6"/>
                  <c:pt idx="0">
                    <c:v>0.333333333333295</c:v>
                  </c:pt>
                  <c:pt idx="1">
                    <c:v>0.881917103688183</c:v>
                  </c:pt>
                  <c:pt idx="2">
                    <c:v>1.201850425154668</c:v>
                  </c:pt>
                  <c:pt idx="3">
                    <c:v>0.577350269189626</c:v>
                  </c:pt>
                  <c:pt idx="4">
                    <c:v>1.154700538379252</c:v>
                  </c:pt>
                  <c:pt idx="5">
                    <c:v>4.096068575814824</c:v>
                  </c:pt>
                </c:numCache>
              </c:numRef>
            </c:plus>
            <c:minus>
              <c:numRef>
                <c:f>comparision!$Q$10:$Q$15</c:f>
                <c:numCache>
                  <c:formatCode>General</c:formatCode>
                  <c:ptCount val="6"/>
                  <c:pt idx="0">
                    <c:v>0.333333333333295</c:v>
                  </c:pt>
                  <c:pt idx="1">
                    <c:v>0.881917103688183</c:v>
                  </c:pt>
                  <c:pt idx="2">
                    <c:v>1.201850425154668</c:v>
                  </c:pt>
                  <c:pt idx="3">
                    <c:v>0.577350269189626</c:v>
                  </c:pt>
                  <c:pt idx="4">
                    <c:v>1.154700538379252</c:v>
                  </c:pt>
                  <c:pt idx="5">
                    <c:v>4.096068575814824</c:v>
                  </c:pt>
                </c:numCache>
              </c:numRef>
            </c:minus>
          </c:errBars>
          <c:cat>
            <c:numRef>
              <c:f>comparision!$L$10:$L$15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comparision!$R$10:$R$15</c:f>
              <c:numCache>
                <c:formatCode>0.00</c:formatCode>
                <c:ptCount val="6"/>
                <c:pt idx="0">
                  <c:v>23.66666666666667</c:v>
                </c:pt>
                <c:pt idx="1">
                  <c:v>21.33333333333333</c:v>
                </c:pt>
                <c:pt idx="2">
                  <c:v>20.33333333333333</c:v>
                </c:pt>
                <c:pt idx="3">
                  <c:v>21.33333333333333</c:v>
                </c:pt>
                <c:pt idx="4">
                  <c:v>23.33333333333333</c:v>
                </c:pt>
                <c:pt idx="5">
                  <c:v>28.66666666666667</c:v>
                </c:pt>
              </c:numCache>
            </c:numRef>
          </c:val>
        </c:ser>
        <c:overlap val="100"/>
        <c:axId val="516113208"/>
        <c:axId val="500572504"/>
      </c:barChart>
      <c:catAx>
        <c:axId val="516113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MB</a:t>
                </a:r>
              </a:p>
            </c:rich>
          </c:tx>
        </c:title>
        <c:numFmt formatCode="General" sourceLinked="1"/>
        <c:tickLblPos val="nextTo"/>
        <c:crossAx val="500572504"/>
        <c:crosses val="autoZero"/>
        <c:auto val="1"/>
        <c:lblAlgn val="ctr"/>
        <c:lblOffset val="100"/>
      </c:catAx>
      <c:valAx>
        <c:axId val="500572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</c:title>
        <c:numFmt formatCode="0.00" sourceLinked="1"/>
        <c:tickLblPos val="nextTo"/>
        <c:crossAx val="5161132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dLblPos val="ctr"/>
              <c:showVal val="1"/>
            </c:dLbl>
            <c:dLbl>
              <c:idx val="1"/>
              <c:layout/>
              <c:dLblPos val="ctr"/>
              <c:showVal val="1"/>
            </c:dLbl>
            <c:delete val="1"/>
          </c:dLbls>
          <c:errBars>
            <c:errBarType val="both"/>
            <c:errValType val="cust"/>
            <c:plus>
              <c:numRef>
                <c:f>('10GB'!$G$25,'10GB'!$I$25)</c:f>
                <c:numCache>
                  <c:formatCode>General</c:formatCode>
                  <c:ptCount val="2"/>
                  <c:pt idx="0">
                    <c:v>75.55101081994375</c:v>
                  </c:pt>
                  <c:pt idx="1">
                    <c:v>19.2554581931793</c:v>
                  </c:pt>
                </c:numCache>
              </c:numRef>
            </c:plus>
            <c:minus>
              <c:numRef>
                <c:f>('10GB'!$G$25,'10GB'!$I$25)</c:f>
                <c:numCache>
                  <c:formatCode>General</c:formatCode>
                  <c:ptCount val="2"/>
                  <c:pt idx="0">
                    <c:v>75.55101081994375</c:v>
                  </c:pt>
                  <c:pt idx="1">
                    <c:v>19.2554581931793</c:v>
                  </c:pt>
                </c:numCache>
              </c:numRef>
            </c:minus>
          </c:errBars>
          <c:cat>
            <c:strRef>
              <c:f>'10GB'!$B$50:$B$51</c:f>
              <c:strCache>
                <c:ptCount val="2"/>
                <c:pt idx="0">
                  <c:v>DMR</c:v>
                </c:pt>
                <c:pt idx="1">
                  <c:v>PMR</c:v>
                </c:pt>
              </c:strCache>
            </c:strRef>
          </c:cat>
          <c:val>
            <c:numRef>
              <c:f>('10GB'!$G$24,'10GB'!$I$24)</c:f>
              <c:numCache>
                <c:formatCode>0.00</c:formatCode>
                <c:ptCount val="2"/>
                <c:pt idx="0">
                  <c:v>3732.748783372962</c:v>
                </c:pt>
                <c:pt idx="1">
                  <c:v>3171.49680067155</c:v>
                </c:pt>
              </c:numCache>
            </c:numRef>
          </c:val>
        </c:ser>
        <c:axId val="500686456"/>
        <c:axId val="500689448"/>
      </c:barChart>
      <c:catAx>
        <c:axId val="500686456"/>
        <c:scaling>
          <c:orientation val="minMax"/>
        </c:scaling>
        <c:axPos val="b"/>
        <c:tickLblPos val="nextTo"/>
        <c:crossAx val="500689448"/>
        <c:crosses val="autoZero"/>
        <c:auto val="1"/>
        <c:lblAlgn val="ctr"/>
        <c:lblOffset val="100"/>
      </c:catAx>
      <c:valAx>
        <c:axId val="500689448"/>
        <c:scaling>
          <c:orientation val="minMax"/>
        </c:scaling>
        <c:axPos val="l"/>
        <c:majorGridlines/>
        <c:numFmt formatCode="0.00" sourceLinked="1"/>
        <c:tickLblPos val="nextTo"/>
        <c:crossAx val="50068645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autoTitleDeleted val="1"/>
    <c:plotArea>
      <c:layout>
        <c:manualLayout>
          <c:layoutTarget val="inner"/>
          <c:xMode val="edge"/>
          <c:yMode val="edge"/>
          <c:x val="0.183054973632883"/>
          <c:y val="0.204672897196262"/>
          <c:w val="0.704467721351345"/>
          <c:h val="0.594715578776952"/>
        </c:manualLayout>
      </c:layout>
      <c:barChart>
        <c:barDir val="col"/>
        <c:grouping val="clustered"/>
        <c:ser>
          <c:idx val="0"/>
          <c:order val="0"/>
          <c:tx>
            <c:v>Hadoop MR</c:v>
          </c:tx>
          <c:errBars>
            <c:errBarType val="both"/>
            <c:errValType val="cust"/>
            <c:plus>
              <c:numRef>
                <c:f>'latest comp results'!$D$190:$D$193</c:f>
                <c:numCache>
                  <c:formatCode>General</c:formatCode>
                  <c:ptCount val="4"/>
                  <c:pt idx="0">
                    <c:v>2.847813976446301</c:v>
                  </c:pt>
                  <c:pt idx="1">
                    <c:v>4.573333333332654</c:v>
                  </c:pt>
                  <c:pt idx="2">
                    <c:v>5.185672569686598</c:v>
                  </c:pt>
                  <c:pt idx="3">
                    <c:v>7.362692744121885</c:v>
                  </c:pt>
                </c:numCache>
              </c:numRef>
            </c:plus>
            <c:minus>
              <c:numRef>
                <c:f>'latest comp results'!$D$190:$D$193</c:f>
                <c:numCache>
                  <c:formatCode>General</c:formatCode>
                  <c:ptCount val="4"/>
                  <c:pt idx="0">
                    <c:v>2.847813976446301</c:v>
                  </c:pt>
                  <c:pt idx="1">
                    <c:v>4.573333333332654</c:v>
                  </c:pt>
                  <c:pt idx="2">
                    <c:v>5.185672569686598</c:v>
                  </c:pt>
                  <c:pt idx="3">
                    <c:v>7.362692744121885</c:v>
                  </c:pt>
                </c:numCache>
              </c:numRef>
            </c:minus>
          </c:errBars>
          <c:cat>
            <c:numRef>
              <c:f>'latest comp results'!$B$190:$B$193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'latest comp results'!$C$190:$C$193</c:f>
              <c:numCache>
                <c:formatCode>General</c:formatCode>
                <c:ptCount val="4"/>
                <c:pt idx="0">
                  <c:v>127.6666666666667</c:v>
                </c:pt>
                <c:pt idx="1">
                  <c:v>237.3333333333333</c:v>
                </c:pt>
                <c:pt idx="2">
                  <c:v>454.0</c:v>
                </c:pt>
                <c:pt idx="3">
                  <c:v>875.3333333333333</c:v>
                </c:pt>
              </c:numCache>
            </c:numRef>
          </c:val>
        </c:ser>
        <c:ser>
          <c:idx val="1"/>
          <c:order val="1"/>
          <c:tx>
            <c:v>Local-PMR</c:v>
          </c:tx>
          <c:errBars>
            <c:errBarType val="both"/>
            <c:errValType val="cust"/>
            <c:plus>
              <c:numRef>
                <c:f>'latest comp results'!$F$190:$F$193</c:f>
                <c:numCache>
                  <c:formatCode>General</c:formatCode>
                  <c:ptCount val="4"/>
                  <c:pt idx="0">
                    <c:v>3.953759741972034</c:v>
                  </c:pt>
                  <c:pt idx="1">
                    <c:v>9.332887156199218</c:v>
                  </c:pt>
                  <c:pt idx="2">
                    <c:v>29.36557082838298</c:v>
                  </c:pt>
                  <c:pt idx="3">
                    <c:v>45.9101954757698</c:v>
                  </c:pt>
                </c:numCache>
              </c:numRef>
            </c:plus>
            <c:minus>
              <c:numRef>
                <c:f>'latest comp results'!$F$190:$F$193</c:f>
                <c:numCache>
                  <c:formatCode>General</c:formatCode>
                  <c:ptCount val="4"/>
                  <c:pt idx="0">
                    <c:v>3.953759741972034</c:v>
                  </c:pt>
                  <c:pt idx="1">
                    <c:v>9.332887156199218</c:v>
                  </c:pt>
                  <c:pt idx="2">
                    <c:v>29.36557082838298</c:v>
                  </c:pt>
                  <c:pt idx="3">
                    <c:v>45.9101954757698</c:v>
                  </c:pt>
                </c:numCache>
              </c:numRef>
            </c:minus>
          </c:errBars>
          <c:cat>
            <c:numRef>
              <c:f>'latest comp results'!$B$190:$B$193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'latest comp results'!$E$190:$E$193</c:f>
              <c:numCache>
                <c:formatCode>General</c:formatCode>
                <c:ptCount val="4"/>
                <c:pt idx="0">
                  <c:v>138.8436666666667</c:v>
                </c:pt>
                <c:pt idx="1">
                  <c:v>291.659</c:v>
                </c:pt>
                <c:pt idx="2">
                  <c:v>554.8946666666666</c:v>
                </c:pt>
                <c:pt idx="3">
                  <c:v>1152.599</c:v>
                </c:pt>
              </c:numCache>
            </c:numRef>
          </c:val>
        </c:ser>
        <c:ser>
          <c:idx val="2"/>
          <c:order val="2"/>
          <c:tx>
            <c:v>Distributed-PMR</c:v>
          </c:tx>
          <c:errBars>
            <c:errBarType val="both"/>
            <c:errValType val="cust"/>
            <c:plus>
              <c:numRef>
                <c:f>'latest comp results'!$H$190:$H$193</c:f>
                <c:numCache>
                  <c:formatCode>General</c:formatCode>
                  <c:ptCount val="4"/>
                  <c:pt idx="0">
                    <c:v>3.767354766651057</c:v>
                  </c:pt>
                  <c:pt idx="1">
                    <c:v>16.5616572219618</c:v>
                  </c:pt>
                  <c:pt idx="2">
                    <c:v>7.440319373049746</c:v>
                  </c:pt>
                  <c:pt idx="3">
                    <c:v>84.24565223086722</c:v>
                  </c:pt>
                </c:numCache>
              </c:numRef>
            </c:plus>
            <c:minus>
              <c:numRef>
                <c:f>'latest comp results'!$H$190:$H$193</c:f>
                <c:numCache>
                  <c:formatCode>General</c:formatCode>
                  <c:ptCount val="4"/>
                  <c:pt idx="0">
                    <c:v>3.767354766651057</c:v>
                  </c:pt>
                  <c:pt idx="1">
                    <c:v>16.5616572219618</c:v>
                  </c:pt>
                  <c:pt idx="2">
                    <c:v>7.440319373049746</c:v>
                  </c:pt>
                  <c:pt idx="3">
                    <c:v>84.24565223086722</c:v>
                  </c:pt>
                </c:numCache>
              </c:numRef>
            </c:minus>
          </c:errBars>
          <c:cat>
            <c:numRef>
              <c:f>'latest comp results'!$B$190:$B$193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'latest comp results'!$G$190:$G$193</c:f>
              <c:numCache>
                <c:formatCode>General</c:formatCode>
                <c:ptCount val="4"/>
                <c:pt idx="0">
                  <c:v>333.0233333333333</c:v>
                </c:pt>
                <c:pt idx="1">
                  <c:v>515.9666666666667</c:v>
                </c:pt>
                <c:pt idx="2">
                  <c:v>892.1</c:v>
                </c:pt>
                <c:pt idx="3">
                  <c:v>1716.853333333333</c:v>
                </c:pt>
              </c:numCache>
            </c:numRef>
          </c:val>
        </c:ser>
        <c:axId val="502620024"/>
        <c:axId val="509862584"/>
      </c:barChart>
      <c:catAx>
        <c:axId val="502620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Input data in GB</a:t>
                </a:r>
              </a:p>
            </c:rich>
          </c:tx>
          <c:layout>
            <c:manualLayout>
              <c:xMode val="edge"/>
              <c:yMode val="edge"/>
              <c:x val="0.40675359387416"/>
              <c:y val="0.905607476635514"/>
            </c:manualLayout>
          </c:layout>
        </c:title>
        <c:numFmt formatCode="General" sourceLinked="1"/>
        <c:tickLblPos val="nextTo"/>
        <c:crossAx val="509862584"/>
        <c:crosses val="autoZero"/>
        <c:auto val="1"/>
        <c:lblAlgn val="ctr"/>
        <c:lblOffset val="100"/>
      </c:catAx>
      <c:valAx>
        <c:axId val="5098625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Runtime</a:t>
                </a:r>
                <a:r>
                  <a:rPr lang="en-US" sz="1100" baseline="0"/>
                  <a:t> (in sec)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0347643815165306"/>
              <c:y val="0.350919493708146"/>
            </c:manualLayout>
          </c:layout>
        </c:title>
        <c:numFmt formatCode="General" sourceLinked="1"/>
        <c:tickLblPos val="nextTo"/>
        <c:crossAx val="50262002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72230971128609"/>
          <c:y val="0.0280373831775701"/>
          <c:w val="0.30942040501818"/>
          <c:h val="0.184558466406652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57417712361927"/>
          <c:y val="0.0509259259259259"/>
          <c:w val="0.799091935180457"/>
          <c:h val="0.790621676217174"/>
        </c:manualLayout>
      </c:layout>
      <c:barChart>
        <c:barDir val="col"/>
        <c:grouping val="clustered"/>
        <c:ser>
          <c:idx val="0"/>
          <c:order val="0"/>
          <c:tx>
            <c:strRef>
              <c:f>'latest comp results'!$B$237</c:f>
              <c:strCache>
                <c:ptCount val="1"/>
                <c:pt idx="0">
                  <c:v>HMR</c:v>
                </c:pt>
              </c:strCache>
            </c:strRef>
          </c:tx>
          <c:errBars>
            <c:errBarType val="both"/>
            <c:errValType val="cust"/>
            <c:plus>
              <c:numRef>
                <c:f>'latest comp results'!$J$226:$O$226</c:f>
                <c:numCache>
                  <c:formatCode>General</c:formatCode>
                  <c:ptCount val="6"/>
                  <c:pt idx="1">
                    <c:v>2.355626833313687</c:v>
                  </c:pt>
                  <c:pt idx="2">
                    <c:v>1.131606527611667</c:v>
                  </c:pt>
                  <c:pt idx="4">
                    <c:v>6.821000252488197</c:v>
                  </c:pt>
                  <c:pt idx="5">
                    <c:v>7.362692744121885</c:v>
                  </c:pt>
                </c:numCache>
              </c:numRef>
            </c:plus>
            <c:minus>
              <c:numRef>
                <c:f>'latest comp results'!$J$226:$O$226</c:f>
                <c:numCache>
                  <c:formatCode>General</c:formatCode>
                  <c:ptCount val="6"/>
                  <c:pt idx="1">
                    <c:v>2.355626833313687</c:v>
                  </c:pt>
                  <c:pt idx="2">
                    <c:v>1.131606527611667</c:v>
                  </c:pt>
                  <c:pt idx="4">
                    <c:v>6.821000252488197</c:v>
                  </c:pt>
                  <c:pt idx="5">
                    <c:v>7.362692744121885</c:v>
                  </c:pt>
                </c:numCache>
              </c:numRef>
            </c:minus>
          </c:errBars>
          <c:cat>
            <c:strRef>
              <c:f>'latest comp results'!$A$201:$A$206</c:f>
              <c:strCache>
                <c:ptCount val="6"/>
                <c:pt idx="0">
                  <c:v>chunk </c:v>
                </c:pt>
                <c:pt idx="1">
                  <c:v>Map </c:v>
                </c:pt>
                <c:pt idx="2">
                  <c:v>Shuffle </c:v>
                </c:pt>
                <c:pt idx="3">
                  <c:v>Exchange</c:v>
                </c:pt>
                <c:pt idx="4">
                  <c:v>Reduce</c:v>
                </c:pt>
                <c:pt idx="5">
                  <c:v>Total</c:v>
                </c:pt>
              </c:strCache>
            </c:strRef>
          </c:cat>
          <c:val>
            <c:numRef>
              <c:f>'latest comp results'!$C$237:$H$237</c:f>
              <c:numCache>
                <c:formatCode>0.00</c:formatCode>
                <c:ptCount val="6"/>
                <c:pt idx="1">
                  <c:v>596.3333333333333</c:v>
                </c:pt>
                <c:pt idx="2">
                  <c:v>212.3333333333333</c:v>
                </c:pt>
                <c:pt idx="4">
                  <c:v>66.33333333333333</c:v>
                </c:pt>
                <c:pt idx="5">
                  <c:v>875.3333333333333</c:v>
                </c:pt>
              </c:numCache>
            </c:numRef>
          </c:val>
        </c:ser>
        <c:ser>
          <c:idx val="1"/>
          <c:order val="1"/>
          <c:tx>
            <c:strRef>
              <c:f>'latest comp results'!$B$238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'latest comp results'!$J$227:$O$227</c:f>
                <c:numCache>
                  <c:formatCode>General</c:formatCode>
                  <c:ptCount val="6"/>
                  <c:pt idx="0">
                    <c:v>3.716474650298181</c:v>
                  </c:pt>
                  <c:pt idx="1">
                    <c:v>7.548752011312312</c:v>
                  </c:pt>
                  <c:pt idx="3">
                    <c:v>0.151027436506676</c:v>
                  </c:pt>
                  <c:pt idx="4">
                    <c:v>6.46120744205524</c:v>
                  </c:pt>
                  <c:pt idx="5">
                    <c:v>45.9101954757698</c:v>
                  </c:pt>
                </c:numCache>
              </c:numRef>
            </c:plus>
            <c:minus>
              <c:numRef>
                <c:f>'latest comp results'!$J$227:$O$227</c:f>
                <c:numCache>
                  <c:formatCode>General</c:formatCode>
                  <c:ptCount val="6"/>
                  <c:pt idx="0">
                    <c:v>3.716474650298181</c:v>
                  </c:pt>
                  <c:pt idx="1">
                    <c:v>7.548752011312312</c:v>
                  </c:pt>
                  <c:pt idx="3">
                    <c:v>0.151027436506676</c:v>
                  </c:pt>
                  <c:pt idx="4">
                    <c:v>6.46120744205524</c:v>
                  </c:pt>
                  <c:pt idx="5">
                    <c:v>45.9101954757698</c:v>
                  </c:pt>
                </c:numCache>
              </c:numRef>
            </c:minus>
          </c:errBars>
          <c:cat>
            <c:strRef>
              <c:f>'latest comp results'!$A$201:$A$206</c:f>
              <c:strCache>
                <c:ptCount val="6"/>
                <c:pt idx="0">
                  <c:v>chunk </c:v>
                </c:pt>
                <c:pt idx="1">
                  <c:v>Map </c:v>
                </c:pt>
                <c:pt idx="2">
                  <c:v>Shuffle </c:v>
                </c:pt>
                <c:pt idx="3">
                  <c:v>Exchange</c:v>
                </c:pt>
                <c:pt idx="4">
                  <c:v>Reduce</c:v>
                </c:pt>
                <c:pt idx="5">
                  <c:v>Total</c:v>
                </c:pt>
              </c:strCache>
            </c:strRef>
          </c:cat>
          <c:val>
            <c:numRef>
              <c:f>'latest comp results'!$C$238:$H$238</c:f>
              <c:numCache>
                <c:formatCode>0.00</c:formatCode>
                <c:ptCount val="6"/>
                <c:pt idx="0" formatCode="General">
                  <c:v>154.9813333333333</c:v>
                </c:pt>
                <c:pt idx="1">
                  <c:v>541.9666666666666</c:v>
                </c:pt>
                <c:pt idx="2">
                  <c:v>1.202666666666667</c:v>
                </c:pt>
                <c:pt idx="4">
                  <c:v>438.9843333333333</c:v>
                </c:pt>
                <c:pt idx="5">
                  <c:v>1152.599</c:v>
                </c:pt>
              </c:numCache>
            </c:numRef>
          </c:val>
        </c:ser>
        <c:ser>
          <c:idx val="2"/>
          <c:order val="2"/>
          <c:tx>
            <c:strRef>
              <c:f>'latest comp results'!$B$239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'latest comp results'!$J$228:$O$228</c:f>
                <c:numCache>
                  <c:formatCode>General</c:formatCode>
                  <c:ptCount val="6"/>
                  <c:pt idx="0">
                    <c:v>6.931989050129114</c:v>
                  </c:pt>
                  <c:pt idx="1">
                    <c:v>11.05285343791405</c:v>
                  </c:pt>
                  <c:pt idx="3">
                    <c:v>62.9235902171299</c:v>
                  </c:pt>
                  <c:pt idx="4">
                    <c:v>1.502624057328835</c:v>
                  </c:pt>
                  <c:pt idx="5">
                    <c:v>78.10504479131447</c:v>
                  </c:pt>
                </c:numCache>
              </c:numRef>
            </c:plus>
            <c:minus>
              <c:numRef>
                <c:f>'latest comp results'!$J$228:$O$228</c:f>
                <c:numCache>
                  <c:formatCode>General</c:formatCode>
                  <c:ptCount val="6"/>
                  <c:pt idx="0">
                    <c:v>6.931989050129114</c:v>
                  </c:pt>
                  <c:pt idx="1">
                    <c:v>11.05285343791405</c:v>
                  </c:pt>
                  <c:pt idx="3">
                    <c:v>62.9235902171299</c:v>
                  </c:pt>
                  <c:pt idx="4">
                    <c:v>1.502624057328835</c:v>
                  </c:pt>
                  <c:pt idx="5">
                    <c:v>78.10504479131447</c:v>
                  </c:pt>
                </c:numCache>
              </c:numRef>
            </c:minus>
          </c:errBars>
          <c:cat>
            <c:strRef>
              <c:f>'latest comp results'!$A$201:$A$206</c:f>
              <c:strCache>
                <c:ptCount val="6"/>
                <c:pt idx="0">
                  <c:v>chunk </c:v>
                </c:pt>
                <c:pt idx="1">
                  <c:v>Map </c:v>
                </c:pt>
                <c:pt idx="2">
                  <c:v>Shuffle </c:v>
                </c:pt>
                <c:pt idx="3">
                  <c:v>Exchange</c:v>
                </c:pt>
                <c:pt idx="4">
                  <c:v>Reduce</c:v>
                </c:pt>
                <c:pt idx="5">
                  <c:v>Total</c:v>
                </c:pt>
              </c:strCache>
            </c:strRef>
          </c:cat>
          <c:val>
            <c:numRef>
              <c:f>'latest comp results'!$C$239:$H$239</c:f>
              <c:numCache>
                <c:formatCode>0.00</c:formatCode>
                <c:ptCount val="6"/>
                <c:pt idx="0" formatCode="General">
                  <c:v>26.28416666666667</c:v>
                </c:pt>
                <c:pt idx="1">
                  <c:v>486.96</c:v>
                </c:pt>
                <c:pt idx="2">
                  <c:v>653.87</c:v>
                </c:pt>
                <c:pt idx="4">
                  <c:v>470.8866666666667</c:v>
                </c:pt>
                <c:pt idx="5">
                  <c:v>1664.285</c:v>
                </c:pt>
              </c:numCache>
            </c:numRef>
          </c:val>
        </c:ser>
        <c:axId val="516644792"/>
        <c:axId val="503142360"/>
      </c:barChart>
      <c:catAx>
        <c:axId val="516644792"/>
        <c:scaling>
          <c:orientation val="minMax"/>
        </c:scaling>
        <c:axPos val="b"/>
        <c:tickLblPos val="nextTo"/>
        <c:crossAx val="503142360"/>
        <c:crosses val="autoZero"/>
        <c:auto val="1"/>
        <c:lblAlgn val="ctr"/>
        <c:lblOffset val="100"/>
      </c:catAx>
      <c:valAx>
        <c:axId val="5031423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 in seconds)</a:t>
                </a:r>
              </a:p>
            </c:rich>
          </c:tx>
          <c:layout/>
        </c:title>
        <c:numFmt formatCode="General" sourceLinked="1"/>
        <c:tickLblPos val="nextTo"/>
        <c:crossAx val="516644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4487532808399"/>
          <c:y val="0.0179425488480607"/>
          <c:w val="0.30347096630589"/>
          <c:h val="0.177077500729076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Linear Regression of PMR</a:t>
            </a:r>
          </a:p>
        </c:rich>
      </c:tx>
    </c:title>
    <c:plotArea>
      <c:layout/>
      <c:scatterChart>
        <c:scatterStyle val="smoothMarker"/>
        <c:ser>
          <c:idx val="0"/>
          <c:order val="0"/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comparision!$A$10:$A$15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xVal>
          <c:yVal>
            <c:numRef>
              <c:f>comparision!$I$10:$I$15</c:f>
              <c:numCache>
                <c:formatCode>0.00</c:formatCode>
                <c:ptCount val="6"/>
                <c:pt idx="0">
                  <c:v>40.16933333333333</c:v>
                </c:pt>
                <c:pt idx="1">
                  <c:v>54.409</c:v>
                </c:pt>
                <c:pt idx="2">
                  <c:v>60.407</c:v>
                </c:pt>
                <c:pt idx="3">
                  <c:v>91.05633333333333</c:v>
                </c:pt>
                <c:pt idx="4">
                  <c:v>143.0123333333333</c:v>
                </c:pt>
                <c:pt idx="5">
                  <c:v>237.81</c:v>
                </c:pt>
              </c:numCache>
            </c:numRef>
          </c:yVal>
          <c:smooth val="1"/>
        </c:ser>
        <c:axId val="510257352"/>
        <c:axId val="513170296"/>
      </c:scatterChart>
      <c:valAx>
        <c:axId val="510257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MB</a:t>
                </a:r>
              </a:p>
            </c:rich>
          </c:tx>
        </c:title>
        <c:numFmt formatCode="General" sourceLinked="1"/>
        <c:tickLblPos val="nextTo"/>
        <c:crossAx val="513170296"/>
        <c:crosses val="autoZero"/>
        <c:crossBetween val="midCat"/>
      </c:valAx>
      <c:valAx>
        <c:axId val="5131702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</c:title>
        <c:numFmt formatCode="0.00" sourceLinked="1"/>
        <c:tickLblPos val="nextTo"/>
        <c:crossAx val="5102573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Polynomial reg of Hadoop MR</a:t>
            </a:r>
          </a:p>
        </c:rich>
      </c:tx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  <c:txPr>
                <a:bodyPr/>
                <a:lstStyle/>
                <a:p>
                  <a:pPr>
                    <a:defRPr sz="1000"/>
                  </a:pPr>
                  <a:endParaRPr lang="en-US"/>
                </a:p>
              </c:txPr>
            </c:trendlineLbl>
          </c:trendline>
          <c:xVal>
            <c:numRef>
              <c:f>comparision!$L$12:$L$17</c:f>
              <c:numCache>
                <c:formatCode>General</c:formatCode>
                <c:ptCount val="6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  <c:pt idx="5">
                  <c:v>8092.0</c:v>
                </c:pt>
              </c:numCache>
            </c:numRef>
          </c:xVal>
          <c:yVal>
            <c:numRef>
              <c:f>comparision!$T$12:$T$17</c:f>
              <c:numCache>
                <c:formatCode>0.00</c:formatCode>
                <c:ptCount val="6"/>
                <c:pt idx="0">
                  <c:v>49.562</c:v>
                </c:pt>
                <c:pt idx="1">
                  <c:v>53.52033333333333</c:v>
                </c:pt>
                <c:pt idx="2">
                  <c:v>61.29633333333333</c:v>
                </c:pt>
                <c:pt idx="3">
                  <c:v>89.21733333333334</c:v>
                </c:pt>
                <c:pt idx="4">
                  <c:v>154.7726666666667</c:v>
                </c:pt>
                <c:pt idx="5">
                  <c:v>431.8506666666667</c:v>
                </c:pt>
              </c:numCache>
            </c:numRef>
          </c:yVal>
          <c:smooth val="1"/>
        </c:ser>
        <c:axId val="502553016"/>
        <c:axId val="515919592"/>
      </c:scatterChart>
      <c:valAx>
        <c:axId val="502553016"/>
        <c:scaling>
          <c:orientation val="minMax"/>
        </c:scaling>
        <c:axPos val="b"/>
        <c:numFmt formatCode="General" sourceLinked="1"/>
        <c:tickLblPos val="nextTo"/>
        <c:crossAx val="515919592"/>
        <c:crosses val="autoZero"/>
        <c:crossBetween val="midCat"/>
      </c:valAx>
      <c:valAx>
        <c:axId val="515919592"/>
        <c:scaling>
          <c:orientation val="minMax"/>
        </c:scaling>
        <c:axPos val="l"/>
        <c:majorGridlines/>
        <c:numFmt formatCode="0.00" sourceLinked="1"/>
        <c:tickLblPos val="nextTo"/>
        <c:crossAx val="5025530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Comparision of PMR &amp; Hadoop MR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PMR</c:v>
          </c:tx>
          <c:marker>
            <c:symbol val="none"/>
          </c:marker>
          <c:cat>
            <c:numRef>
              <c:f>comparision!$L$10:$L$15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comparision!$I$10:$I$15</c:f>
              <c:numCache>
                <c:formatCode>0.00</c:formatCode>
                <c:ptCount val="6"/>
                <c:pt idx="0">
                  <c:v>40.16933333333333</c:v>
                </c:pt>
                <c:pt idx="1">
                  <c:v>54.409</c:v>
                </c:pt>
                <c:pt idx="2">
                  <c:v>60.407</c:v>
                </c:pt>
                <c:pt idx="3">
                  <c:v>91.05633333333333</c:v>
                </c:pt>
                <c:pt idx="4">
                  <c:v>143.0123333333333</c:v>
                </c:pt>
                <c:pt idx="5">
                  <c:v>237.81</c:v>
                </c:pt>
              </c:numCache>
            </c:numRef>
          </c:val>
        </c:ser>
        <c:ser>
          <c:idx val="1"/>
          <c:order val="1"/>
          <c:tx>
            <c:v>Hadoop MR</c:v>
          </c:tx>
          <c:marker>
            <c:symbol val="none"/>
          </c:marker>
          <c:cat>
            <c:numRef>
              <c:f>comparision!$L$10:$L$15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comparision!$T$10:$T$15</c:f>
              <c:numCache>
                <c:formatCode>0.00</c:formatCode>
                <c:ptCount val="6"/>
                <c:pt idx="0">
                  <c:v>53.16</c:v>
                </c:pt>
                <c:pt idx="1">
                  <c:v>53.09133333333333</c:v>
                </c:pt>
                <c:pt idx="2">
                  <c:v>49.562</c:v>
                </c:pt>
                <c:pt idx="3">
                  <c:v>53.52033333333333</c:v>
                </c:pt>
                <c:pt idx="4">
                  <c:v>61.29633333333333</c:v>
                </c:pt>
                <c:pt idx="5">
                  <c:v>89.21733333333334</c:v>
                </c:pt>
              </c:numCache>
            </c:numRef>
          </c:val>
        </c:ser>
        <c:marker val="1"/>
        <c:axId val="502849912"/>
        <c:axId val="502634456"/>
      </c:lineChart>
      <c:catAx>
        <c:axId val="502849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MB</a:t>
                </a:r>
              </a:p>
            </c:rich>
          </c:tx>
        </c:title>
        <c:numFmt formatCode="General" sourceLinked="1"/>
        <c:tickLblPos val="nextTo"/>
        <c:crossAx val="502634456"/>
        <c:crosses val="autoZero"/>
        <c:auto val="1"/>
        <c:lblAlgn val="ctr"/>
        <c:lblOffset val="100"/>
      </c:catAx>
      <c:valAx>
        <c:axId val="502634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secs</a:t>
                </a:r>
              </a:p>
            </c:rich>
          </c:tx>
        </c:title>
        <c:numFmt formatCode="0.00" sourceLinked="1"/>
        <c:tickLblPos val="nextTo"/>
        <c:crossAx val="5028499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PMR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comparision!$D$69:$D$72</c:f>
                <c:numCache>
                  <c:formatCode>General</c:formatCode>
                  <c:ptCount val="4"/>
                  <c:pt idx="0">
                    <c:v>1.487143271884255</c:v>
                  </c:pt>
                  <c:pt idx="1">
                    <c:v>2.547171066977164</c:v>
                  </c:pt>
                  <c:pt idx="2">
                    <c:v>9.499862963923927</c:v>
                  </c:pt>
                  <c:pt idx="3">
                    <c:v>0.0842700685074993</c:v>
                  </c:pt>
                </c:numCache>
              </c:numRef>
            </c:plus>
            <c:minus>
              <c:numRef>
                <c:f>comparision!$F$69:$F$72</c:f>
                <c:numCache>
                  <c:formatCode>General</c:formatCode>
                  <c:ptCount val="4"/>
                  <c:pt idx="0">
                    <c:v>0.00617341978861707</c:v>
                  </c:pt>
                  <c:pt idx="1">
                    <c:v>0.692601456667372</c:v>
                  </c:pt>
                  <c:pt idx="2">
                    <c:v>0.0495008417443543</c:v>
                  </c:pt>
                  <c:pt idx="3">
                    <c:v>0.0154955191059149</c:v>
                  </c:pt>
                </c:numCache>
              </c:numRef>
            </c:minus>
          </c:errBars>
          <c:cat>
            <c:numRef>
              <c:f>comparision!$A$69:$A$72</c:f>
              <c:numCache>
                <c:formatCode>General</c:formatCode>
                <c:ptCount val="4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</c:numCache>
            </c:numRef>
          </c:cat>
          <c:val>
            <c:numRef>
              <c:f>comparision!$C$69:$C$72</c:f>
              <c:numCache>
                <c:formatCode>0.00</c:formatCode>
                <c:ptCount val="4"/>
                <c:pt idx="0">
                  <c:v>114.9423333333333</c:v>
                </c:pt>
                <c:pt idx="1">
                  <c:v>86.34666666666664</c:v>
                </c:pt>
                <c:pt idx="2">
                  <c:v>95.315</c:v>
                </c:pt>
                <c:pt idx="3">
                  <c:v>118.5673333333333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comparision!$F$69:$F$72</c:f>
                <c:numCache>
                  <c:formatCode>General</c:formatCode>
                  <c:ptCount val="4"/>
                  <c:pt idx="0">
                    <c:v>0.00617341978861707</c:v>
                  </c:pt>
                  <c:pt idx="1">
                    <c:v>0.692601456667372</c:v>
                  </c:pt>
                  <c:pt idx="2">
                    <c:v>0.0495008417443543</c:v>
                  </c:pt>
                  <c:pt idx="3">
                    <c:v>0.0154955191059149</c:v>
                  </c:pt>
                </c:numCache>
              </c:numRef>
            </c:plus>
            <c:minus>
              <c:numRef>
                <c:f>comparision!$F$69:$F$72</c:f>
                <c:numCache>
                  <c:formatCode>General</c:formatCode>
                  <c:ptCount val="4"/>
                  <c:pt idx="0">
                    <c:v>0.00617341978861707</c:v>
                  </c:pt>
                  <c:pt idx="1">
                    <c:v>0.692601456667372</c:v>
                  </c:pt>
                  <c:pt idx="2">
                    <c:v>0.0495008417443543</c:v>
                  </c:pt>
                  <c:pt idx="3">
                    <c:v>0.0154955191059149</c:v>
                  </c:pt>
                </c:numCache>
              </c:numRef>
            </c:minus>
          </c:errBars>
          <c:cat>
            <c:numRef>
              <c:f>comparision!$A$69:$A$72</c:f>
              <c:numCache>
                <c:formatCode>General</c:formatCode>
                <c:ptCount val="4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</c:numCache>
            </c:numRef>
          </c:cat>
          <c:val>
            <c:numRef>
              <c:f>comparision!$E$69:$E$72</c:f>
              <c:numCache>
                <c:formatCode>0.00</c:formatCode>
                <c:ptCount val="4"/>
                <c:pt idx="0">
                  <c:v>110.7973333333333</c:v>
                </c:pt>
                <c:pt idx="1">
                  <c:v>116.6356666666667</c:v>
                </c:pt>
                <c:pt idx="2">
                  <c:v>111.67</c:v>
                </c:pt>
                <c:pt idx="3">
                  <c:v>0.0</c:v>
                </c:pt>
              </c:numCache>
            </c:numRef>
          </c:val>
        </c:ser>
        <c:overlap val="100"/>
        <c:axId val="512945176"/>
        <c:axId val="516605224"/>
      </c:barChart>
      <c:catAx>
        <c:axId val="512945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 size in MB</a:t>
                </a:r>
              </a:p>
            </c:rich>
          </c:tx>
        </c:title>
        <c:numFmt formatCode="General" sourceLinked="1"/>
        <c:tickLblPos val="nextTo"/>
        <c:crossAx val="516605224"/>
        <c:crosses val="autoZero"/>
        <c:auto val="1"/>
        <c:lblAlgn val="ctr"/>
        <c:lblOffset val="100"/>
      </c:catAx>
      <c:valAx>
        <c:axId val="516605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</c:title>
        <c:numFmt formatCode="0.00" sourceLinked="1"/>
        <c:tickLblPos val="nextTo"/>
        <c:crossAx val="512945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Hadoop MR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comparision!$N$69:$N$72</c:f>
                <c:numCache>
                  <c:formatCode>General</c:formatCode>
                  <c:ptCount val="4"/>
                  <c:pt idx="0">
                    <c:v>0.333333333333182</c:v>
                  </c:pt>
                  <c:pt idx="1">
                    <c:v>4.096068575814824</c:v>
                  </c:pt>
                  <c:pt idx="2">
                    <c:v>3.929942040850519</c:v>
                  </c:pt>
                  <c:pt idx="3">
                    <c:v>4.333333333333356</c:v>
                  </c:pt>
                </c:numCache>
              </c:numRef>
            </c:plus>
            <c:minus>
              <c:numRef>
                <c:f>comparision!$N$69:$N$72</c:f>
                <c:numCache>
                  <c:formatCode>General</c:formatCode>
                  <c:ptCount val="4"/>
                  <c:pt idx="0">
                    <c:v>0.333333333333182</c:v>
                  </c:pt>
                  <c:pt idx="1">
                    <c:v>4.096068575814824</c:v>
                  </c:pt>
                  <c:pt idx="2">
                    <c:v>3.929942040850519</c:v>
                  </c:pt>
                  <c:pt idx="3">
                    <c:v>4.333333333333356</c:v>
                  </c:pt>
                </c:numCache>
              </c:numRef>
            </c:minus>
          </c:errBars>
          <c:cat>
            <c:numRef>
              <c:f>comparision!$K$69:$K$72</c:f>
              <c:numCache>
                <c:formatCode>General</c:formatCode>
                <c:ptCount val="4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</c:numCache>
            </c:numRef>
          </c:cat>
          <c:val>
            <c:numRef>
              <c:f>comparision!$M$69:$M$72</c:f>
              <c:numCache>
                <c:formatCode>0.00</c:formatCode>
                <c:ptCount val="4"/>
                <c:pt idx="0">
                  <c:v>65.66666666666667</c:v>
                </c:pt>
                <c:pt idx="1">
                  <c:v>61.33333333333334</c:v>
                </c:pt>
                <c:pt idx="2">
                  <c:v>60.66666666666666</c:v>
                </c:pt>
                <c:pt idx="3">
                  <c:v>80.33333333333333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comparision!$P$69:$P$72</c:f>
                <c:numCache>
                  <c:formatCode>General</c:formatCode>
                  <c:ptCount val="4"/>
                  <c:pt idx="0">
                    <c:v>0.666666666666648</c:v>
                  </c:pt>
                  <c:pt idx="1">
                    <c:v>2.603416558635546</c:v>
                  </c:pt>
                  <c:pt idx="2">
                    <c:v>2.0</c:v>
                  </c:pt>
                  <c:pt idx="3">
                    <c:v>3.71184290855335</c:v>
                  </c:pt>
                </c:numCache>
              </c:numRef>
            </c:plus>
            <c:minus>
              <c:numRef>
                <c:f>comparision!$N$69:$N$72</c:f>
                <c:numCache>
                  <c:formatCode>General</c:formatCode>
                  <c:ptCount val="4"/>
                  <c:pt idx="0">
                    <c:v>0.333333333333182</c:v>
                  </c:pt>
                  <c:pt idx="1">
                    <c:v>4.096068575814824</c:v>
                  </c:pt>
                  <c:pt idx="2">
                    <c:v>3.929942040850519</c:v>
                  </c:pt>
                  <c:pt idx="3">
                    <c:v>4.333333333333356</c:v>
                  </c:pt>
                </c:numCache>
              </c:numRef>
            </c:minus>
          </c:errBars>
          <c:cat>
            <c:numRef>
              <c:f>comparision!$K$69:$K$72</c:f>
              <c:numCache>
                <c:formatCode>General</c:formatCode>
                <c:ptCount val="4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</c:numCache>
            </c:numRef>
          </c:cat>
          <c:val>
            <c:numRef>
              <c:f>comparision!$O$69:$O$72</c:f>
              <c:numCache>
                <c:formatCode>0.00</c:formatCode>
                <c:ptCount val="4"/>
                <c:pt idx="0">
                  <c:v>30.33333333333333</c:v>
                </c:pt>
                <c:pt idx="1">
                  <c:v>28.66666666666667</c:v>
                </c:pt>
                <c:pt idx="2">
                  <c:v>25.0</c:v>
                </c:pt>
                <c:pt idx="3">
                  <c:v>25.33333333333333</c:v>
                </c:pt>
              </c:numCache>
            </c:numRef>
          </c:val>
        </c:ser>
        <c:overlap val="100"/>
        <c:axId val="515920040"/>
        <c:axId val="516613496"/>
      </c:barChart>
      <c:catAx>
        <c:axId val="515920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 size in MB</a:t>
                </a:r>
              </a:p>
            </c:rich>
          </c:tx>
        </c:title>
        <c:numFmt formatCode="General" sourceLinked="1"/>
        <c:tickLblPos val="nextTo"/>
        <c:crossAx val="516613496"/>
        <c:crosses val="autoZero"/>
        <c:auto val="1"/>
        <c:lblAlgn val="ctr"/>
        <c:lblOffset val="100"/>
      </c:catAx>
      <c:valAx>
        <c:axId val="5166134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</c:title>
        <c:numFmt formatCode="0.00" sourceLinked="1"/>
        <c:tickLblPos val="nextTo"/>
        <c:crossAx val="515920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PMR</c:v>
          </c:tx>
          <c:marker>
            <c:symbol val="none"/>
          </c:marker>
          <c:cat>
            <c:numRef>
              <c:f>comparision!$A$69:$A$72</c:f>
              <c:numCache>
                <c:formatCode>General</c:formatCode>
                <c:ptCount val="4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</c:numCache>
            </c:numRef>
          </c:cat>
          <c:val>
            <c:numRef>
              <c:f>comparision!$G$69:$G$72</c:f>
              <c:numCache>
                <c:formatCode>0.00</c:formatCode>
                <c:ptCount val="4"/>
                <c:pt idx="0">
                  <c:v>261.301</c:v>
                </c:pt>
                <c:pt idx="1">
                  <c:v>227.81</c:v>
                </c:pt>
                <c:pt idx="2">
                  <c:v>242.0036666666666</c:v>
                </c:pt>
                <c:pt idx="3">
                  <c:v>256.824</c:v>
                </c:pt>
              </c:numCache>
            </c:numRef>
          </c:val>
        </c:ser>
        <c:ser>
          <c:idx val="1"/>
          <c:order val="1"/>
          <c:tx>
            <c:v>Hadoop MR</c:v>
          </c:tx>
          <c:marker>
            <c:symbol val="none"/>
          </c:marker>
          <c:val>
            <c:numRef>
              <c:f>comparision!$Q$69:$Q$72</c:f>
              <c:numCache>
                <c:formatCode>0.00</c:formatCode>
                <c:ptCount val="4"/>
                <c:pt idx="0">
                  <c:v>101.0976666666667</c:v>
                </c:pt>
                <c:pt idx="1">
                  <c:v>89.21733333333334</c:v>
                </c:pt>
                <c:pt idx="2">
                  <c:v>85.24</c:v>
                </c:pt>
                <c:pt idx="3">
                  <c:v>109.7823333333333</c:v>
                </c:pt>
              </c:numCache>
            </c:numRef>
          </c:val>
        </c:ser>
        <c:marker val="1"/>
        <c:axId val="516836504"/>
        <c:axId val="516792264"/>
      </c:lineChart>
      <c:catAx>
        <c:axId val="516836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 size in MB</a:t>
                </a:r>
              </a:p>
            </c:rich>
          </c:tx>
        </c:title>
        <c:numFmt formatCode="General" sourceLinked="1"/>
        <c:tickLblPos val="nextTo"/>
        <c:crossAx val="516792264"/>
        <c:crosses val="autoZero"/>
        <c:auto val="1"/>
        <c:lblAlgn val="ctr"/>
        <c:lblOffset val="100"/>
      </c:catAx>
      <c:valAx>
        <c:axId val="5167922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</c:title>
        <c:numFmt formatCode="0.00" sourceLinked="1"/>
        <c:tickLblPos val="nextTo"/>
        <c:crossAx val="5168365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PMR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comparision!$C$120:$C$124</c:f>
                <c:numCache>
                  <c:formatCode>General</c:formatCode>
                  <c:ptCount val="5"/>
                  <c:pt idx="0">
                    <c:v>1.893565977489816</c:v>
                  </c:pt>
                  <c:pt idx="1">
                    <c:v>3.664514898925948</c:v>
                  </c:pt>
                  <c:pt idx="2">
                    <c:v>4.380039535590112</c:v>
                  </c:pt>
                  <c:pt idx="3">
                    <c:v>3.332230034076212</c:v>
                  </c:pt>
                  <c:pt idx="4">
                    <c:v>2.547171066977164</c:v>
                  </c:pt>
                </c:numCache>
              </c:numRef>
            </c:plus>
            <c:minus>
              <c:numRef>
                <c:f>comparision!$C$120:$C$124</c:f>
                <c:numCache>
                  <c:formatCode>General</c:formatCode>
                  <c:ptCount val="5"/>
                  <c:pt idx="0">
                    <c:v>1.893565977489816</c:v>
                  </c:pt>
                  <c:pt idx="1">
                    <c:v>3.664514898925948</c:v>
                  </c:pt>
                  <c:pt idx="2">
                    <c:v>4.380039535590112</c:v>
                  </c:pt>
                  <c:pt idx="3">
                    <c:v>3.332230034076212</c:v>
                  </c:pt>
                  <c:pt idx="4">
                    <c:v>2.547171066977164</c:v>
                  </c:pt>
                </c:numCache>
              </c:numRef>
            </c:minus>
          </c:errBars>
          <c:cat>
            <c:numRef>
              <c:f>comparision!$A$120:$A$124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comparision!$B$120:$B$124</c:f>
              <c:numCache>
                <c:formatCode>0.00</c:formatCode>
                <c:ptCount val="5"/>
                <c:pt idx="0">
                  <c:v>502.3286666666667</c:v>
                </c:pt>
                <c:pt idx="1">
                  <c:v>269.1806666666666</c:v>
                </c:pt>
                <c:pt idx="2">
                  <c:v>154.801</c:v>
                </c:pt>
                <c:pt idx="3">
                  <c:v>114.806</c:v>
                </c:pt>
                <c:pt idx="4">
                  <c:v>86.34666666666664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comparision!$E$120:$E$124</c:f>
                <c:numCache>
                  <c:formatCode>General</c:formatCode>
                  <c:ptCount val="5"/>
                  <c:pt idx="0">
                    <c:v>2.222324033773323</c:v>
                  </c:pt>
                  <c:pt idx="1">
                    <c:v>9.495004727633192</c:v>
                  </c:pt>
                  <c:pt idx="2">
                    <c:v>1.055460089249627</c:v>
                  </c:pt>
                  <c:pt idx="3">
                    <c:v>1.760531390739128</c:v>
                  </c:pt>
                  <c:pt idx="4">
                    <c:v>0.692601456667372</c:v>
                  </c:pt>
                </c:numCache>
              </c:numRef>
            </c:plus>
            <c:minus>
              <c:numRef>
                <c:f>comparision!$E$120:$E$124</c:f>
                <c:numCache>
                  <c:formatCode>General</c:formatCode>
                  <c:ptCount val="5"/>
                  <c:pt idx="0">
                    <c:v>2.222324033773323</c:v>
                  </c:pt>
                  <c:pt idx="1">
                    <c:v>9.495004727633192</c:v>
                  </c:pt>
                  <c:pt idx="2">
                    <c:v>1.055460089249627</c:v>
                  </c:pt>
                  <c:pt idx="3">
                    <c:v>1.760531390739128</c:v>
                  </c:pt>
                  <c:pt idx="4">
                    <c:v>0.692601456667372</c:v>
                  </c:pt>
                </c:numCache>
              </c:numRef>
            </c:minus>
          </c:errBars>
          <c:cat>
            <c:numRef>
              <c:f>comparision!$A$120:$A$124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comparision!$D$120:$D$124</c:f>
              <c:numCache>
                <c:formatCode>0.00</c:formatCode>
                <c:ptCount val="5"/>
                <c:pt idx="0">
                  <c:v>352.3796666666667</c:v>
                </c:pt>
                <c:pt idx="1">
                  <c:v>203.2606666666667</c:v>
                </c:pt>
                <c:pt idx="2">
                  <c:v>114.421</c:v>
                </c:pt>
                <c:pt idx="3">
                  <c:v>112.6983333333333</c:v>
                </c:pt>
                <c:pt idx="4">
                  <c:v>116.6356666666667</c:v>
                </c:pt>
              </c:numCache>
            </c:numRef>
          </c:val>
        </c:ser>
        <c:overlap val="100"/>
        <c:axId val="516654424"/>
        <c:axId val="483271944"/>
      </c:barChart>
      <c:catAx>
        <c:axId val="516654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numebr of workers</a:t>
                </a:r>
              </a:p>
            </c:rich>
          </c:tx>
        </c:title>
        <c:numFmt formatCode="General" sourceLinked="1"/>
        <c:tickLblPos val="nextTo"/>
        <c:crossAx val="483271944"/>
        <c:crosses val="autoZero"/>
        <c:auto val="1"/>
        <c:lblAlgn val="ctr"/>
        <c:lblOffset val="100"/>
      </c:catAx>
      <c:valAx>
        <c:axId val="483271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</c:title>
        <c:numFmt formatCode="0.00" sourceLinked="1"/>
        <c:tickLblPos val="nextTo"/>
        <c:crossAx val="5166544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21</xdr:row>
      <xdr:rowOff>38100</xdr:rowOff>
    </xdr:from>
    <xdr:to>
      <xdr:col>7</xdr:col>
      <xdr:colOff>317500</xdr:colOff>
      <xdr:row>34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254000</xdr:colOff>
      <xdr:row>21</xdr:row>
      <xdr:rowOff>76200</xdr:rowOff>
    </xdr:from>
    <xdr:to>
      <xdr:col>12</xdr:col>
      <xdr:colOff>101600</xdr:colOff>
      <xdr:row>34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35</xdr:row>
      <xdr:rowOff>76200</xdr:rowOff>
    </xdr:from>
    <xdr:to>
      <xdr:col>5</xdr:col>
      <xdr:colOff>355600</xdr:colOff>
      <xdr:row>51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889000</xdr:colOff>
      <xdr:row>36</xdr:row>
      <xdr:rowOff>12700</xdr:rowOff>
    </xdr:from>
    <xdr:to>
      <xdr:col>15</xdr:col>
      <xdr:colOff>546100</xdr:colOff>
      <xdr:row>52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508000</xdr:colOff>
      <xdr:row>35</xdr:row>
      <xdr:rowOff>76200</xdr:rowOff>
    </xdr:from>
    <xdr:to>
      <xdr:col>9</xdr:col>
      <xdr:colOff>863600</xdr:colOff>
      <xdr:row>52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228600</xdr:colOff>
      <xdr:row>74</xdr:row>
      <xdr:rowOff>88900</xdr:rowOff>
    </xdr:from>
    <xdr:to>
      <xdr:col>9</xdr:col>
      <xdr:colOff>38100</xdr:colOff>
      <xdr:row>91</xdr:row>
      <xdr:rowOff>25400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596900</xdr:colOff>
      <xdr:row>74</xdr:row>
      <xdr:rowOff>127000</xdr:rowOff>
    </xdr:from>
    <xdr:to>
      <xdr:col>15</xdr:col>
      <xdr:colOff>406400</xdr:colOff>
      <xdr:row>91</xdr:row>
      <xdr:rowOff>63500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927100</xdr:colOff>
      <xdr:row>93</xdr:row>
      <xdr:rowOff>139700</xdr:rowOff>
    </xdr:from>
    <xdr:to>
      <xdr:col>11</xdr:col>
      <xdr:colOff>736600</xdr:colOff>
      <xdr:row>110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88900</xdr:colOff>
      <xdr:row>125</xdr:row>
      <xdr:rowOff>50800</xdr:rowOff>
    </xdr:from>
    <xdr:to>
      <xdr:col>6</xdr:col>
      <xdr:colOff>850900</xdr:colOff>
      <xdr:row>141</xdr:row>
      <xdr:rowOff>152400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139700</xdr:colOff>
      <xdr:row>125</xdr:row>
      <xdr:rowOff>38100</xdr:rowOff>
    </xdr:from>
    <xdr:to>
      <xdr:col>13</xdr:col>
      <xdr:colOff>901700</xdr:colOff>
      <xdr:row>141</xdr:row>
      <xdr:rowOff>139700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749300</xdr:colOff>
      <xdr:row>143</xdr:row>
      <xdr:rowOff>12700</xdr:rowOff>
    </xdr:from>
    <xdr:to>
      <xdr:col>10</xdr:col>
      <xdr:colOff>558800</xdr:colOff>
      <xdr:row>159</xdr:row>
      <xdr:rowOff>114300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863600</xdr:colOff>
      <xdr:row>174</xdr:row>
      <xdr:rowOff>88900</xdr:rowOff>
    </xdr:from>
    <xdr:to>
      <xdr:col>6</xdr:col>
      <xdr:colOff>673100</xdr:colOff>
      <xdr:row>191</xdr:row>
      <xdr:rowOff>25400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736600</xdr:colOff>
      <xdr:row>175</xdr:row>
      <xdr:rowOff>12700</xdr:rowOff>
    </xdr:from>
    <xdr:to>
      <xdr:col>14</xdr:col>
      <xdr:colOff>546100</xdr:colOff>
      <xdr:row>191</xdr:row>
      <xdr:rowOff>114300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774700</xdr:colOff>
      <xdr:row>194</xdr:row>
      <xdr:rowOff>152400</xdr:rowOff>
    </xdr:from>
    <xdr:to>
      <xdr:col>10</xdr:col>
      <xdr:colOff>584200</xdr:colOff>
      <xdr:row>211</xdr:row>
      <xdr:rowOff>88900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4</xdr:row>
      <xdr:rowOff>38100</xdr:rowOff>
    </xdr:from>
    <xdr:to>
      <xdr:col>12</xdr:col>
      <xdr:colOff>495300</xdr:colOff>
      <xdr:row>20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685800</xdr:colOff>
      <xdr:row>30</xdr:row>
      <xdr:rowOff>88900</xdr:rowOff>
    </xdr:from>
    <xdr:to>
      <xdr:col>11</xdr:col>
      <xdr:colOff>495300</xdr:colOff>
      <xdr:row>47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48</xdr:row>
      <xdr:rowOff>152400</xdr:rowOff>
    </xdr:from>
    <xdr:to>
      <xdr:col>16</xdr:col>
      <xdr:colOff>660400</xdr:colOff>
      <xdr:row>66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82</xdr:row>
      <xdr:rowOff>88900</xdr:rowOff>
    </xdr:from>
    <xdr:to>
      <xdr:col>16</xdr:col>
      <xdr:colOff>76200</xdr:colOff>
      <xdr:row>99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12700</xdr:colOff>
      <xdr:row>116</xdr:row>
      <xdr:rowOff>50800</xdr:rowOff>
    </xdr:from>
    <xdr:to>
      <xdr:col>16</xdr:col>
      <xdr:colOff>774700</xdr:colOff>
      <xdr:row>132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114300</xdr:colOff>
      <xdr:row>17</xdr:row>
      <xdr:rowOff>1130300</xdr:rowOff>
    </xdr:from>
    <xdr:to>
      <xdr:col>15</xdr:col>
      <xdr:colOff>876300</xdr:colOff>
      <xdr:row>33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615950</xdr:colOff>
      <xdr:row>229</xdr:row>
      <xdr:rowOff>139700</xdr:rowOff>
    </xdr:from>
    <xdr:to>
      <xdr:col>12</xdr:col>
      <xdr:colOff>552450</xdr:colOff>
      <xdr:row>245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248</xdr:row>
      <xdr:rowOff>25400</xdr:rowOff>
    </xdr:from>
    <xdr:to>
      <xdr:col>7</xdr:col>
      <xdr:colOff>368300</xdr:colOff>
      <xdr:row>261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kbook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86"/>
  <sheetViews>
    <sheetView workbookViewId="0">
      <selection activeCell="C22" sqref="C22"/>
    </sheetView>
  </sheetViews>
  <sheetFormatPr baseColWidth="10" defaultRowHeight="13"/>
  <sheetData>
    <row r="1" spans="1:13">
      <c r="A1" t="s">
        <v>116</v>
      </c>
    </row>
    <row r="3" spans="1:13">
      <c r="A3" t="s">
        <v>305</v>
      </c>
    </row>
    <row r="5" spans="1:13" ht="75">
      <c r="A5" s="2" t="s">
        <v>119</v>
      </c>
      <c r="B5" s="2" t="s">
        <v>152</v>
      </c>
      <c r="C5" s="2" t="s">
        <v>153</v>
      </c>
      <c r="D5" s="2" t="s">
        <v>154</v>
      </c>
      <c r="E5" s="2" t="s">
        <v>121</v>
      </c>
      <c r="F5" s="2" t="s">
        <v>196</v>
      </c>
      <c r="G5" s="2" t="s">
        <v>284</v>
      </c>
      <c r="H5" s="2" t="s">
        <v>289</v>
      </c>
      <c r="I5" s="2" t="s">
        <v>291</v>
      </c>
      <c r="J5" s="2" t="s">
        <v>293</v>
      </c>
      <c r="K5" s="3" t="s">
        <v>194</v>
      </c>
    </row>
    <row r="6" spans="1:13">
      <c r="A6">
        <v>256</v>
      </c>
      <c r="B6">
        <v>4</v>
      </c>
      <c r="C6" s="1">
        <f t="shared" ref="C6:C11" si="0">AVERAGE(B14:D14)</f>
        <v>2.2346666666666661</v>
      </c>
      <c r="D6" s="1">
        <f t="shared" ref="D6:D11" si="1">STDEV(B14:D14)/SQRT(3)</f>
        <v>0.11076752432209074</v>
      </c>
      <c r="E6" s="1">
        <f t="shared" ref="E6:E11" si="2">AVERAGE(E14:G14)</f>
        <v>28.333333333333332</v>
      </c>
      <c r="F6" s="1">
        <f t="shared" ref="F6:F11" si="3">STDEV(E14:G14)/SQRT(3)</f>
        <v>0.33333333333329546</v>
      </c>
      <c r="G6" s="1">
        <f>AVERAGE(H14:J14)</f>
        <v>29.333333333333332</v>
      </c>
      <c r="H6" s="1">
        <f>STDEV(H14:J14)/SQRT(3)</f>
        <v>1.2018504251546527</v>
      </c>
      <c r="I6" s="1">
        <f t="shared" ref="I6:I11" si="4">AVERAGE(K14:M14)</f>
        <v>60.937666666666672</v>
      </c>
      <c r="J6" s="1">
        <f t="shared" ref="J6:J11" si="5">STDEV(K14:M14)/SQRT(3)</f>
        <v>0.68072028845259824</v>
      </c>
    </row>
    <row r="7" spans="1:13">
      <c r="A7">
        <v>512</v>
      </c>
      <c r="B7">
        <v>8</v>
      </c>
      <c r="C7" s="1">
        <f t="shared" si="0"/>
        <v>3.2093333333333334</v>
      </c>
      <c r="D7" s="1">
        <f t="shared" si="1"/>
        <v>0.14915353759725813</v>
      </c>
      <c r="E7" s="1">
        <f t="shared" si="2"/>
        <v>30.333333333333332</v>
      </c>
      <c r="F7" s="1">
        <f t="shared" si="3"/>
        <v>0.33333333333329546</v>
      </c>
      <c r="G7" s="1">
        <f>AVERAGE(G15:J15)</f>
        <v>39.75</v>
      </c>
      <c r="H7" s="1">
        <f>STDEV(G15:J15)/SQRT(3)</f>
        <v>4.3301270189221936</v>
      </c>
      <c r="I7" s="1">
        <f t="shared" si="4"/>
        <v>79.404666666666671</v>
      </c>
      <c r="J7" s="1">
        <f t="shared" si="5"/>
        <v>2.3856434724782827</v>
      </c>
    </row>
    <row r="8" spans="1:13">
      <c r="A8">
        <v>1024</v>
      </c>
      <c r="B8">
        <v>16</v>
      </c>
      <c r="C8" s="1">
        <f t="shared" si="0"/>
        <v>5.5799999999999992</v>
      </c>
      <c r="D8" s="1">
        <f t="shared" si="1"/>
        <v>0.16854178512563006</v>
      </c>
      <c r="E8" s="1">
        <f t="shared" si="2"/>
        <v>34</v>
      </c>
      <c r="F8" s="1">
        <f t="shared" si="3"/>
        <v>1.1547005383792517</v>
      </c>
      <c r="G8" s="1">
        <f>AVERAGE(H16:J16)</f>
        <v>62.666666666666664</v>
      </c>
      <c r="H8" s="1">
        <f>STDEV(H16:J16)/SQRT(3)</f>
        <v>0.88191710368813969</v>
      </c>
      <c r="I8" s="1">
        <f t="shared" si="4"/>
        <v>87.326333333333324</v>
      </c>
      <c r="J8" s="1">
        <f t="shared" si="5"/>
        <v>13.256413508604464</v>
      </c>
    </row>
    <row r="9" spans="1:13">
      <c r="A9">
        <v>2048</v>
      </c>
      <c r="B9">
        <v>32</v>
      </c>
      <c r="C9" s="1">
        <f t="shared" si="0"/>
        <v>10.491999999999999</v>
      </c>
      <c r="D9" s="1">
        <f t="shared" si="1"/>
        <v>5.8560510015920907E-2</v>
      </c>
      <c r="E9" s="1">
        <f t="shared" si="2"/>
        <v>61.333333333333336</v>
      </c>
      <c r="F9" s="1">
        <f t="shared" si="3"/>
        <v>4.0960685758148241</v>
      </c>
      <c r="G9" s="1">
        <f>AVERAGE(H17:J17)</f>
        <v>82.666666666666671</v>
      </c>
      <c r="H9" s="1">
        <f>STDEV(H17:J17)/SQRT(3)</f>
        <v>0.66666666666681829</v>
      </c>
      <c r="I9" s="1">
        <f t="shared" si="4"/>
        <v>144.97900000000001</v>
      </c>
      <c r="J9" s="1">
        <f t="shared" si="5"/>
        <v>3.9167503537156576</v>
      </c>
      <c r="K9">
        <f>3.7*4</f>
        <v>14.8</v>
      </c>
    </row>
    <row r="10" spans="1:13">
      <c r="A10">
        <v>4096</v>
      </c>
      <c r="B10">
        <v>64</v>
      </c>
      <c r="C10" s="1" t="e">
        <f t="shared" si="0"/>
        <v>#DIV/0!</v>
      </c>
      <c r="D10" s="1" t="e">
        <f t="shared" si="1"/>
        <v>#DIV/0!</v>
      </c>
      <c r="E10" s="1" t="e">
        <f t="shared" si="2"/>
        <v>#DIV/0!</v>
      </c>
      <c r="F10" s="1" t="e">
        <f t="shared" si="3"/>
        <v>#DIV/0!</v>
      </c>
      <c r="G10" s="1" t="e">
        <f>AVERAGE(H18:J18)</f>
        <v>#DIV/0!</v>
      </c>
      <c r="H10" s="1" t="e">
        <f>STDEV(H18:J18)/SQRT(3)</f>
        <v>#DIV/0!</v>
      </c>
      <c r="I10" s="1" t="e">
        <f t="shared" si="4"/>
        <v>#DIV/0!</v>
      </c>
      <c r="J10" s="1" t="e">
        <f t="shared" si="5"/>
        <v>#DIV/0!</v>
      </c>
      <c r="K10">
        <v>15.2</v>
      </c>
    </row>
    <row r="11" spans="1:13">
      <c r="A11">
        <v>8092</v>
      </c>
      <c r="B11">
        <v>128</v>
      </c>
      <c r="C11" s="1" t="e">
        <f t="shared" si="0"/>
        <v>#DIV/0!</v>
      </c>
      <c r="D11" s="1" t="e">
        <f t="shared" si="1"/>
        <v>#DIV/0!</v>
      </c>
      <c r="E11" s="1" t="e">
        <f t="shared" si="2"/>
        <v>#DIV/0!</v>
      </c>
      <c r="F11" s="1" t="e">
        <f t="shared" si="3"/>
        <v>#DIV/0!</v>
      </c>
      <c r="G11" s="1" t="e">
        <f>AVERAGE(H19:J19)</f>
        <v>#DIV/0!</v>
      </c>
      <c r="H11" s="1" t="e">
        <f>STDEV(H19:J19)/SQRT(3)</f>
        <v>#DIV/0!</v>
      </c>
      <c r="I11" s="1" t="e">
        <f t="shared" si="4"/>
        <v>#DIV/0!</v>
      </c>
      <c r="J11" s="1" t="e">
        <f t="shared" si="5"/>
        <v>#DIV/0!</v>
      </c>
    </row>
    <row r="13" spans="1:13">
      <c r="A13" t="s">
        <v>118</v>
      </c>
      <c r="B13" t="s">
        <v>155</v>
      </c>
      <c r="C13" t="s">
        <v>243</v>
      </c>
      <c r="D13" t="s">
        <v>244</v>
      </c>
      <c r="E13" t="s">
        <v>324</v>
      </c>
      <c r="F13" t="s">
        <v>325</v>
      </c>
      <c r="G13" t="s">
        <v>117</v>
      </c>
      <c r="H13" t="s">
        <v>326</v>
      </c>
      <c r="I13" t="s">
        <v>327</v>
      </c>
      <c r="J13" t="s">
        <v>112</v>
      </c>
      <c r="K13" t="s">
        <v>113</v>
      </c>
      <c r="L13" t="s">
        <v>114</v>
      </c>
      <c r="M13" t="s">
        <v>115</v>
      </c>
    </row>
    <row r="14" spans="1:13">
      <c r="A14">
        <v>256</v>
      </c>
      <c r="B14">
        <v>2.4529999999999998</v>
      </c>
      <c r="C14">
        <v>2.093</v>
      </c>
      <c r="D14">
        <v>2.1579999999999999</v>
      </c>
      <c r="E14">
        <v>29</v>
      </c>
      <c r="F14">
        <v>28</v>
      </c>
      <c r="G14">
        <v>28</v>
      </c>
      <c r="H14">
        <v>31</v>
      </c>
      <c r="I14">
        <v>30</v>
      </c>
      <c r="J14">
        <v>27</v>
      </c>
      <c r="K14">
        <v>60.514000000000003</v>
      </c>
      <c r="L14">
        <v>62.27</v>
      </c>
      <c r="M14">
        <v>60.029000000000003</v>
      </c>
    </row>
    <row r="15" spans="1:13">
      <c r="A15">
        <v>512</v>
      </c>
      <c r="B15">
        <v>3.5019999999999998</v>
      </c>
      <c r="C15">
        <v>3.113</v>
      </c>
      <c r="D15">
        <v>3.0129999999999999</v>
      </c>
      <c r="E15">
        <v>30</v>
      </c>
      <c r="F15">
        <v>31</v>
      </c>
      <c r="G15">
        <v>30</v>
      </c>
      <c r="H15">
        <v>39</v>
      </c>
      <c r="I15">
        <v>42</v>
      </c>
      <c r="J15">
        <v>48</v>
      </c>
      <c r="K15">
        <v>75.516999999999996</v>
      </c>
      <c r="L15">
        <v>78.953000000000003</v>
      </c>
      <c r="M15">
        <v>83.744</v>
      </c>
    </row>
    <row r="16" spans="1:13">
      <c r="A16">
        <v>1024</v>
      </c>
      <c r="B16">
        <v>5.335</v>
      </c>
      <c r="C16">
        <v>5.9029999999999996</v>
      </c>
      <c r="D16">
        <v>5.5019999999999998</v>
      </c>
      <c r="E16">
        <v>34</v>
      </c>
      <c r="F16">
        <v>36</v>
      </c>
      <c r="G16">
        <v>32</v>
      </c>
      <c r="H16">
        <v>63</v>
      </c>
      <c r="I16">
        <v>64</v>
      </c>
      <c r="J16">
        <v>61</v>
      </c>
      <c r="K16">
        <v>104.345</v>
      </c>
      <c r="L16">
        <v>96.423000000000002</v>
      </c>
      <c r="M16">
        <v>61.210999999999999</v>
      </c>
    </row>
    <row r="17" spans="1:13">
      <c r="A17">
        <v>2048</v>
      </c>
      <c r="B17">
        <v>10.564</v>
      </c>
      <c r="C17">
        <v>10.375999999999999</v>
      </c>
      <c r="D17">
        <v>10.536</v>
      </c>
      <c r="E17">
        <v>60</v>
      </c>
      <c r="F17">
        <v>69</v>
      </c>
      <c r="G17">
        <v>55</v>
      </c>
      <c r="H17">
        <v>82</v>
      </c>
      <c r="I17">
        <v>84</v>
      </c>
      <c r="J17">
        <v>82</v>
      </c>
      <c r="K17">
        <v>143.119</v>
      </c>
      <c r="L17">
        <v>152.499</v>
      </c>
      <c r="M17">
        <v>139.31899999999999</v>
      </c>
    </row>
    <row r="18" spans="1:13">
      <c r="A18">
        <v>4096</v>
      </c>
    </row>
    <row r="19" spans="1:13">
      <c r="A19">
        <v>8092</v>
      </c>
    </row>
    <row r="24" spans="1:13">
      <c r="A24" t="s">
        <v>218</v>
      </c>
    </row>
    <row r="25" spans="1:13">
      <c r="A25" t="s">
        <v>297</v>
      </c>
    </row>
    <row r="29" spans="1:13" ht="75">
      <c r="A29" s="2" t="s">
        <v>299</v>
      </c>
      <c r="B29" s="2" t="s">
        <v>152</v>
      </c>
      <c r="C29" s="2" t="s">
        <v>121</v>
      </c>
      <c r="D29" s="2" t="s">
        <v>196</v>
      </c>
      <c r="E29" s="2" t="s">
        <v>284</v>
      </c>
      <c r="F29" s="2" t="s">
        <v>289</v>
      </c>
      <c r="G29" s="2" t="s">
        <v>291</v>
      </c>
      <c r="H29" s="2" t="s">
        <v>293</v>
      </c>
    </row>
    <row r="30" spans="1:13">
      <c r="A30">
        <v>32</v>
      </c>
      <c r="B30">
        <v>64</v>
      </c>
      <c r="C30" s="1">
        <f>AVERAGE(B41:D41)</f>
        <v>65.666666666666671</v>
      </c>
      <c r="D30" s="1">
        <f>STDEV(B41:D41)/SQRT(3)</f>
        <v>0.33333333333318171</v>
      </c>
      <c r="E30" s="1">
        <f>AVERAGE(E41:G41)</f>
        <v>30.333333333333332</v>
      </c>
      <c r="F30" s="1">
        <f>STDEV(E41:G41)/SQRT(3)</f>
        <v>0.66666666666664764</v>
      </c>
      <c r="G30" s="1">
        <f>AVERAGE(H41:J41)</f>
        <v>101.09766666666667</v>
      </c>
      <c r="H30" s="1">
        <f>STDEV(H41:J41)/SQRT(3)</f>
        <v>1.1537556548553047</v>
      </c>
    </row>
    <row r="31" spans="1:13">
      <c r="A31">
        <v>64</v>
      </c>
      <c r="B31">
        <v>32</v>
      </c>
      <c r="C31" s="1">
        <f t="shared" ref="C31:C34" si="6">AVERAGE(B42:D42)</f>
        <v>61.333333333333336</v>
      </c>
      <c r="D31" s="1">
        <f t="shared" ref="D31:D34" si="7">STDEV(B42:D42)/SQRT(3)</f>
        <v>4.0960685758148241</v>
      </c>
      <c r="E31" s="1">
        <f t="shared" ref="E31:E34" si="8">AVERAGE(E42:G42)</f>
        <v>28.666666666666668</v>
      </c>
      <c r="F31" s="1">
        <f t="shared" ref="F31:F34" si="9">STDEV(E42:G42)/SQRT(3)</f>
        <v>2.6034165586355469</v>
      </c>
      <c r="G31" s="1">
        <f t="shared" ref="G31:G34" si="10">AVERAGE(H42:J42)</f>
        <v>89.217333333333343</v>
      </c>
      <c r="H31" s="1">
        <f t="shared" ref="H31:H34" si="11">STDEV(H42:J42)/SQRT(3)</f>
        <v>1.171609766280177</v>
      </c>
    </row>
    <row r="32" spans="1:13">
      <c r="A32">
        <v>128</v>
      </c>
      <c r="B32">
        <v>16</v>
      </c>
      <c r="C32" s="1">
        <f t="shared" si="6"/>
        <v>60.666666666666664</v>
      </c>
      <c r="D32" s="1">
        <f t="shared" si="7"/>
        <v>3.9299420408505195</v>
      </c>
      <c r="E32" s="1">
        <f t="shared" si="8"/>
        <v>25</v>
      </c>
      <c r="F32" s="1">
        <f t="shared" si="9"/>
        <v>2</v>
      </c>
      <c r="G32" s="1">
        <f t="shared" si="10"/>
        <v>85.240000000000009</v>
      </c>
      <c r="H32" s="1">
        <f t="shared" si="11"/>
        <v>2.7735033802033189</v>
      </c>
    </row>
    <row r="33" spans="1:10">
      <c r="A33">
        <v>256</v>
      </c>
      <c r="B33">
        <v>8</v>
      </c>
      <c r="C33" s="1">
        <f t="shared" si="6"/>
        <v>80.333333333333329</v>
      </c>
      <c r="D33" s="1">
        <f t="shared" si="7"/>
        <v>4.333333333333357</v>
      </c>
      <c r="E33" s="1">
        <f t="shared" si="8"/>
        <v>25.333333333333332</v>
      </c>
      <c r="F33" s="1">
        <f t="shared" si="9"/>
        <v>3.7118429085533498</v>
      </c>
      <c r="G33" s="1">
        <f t="shared" si="10"/>
        <v>109.78233333333333</v>
      </c>
      <c r="H33" s="1">
        <f t="shared" si="11"/>
        <v>1.2203008281210996</v>
      </c>
    </row>
    <row r="34" spans="1:10">
      <c r="A34">
        <v>512</v>
      </c>
      <c r="B34">
        <v>4</v>
      </c>
      <c r="C34" s="1">
        <f t="shared" si="6"/>
        <v>122</v>
      </c>
      <c r="D34" s="1">
        <f t="shared" si="7"/>
        <v>0.57735026918962584</v>
      </c>
      <c r="E34" s="1">
        <f t="shared" si="8"/>
        <v>44.666666666666664</v>
      </c>
      <c r="F34" s="1">
        <f t="shared" si="9"/>
        <v>1.4529663145135754</v>
      </c>
      <c r="G34" s="1">
        <f t="shared" si="10"/>
        <v>171.10166666666669</v>
      </c>
      <c r="H34" s="1">
        <f t="shared" si="11"/>
        <v>1.3059791133252205</v>
      </c>
    </row>
    <row r="40" spans="1:10">
      <c r="A40" t="s">
        <v>294</v>
      </c>
      <c r="B40" t="s">
        <v>324</v>
      </c>
      <c r="C40" t="s">
        <v>325</v>
      </c>
      <c r="D40" t="s">
        <v>117</v>
      </c>
      <c r="E40" t="s">
        <v>326</v>
      </c>
      <c r="F40" t="s">
        <v>327</v>
      </c>
      <c r="G40" t="s">
        <v>112</v>
      </c>
      <c r="H40" t="s">
        <v>113</v>
      </c>
      <c r="I40" t="s">
        <v>114</v>
      </c>
      <c r="J40" t="s">
        <v>115</v>
      </c>
    </row>
    <row r="41" spans="1:10">
      <c r="A41">
        <v>32</v>
      </c>
      <c r="B41">
        <v>66</v>
      </c>
      <c r="C41">
        <v>65</v>
      </c>
      <c r="D41">
        <v>66</v>
      </c>
      <c r="E41">
        <v>29</v>
      </c>
      <c r="F41">
        <v>31</v>
      </c>
      <c r="G41">
        <v>31</v>
      </c>
      <c r="H41">
        <v>103.398</v>
      </c>
      <c r="I41">
        <v>99.79</v>
      </c>
      <c r="J41">
        <v>100.105</v>
      </c>
    </row>
    <row r="42" spans="1:10">
      <c r="A42">
        <v>64</v>
      </c>
      <c r="B42">
        <v>60</v>
      </c>
      <c r="C42">
        <v>69</v>
      </c>
      <c r="D42">
        <v>55</v>
      </c>
      <c r="E42">
        <v>24</v>
      </c>
      <c r="F42">
        <v>33</v>
      </c>
      <c r="G42">
        <v>29</v>
      </c>
      <c r="H42">
        <v>87.239000000000004</v>
      </c>
      <c r="I42">
        <v>91.293999999999997</v>
      </c>
      <c r="J42">
        <v>89.119</v>
      </c>
    </row>
    <row r="43" spans="1:10">
      <c r="A43">
        <v>128</v>
      </c>
      <c r="B43">
        <v>53</v>
      </c>
      <c r="C43">
        <v>63</v>
      </c>
      <c r="D43">
        <v>66</v>
      </c>
      <c r="E43">
        <v>27</v>
      </c>
      <c r="F43">
        <v>27</v>
      </c>
      <c r="G43">
        <v>21</v>
      </c>
      <c r="H43">
        <v>83.388999999999996</v>
      </c>
      <c r="I43">
        <v>81.637</v>
      </c>
      <c r="J43">
        <v>90.694000000000003</v>
      </c>
    </row>
    <row r="44" spans="1:10">
      <c r="A44">
        <v>256</v>
      </c>
      <c r="B44">
        <v>76</v>
      </c>
      <c r="C44">
        <v>89</v>
      </c>
      <c r="D44">
        <v>76</v>
      </c>
      <c r="E44">
        <v>28</v>
      </c>
      <c r="F44">
        <v>18</v>
      </c>
      <c r="G44">
        <v>30</v>
      </c>
      <c r="H44">
        <v>107.542</v>
      </c>
      <c r="I44">
        <v>111.741</v>
      </c>
      <c r="J44">
        <v>110.06399999999999</v>
      </c>
    </row>
    <row r="45" spans="1:10">
      <c r="A45">
        <v>512</v>
      </c>
      <c r="B45">
        <v>123</v>
      </c>
      <c r="C45">
        <v>122</v>
      </c>
      <c r="D45">
        <v>121</v>
      </c>
      <c r="E45">
        <v>42</v>
      </c>
      <c r="F45">
        <v>47</v>
      </c>
      <c r="G45">
        <v>45</v>
      </c>
      <c r="H45">
        <v>169.04599999999999</v>
      </c>
      <c r="I45">
        <v>173.52500000000001</v>
      </c>
      <c r="J45">
        <v>170.73400000000001</v>
      </c>
    </row>
    <row r="50" spans="1:10">
      <c r="A50" t="s">
        <v>301</v>
      </c>
    </row>
    <row r="52" spans="1:10" s="3" customFormat="1" ht="75">
      <c r="A52" s="2" t="s">
        <v>219</v>
      </c>
      <c r="B52" s="2" t="s">
        <v>121</v>
      </c>
      <c r="C52" s="2" t="s">
        <v>196</v>
      </c>
      <c r="D52" s="2" t="s">
        <v>284</v>
      </c>
      <c r="E52" s="2" t="s">
        <v>289</v>
      </c>
      <c r="F52" s="2" t="s">
        <v>291</v>
      </c>
      <c r="G52" s="2" t="s">
        <v>293</v>
      </c>
    </row>
    <row r="53" spans="1:10">
      <c r="A53">
        <v>2</v>
      </c>
      <c r="B53" s="1">
        <f>AVERAGE(B61:D61)</f>
        <v>346.66666666666669</v>
      </c>
      <c r="C53" s="1">
        <f>STDEV(B61:D61)/SQRT(3)</f>
        <v>2.0275875101002043</v>
      </c>
      <c r="D53" s="1">
        <f>AVERAGE(E61:G61)</f>
        <v>62</v>
      </c>
      <c r="E53" s="1">
        <f>STDEV(E61:G61)/SQRT(3)</f>
        <v>0.57735026918962584</v>
      </c>
      <c r="F53" s="1">
        <f>AVERAGE(H61:J61)</f>
        <v>412.32900000000001</v>
      </c>
      <c r="G53" s="1">
        <f>STDEV(H61:J61)/SQRT(3)</f>
        <v>1.0386839429424817</v>
      </c>
    </row>
    <row r="54" spans="1:10">
      <c r="A54">
        <v>4</v>
      </c>
      <c r="B54" s="1">
        <f t="shared" ref="B54:B57" si="12">AVERAGE(B62:D62)</f>
        <v>168.33333333333334</v>
      </c>
      <c r="C54" s="1">
        <f t="shared" ref="C54:C57" si="13">STDEV(B62:D62)/SQRT(3)</f>
        <v>1.4529663145138361</v>
      </c>
      <c r="D54" s="1">
        <f t="shared" ref="D54:D57" si="14">AVERAGE(E62:G62)</f>
        <v>32</v>
      </c>
      <c r="E54" s="1">
        <f t="shared" ref="E54:E57" si="15">STDEV(E62:G62)/SQRT(3)</f>
        <v>2.6457513110645907</v>
      </c>
      <c r="F54" s="1">
        <f t="shared" ref="F54:F57" si="16">AVERAGE(H62:J62)</f>
        <v>204.25733333333335</v>
      </c>
      <c r="G54" s="1">
        <f t="shared" ref="G54:G57" si="17">STDEV(H62:J62)/SQRT(3)</f>
        <v>1.7922094681628635</v>
      </c>
    </row>
    <row r="55" spans="1:10">
      <c r="A55">
        <v>8</v>
      </c>
      <c r="B55" s="1">
        <f t="shared" si="12"/>
        <v>96.666666666666671</v>
      </c>
      <c r="C55" s="1">
        <f t="shared" si="13"/>
        <v>1.2018504251547473</v>
      </c>
      <c r="D55" s="1">
        <f t="shared" si="14"/>
        <v>29.666666666666668</v>
      </c>
      <c r="E55" s="1">
        <f t="shared" si="15"/>
        <v>1.7638342073763869</v>
      </c>
      <c r="F55" s="1">
        <f t="shared" si="16"/>
        <v>133.83833333333334</v>
      </c>
      <c r="G55" s="1">
        <f t="shared" si="17"/>
        <v>4.2491811106508921</v>
      </c>
    </row>
    <row r="56" spans="1:10">
      <c r="A56">
        <v>16</v>
      </c>
      <c r="B56" s="1">
        <f t="shared" si="12"/>
        <v>64.666666666666671</v>
      </c>
      <c r="C56" s="1">
        <f t="shared" si="13"/>
        <v>0.66666666666659091</v>
      </c>
      <c r="D56" s="1">
        <f t="shared" si="14"/>
        <v>28.666666666666668</v>
      </c>
      <c r="E56" s="1">
        <f t="shared" si="15"/>
        <v>0.88191710368818266</v>
      </c>
      <c r="F56" s="1">
        <f t="shared" si="16"/>
        <v>97.152333333333331</v>
      </c>
      <c r="G56" s="1">
        <f t="shared" si="17"/>
        <v>1.5660056761642747</v>
      </c>
    </row>
    <row r="57" spans="1:10">
      <c r="A57">
        <v>32</v>
      </c>
      <c r="B57" s="1">
        <f t="shared" si="12"/>
        <v>61.333333333333336</v>
      </c>
      <c r="C57" s="1">
        <f t="shared" si="13"/>
        <v>4.0960685758148241</v>
      </c>
      <c r="D57" s="1">
        <f t="shared" si="14"/>
        <v>28.666666666666668</v>
      </c>
      <c r="E57" s="1">
        <f t="shared" si="15"/>
        <v>2.6034165586355469</v>
      </c>
      <c r="F57" s="1">
        <f t="shared" si="16"/>
        <v>89.217333333333343</v>
      </c>
      <c r="G57" s="1">
        <f t="shared" si="17"/>
        <v>1.171609766280177</v>
      </c>
    </row>
    <row r="60" spans="1:10" s="3" customFormat="1" ht="26">
      <c r="A60" s="3" t="s">
        <v>303</v>
      </c>
      <c r="B60" s="3" t="s">
        <v>324</v>
      </c>
      <c r="C60" s="3" t="s">
        <v>325</v>
      </c>
      <c r="D60" s="3" t="s">
        <v>117</v>
      </c>
      <c r="E60" s="3" t="s">
        <v>326</v>
      </c>
      <c r="F60" s="3" t="s">
        <v>327</v>
      </c>
      <c r="G60" s="3" t="s">
        <v>112</v>
      </c>
      <c r="H60" s="3" t="s">
        <v>113</v>
      </c>
      <c r="I60" s="3" t="s">
        <v>114</v>
      </c>
      <c r="J60" s="3" t="s">
        <v>115</v>
      </c>
    </row>
    <row r="61" spans="1:10">
      <c r="A61">
        <v>2</v>
      </c>
      <c r="B61">
        <v>350</v>
      </c>
      <c r="C61">
        <v>347</v>
      </c>
      <c r="D61">
        <v>343</v>
      </c>
      <c r="E61">
        <v>61</v>
      </c>
      <c r="F61">
        <v>63</v>
      </c>
      <c r="G61">
        <v>62</v>
      </c>
      <c r="H61">
        <v>414.12</v>
      </c>
      <c r="I61">
        <v>410.52199999999999</v>
      </c>
      <c r="J61">
        <v>412.34500000000003</v>
      </c>
    </row>
    <row r="62" spans="1:10">
      <c r="A62">
        <v>4</v>
      </c>
      <c r="B62">
        <v>166</v>
      </c>
      <c r="C62">
        <v>168</v>
      </c>
      <c r="D62">
        <v>171</v>
      </c>
      <c r="E62">
        <v>33</v>
      </c>
      <c r="F62">
        <v>36</v>
      </c>
      <c r="G62">
        <v>27</v>
      </c>
      <c r="H62">
        <v>203.119</v>
      </c>
      <c r="I62">
        <v>207.77</v>
      </c>
      <c r="J62">
        <v>201.88300000000001</v>
      </c>
    </row>
    <row r="63" spans="1:10">
      <c r="A63">
        <v>8</v>
      </c>
      <c r="B63">
        <v>95</v>
      </c>
      <c r="C63">
        <v>99</v>
      </c>
      <c r="D63">
        <v>96</v>
      </c>
      <c r="E63">
        <v>27</v>
      </c>
      <c r="F63">
        <v>33</v>
      </c>
      <c r="G63">
        <v>29</v>
      </c>
      <c r="H63">
        <v>139.69200000000001</v>
      </c>
      <c r="I63">
        <v>136.24700000000001</v>
      </c>
      <c r="J63">
        <v>125.57599999999999</v>
      </c>
    </row>
    <row r="64" spans="1:10">
      <c r="A64">
        <v>16</v>
      </c>
      <c r="B64">
        <v>64</v>
      </c>
      <c r="C64">
        <v>64</v>
      </c>
      <c r="D64">
        <v>66</v>
      </c>
      <c r="E64">
        <v>30</v>
      </c>
      <c r="F64">
        <v>27</v>
      </c>
      <c r="G64">
        <v>29</v>
      </c>
      <c r="H64">
        <v>99.813000000000002</v>
      </c>
      <c r="I64">
        <v>94.391000000000005</v>
      </c>
      <c r="J64">
        <v>97.253</v>
      </c>
    </row>
    <row r="65" spans="1:10">
      <c r="A65">
        <v>32</v>
      </c>
      <c r="B65">
        <v>60</v>
      </c>
      <c r="C65">
        <v>69</v>
      </c>
      <c r="D65">
        <v>55</v>
      </c>
      <c r="E65">
        <v>24</v>
      </c>
      <c r="F65">
        <v>33</v>
      </c>
      <c r="G65">
        <v>29</v>
      </c>
      <c r="H65">
        <v>87.239000000000004</v>
      </c>
      <c r="I65">
        <v>91.293999999999997</v>
      </c>
      <c r="J65">
        <v>89.119</v>
      </c>
    </row>
    <row r="71" spans="1:10">
      <c r="A71" t="s">
        <v>38</v>
      </c>
    </row>
    <row r="73" spans="1:10" s="3" customFormat="1" ht="75">
      <c r="A73" s="2" t="s">
        <v>40</v>
      </c>
      <c r="B73" s="2" t="s">
        <v>121</v>
      </c>
      <c r="C73" s="2" t="s">
        <v>196</v>
      </c>
      <c r="D73" s="2" t="s">
        <v>284</v>
      </c>
      <c r="E73" s="2" t="s">
        <v>289</v>
      </c>
      <c r="F73" s="2" t="s">
        <v>291</v>
      </c>
      <c r="G73" s="2" t="s">
        <v>293</v>
      </c>
    </row>
    <row r="74" spans="1:10">
      <c r="A74">
        <v>1</v>
      </c>
      <c r="B74" s="1">
        <f>AVERAGE(B82:D82)</f>
        <v>61.333333333333336</v>
      </c>
      <c r="C74" s="1">
        <f>STDEV(B82:D82)/SQRT(3)</f>
        <v>4.4845413490245587</v>
      </c>
      <c r="D74" s="1">
        <f>AVERAGE(E82:G82)</f>
        <v>45</v>
      </c>
      <c r="E74" s="1">
        <f>STDEV(E82:G82)/SQRT(3)</f>
        <v>3.7859388972001824</v>
      </c>
      <c r="F74" s="1">
        <f>AVERAGE(H82:J82)</f>
        <v>110.76333333333334</v>
      </c>
      <c r="G74" s="1">
        <f>STDEV(H82:J82)/SQRT(3)</f>
        <v>1.6466116050171593</v>
      </c>
    </row>
    <row r="75" spans="1:10">
      <c r="A75">
        <v>2</v>
      </c>
      <c r="B75" s="1">
        <f t="shared" ref="B75:B78" si="18">AVERAGE(B83:D83)</f>
        <v>65</v>
      </c>
      <c r="C75" s="1">
        <f t="shared" ref="C75:C78" si="19">STDEV(B83:D83)/SQRT(3)</f>
        <v>6.110100926607787</v>
      </c>
      <c r="D75" s="1">
        <f t="shared" ref="D75:D78" si="20">AVERAGE(E83:G83)</f>
        <v>28.333333333333332</v>
      </c>
      <c r="E75" s="1">
        <f t="shared" ref="E75:E78" si="21">STDEV(E83:G83)/SQRT(3)</f>
        <v>3.2829526005986982</v>
      </c>
      <c r="F75" s="1">
        <f t="shared" ref="F75:F78" si="22">AVERAGE(H83:J83)</f>
        <v>97.397666666666666</v>
      </c>
      <c r="G75" s="1">
        <f t="shared" ref="G75:G78" si="23">STDEV(H83:J83)/SQRT(3)</f>
        <v>2.9010331684495636</v>
      </c>
    </row>
    <row r="76" spans="1:10">
      <c r="A76">
        <v>4</v>
      </c>
      <c r="B76" s="1">
        <f>AVERAGE(B84:D84)</f>
        <v>73</v>
      </c>
      <c r="C76" s="1">
        <f>STDEV(B84:D84)/SQRT(3)</f>
        <v>4.0414518843273806</v>
      </c>
      <c r="D76" s="1">
        <f t="shared" si="20"/>
        <v>22.666666666666668</v>
      </c>
      <c r="E76" s="1">
        <f t="shared" si="21"/>
        <v>1.6666666666666705</v>
      </c>
      <c r="F76" s="1">
        <f t="shared" si="22"/>
        <v>99.324666666666658</v>
      </c>
      <c r="G76" s="1">
        <f t="shared" si="23"/>
        <v>2.3914344602723534</v>
      </c>
    </row>
    <row r="77" spans="1:10">
      <c r="A77">
        <v>8</v>
      </c>
      <c r="B77" s="1">
        <f t="shared" si="18"/>
        <v>62.333333333333336</v>
      </c>
      <c r="C77" s="1">
        <f t="shared" si="19"/>
        <v>4.4845413490245587</v>
      </c>
      <c r="D77" s="1">
        <f t="shared" si="20"/>
        <v>35</v>
      </c>
      <c r="E77" s="1">
        <f t="shared" si="21"/>
        <v>3.7859388972001824</v>
      </c>
      <c r="F77" s="1">
        <f>AVERAGE(H85:J85)</f>
        <v>100.96833333333335</v>
      </c>
      <c r="G77" s="1">
        <f>STDEV(H85:J85)/SQRT(3)</f>
        <v>1.7785740855463308</v>
      </c>
    </row>
    <row r="78" spans="1:10">
      <c r="A78">
        <v>16</v>
      </c>
      <c r="B78" s="1">
        <f t="shared" si="18"/>
        <v>69.333333333333329</v>
      </c>
      <c r="C78" s="1">
        <f t="shared" si="19"/>
        <v>5.6960024968783456</v>
      </c>
      <c r="D78" s="1">
        <f t="shared" si="20"/>
        <v>43.333333333333336</v>
      </c>
      <c r="E78" s="1">
        <f t="shared" si="21"/>
        <v>4.3716256828680065</v>
      </c>
      <c r="F78" s="1">
        <f t="shared" si="22"/>
        <v>116.41366666666666</v>
      </c>
      <c r="G78" s="1">
        <f t="shared" si="23"/>
        <v>1.6642458085005885</v>
      </c>
    </row>
    <row r="81" spans="1:10" ht="26">
      <c r="A81" s="3" t="s">
        <v>45</v>
      </c>
      <c r="B81" s="3" t="s">
        <v>324</v>
      </c>
      <c r="C81" s="3" t="s">
        <v>325</v>
      </c>
      <c r="D81" s="3" t="s">
        <v>117</v>
      </c>
      <c r="E81" s="3" t="s">
        <v>326</v>
      </c>
      <c r="F81" s="3" t="s">
        <v>327</v>
      </c>
      <c r="G81" s="3" t="s">
        <v>112</v>
      </c>
      <c r="H81" s="3" t="s">
        <v>113</v>
      </c>
      <c r="I81" s="3" t="s">
        <v>114</v>
      </c>
      <c r="J81" s="3" t="s">
        <v>115</v>
      </c>
    </row>
    <row r="82" spans="1:10">
      <c r="A82">
        <v>1</v>
      </c>
      <c r="B82">
        <v>55</v>
      </c>
      <c r="C82">
        <v>59</v>
      </c>
      <c r="D82">
        <v>70</v>
      </c>
      <c r="E82">
        <v>52</v>
      </c>
      <c r="F82">
        <v>44</v>
      </c>
      <c r="G82">
        <v>39</v>
      </c>
      <c r="H82">
        <v>110.774</v>
      </c>
      <c r="I82">
        <v>107.90600000000001</v>
      </c>
      <c r="J82">
        <v>113.61</v>
      </c>
    </row>
    <row r="83" spans="1:10">
      <c r="A83">
        <v>2</v>
      </c>
      <c r="B83">
        <v>61</v>
      </c>
      <c r="C83">
        <v>77</v>
      </c>
      <c r="D83">
        <v>57</v>
      </c>
      <c r="E83">
        <v>30</v>
      </c>
      <c r="F83">
        <v>22</v>
      </c>
      <c r="G83">
        <v>33</v>
      </c>
      <c r="H83">
        <v>94.941999999999993</v>
      </c>
      <c r="I83">
        <v>103.178</v>
      </c>
      <c r="J83">
        <v>94.072999999999993</v>
      </c>
    </row>
    <row r="84" spans="1:10">
      <c r="A84">
        <v>4</v>
      </c>
      <c r="B84">
        <v>65</v>
      </c>
      <c r="C84">
        <v>76</v>
      </c>
      <c r="D84">
        <v>78</v>
      </c>
      <c r="E84">
        <v>26</v>
      </c>
      <c r="F84">
        <v>21</v>
      </c>
      <c r="G84">
        <v>21</v>
      </c>
      <c r="H84">
        <v>94.564999999999998</v>
      </c>
      <c r="I84">
        <v>101.297</v>
      </c>
      <c r="J84">
        <v>102.11199999999999</v>
      </c>
    </row>
    <row r="85" spans="1:10">
      <c r="A85">
        <v>8</v>
      </c>
      <c r="B85">
        <v>60</v>
      </c>
      <c r="C85">
        <v>71</v>
      </c>
      <c r="D85">
        <v>56</v>
      </c>
      <c r="E85">
        <v>34</v>
      </c>
      <c r="F85">
        <v>29</v>
      </c>
      <c r="G85">
        <v>42</v>
      </c>
      <c r="H85">
        <v>97.545000000000002</v>
      </c>
      <c r="I85">
        <v>103.517</v>
      </c>
      <c r="J85">
        <v>101.843</v>
      </c>
    </row>
    <row r="86" spans="1:10">
      <c r="A86">
        <v>16</v>
      </c>
      <c r="B86">
        <v>76</v>
      </c>
      <c r="C86">
        <v>58</v>
      </c>
      <c r="D86">
        <v>74</v>
      </c>
      <c r="E86">
        <v>40</v>
      </c>
      <c r="F86">
        <v>52</v>
      </c>
      <c r="G86">
        <v>38</v>
      </c>
      <c r="H86">
        <v>119.21</v>
      </c>
      <c r="I86">
        <v>113.452</v>
      </c>
      <c r="J86">
        <v>116.57899999999999</v>
      </c>
    </row>
  </sheetData>
  <sheetCalcPr fullCalcOnLoad="1"/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O27"/>
  <sheetViews>
    <sheetView workbookViewId="0">
      <selection activeCell="C28" sqref="C28"/>
    </sheetView>
  </sheetViews>
  <sheetFormatPr baseColWidth="10" defaultRowHeight="13"/>
  <sheetData>
    <row r="1" spans="1:19">
      <c r="A1" t="s">
        <v>239</v>
      </c>
    </row>
    <row r="3" spans="1:19">
      <c r="H3" s="23" t="s">
        <v>206</v>
      </c>
      <c r="I3" s="23"/>
    </row>
    <row r="4" spans="1:19">
      <c r="H4" s="23" t="s">
        <v>207</v>
      </c>
      <c r="I4" s="23"/>
    </row>
    <row r="5" spans="1:19">
      <c r="H5" t="s">
        <v>163</v>
      </c>
      <c r="I5" t="s">
        <v>215</v>
      </c>
      <c r="J5" t="s">
        <v>290</v>
      </c>
    </row>
    <row r="9" spans="1:19" ht="130">
      <c r="A9" s="19" t="s">
        <v>166</v>
      </c>
      <c r="B9" s="19" t="s">
        <v>167</v>
      </c>
      <c r="C9" s="19" t="s">
        <v>168</v>
      </c>
      <c r="D9" s="19" t="s">
        <v>343</v>
      </c>
      <c r="E9" s="19" t="s">
        <v>344</v>
      </c>
      <c r="F9" s="19" t="s">
        <v>232</v>
      </c>
      <c r="G9" s="19" t="s">
        <v>234</v>
      </c>
      <c r="H9" s="19" t="s">
        <v>323</v>
      </c>
      <c r="I9" s="19" t="s">
        <v>322</v>
      </c>
      <c r="J9" s="19" t="s">
        <v>235</v>
      </c>
      <c r="K9" s="19" t="s">
        <v>339</v>
      </c>
      <c r="L9" s="19" t="s">
        <v>340</v>
      </c>
      <c r="M9" s="19" t="s">
        <v>341</v>
      </c>
      <c r="N9" s="19" t="s">
        <v>307</v>
      </c>
      <c r="O9" s="19" t="s">
        <v>220</v>
      </c>
      <c r="P9" s="19" t="s">
        <v>221</v>
      </c>
      <c r="Q9" s="19" t="s">
        <v>410</v>
      </c>
      <c r="R9" s="19" t="s">
        <v>411</v>
      </c>
      <c r="S9" s="19" t="s">
        <v>412</v>
      </c>
    </row>
    <row r="10" spans="1:19">
      <c r="A10">
        <v>4007.3429999999998</v>
      </c>
      <c r="C10">
        <v>4497.6710000000003</v>
      </c>
      <c r="D10">
        <v>36438.785000000003</v>
      </c>
      <c r="E10">
        <v>36438.785000000003</v>
      </c>
      <c r="F10">
        <v>36438.785000000003</v>
      </c>
      <c r="P10">
        <v>529.68499999999995</v>
      </c>
      <c r="R10">
        <v>295.2</v>
      </c>
    </row>
    <row r="11" spans="1:19">
      <c r="A11">
        <v>4258.7510000000002</v>
      </c>
      <c r="C11">
        <v>4528.4319999999998</v>
      </c>
      <c r="D11">
        <v>36438.785000000003</v>
      </c>
      <c r="E11">
        <v>36438.785000000003</v>
      </c>
      <c r="F11">
        <v>36438.785000000003</v>
      </c>
      <c r="P11">
        <v>579.70799999999997</v>
      </c>
      <c r="R11">
        <v>299.42</v>
      </c>
    </row>
    <row r="12" spans="1:19">
      <c r="A12">
        <v>4167.4530000000004</v>
      </c>
      <c r="D12">
        <v>36438.785000000003</v>
      </c>
      <c r="E12">
        <v>36438.785000000003</v>
      </c>
      <c r="F12">
        <v>36438.785000000003</v>
      </c>
      <c r="P12">
        <v>560.18200000000002</v>
      </c>
    </row>
    <row r="13" spans="1:19">
      <c r="A13">
        <v>4258.7510000000002</v>
      </c>
      <c r="D13">
        <v>36438.785000000003</v>
      </c>
      <c r="E13">
        <v>36438.785000000003</v>
      </c>
      <c r="F13">
        <v>36438.785000000003</v>
      </c>
      <c r="P13">
        <v>573.399</v>
      </c>
    </row>
    <row r="23" spans="1:41" ht="104">
      <c r="A23" s="19" t="s">
        <v>231</v>
      </c>
      <c r="B23" s="19" t="s">
        <v>347</v>
      </c>
      <c r="C23" s="19" t="s">
        <v>308</v>
      </c>
      <c r="D23" s="19" t="s">
        <v>287</v>
      </c>
      <c r="E23" s="19" t="s">
        <v>288</v>
      </c>
      <c r="F23" s="19" t="s">
        <v>110</v>
      </c>
      <c r="G23" s="49" t="s">
        <v>175</v>
      </c>
      <c r="H23" s="48"/>
      <c r="I23" s="48"/>
      <c r="J23" s="4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</row>
    <row r="24" spans="1:41">
      <c r="A24">
        <v>5367.8280000000004</v>
      </c>
      <c r="C24">
        <v>4905.9120000000003</v>
      </c>
    </row>
    <row r="25" spans="1:41">
      <c r="A25">
        <v>5315.8459999999995</v>
      </c>
      <c r="C25">
        <v>4943.2259999999997</v>
      </c>
    </row>
    <row r="26" spans="1:41">
      <c r="A26">
        <v>5563.4449999999997</v>
      </c>
    </row>
    <row r="27" spans="1:41">
      <c r="A27">
        <v>5511.2950000000001</v>
      </c>
    </row>
  </sheetData>
  <sheetCalcPr fullCalcOnLoad="1"/>
  <mergeCells count="1">
    <mergeCell ref="G23:J23"/>
  </mergeCells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246"/>
  <sheetViews>
    <sheetView tabSelected="1" topLeftCell="B158" workbookViewId="0">
      <selection activeCell="L183" sqref="L183"/>
    </sheetView>
  </sheetViews>
  <sheetFormatPr baseColWidth="10" defaultRowHeight="13"/>
  <cols>
    <col min="3" max="3" width="11.28515625" customWidth="1"/>
    <col min="9" max="9" width="15.28515625" bestFit="1" customWidth="1"/>
  </cols>
  <sheetData>
    <row r="1" spans="1:25">
      <c r="A1" t="s">
        <v>126</v>
      </c>
    </row>
    <row r="2" spans="1:25">
      <c r="D2" t="s">
        <v>131</v>
      </c>
    </row>
    <row r="6" spans="1:25" s="39" customFormat="1" ht="78">
      <c r="A6" s="39" t="s">
        <v>127</v>
      </c>
      <c r="B6" s="39" t="s">
        <v>130</v>
      </c>
      <c r="C6" s="39" t="s">
        <v>129</v>
      </c>
      <c r="D6" s="39" t="s">
        <v>132</v>
      </c>
      <c r="E6" s="39" t="s">
        <v>133</v>
      </c>
      <c r="F6" s="39" t="s">
        <v>134</v>
      </c>
      <c r="G6" s="39" t="s">
        <v>135</v>
      </c>
      <c r="H6" s="39" t="s">
        <v>136</v>
      </c>
      <c r="I6" s="39" t="s">
        <v>128</v>
      </c>
      <c r="J6" s="39" t="s">
        <v>137</v>
      </c>
      <c r="K6" s="39" t="s">
        <v>138</v>
      </c>
      <c r="W6" s="39" t="s">
        <v>197</v>
      </c>
      <c r="X6" s="39" t="s">
        <v>198</v>
      </c>
      <c r="Y6" s="39" t="s">
        <v>199</v>
      </c>
    </row>
    <row r="7" spans="1:25">
      <c r="A7">
        <v>1</v>
      </c>
      <c r="B7">
        <v>8</v>
      </c>
      <c r="C7">
        <v>15.691000000000001</v>
      </c>
      <c r="D7">
        <v>0</v>
      </c>
      <c r="E7">
        <v>65</v>
      </c>
      <c r="F7">
        <v>82</v>
      </c>
      <c r="G7">
        <v>103</v>
      </c>
      <c r="H7">
        <f>E7-D7</f>
        <v>65</v>
      </c>
      <c r="I7">
        <f>F7-E7</f>
        <v>17</v>
      </c>
      <c r="J7">
        <f>G7-F7</f>
        <v>21</v>
      </c>
      <c r="K7">
        <f>G7+C7</f>
        <v>118.691</v>
      </c>
      <c r="L7" t="s">
        <v>139</v>
      </c>
      <c r="M7">
        <f>AVERAGE(C7:C9)</f>
        <v>14.173</v>
      </c>
      <c r="N7">
        <f t="shared" ref="N7" si="0">AVERAGE(D7:D9)</f>
        <v>0</v>
      </c>
      <c r="O7">
        <f t="shared" ref="O7" si="1">AVERAGE(E7:E9)</f>
        <v>68.666666666666671</v>
      </c>
      <c r="P7">
        <f t="shared" ref="P7" si="2">AVERAGE(F7:F9)</f>
        <v>84.333333333333329</v>
      </c>
      <c r="Q7">
        <f t="shared" ref="Q7" si="3">AVERAGE(G7:G9)</f>
        <v>106.33333333333333</v>
      </c>
      <c r="R7">
        <f t="shared" ref="R7" si="4">AVERAGE(H7:H9)</f>
        <v>68.666666666666671</v>
      </c>
      <c r="S7">
        <f t="shared" ref="S7" si="5">AVERAGE(I7:I9)</f>
        <v>15.666666666666666</v>
      </c>
      <c r="T7">
        <f t="shared" ref="T7" si="6">AVERAGE(J7:J9)</f>
        <v>22</v>
      </c>
      <c r="U7">
        <f t="shared" ref="U7" si="7">AVERAGE(K7:K9)</f>
        <v>120.50633333333333</v>
      </c>
      <c r="W7">
        <v>1</v>
      </c>
      <c r="X7">
        <v>120</v>
      </c>
      <c r="Y7">
        <v>185</v>
      </c>
    </row>
    <row r="8" spans="1:25">
      <c r="C8">
        <v>13.010999999999999</v>
      </c>
      <c r="D8">
        <v>0</v>
      </c>
      <c r="E8">
        <v>72</v>
      </c>
      <c r="F8">
        <v>87</v>
      </c>
      <c r="G8">
        <v>109</v>
      </c>
      <c r="H8">
        <f t="shared" ref="H8:H9" si="8">E8-D8</f>
        <v>72</v>
      </c>
      <c r="I8">
        <f t="shared" ref="I8:I9" si="9">F8-E8</f>
        <v>15</v>
      </c>
      <c r="J8">
        <f t="shared" ref="J8:J9" si="10">G8-F8</f>
        <v>22</v>
      </c>
      <c r="K8">
        <f t="shared" ref="K8:K9" si="11">G8+C8</f>
        <v>122.011</v>
      </c>
      <c r="L8" t="s">
        <v>140</v>
      </c>
      <c r="M8">
        <f>STDEV(C7:C9)/SQRT(3)</f>
        <v>0.79386228864542274</v>
      </c>
      <c r="N8">
        <f t="shared" ref="N8" si="12">STDEV(D7:D9)/SQRT(3)</f>
        <v>0</v>
      </c>
      <c r="O8">
        <f t="shared" ref="O8" si="13">STDEV(E7:E9)/SQRT(3)</f>
        <v>2.0275875100993819</v>
      </c>
      <c r="P8">
        <f t="shared" ref="P8" si="14">STDEV(F7:F9)/SQRT(3)</f>
        <v>1.4529663145136276</v>
      </c>
      <c r="Q8">
        <f t="shared" ref="Q8" si="15">STDEV(G7:G9)/SQRT(3)</f>
        <v>1.7638342073762794</v>
      </c>
      <c r="R8">
        <f t="shared" ref="R8" si="16">STDEV(H7:H9)/SQRT(3)</f>
        <v>2.0275875100993819</v>
      </c>
      <c r="S8">
        <f t="shared" ref="S8" si="17">STDEV(I7:I9)/SQRT(3)</f>
        <v>0.66666666666666197</v>
      </c>
      <c r="T8">
        <f t="shared" ref="T8" si="18">STDEV(J7:J9)/SQRT(3)</f>
        <v>0.57735026918962584</v>
      </c>
      <c r="U8">
        <f t="shared" ref="U8" si="19">STDEV(K7:K9)/SQRT(3)</f>
        <v>0.97090770816683791</v>
      </c>
      <c r="W8">
        <v>2</v>
      </c>
      <c r="X8">
        <v>163</v>
      </c>
      <c r="Y8">
        <v>292</v>
      </c>
    </row>
    <row r="9" spans="1:25">
      <c r="C9">
        <v>13.817</v>
      </c>
      <c r="D9">
        <v>0</v>
      </c>
      <c r="E9">
        <v>69</v>
      </c>
      <c r="F9">
        <v>84</v>
      </c>
      <c r="G9">
        <v>107</v>
      </c>
      <c r="H9">
        <f t="shared" si="8"/>
        <v>69</v>
      </c>
      <c r="I9">
        <f t="shared" si="9"/>
        <v>15</v>
      </c>
      <c r="J9">
        <f t="shared" si="10"/>
        <v>23</v>
      </c>
      <c r="K9">
        <f t="shared" si="11"/>
        <v>120.81700000000001</v>
      </c>
      <c r="W9">
        <v>4</v>
      </c>
      <c r="X9">
        <v>267.24</v>
      </c>
      <c r="Y9">
        <v>536</v>
      </c>
    </row>
    <row r="11" spans="1:25">
      <c r="A11">
        <v>2</v>
      </c>
      <c r="B11">
        <v>16</v>
      </c>
      <c r="C11">
        <v>25.291</v>
      </c>
      <c r="D11">
        <v>0</v>
      </c>
      <c r="E11">
        <v>73</v>
      </c>
      <c r="F11">
        <v>105</v>
      </c>
      <c r="G11">
        <v>142</v>
      </c>
      <c r="H11">
        <f>E11-D11</f>
        <v>73</v>
      </c>
      <c r="I11">
        <f>F11-E11</f>
        <v>32</v>
      </c>
      <c r="J11">
        <f>G11-F11</f>
        <v>37</v>
      </c>
      <c r="K11">
        <f>G11+C11</f>
        <v>167.291</v>
      </c>
      <c r="L11" t="s">
        <v>139</v>
      </c>
      <c r="M11">
        <f>AVERAGE(C11:C13)</f>
        <v>24.209</v>
      </c>
      <c r="N11">
        <f t="shared" ref="N11" si="20">AVERAGE(D11:D13)</f>
        <v>0</v>
      </c>
      <c r="O11">
        <f t="shared" ref="O11" si="21">AVERAGE(E11:E13)</f>
        <v>73.333333333333329</v>
      </c>
      <c r="P11">
        <f t="shared" ref="P11" si="22">AVERAGE(F11:F13)</f>
        <v>111</v>
      </c>
      <c r="Q11">
        <f t="shared" ref="Q11" si="23">AVERAGE(G11:G13)</f>
        <v>139.33333333333334</v>
      </c>
      <c r="R11">
        <f t="shared" ref="R11" si="24">AVERAGE(H11:H13)</f>
        <v>73.333333333333329</v>
      </c>
      <c r="S11">
        <f t="shared" ref="S11" si="25">AVERAGE(I11:I13)</f>
        <v>37.666666666666664</v>
      </c>
      <c r="T11">
        <f t="shared" ref="T11" si="26">AVERAGE(J11:J13)</f>
        <v>28.333333333333332</v>
      </c>
      <c r="U11">
        <f t="shared" ref="U11" si="27">AVERAGE(K11:K13)</f>
        <v>163.54233333333335</v>
      </c>
    </row>
    <row r="12" spans="1:25">
      <c r="C12">
        <v>23.096</v>
      </c>
      <c r="D12">
        <v>0</v>
      </c>
      <c r="E12">
        <v>74</v>
      </c>
      <c r="F12">
        <v>110</v>
      </c>
      <c r="G12">
        <v>135</v>
      </c>
      <c r="H12">
        <f t="shared" ref="H12:H13" si="28">E12-D12</f>
        <v>74</v>
      </c>
      <c r="I12">
        <f t="shared" ref="I12:I13" si="29">F12-E12</f>
        <v>36</v>
      </c>
      <c r="J12">
        <f t="shared" ref="J12:J13" si="30">G12-F12</f>
        <v>25</v>
      </c>
      <c r="K12">
        <f t="shared" ref="K12:K13" si="31">G12+C12</f>
        <v>158.096</v>
      </c>
      <c r="L12" t="s">
        <v>140</v>
      </c>
      <c r="M12">
        <f>STDEV(C11:C13)/SQRT(3)</f>
        <v>0.63383147076599422</v>
      </c>
      <c r="N12">
        <f t="shared" ref="N12" si="32">STDEV(D11:D13)/SQRT(3)</f>
        <v>0</v>
      </c>
      <c r="O12">
        <f t="shared" ref="O12" si="33">STDEV(E11:E13)/SQRT(3)</f>
        <v>0.33333333333318171</v>
      </c>
      <c r="P12">
        <f t="shared" ref="P12" si="34">STDEV(F11:F13)/SQRT(3)</f>
        <v>3.7859388972001824</v>
      </c>
      <c r="Q12">
        <f t="shared" ref="Q12" si="35">STDEV(G11:G13)/SQRT(3)</f>
        <v>2.1858128414339077</v>
      </c>
      <c r="R12">
        <f t="shared" ref="R12" si="36">STDEV(H11:H13)/SQRT(3)</f>
        <v>0.33333333333318171</v>
      </c>
      <c r="S12">
        <f t="shared" ref="S12" si="37">STDEV(I11:I13)/SQRT(3)</f>
        <v>3.8441875315569387</v>
      </c>
      <c r="T12">
        <f t="shared" ref="T12" si="38">STDEV(J11:J13)/SQRT(3)</f>
        <v>4.3716256828679976</v>
      </c>
      <c r="U12">
        <f t="shared" ref="U12" si="39">STDEV(K11:K13)/SQRT(3)</f>
        <v>2.7867878960868842</v>
      </c>
    </row>
    <row r="13" spans="1:25">
      <c r="C13">
        <v>24.24</v>
      </c>
      <c r="D13">
        <v>0</v>
      </c>
      <c r="E13">
        <v>73</v>
      </c>
      <c r="F13">
        <v>118</v>
      </c>
      <c r="G13">
        <v>141</v>
      </c>
      <c r="H13">
        <f t="shared" si="28"/>
        <v>73</v>
      </c>
      <c r="I13">
        <f t="shared" si="29"/>
        <v>45</v>
      </c>
      <c r="J13">
        <f t="shared" si="30"/>
        <v>23</v>
      </c>
      <c r="K13">
        <f t="shared" si="31"/>
        <v>165.24</v>
      </c>
    </row>
    <row r="17" spans="1:21">
      <c r="A17">
        <v>4</v>
      </c>
      <c r="B17">
        <v>32</v>
      </c>
      <c r="C17">
        <v>51.475000000000001</v>
      </c>
      <c r="D17">
        <v>0</v>
      </c>
      <c r="E17">
        <v>84</v>
      </c>
      <c r="F17">
        <v>180</v>
      </c>
      <c r="G17">
        <v>211</v>
      </c>
      <c r="H17">
        <f t="shared" ref="H17:J19" si="40">E17-D17</f>
        <v>84</v>
      </c>
      <c r="I17">
        <f t="shared" si="40"/>
        <v>96</v>
      </c>
      <c r="J17">
        <f t="shared" si="40"/>
        <v>31</v>
      </c>
      <c r="K17">
        <f>G17+C17</f>
        <v>262.47500000000002</v>
      </c>
      <c r="L17" t="s">
        <v>139</v>
      </c>
      <c r="M17">
        <f>AVERAGE(C17:C19)</f>
        <v>54.237000000000002</v>
      </c>
      <c r="N17">
        <f t="shared" ref="N17:T17" si="41">AVERAGE(D17:D19)</f>
        <v>0</v>
      </c>
      <c r="O17">
        <f t="shared" si="41"/>
        <v>86</v>
      </c>
      <c r="P17">
        <f t="shared" si="41"/>
        <v>182.66666666666666</v>
      </c>
      <c r="Q17">
        <f t="shared" si="41"/>
        <v>213</v>
      </c>
      <c r="R17">
        <f t="shared" si="41"/>
        <v>86</v>
      </c>
      <c r="S17">
        <f t="shared" si="41"/>
        <v>96.666666666666671</v>
      </c>
      <c r="T17">
        <f t="shared" si="41"/>
        <v>30.333333333333332</v>
      </c>
      <c r="U17">
        <f t="shared" ref="U17" si="42">AVERAGE(K17:K19)</f>
        <v>267.23700000000002</v>
      </c>
    </row>
    <row r="18" spans="1:21">
      <c r="C18">
        <v>60.715000000000003</v>
      </c>
      <c r="D18">
        <v>0</v>
      </c>
      <c r="E18">
        <v>83</v>
      </c>
      <c r="F18">
        <v>186</v>
      </c>
      <c r="G18">
        <v>214</v>
      </c>
      <c r="H18">
        <f t="shared" si="40"/>
        <v>83</v>
      </c>
      <c r="I18">
        <f t="shared" si="40"/>
        <v>103</v>
      </c>
      <c r="J18">
        <f t="shared" si="40"/>
        <v>28</v>
      </c>
      <c r="K18">
        <f>G18+C18</f>
        <v>274.71500000000003</v>
      </c>
      <c r="L18" t="s">
        <v>140</v>
      </c>
      <c r="M18">
        <f>STDEV(C17:C19)/SQRT(3)</f>
        <v>3.250686696684248</v>
      </c>
      <c r="N18">
        <f t="shared" ref="N18:U18" si="43">STDEV(D17:D19)/SQRT(3)</f>
        <v>0</v>
      </c>
      <c r="O18">
        <f t="shared" si="43"/>
        <v>2.5166114784235836</v>
      </c>
      <c r="P18">
        <f t="shared" si="43"/>
        <v>1.7638342073766229</v>
      </c>
      <c r="Q18">
        <f t="shared" si="43"/>
        <v>1</v>
      </c>
      <c r="R18">
        <f t="shared" si="43"/>
        <v>2.5166114784235836</v>
      </c>
      <c r="S18">
        <f t="shared" si="43"/>
        <v>3.4801021696368792</v>
      </c>
      <c r="T18">
        <f t="shared" si="43"/>
        <v>1.2018504251546527</v>
      </c>
      <c r="U18">
        <f t="shared" si="43"/>
        <v>3.7853618056937601</v>
      </c>
    </row>
    <row r="19" spans="1:21">
      <c r="C19">
        <v>50.521000000000001</v>
      </c>
      <c r="D19">
        <v>0</v>
      </c>
      <c r="E19">
        <v>91</v>
      </c>
      <c r="F19">
        <v>182</v>
      </c>
      <c r="G19">
        <v>214</v>
      </c>
      <c r="H19">
        <f t="shared" si="40"/>
        <v>91</v>
      </c>
      <c r="I19">
        <f t="shared" si="40"/>
        <v>91</v>
      </c>
      <c r="J19">
        <f t="shared" si="40"/>
        <v>32</v>
      </c>
      <c r="K19">
        <f>G19+C19</f>
        <v>264.52100000000002</v>
      </c>
    </row>
    <row r="24" spans="1:21">
      <c r="A24">
        <v>8</v>
      </c>
    </row>
    <row r="29" spans="1:21">
      <c r="A29">
        <v>16</v>
      </c>
      <c r="B29">
        <v>128</v>
      </c>
    </row>
    <row r="43" spans="1:21" ht="39">
      <c r="A43" s="39" t="s">
        <v>127</v>
      </c>
      <c r="B43" s="39" t="s">
        <v>130</v>
      </c>
      <c r="C43" s="39" t="s">
        <v>129</v>
      </c>
      <c r="D43" s="39" t="s">
        <v>132</v>
      </c>
      <c r="E43" s="39" t="s">
        <v>133</v>
      </c>
      <c r="F43" s="39" t="s">
        <v>134</v>
      </c>
      <c r="G43" s="39" t="s">
        <v>135</v>
      </c>
      <c r="H43" s="39" t="s">
        <v>136</v>
      </c>
      <c r="I43" s="39" t="s">
        <v>128</v>
      </c>
      <c r="J43" s="39" t="s">
        <v>137</v>
      </c>
      <c r="K43" s="39" t="s">
        <v>138</v>
      </c>
      <c r="M43">
        <f>((M44-M7)/M7)*100</f>
        <v>172.2923869329006</v>
      </c>
      <c r="O43">
        <f t="shared" ref="O43" si="44">((O44-O7)/O7)*100</f>
        <v>38.349514563106787</v>
      </c>
      <c r="P43">
        <f t="shared" ref="P43" si="45">((P44-P7)/P7)*100</f>
        <v>32.806324110671945</v>
      </c>
      <c r="Q43">
        <f t="shared" ref="Q43" si="46">((Q44-Q7)/Q7)*100</f>
        <v>37.931034482758619</v>
      </c>
      <c r="R43">
        <f t="shared" ref="R43" si="47">((R44-R7)/R7)*100</f>
        <v>36.893203883495133</v>
      </c>
      <c r="S43">
        <f t="shared" ref="S43" si="48">((S44-S7)/S7)*100</f>
        <v>8.5106382978723438</v>
      </c>
      <c r="T43">
        <f t="shared" ref="T43" si="49">((T44-T7)/T7)*100</f>
        <v>57.575757575757571</v>
      </c>
      <c r="U43">
        <f t="shared" ref="U43" si="50">((U44-U7)/U7)*100</f>
        <v>53.73355204014176</v>
      </c>
    </row>
    <row r="44" spans="1:21">
      <c r="A44">
        <v>1</v>
      </c>
      <c r="B44">
        <v>8</v>
      </c>
      <c r="C44">
        <v>39.609000000000002</v>
      </c>
      <c r="D44">
        <v>1</v>
      </c>
      <c r="E44">
        <v>98</v>
      </c>
      <c r="F44">
        <v>115</v>
      </c>
      <c r="G44">
        <v>152</v>
      </c>
      <c r="H44">
        <f>E44-D44</f>
        <v>97</v>
      </c>
      <c r="I44">
        <f>F44-E44</f>
        <v>17</v>
      </c>
      <c r="J44">
        <f>G44-F44</f>
        <v>37</v>
      </c>
      <c r="K44">
        <f>G44+C44</f>
        <v>191.60900000000001</v>
      </c>
      <c r="L44" t="s">
        <v>139</v>
      </c>
      <c r="M44">
        <f>AVERAGE(C44:C46)</f>
        <v>38.592000000000006</v>
      </c>
      <c r="N44">
        <f t="shared" ref="N44" si="51">AVERAGE(D44:D46)</f>
        <v>1</v>
      </c>
      <c r="O44">
        <f t="shared" ref="O44" si="52">AVERAGE(E44:E46)</f>
        <v>95</v>
      </c>
      <c r="P44">
        <f t="shared" ref="P44" si="53">AVERAGE(F44:F46)</f>
        <v>112</v>
      </c>
      <c r="Q44">
        <f t="shared" ref="Q44" si="54">AVERAGE(G44:G46)</f>
        <v>146.66666666666666</v>
      </c>
      <c r="R44">
        <f t="shared" ref="R44" si="55">AVERAGE(H44:H46)</f>
        <v>94</v>
      </c>
      <c r="S44">
        <f t="shared" ref="S44" si="56">AVERAGE(I44:I46)</f>
        <v>17</v>
      </c>
      <c r="T44">
        <f t="shared" ref="T44" si="57">AVERAGE(J44:J46)</f>
        <v>34.666666666666664</v>
      </c>
      <c r="U44">
        <f t="shared" ref="U44" si="58">AVERAGE(K44:K46)</f>
        <v>185.2586666666667</v>
      </c>
    </row>
    <row r="45" spans="1:21">
      <c r="C45">
        <v>37.47</v>
      </c>
      <c r="D45">
        <v>1</v>
      </c>
      <c r="E45">
        <v>95</v>
      </c>
      <c r="F45">
        <v>112</v>
      </c>
      <c r="G45">
        <v>145</v>
      </c>
      <c r="H45">
        <f t="shared" ref="H45:H46" si="59">E45-D45</f>
        <v>94</v>
      </c>
      <c r="I45">
        <f t="shared" ref="I45:I46" si="60">F45-E45</f>
        <v>17</v>
      </c>
      <c r="J45">
        <f t="shared" ref="J45:J46" si="61">G45-F45</f>
        <v>33</v>
      </c>
      <c r="K45">
        <f t="shared" ref="K45:K46" si="62">G45+C45</f>
        <v>182.47</v>
      </c>
      <c r="L45" t="s">
        <v>338</v>
      </c>
      <c r="M45">
        <f>1.96*(STDEV(C44:C46)/SQRT(3))</f>
        <v>1.2146197646999992</v>
      </c>
      <c r="N45">
        <f t="shared" ref="N45" si="63">STDEV(D44:D46)/SQRT(3)</f>
        <v>0</v>
      </c>
      <c r="O45">
        <f t="shared" ref="O45" si="64">STDEV(E44:E46)/SQRT(3)</f>
        <v>1.7320508075688774</v>
      </c>
      <c r="P45">
        <f t="shared" ref="P45" si="65">STDEV(F44:F46)/SQRT(3)</f>
        <v>1.7320508075688774</v>
      </c>
      <c r="Q45">
        <f t="shared" ref="Q45" si="66">STDEV(G44:G46)/SQRT(3)</f>
        <v>2.7284509239574093</v>
      </c>
      <c r="R45">
        <f t="shared" ref="R45" si="67">STDEV(H44:H46)/SQRT(3)</f>
        <v>1.7320508075688774</v>
      </c>
      <c r="S45">
        <f t="shared" ref="S45" si="68">STDEV(I44:I46)/SQRT(3)</f>
        <v>0</v>
      </c>
      <c r="T45">
        <f t="shared" ref="T45" si="69">STDEV(J44:J46)/SQRT(3)</f>
        <v>1.2018504251546527</v>
      </c>
      <c r="U45">
        <f t="shared" ref="U45" si="70">STDEV(K44:K46)/SQRT(3)</f>
        <v>3.182998184800359</v>
      </c>
    </row>
    <row r="46" spans="1:21">
      <c r="C46">
        <v>38.697000000000003</v>
      </c>
      <c r="D46">
        <v>1</v>
      </c>
      <c r="E46">
        <v>92</v>
      </c>
      <c r="F46">
        <v>109</v>
      </c>
      <c r="G46">
        <v>143</v>
      </c>
      <c r="H46">
        <f t="shared" si="59"/>
        <v>91</v>
      </c>
      <c r="I46">
        <f t="shared" si="60"/>
        <v>17</v>
      </c>
      <c r="J46">
        <f t="shared" si="61"/>
        <v>34</v>
      </c>
      <c r="K46">
        <f t="shared" si="62"/>
        <v>181.697</v>
      </c>
    </row>
    <row r="49" spans="1:21">
      <c r="M49">
        <f>((M50-M11)/M11)*100</f>
        <v>209.31334076858462</v>
      </c>
      <c r="O49">
        <f t="shared" ref="O49:U49" si="71">((O50-O11)/O11)*100</f>
        <v>82.727272727272734</v>
      </c>
      <c r="P49">
        <f t="shared" si="71"/>
        <v>70.270270270270274</v>
      </c>
      <c r="Q49">
        <f t="shared" si="71"/>
        <v>60.765550239234436</v>
      </c>
      <c r="R49">
        <f t="shared" si="71"/>
        <v>81.363636363636374</v>
      </c>
      <c r="S49">
        <f t="shared" si="71"/>
        <v>46.017699115044259</v>
      </c>
      <c r="T49">
        <f t="shared" si="71"/>
        <v>23.529411764705888</v>
      </c>
      <c r="U49">
        <f t="shared" si="71"/>
        <v>82.754923801584496</v>
      </c>
    </row>
    <row r="50" spans="1:21">
      <c r="A50">
        <v>2</v>
      </c>
      <c r="B50">
        <v>16</v>
      </c>
      <c r="C50">
        <v>75.665999999999997</v>
      </c>
      <c r="D50">
        <v>1</v>
      </c>
      <c r="E50">
        <v>130</v>
      </c>
      <c r="F50">
        <v>187</v>
      </c>
      <c r="G50">
        <v>222</v>
      </c>
      <c r="H50">
        <f t="shared" ref="H50:J52" si="72">E50-D50</f>
        <v>129</v>
      </c>
      <c r="I50">
        <f t="shared" si="72"/>
        <v>57</v>
      </c>
      <c r="J50">
        <f t="shared" si="72"/>
        <v>35</v>
      </c>
      <c r="K50">
        <f>G50+C50</f>
        <v>297.666</v>
      </c>
      <c r="L50" t="s">
        <v>139</v>
      </c>
      <c r="M50">
        <f>AVERAGE(C50:C52)</f>
        <v>74.881666666666661</v>
      </c>
      <c r="N50">
        <f t="shared" ref="N50" si="73">AVERAGE(D50:D52)</f>
        <v>1</v>
      </c>
      <c r="O50">
        <f t="shared" ref="O50" si="74">AVERAGE(E50:E52)</f>
        <v>134</v>
      </c>
      <c r="P50">
        <f t="shared" ref="P50" si="75">AVERAGE(F50:F52)</f>
        <v>189</v>
      </c>
      <c r="Q50">
        <f t="shared" ref="Q50" si="76">AVERAGE(G50:G52)</f>
        <v>224</v>
      </c>
      <c r="R50">
        <f t="shared" ref="R50" si="77">AVERAGE(H50:H52)</f>
        <v>133</v>
      </c>
      <c r="S50">
        <f t="shared" ref="S50" si="78">AVERAGE(I50:I52)</f>
        <v>55</v>
      </c>
      <c r="T50">
        <f t="shared" ref="T50" si="79">AVERAGE(J50:J52)</f>
        <v>35</v>
      </c>
      <c r="U50">
        <f t="shared" ref="U50" si="80">AVERAGE(K50:K52)</f>
        <v>298.88166666666666</v>
      </c>
    </row>
    <row r="51" spans="1:21">
      <c r="C51">
        <v>73.010000000000005</v>
      </c>
      <c r="D51">
        <v>1</v>
      </c>
      <c r="E51">
        <v>133</v>
      </c>
      <c r="F51">
        <v>185</v>
      </c>
      <c r="G51">
        <v>226</v>
      </c>
      <c r="H51">
        <f t="shared" si="72"/>
        <v>132</v>
      </c>
      <c r="I51">
        <f t="shared" si="72"/>
        <v>52</v>
      </c>
      <c r="J51">
        <f t="shared" si="72"/>
        <v>41</v>
      </c>
      <c r="K51">
        <f>G51+C51</f>
        <v>299.01</v>
      </c>
      <c r="L51" t="s">
        <v>338</v>
      </c>
      <c r="M51">
        <f>1.96*(STDEV(C50:C52)/SQRT(3))</f>
        <v>1.842227738992152</v>
      </c>
      <c r="N51">
        <f t="shared" ref="N51" si="81">STDEV(D50:D52)/SQRT(3)</f>
        <v>0</v>
      </c>
      <c r="O51">
        <f t="shared" ref="O51" si="82">STDEV(E50:E52)/SQRT(3)</f>
        <v>2.6457513110645907</v>
      </c>
      <c r="P51">
        <f t="shared" ref="P51" si="83">STDEV(F50:F52)/SQRT(3)</f>
        <v>3.0550504633038935</v>
      </c>
      <c r="Q51">
        <f t="shared" ref="Q51" si="84">STDEV(G50:G52)/SQRT(3)</f>
        <v>1.1547005383792517</v>
      </c>
      <c r="R51">
        <f t="shared" ref="R51" si="85">STDEV(H50:H52)/SQRT(3)</f>
        <v>2.6457513110645907</v>
      </c>
      <c r="S51">
        <f t="shared" ref="S51" si="86">STDEV(I50:I52)/SQRT(3)</f>
        <v>1.5275252316519468</v>
      </c>
      <c r="T51">
        <f t="shared" ref="T51" si="87">STDEV(J50:J52)/SQRT(3)</f>
        <v>3.4641016151377548</v>
      </c>
      <c r="U51">
        <f t="shared" ref="U51" si="88">STDEV(K50:K52)/SQRT(3)</f>
        <v>0.66790826049954832</v>
      </c>
    </row>
    <row r="52" spans="1:21">
      <c r="C52">
        <v>75.968999999999994</v>
      </c>
      <c r="D52">
        <v>1</v>
      </c>
      <c r="E52">
        <v>139</v>
      </c>
      <c r="F52">
        <v>195</v>
      </c>
      <c r="G52">
        <v>224</v>
      </c>
      <c r="H52">
        <f t="shared" si="72"/>
        <v>138</v>
      </c>
      <c r="I52">
        <f t="shared" si="72"/>
        <v>56</v>
      </c>
      <c r="J52">
        <f t="shared" si="72"/>
        <v>29</v>
      </c>
      <c r="K52">
        <f>G52+C52</f>
        <v>299.96899999999999</v>
      </c>
    </row>
    <row r="53" spans="1:21">
      <c r="M53">
        <f>((M54-M17)/M17)*100</f>
        <v>178.75374129591734</v>
      </c>
      <c r="O53">
        <f t="shared" ref="O53:U53" si="89">((O54-O17)/O17)*100</f>
        <v>175.19379844961239</v>
      </c>
      <c r="P53">
        <f t="shared" si="89"/>
        <v>86.861313868613138</v>
      </c>
      <c r="Q53">
        <f t="shared" si="89"/>
        <v>81.220657276995297</v>
      </c>
      <c r="R53">
        <f t="shared" si="89"/>
        <v>174.03100775193798</v>
      </c>
      <c r="S53">
        <f t="shared" si="89"/>
        <v>8.2758620689655178</v>
      </c>
      <c r="T53">
        <f t="shared" si="89"/>
        <v>47.252747252747248</v>
      </c>
      <c r="U53">
        <f t="shared" si="89"/>
        <v>100.64125351903613</v>
      </c>
    </row>
    <row r="54" spans="1:21">
      <c r="A54">
        <v>4</v>
      </c>
      <c r="B54">
        <v>32</v>
      </c>
      <c r="C54">
        <v>155.482</v>
      </c>
      <c r="D54">
        <v>1</v>
      </c>
      <c r="E54">
        <v>231</v>
      </c>
      <c r="F54">
        <v>345</v>
      </c>
      <c r="G54">
        <v>380</v>
      </c>
      <c r="H54">
        <f>E54-D54</f>
        <v>230</v>
      </c>
      <c r="I54">
        <f t="shared" ref="I54:J56" si="90">F54-E54</f>
        <v>114</v>
      </c>
      <c r="J54">
        <f t="shared" si="90"/>
        <v>35</v>
      </c>
      <c r="K54">
        <f>H54+I54+J54+C54</f>
        <v>534.48199999999997</v>
      </c>
      <c r="L54" t="s">
        <v>139</v>
      </c>
      <c r="M54">
        <f>AVERAGE(C54:C56)</f>
        <v>151.18766666666667</v>
      </c>
      <c r="N54">
        <f t="shared" ref="N54" si="91">AVERAGE(D54:D56)</f>
        <v>1</v>
      </c>
      <c r="O54">
        <f t="shared" ref="O54" si="92">AVERAGE(E54:E56)</f>
        <v>236.66666666666666</v>
      </c>
      <c r="P54">
        <f t="shared" ref="P54" si="93">AVERAGE(F54:F56)</f>
        <v>341.33333333333331</v>
      </c>
      <c r="Q54">
        <f t="shared" ref="Q54" si="94">AVERAGE(G54:G56)</f>
        <v>386</v>
      </c>
      <c r="R54">
        <f t="shared" ref="R54" si="95">AVERAGE(H54:H56)</f>
        <v>235.66666666666666</v>
      </c>
      <c r="S54">
        <f t="shared" ref="S54" si="96">AVERAGE(I54:I56)</f>
        <v>104.66666666666667</v>
      </c>
      <c r="T54">
        <f t="shared" ref="T54" si="97">AVERAGE(J54:J56)</f>
        <v>44.666666666666664</v>
      </c>
      <c r="U54">
        <f t="shared" ref="U54" si="98">AVERAGE(K54:K56)</f>
        <v>536.18766666666659</v>
      </c>
    </row>
    <row r="55" spans="1:21">
      <c r="C55">
        <v>147.995</v>
      </c>
      <c r="D55">
        <v>1</v>
      </c>
      <c r="E55">
        <v>240</v>
      </c>
      <c r="F55">
        <v>341</v>
      </c>
      <c r="G55">
        <v>385</v>
      </c>
      <c r="H55">
        <f t="shared" ref="H55:H56" si="99">E55-D55</f>
        <v>239</v>
      </c>
      <c r="I55">
        <f t="shared" si="90"/>
        <v>101</v>
      </c>
      <c r="J55">
        <f t="shared" si="90"/>
        <v>44</v>
      </c>
      <c r="K55">
        <f t="shared" ref="K55:K56" si="100">H55+I55+J55+C55</f>
        <v>531.995</v>
      </c>
      <c r="L55" t="s">
        <v>338</v>
      </c>
      <c r="M55">
        <f>1.96*(STDEV(C54:C56)/SQRT(3))</f>
        <v>4.3715828068316958</v>
      </c>
      <c r="N55">
        <f t="shared" ref="N55" si="101">STDEV(D54:D56)/SQRT(3)</f>
        <v>0</v>
      </c>
      <c r="O55">
        <f t="shared" ref="O55" si="102">STDEV(E54:E56)/SQRT(3)</f>
        <v>2.8480012484388935</v>
      </c>
      <c r="P55">
        <f t="shared" ref="P55" si="103">STDEV(F54:F56)/SQRT(3)</f>
        <v>2.0275875101002043</v>
      </c>
      <c r="Q55">
        <f t="shared" ref="Q55" si="104">STDEV(G54:G56)/SQRT(3)</f>
        <v>3.7859388972001824</v>
      </c>
      <c r="R55">
        <f t="shared" ref="R55" si="105">STDEV(H54:H56)/SQRT(3)</f>
        <v>2.8480012484388935</v>
      </c>
      <c r="S55">
        <f t="shared" ref="S55" si="106">STDEV(I54:I56)/SQRT(3)</f>
        <v>4.7022453265552517</v>
      </c>
      <c r="T55">
        <f t="shared" ref="T55" si="107">STDEV(J54:J56)/SQRT(3)</f>
        <v>5.7831171909658288</v>
      </c>
      <c r="U55">
        <f t="shared" ref="U55" si="108">STDEV(K54:K56)/SQRT(3)</f>
        <v>3.0352948419862908</v>
      </c>
    </row>
    <row r="56" spans="1:21">
      <c r="C56">
        <v>150.08600000000001</v>
      </c>
      <c r="D56">
        <v>1</v>
      </c>
      <c r="E56">
        <v>239</v>
      </c>
      <c r="F56">
        <v>338</v>
      </c>
      <c r="G56">
        <v>393</v>
      </c>
      <c r="H56">
        <f t="shared" si="99"/>
        <v>238</v>
      </c>
      <c r="I56">
        <f t="shared" si="90"/>
        <v>99</v>
      </c>
      <c r="J56">
        <f t="shared" si="90"/>
        <v>55</v>
      </c>
      <c r="K56">
        <f t="shared" si="100"/>
        <v>542.08600000000001</v>
      </c>
    </row>
    <row r="58" spans="1:21">
      <c r="A58">
        <v>8</v>
      </c>
      <c r="B58">
        <v>64</v>
      </c>
      <c r="C58">
        <v>308.92899999999997</v>
      </c>
      <c r="D58">
        <v>1</v>
      </c>
      <c r="E58">
        <v>463</v>
      </c>
      <c r="F58">
        <v>656</v>
      </c>
      <c r="G58">
        <v>730</v>
      </c>
      <c r="H58">
        <f t="shared" ref="H58:J62" si="109">E58-D58</f>
        <v>462</v>
      </c>
      <c r="I58">
        <f t="shared" si="109"/>
        <v>193</v>
      </c>
      <c r="J58">
        <f t="shared" si="109"/>
        <v>74</v>
      </c>
      <c r="K58">
        <f>H58+I58+J58+C58</f>
        <v>1037.9290000000001</v>
      </c>
      <c r="L58" t="s">
        <v>139</v>
      </c>
      <c r="M58">
        <f>AVERAGE(C58:C60)</f>
        <v>332.16666666666669</v>
      </c>
      <c r="N58">
        <f t="shared" ref="N58" si="110">AVERAGE(D58:D60)</f>
        <v>1</v>
      </c>
      <c r="O58">
        <f t="shared" ref="O58" si="111">AVERAGE(E58:E60)</f>
        <v>467.66666666666669</v>
      </c>
      <c r="P58">
        <f t="shared" ref="P58" si="112">AVERAGE(F58:F60)</f>
        <v>676.66666666666663</v>
      </c>
      <c r="Q58">
        <f t="shared" ref="Q58" si="113">AVERAGE(G58:G60)</f>
        <v>747.66666666666663</v>
      </c>
      <c r="R58">
        <f t="shared" ref="R58" si="114">AVERAGE(H58:H60)</f>
        <v>466.66666666666669</v>
      </c>
      <c r="S58">
        <f t="shared" ref="S58" si="115">AVERAGE(I58:I60)</f>
        <v>209</v>
      </c>
      <c r="T58">
        <f t="shared" ref="T58" si="116">AVERAGE(J58:J60)</f>
        <v>71</v>
      </c>
      <c r="U58">
        <f t="shared" ref="U58" si="117">AVERAGE(K58:K60)</f>
        <v>1078.8333333333333</v>
      </c>
    </row>
    <row r="59" spans="1:21">
      <c r="C59">
        <v>383.99</v>
      </c>
      <c r="D59">
        <v>1</v>
      </c>
      <c r="E59">
        <v>484</v>
      </c>
      <c r="F59">
        <f>660+28</f>
        <v>688</v>
      </c>
      <c r="G59">
        <v>767</v>
      </c>
      <c r="H59">
        <f t="shared" si="109"/>
        <v>483</v>
      </c>
      <c r="I59">
        <f t="shared" si="109"/>
        <v>204</v>
      </c>
      <c r="J59">
        <f t="shared" si="109"/>
        <v>79</v>
      </c>
      <c r="K59">
        <f t="shared" ref="K59:K62" si="118">H59+I59+J59+C59</f>
        <v>1149.99</v>
      </c>
      <c r="L59" t="s">
        <v>338</v>
      </c>
      <c r="M59">
        <f>1.96*(STDEV(C58:C60)/SQRT(3))</f>
        <v>50.876929865886318</v>
      </c>
      <c r="N59">
        <f t="shared" ref="N59" si="119">STDEV(D58:D60)/SQRT(3)</f>
        <v>0</v>
      </c>
      <c r="O59">
        <f t="shared" ref="O59" si="120">STDEV(E58:E60)/SQRT(3)</f>
        <v>8.4129529760822575</v>
      </c>
      <c r="P59">
        <f t="shared" ref="P59" si="121">STDEV(F58:F60)/SQRT(3)</f>
        <v>10.349449797507308</v>
      </c>
      <c r="Q59">
        <f t="shared" ref="Q59" si="122">STDEV(G58:G60)/SQRT(3)</f>
        <v>10.713439119992735</v>
      </c>
      <c r="R59">
        <f t="shared" ref="R59" si="123">STDEV(H58:H60)/SQRT(3)</f>
        <v>8.4129529760822575</v>
      </c>
      <c r="S59">
        <f t="shared" ref="S59" si="124">STDEV(I58:I60)/SQRT(3)</f>
        <v>10.96965511460289</v>
      </c>
      <c r="T59">
        <f t="shared" ref="T59" si="125">STDEV(J58:J60)/SQRT(3)</f>
        <v>5.6862407030773268</v>
      </c>
      <c r="U59">
        <f t="shared" ref="U59" si="126">STDEV(K58:K60)/SQRT(3)</f>
        <v>35.710967896589018</v>
      </c>
    </row>
    <row r="60" spans="1:21">
      <c r="C60">
        <v>303.58100000000002</v>
      </c>
      <c r="D60">
        <v>1</v>
      </c>
      <c r="E60">
        <v>456</v>
      </c>
      <c r="F60">
        <v>686</v>
      </c>
      <c r="G60">
        <v>746</v>
      </c>
      <c r="H60">
        <f t="shared" si="109"/>
        <v>455</v>
      </c>
      <c r="I60">
        <f t="shared" si="109"/>
        <v>230</v>
      </c>
      <c r="J60">
        <f t="shared" si="109"/>
        <v>60</v>
      </c>
      <c r="K60">
        <f t="shared" si="118"/>
        <v>1048.5810000000001</v>
      </c>
    </row>
    <row r="62" spans="1:21">
      <c r="A62">
        <v>16</v>
      </c>
      <c r="B62">
        <v>128</v>
      </c>
      <c r="C62">
        <v>616.34500000000003</v>
      </c>
      <c r="D62">
        <v>1</v>
      </c>
      <c r="E62">
        <f>15*60+24</f>
        <v>924</v>
      </c>
      <c r="F62">
        <f>22*60+34</f>
        <v>1354</v>
      </c>
      <c r="G62">
        <f>25*60+17</f>
        <v>1517</v>
      </c>
      <c r="H62">
        <f t="shared" si="109"/>
        <v>923</v>
      </c>
      <c r="I62">
        <f t="shared" si="109"/>
        <v>430</v>
      </c>
      <c r="J62">
        <f t="shared" si="109"/>
        <v>163</v>
      </c>
      <c r="K62">
        <f t="shared" si="118"/>
        <v>2132.3450000000003</v>
      </c>
    </row>
    <row r="70" spans="6:18">
      <c r="O70" t="s">
        <v>337</v>
      </c>
      <c r="Q70" t="s">
        <v>282</v>
      </c>
    </row>
    <row r="71" spans="6:18">
      <c r="F71">
        <v>1</v>
      </c>
      <c r="G71">
        <v>38.591999999999999</v>
      </c>
      <c r="H71">
        <v>1</v>
      </c>
      <c r="I71">
        <v>95</v>
      </c>
      <c r="J71">
        <v>112</v>
      </c>
      <c r="K71">
        <v>146.66666666666669</v>
      </c>
      <c r="L71">
        <v>94</v>
      </c>
      <c r="M71">
        <v>17</v>
      </c>
      <c r="N71">
        <v>34.666666666666643</v>
      </c>
      <c r="O71">
        <v>185.2586666666667</v>
      </c>
      <c r="P71">
        <v>1.2146197646999992</v>
      </c>
      <c r="Q71">
        <v>138.84366666666668</v>
      </c>
      <c r="R71">
        <v>3.9537597419720347</v>
      </c>
    </row>
    <row r="72" spans="6:18">
      <c r="F72">
        <v>2</v>
      </c>
      <c r="G72">
        <v>74.881666666666661</v>
      </c>
      <c r="H72">
        <v>1</v>
      </c>
      <c r="I72">
        <v>134</v>
      </c>
      <c r="J72">
        <v>189</v>
      </c>
      <c r="K72">
        <v>224</v>
      </c>
      <c r="L72">
        <v>133</v>
      </c>
      <c r="M72">
        <v>55</v>
      </c>
      <c r="N72">
        <v>35</v>
      </c>
      <c r="O72">
        <v>298.88166666666666</v>
      </c>
      <c r="P72">
        <v>1.842227738992152</v>
      </c>
      <c r="Q72">
        <v>291.65900000000005</v>
      </c>
      <c r="R72">
        <v>9.3328871561992184</v>
      </c>
    </row>
    <row r="73" spans="6:18">
      <c r="F73">
        <v>4</v>
      </c>
      <c r="O73">
        <v>536.18766666666659</v>
      </c>
      <c r="P73">
        <v>4.3715828068316958</v>
      </c>
      <c r="Q73">
        <v>554.89466666666669</v>
      </c>
      <c r="R73">
        <v>29.365570828382978</v>
      </c>
    </row>
    <row r="74" spans="6:18">
      <c r="F74">
        <v>8</v>
      </c>
      <c r="O74">
        <v>1078.8333333333333</v>
      </c>
      <c r="P74">
        <v>50.876929865886318</v>
      </c>
      <c r="Q74">
        <v>1152.5989999999999</v>
      </c>
      <c r="R74">
        <v>45.910195475769797</v>
      </c>
    </row>
    <row r="75" spans="6:18">
      <c r="F75">
        <v>16</v>
      </c>
      <c r="O75">
        <f>128.23*16+43.932</f>
        <v>2095.6119999999996</v>
      </c>
      <c r="P75">
        <v>51.23</v>
      </c>
      <c r="Q75" s="32">
        <f>140.77*16+0.8612</f>
        <v>2253.1812</v>
      </c>
      <c r="R75">
        <v>51.234000000000002</v>
      </c>
    </row>
    <row r="90" spans="2:18">
      <c r="F90">
        <v>1024</v>
      </c>
      <c r="G90">
        <v>1972</v>
      </c>
      <c r="H90">
        <f>((G90-F90)/F90)*100</f>
        <v>92.578125</v>
      </c>
    </row>
    <row r="91" spans="2:18">
      <c r="F91">
        <v>2048</v>
      </c>
      <c r="G91">
        <v>3945</v>
      </c>
      <c r="H91">
        <f>((G91-F91)/F91)*100</f>
        <v>92.626953125</v>
      </c>
    </row>
    <row r="95" spans="2:18">
      <c r="C95" t="s">
        <v>333</v>
      </c>
      <c r="L95" t="s">
        <v>332</v>
      </c>
    </row>
    <row r="96" spans="2:18" ht="52">
      <c r="B96" s="9" t="s">
        <v>41</v>
      </c>
      <c r="C96" s="9" t="s">
        <v>152</v>
      </c>
      <c r="D96" s="9" t="s">
        <v>406</v>
      </c>
      <c r="E96" s="9" t="s">
        <v>407</v>
      </c>
      <c r="F96" s="9" t="s">
        <v>408</v>
      </c>
      <c r="G96" s="9" t="s">
        <v>409</v>
      </c>
      <c r="H96" s="9" t="s">
        <v>80</v>
      </c>
      <c r="L96" s="9" t="s">
        <v>331</v>
      </c>
      <c r="M96" s="9" t="s">
        <v>152</v>
      </c>
      <c r="N96" s="9" t="s">
        <v>406</v>
      </c>
      <c r="O96" s="9" t="s">
        <v>407</v>
      </c>
      <c r="P96" s="9" t="s">
        <v>408</v>
      </c>
      <c r="Q96" s="9" t="s">
        <v>409</v>
      </c>
      <c r="R96" s="9" t="s">
        <v>80</v>
      </c>
    </row>
    <row r="97" spans="2:19">
      <c r="B97">
        <v>1</v>
      </c>
      <c r="C97">
        <v>8</v>
      </c>
      <c r="D97">
        <v>13.188000000000001</v>
      </c>
      <c r="E97">
        <v>74.537000000000006</v>
      </c>
      <c r="F97">
        <v>0.112</v>
      </c>
      <c r="G97">
        <v>55.145000000000003</v>
      </c>
      <c r="H97">
        <v>142.87</v>
      </c>
      <c r="I97">
        <f>I101/2</f>
        <v>1972.79775</v>
      </c>
      <c r="L97">
        <v>1</v>
      </c>
      <c r="M97">
        <v>8</v>
      </c>
      <c r="N97">
        <v>14.28</v>
      </c>
      <c r="O97">
        <v>98.44</v>
      </c>
      <c r="P97">
        <v>75.650000000000006</v>
      </c>
      <c r="Q97">
        <v>88.34</v>
      </c>
      <c r="R97">
        <v>278.12</v>
      </c>
      <c r="S97">
        <f>(R97-H97)/H97*100</f>
        <v>94.666480016798488</v>
      </c>
    </row>
    <row r="98" spans="2:19">
      <c r="C98">
        <v>8</v>
      </c>
      <c r="D98">
        <v>12.907</v>
      </c>
      <c r="E98">
        <v>68.566000000000003</v>
      </c>
      <c r="F98">
        <v>0.125</v>
      </c>
      <c r="G98">
        <v>55.136000000000003</v>
      </c>
      <c r="H98">
        <v>136.60900000000001</v>
      </c>
      <c r="I98" t="s">
        <v>334</v>
      </c>
      <c r="J98">
        <f>AVERAGE(H97:H99)</f>
        <v>138.84366666666668</v>
      </c>
      <c r="M98">
        <v>8</v>
      </c>
      <c r="N98">
        <v>13.56</v>
      </c>
      <c r="O98">
        <v>98.46</v>
      </c>
      <c r="P98">
        <v>74.510000000000005</v>
      </c>
      <c r="Q98">
        <v>87.79</v>
      </c>
      <c r="R98">
        <v>276.05</v>
      </c>
      <c r="S98">
        <f t="shared" ref="S98:S103" si="127">(R98-H98)/H98*100</f>
        <v>102.07306985630522</v>
      </c>
    </row>
    <row r="99" spans="2:19">
      <c r="C99">
        <v>8</v>
      </c>
      <c r="D99">
        <v>13.581</v>
      </c>
      <c r="E99">
        <v>68.289000000000001</v>
      </c>
      <c r="F99">
        <v>0.13400000000000001</v>
      </c>
      <c r="G99">
        <v>55.180999999999997</v>
      </c>
      <c r="H99">
        <v>137.05199999999999</v>
      </c>
      <c r="I99" t="s">
        <v>335</v>
      </c>
      <c r="J99">
        <f>1.96*(STDEV(H97:H99)/SQRT(3))</f>
        <v>3.9537597419720347</v>
      </c>
      <c r="M99">
        <v>8</v>
      </c>
      <c r="N99">
        <v>13.43</v>
      </c>
      <c r="O99">
        <v>98.49</v>
      </c>
      <c r="P99">
        <v>73.260000000000005</v>
      </c>
      <c r="Q99">
        <v>86.34</v>
      </c>
      <c r="R99">
        <v>275.45</v>
      </c>
      <c r="S99">
        <f t="shared" si="127"/>
        <v>100.98210898053294</v>
      </c>
    </row>
    <row r="101" spans="2:19">
      <c r="B101">
        <v>2</v>
      </c>
      <c r="C101">
        <v>16</v>
      </c>
      <c r="D101">
        <v>42.149000000000001</v>
      </c>
      <c r="E101">
        <v>138.655</v>
      </c>
      <c r="F101">
        <v>0.245</v>
      </c>
      <c r="G101">
        <v>105.55200000000001</v>
      </c>
      <c r="H101">
        <v>286.35599999999999</v>
      </c>
      <c r="I101">
        <f>7891.191/2</f>
        <v>3945.5954999999999</v>
      </c>
      <c r="L101">
        <v>2</v>
      </c>
      <c r="M101">
        <v>16</v>
      </c>
      <c r="N101">
        <v>27.2</v>
      </c>
      <c r="O101">
        <v>159.27000000000001</v>
      </c>
      <c r="P101">
        <v>117.55</v>
      </c>
      <c r="Q101">
        <v>132.96</v>
      </c>
      <c r="R101">
        <f>N101+O101+P101+Q101</f>
        <v>436.98</v>
      </c>
      <c r="S101">
        <f t="shared" si="127"/>
        <v>52.600259816452258</v>
      </c>
    </row>
    <row r="102" spans="2:19">
      <c r="C102">
        <v>16</v>
      </c>
      <c r="D102">
        <v>46.616999999999997</v>
      </c>
      <c r="E102">
        <v>142.79599999999999</v>
      </c>
      <c r="F102">
        <v>0.39200000000000002</v>
      </c>
      <c r="G102">
        <v>111.748</v>
      </c>
      <c r="H102">
        <v>301.161</v>
      </c>
      <c r="I102" t="s">
        <v>336</v>
      </c>
      <c r="J102">
        <f>AVERAGE(H101:H103)</f>
        <v>291.65900000000005</v>
      </c>
      <c r="M102">
        <v>16</v>
      </c>
      <c r="N102">
        <v>26.07</v>
      </c>
      <c r="O102">
        <v>164.66</v>
      </c>
      <c r="P102">
        <v>119.92</v>
      </c>
      <c r="Q102">
        <v>132.69</v>
      </c>
      <c r="R102">
        <f t="shared" ref="R102:R103" si="128">N102+O102+P102+Q102</f>
        <v>443.34</v>
      </c>
      <c r="S102">
        <f t="shared" si="127"/>
        <v>47.210296153884457</v>
      </c>
    </row>
    <row r="103" spans="2:19">
      <c r="C103">
        <v>16</v>
      </c>
      <c r="D103">
        <v>42.149000000000001</v>
      </c>
      <c r="E103">
        <v>140.65</v>
      </c>
      <c r="F103">
        <v>0.245</v>
      </c>
      <c r="G103">
        <v>105.55200000000001</v>
      </c>
      <c r="H103">
        <v>287.45999999999998</v>
      </c>
      <c r="I103" t="s">
        <v>335</v>
      </c>
      <c r="J103">
        <f>1.96*(STDEV(H101:H103)/SQRT(3))</f>
        <v>9.3328871561992184</v>
      </c>
      <c r="M103">
        <v>16</v>
      </c>
      <c r="N103">
        <v>26.5</v>
      </c>
      <c r="O103">
        <v>165.34</v>
      </c>
      <c r="P103">
        <v>118.56</v>
      </c>
      <c r="Q103">
        <v>133.01</v>
      </c>
      <c r="R103">
        <f t="shared" si="128"/>
        <v>443.40999999999997</v>
      </c>
      <c r="S103">
        <f t="shared" si="127"/>
        <v>54.251026229736311</v>
      </c>
    </row>
    <row r="105" spans="2:19">
      <c r="B105">
        <v>4</v>
      </c>
      <c r="C105">
        <v>32</v>
      </c>
      <c r="D105">
        <v>90.379000000000005</v>
      </c>
      <c r="E105">
        <v>275.91899999999998</v>
      </c>
      <c r="F105">
        <v>0.54100000000000004</v>
      </c>
      <c r="G105">
        <v>218.49</v>
      </c>
      <c r="H105">
        <v>584.78899999999999</v>
      </c>
      <c r="I105">
        <v>7891.1909999999998</v>
      </c>
      <c r="L105">
        <v>4</v>
      </c>
      <c r="M105">
        <v>32</v>
      </c>
      <c r="N105">
        <v>86.29</v>
      </c>
      <c r="O105">
        <v>282.62</v>
      </c>
      <c r="P105">
        <v>232.47</v>
      </c>
      <c r="Q105">
        <v>238.53</v>
      </c>
      <c r="R105">
        <v>1043.52</v>
      </c>
    </row>
    <row r="106" spans="2:19">
      <c r="C106">
        <v>32</v>
      </c>
      <c r="D106">
        <v>51.765999999999998</v>
      </c>
      <c r="E106">
        <v>275.34399999999999</v>
      </c>
      <c r="F106">
        <v>0.64800000000000002</v>
      </c>
      <c r="G106">
        <v>214.61699999999999</v>
      </c>
      <c r="H106">
        <v>541.72699999999998</v>
      </c>
      <c r="I106" t="s">
        <v>336</v>
      </c>
      <c r="J106">
        <f>AVERAGE(H105:H107)</f>
        <v>554.89466666666669</v>
      </c>
      <c r="M106">
        <v>32</v>
      </c>
    </row>
    <row r="107" spans="2:19">
      <c r="C107">
        <v>32</v>
      </c>
      <c r="D107">
        <v>52.015000000000001</v>
      </c>
      <c r="E107">
        <v>275.68099999999998</v>
      </c>
      <c r="F107">
        <v>0.53600000000000003</v>
      </c>
      <c r="G107">
        <v>210.47200000000001</v>
      </c>
      <c r="H107">
        <v>538.16800000000001</v>
      </c>
      <c r="I107" t="s">
        <v>335</v>
      </c>
      <c r="J107">
        <f>1.96*(STDEV(H105:H107)/SQRT(3))</f>
        <v>29.365570828382978</v>
      </c>
      <c r="M107">
        <v>32</v>
      </c>
    </row>
    <row r="109" spans="2:19">
      <c r="B109">
        <v>8</v>
      </c>
      <c r="C109">
        <v>64</v>
      </c>
      <c r="D109">
        <v>152.989</v>
      </c>
      <c r="E109">
        <v>534.96699999999998</v>
      </c>
      <c r="F109">
        <v>1.0580000000000001</v>
      </c>
      <c r="G109">
        <v>442.149</v>
      </c>
      <c r="H109">
        <v>1130.105</v>
      </c>
      <c r="I109">
        <v>15782.382</v>
      </c>
    </row>
    <row r="110" spans="2:19">
      <c r="C110">
        <v>64</v>
      </c>
      <c r="D110">
        <v>153.18299999999999</v>
      </c>
      <c r="E110">
        <v>542.68200000000002</v>
      </c>
      <c r="F110">
        <v>1.2290000000000001</v>
      </c>
      <c r="G110">
        <v>432.39299999999997</v>
      </c>
      <c r="H110">
        <v>1128.258</v>
      </c>
      <c r="I110" t="s">
        <v>336</v>
      </c>
      <c r="J110">
        <f>AVERAGE(H109:H111)</f>
        <v>1152.5990000000002</v>
      </c>
    </row>
    <row r="111" spans="2:19">
      <c r="C111">
        <v>64</v>
      </c>
      <c r="D111">
        <v>158.77199999999999</v>
      </c>
      <c r="E111">
        <v>548.25099999999998</v>
      </c>
      <c r="F111">
        <v>1.321</v>
      </c>
      <c r="G111">
        <v>442.411</v>
      </c>
      <c r="H111">
        <v>1199.434</v>
      </c>
      <c r="I111" t="s">
        <v>335</v>
      </c>
      <c r="J111">
        <f>1.96*(STDEV(H109:H111)/SQRT(3))</f>
        <v>45.910195475769797</v>
      </c>
    </row>
    <row r="113" spans="2:12">
      <c r="B113">
        <v>16</v>
      </c>
      <c r="C113">
        <v>128</v>
      </c>
      <c r="D113">
        <v>415.98899999999998</v>
      </c>
      <c r="E113">
        <v>1071.5070000000001</v>
      </c>
      <c r="F113">
        <v>2.5070000000000001</v>
      </c>
      <c r="G113">
        <v>880.26900000000001</v>
      </c>
      <c r="H113">
        <v>2367.7649999999999</v>
      </c>
      <c r="I113">
        <v>31564.764999999999</v>
      </c>
    </row>
    <row r="114" spans="2:12">
      <c r="D114">
        <v>401.03300000000002</v>
      </c>
      <c r="E114">
        <v>1060.1420000000001</v>
      </c>
      <c r="F114">
        <v>5.1589999999999998</v>
      </c>
      <c r="G114">
        <v>876.71100000000001</v>
      </c>
      <c r="H114">
        <v>2337.886</v>
      </c>
    </row>
    <row r="115" spans="2:12">
      <c r="D115">
        <v>603.34699999999998</v>
      </c>
      <c r="E115">
        <v>1130.8109999999999</v>
      </c>
      <c r="F115">
        <v>2.7440000000000002</v>
      </c>
      <c r="G115">
        <v>862.16300000000001</v>
      </c>
      <c r="H115">
        <v>2376.3449999999998</v>
      </c>
      <c r="J115">
        <f>1.96*(STDEV(H113:H115)/SQRT(3))</f>
        <v>22.845496903318764</v>
      </c>
    </row>
    <row r="117" spans="2:12">
      <c r="I117" t="s">
        <v>15</v>
      </c>
      <c r="J117" t="s">
        <v>24</v>
      </c>
      <c r="K117" t="s">
        <v>25</v>
      </c>
      <c r="L117" t="s">
        <v>26</v>
      </c>
    </row>
    <row r="118" spans="2:12">
      <c r="D118">
        <f>1.96*(STDEV(D113:D115)/SQRT(3))</f>
        <v>127.57381609687643</v>
      </c>
      <c r="E118">
        <f>1.96*(STDEV(E113:E115)/SQRT(3))</f>
        <v>42.942032990221996</v>
      </c>
      <c r="F118">
        <f>1.96*(STDEV(F113:F115)/SQRT(3))</f>
        <v>1.6606428928580632</v>
      </c>
      <c r="G118">
        <f>1.96*(STDEV(G113:G115)/SQRT(3))</f>
        <v>10.855275422079302</v>
      </c>
      <c r="H118">
        <f>1.96*(STDEV(H113:H115)/SQRT(3))</f>
        <v>22.845496903318764</v>
      </c>
      <c r="I118">
        <f>AVERAGE(D97:D99)</f>
        <v>13.225333333333333</v>
      </c>
      <c r="J118">
        <f>AVERAGE(E97:E99)</f>
        <v>70.463999999999999</v>
      </c>
      <c r="K118">
        <f>AVERAGE(F97:F99)</f>
        <v>0.12366666666666666</v>
      </c>
      <c r="L118">
        <f>AVERAGE(G97:G99)</f>
        <v>55.153999999999996</v>
      </c>
    </row>
    <row r="119" spans="2:12">
      <c r="I119">
        <f>AVERAGE(D101:D103)</f>
        <v>43.638333333333328</v>
      </c>
      <c r="J119">
        <f>AVERAGE(E101:E103)</f>
        <v>140.70033333333333</v>
      </c>
      <c r="K119">
        <f>AVERAGE(F101:F103)</f>
        <v>0.29399999999999998</v>
      </c>
      <c r="L119">
        <f>AVERAGE(G101:G103)</f>
        <v>107.61733333333335</v>
      </c>
    </row>
    <row r="120" spans="2:12">
      <c r="I120">
        <f>AVERAGE(D105:D107)</f>
        <v>64.720000000000013</v>
      </c>
      <c r="J120">
        <f>AVERAGE(E105:E107)</f>
        <v>275.64799999999997</v>
      </c>
      <c r="K120">
        <f>AVERAGE(F105:F107)</f>
        <v>0.57500000000000007</v>
      </c>
      <c r="L120">
        <f>AVERAGE(G105:G107)</f>
        <v>214.52633333333333</v>
      </c>
    </row>
    <row r="121" spans="2:12">
      <c r="I121">
        <f>AVERAGE(D109:D111)</f>
        <v>154.98133333333334</v>
      </c>
      <c r="J121">
        <f>AVERAGE(E109:E111)</f>
        <v>541.96666666666658</v>
      </c>
      <c r="K121">
        <f>AVERAGE(F109:F111)</f>
        <v>1.2026666666666666</v>
      </c>
      <c r="L121">
        <f>AVERAGE(G109:G111)</f>
        <v>438.98433333333332</v>
      </c>
    </row>
    <row r="122" spans="2:12">
      <c r="I122">
        <f>AVERAGE(D113:D115)</f>
        <v>473.4563333333333</v>
      </c>
      <c r="J122">
        <f>AVERAGE(E113:E115)</f>
        <v>1087.4866666666667</v>
      </c>
      <c r="K122">
        <f>AVERAGE(F113:F115)</f>
        <v>3.47</v>
      </c>
      <c r="L122">
        <f>AVERAGE(G113:G115)</f>
        <v>873.04766666666671</v>
      </c>
    </row>
    <row r="126" spans="2:12">
      <c r="F126" t="s">
        <v>11</v>
      </c>
    </row>
    <row r="129" spans="2:16" ht="39">
      <c r="B129" s="9" t="s">
        <v>41</v>
      </c>
      <c r="C129" s="9" t="s">
        <v>152</v>
      </c>
      <c r="D129" s="9" t="s">
        <v>5</v>
      </c>
      <c r="E129" s="9" t="s">
        <v>4</v>
      </c>
      <c r="F129" s="9" t="s">
        <v>3</v>
      </c>
      <c r="G129" s="9" t="s">
        <v>2</v>
      </c>
      <c r="H129" s="9" t="s">
        <v>80</v>
      </c>
    </row>
    <row r="130" spans="2:16">
      <c r="B130">
        <v>1</v>
      </c>
      <c r="C130">
        <v>8</v>
      </c>
      <c r="D130">
        <f>24.1/2</f>
        <v>12.05</v>
      </c>
      <c r="E130">
        <v>106.67</v>
      </c>
      <c r="F130">
        <v>119.11</v>
      </c>
      <c r="G130">
        <v>85.58</v>
      </c>
      <c r="H130">
        <f>D130+E130+F130+G130</f>
        <v>323.40999999999997</v>
      </c>
      <c r="K130" t="s">
        <v>1</v>
      </c>
    </row>
    <row r="131" spans="2:16">
      <c r="C131">
        <v>8</v>
      </c>
      <c r="D131">
        <f>21.42/2</f>
        <v>10.71</v>
      </c>
      <c r="E131">
        <v>106.99</v>
      </c>
      <c r="F131">
        <v>118.9</v>
      </c>
      <c r="G131">
        <v>87.07</v>
      </c>
      <c r="H131">
        <f>D131+E131+F131+G131</f>
        <v>323.66999999999996</v>
      </c>
      <c r="I131" t="s">
        <v>157</v>
      </c>
      <c r="J131">
        <f>AVERAGE(H130:H132)</f>
        <v>326.85499999999996</v>
      </c>
      <c r="K131">
        <f>1972.79775/2</f>
        <v>986.39887499999998</v>
      </c>
    </row>
    <row r="132" spans="2:16">
      <c r="C132">
        <v>8</v>
      </c>
      <c r="D132">
        <f>35.53/2</f>
        <v>17.765000000000001</v>
      </c>
      <c r="E132">
        <v>110.23</v>
      </c>
      <c r="F132">
        <v>123.18</v>
      </c>
      <c r="G132">
        <v>82.31</v>
      </c>
      <c r="H132">
        <f>D132+E132+F132+G132</f>
        <v>333.48500000000001</v>
      </c>
      <c r="I132" t="s">
        <v>156</v>
      </c>
      <c r="J132">
        <f>1.96*(STDEV(H130:H132)/SQRT(3))</f>
        <v>6.499065146107208</v>
      </c>
    </row>
    <row r="134" spans="2:16">
      <c r="B134">
        <v>2</v>
      </c>
      <c r="C134">
        <v>16</v>
      </c>
      <c r="D134">
        <f>60.57/2</f>
        <v>30.285</v>
      </c>
      <c r="E134">
        <v>162.38999999999999</v>
      </c>
      <c r="F134">
        <v>186.25</v>
      </c>
      <c r="G134">
        <v>123.25</v>
      </c>
      <c r="H134">
        <f t="shared" ref="H134:H140" si="129">D134+E134+F134+G134</f>
        <v>502.17499999999995</v>
      </c>
      <c r="I134">
        <f>7891.191/2</f>
        <v>3945.5954999999999</v>
      </c>
    </row>
    <row r="135" spans="2:16">
      <c r="C135">
        <v>16</v>
      </c>
      <c r="D135">
        <f>68.5/2</f>
        <v>34.25</v>
      </c>
      <c r="E135">
        <v>159.44</v>
      </c>
      <c r="F135">
        <v>180.96</v>
      </c>
      <c r="G135">
        <v>125.63</v>
      </c>
      <c r="H135">
        <f t="shared" si="129"/>
        <v>500.28</v>
      </c>
      <c r="I135" t="s">
        <v>157</v>
      </c>
      <c r="J135">
        <f>AVERAGE(H134:H136)</f>
        <v>497.07666666666665</v>
      </c>
      <c r="K135">
        <f>3945.5955/2</f>
        <v>1972.79775</v>
      </c>
      <c r="M135" t="s">
        <v>15</v>
      </c>
      <c r="N135" t="s">
        <v>24</v>
      </c>
      <c r="O135" t="s">
        <v>25</v>
      </c>
      <c r="P135" t="s">
        <v>26</v>
      </c>
    </row>
    <row r="136" spans="2:16">
      <c r="C136">
        <v>16</v>
      </c>
      <c r="D136">
        <f>64.27/2</f>
        <v>32.134999999999998</v>
      </c>
      <c r="E136">
        <v>151.68</v>
      </c>
      <c r="F136">
        <v>180.97</v>
      </c>
      <c r="G136">
        <v>123.99</v>
      </c>
      <c r="H136">
        <f t="shared" si="129"/>
        <v>488.77499999999998</v>
      </c>
      <c r="I136" t="s">
        <v>156</v>
      </c>
      <c r="J136">
        <f>1.96*(STDEV(H134:H136)/SQRT(3))</f>
        <v>8.205981753437424</v>
      </c>
      <c r="M136">
        <f>AVERAGE(D130:D132)</f>
        <v>13.508333333333335</v>
      </c>
      <c r="N136">
        <f>AVERAGE(E130:E132)</f>
        <v>107.96333333333332</v>
      </c>
      <c r="O136">
        <f>AVERAGE(F130:F132)</f>
        <v>120.39666666666666</v>
      </c>
      <c r="P136">
        <f>AVERAGE(G130:G132)</f>
        <v>84.986666666666665</v>
      </c>
    </row>
    <row r="137" spans="2:16">
      <c r="H137">
        <f t="shared" si="129"/>
        <v>0</v>
      </c>
      <c r="M137">
        <f>AVERAGE(D134:D136)</f>
        <v>32.223333333333329</v>
      </c>
      <c r="N137">
        <f>AVERAGE(E134:E136)</f>
        <v>157.83666666666667</v>
      </c>
      <c r="O137">
        <f>AVERAGE(F134:F136)</f>
        <v>182.72666666666669</v>
      </c>
      <c r="P137">
        <f>AVERAGE(G134:G136)</f>
        <v>124.29</v>
      </c>
    </row>
    <row r="138" spans="2:16">
      <c r="B138">
        <v>4</v>
      </c>
      <c r="C138">
        <v>32</v>
      </c>
      <c r="D138">
        <f>54.74/2</f>
        <v>27.37</v>
      </c>
      <c r="E138">
        <v>267.89</v>
      </c>
      <c r="F138">
        <v>318.56</v>
      </c>
      <c r="G138">
        <v>250.9</v>
      </c>
      <c r="H138">
        <f t="shared" si="129"/>
        <v>864.71999999999991</v>
      </c>
      <c r="I138">
        <v>7891.1909999999998</v>
      </c>
      <c r="M138">
        <f>AVERAGE(D138:D140)</f>
        <v>27.320000000000004</v>
      </c>
      <c r="N138">
        <f>AVERAGE(E138:E140)</f>
        <v>266.6466666666667</v>
      </c>
      <c r="O138">
        <f>AVERAGE(F138:F140)</f>
        <v>324.70333333333332</v>
      </c>
      <c r="P138">
        <f>AVERAGE(G138:G140)</f>
        <v>246.10999999999999</v>
      </c>
    </row>
    <row r="139" spans="2:16">
      <c r="C139">
        <v>32</v>
      </c>
      <c r="D139">
        <f>55.04/2</f>
        <v>27.52</v>
      </c>
      <c r="E139">
        <v>263.60000000000002</v>
      </c>
      <c r="F139">
        <v>320.41000000000003</v>
      </c>
      <c r="G139">
        <v>246.48</v>
      </c>
      <c r="H139">
        <f t="shared" si="129"/>
        <v>858.01</v>
      </c>
      <c r="I139" t="s">
        <v>157</v>
      </c>
      <c r="J139">
        <f>AVERAGE(H138:H140)</f>
        <v>864.78000000000009</v>
      </c>
      <c r="K139">
        <f>I138/2</f>
        <v>3945.5954999999999</v>
      </c>
      <c r="M139">
        <f>AVERAGE(D142:D144)</f>
        <v>52.568333333333335</v>
      </c>
      <c r="N139">
        <f>AVERAGE(E142:E144)</f>
        <v>486.96000000000004</v>
      </c>
      <c r="O139">
        <f>AVERAGE(F142:F144)</f>
        <v>653.87</v>
      </c>
      <c r="P139">
        <f>AVERAGE(G142:G144)</f>
        <v>470.88666666666671</v>
      </c>
    </row>
    <row r="140" spans="2:16">
      <c r="C140">
        <v>32</v>
      </c>
      <c r="D140">
        <f>54.14/2</f>
        <v>27.07</v>
      </c>
      <c r="E140">
        <v>268.45</v>
      </c>
      <c r="F140">
        <v>335.14</v>
      </c>
      <c r="G140">
        <v>240.95</v>
      </c>
      <c r="H140">
        <f t="shared" si="129"/>
        <v>871.6099999999999</v>
      </c>
      <c r="I140" t="s">
        <v>156</v>
      </c>
      <c r="J140">
        <f>1.96*(STDEV(H138:H140)/SQRT(3))</f>
        <v>7.6951490416245223</v>
      </c>
    </row>
    <row r="142" spans="2:16">
      <c r="B142">
        <v>8</v>
      </c>
      <c r="C142">
        <v>64</v>
      </c>
      <c r="D142">
        <f>94.28/2</f>
        <v>47.14</v>
      </c>
      <c r="E142">
        <v>477.32</v>
      </c>
      <c r="F142">
        <v>589.77</v>
      </c>
      <c r="G142">
        <v>471.84</v>
      </c>
      <c r="H142">
        <f>D142+E142+F142+G142</f>
        <v>1586.07</v>
      </c>
      <c r="I142">
        <v>15782.382</v>
      </c>
      <c r="K142" t="s">
        <v>158</v>
      </c>
    </row>
    <row r="143" spans="2:16">
      <c r="C143">
        <v>64</v>
      </c>
      <c r="D143">
        <f>102.71/2</f>
        <v>51.354999999999997</v>
      </c>
      <c r="E143">
        <v>486.71</v>
      </c>
      <c r="F143">
        <v>682.7</v>
      </c>
      <c r="G143">
        <v>469.37</v>
      </c>
      <c r="H143">
        <f>D143+E143+F143+G143</f>
        <v>1690.1349999999998</v>
      </c>
      <c r="I143" t="s">
        <v>157</v>
      </c>
      <c r="J143">
        <f>AVERAGE(H142:H144)</f>
        <v>1664.2849999999999</v>
      </c>
      <c r="K143" t="e">
        <f>[1]Sheet1!I90/2</f>
        <v>#REF!</v>
      </c>
    </row>
    <row r="144" spans="2:16">
      <c r="C144">
        <v>64</v>
      </c>
      <c r="D144">
        <f>118.42/2</f>
        <v>59.21</v>
      </c>
      <c r="E144">
        <v>496.85</v>
      </c>
      <c r="F144">
        <v>689.14</v>
      </c>
      <c r="G144">
        <v>471.45</v>
      </c>
      <c r="H144">
        <f>D144+E144+F144+G144</f>
        <v>1716.65</v>
      </c>
      <c r="I144" t="s">
        <v>156</v>
      </c>
      <c r="J144">
        <f>1.96*(STDEV(H142:H144)/SQRT(3))</f>
        <v>78.105044791314469</v>
      </c>
    </row>
    <row r="146" spans="1:9">
      <c r="B146">
        <v>16</v>
      </c>
      <c r="C146">
        <v>128</v>
      </c>
      <c r="I146">
        <v>31564.764999999999</v>
      </c>
    </row>
    <row r="147" spans="1:9">
      <c r="A147" t="s">
        <v>36</v>
      </c>
    </row>
    <row r="148" spans="1:9">
      <c r="A148" t="s">
        <v>35</v>
      </c>
      <c r="C148" t="s">
        <v>34</v>
      </c>
      <c r="D148" t="s">
        <v>33</v>
      </c>
    </row>
    <row r="151" spans="1:9" ht="104">
      <c r="A151" s="43" t="s">
        <v>32</v>
      </c>
      <c r="B151" s="43" t="s">
        <v>22</v>
      </c>
      <c r="C151" s="43" t="s">
        <v>16</v>
      </c>
      <c r="D151" s="43" t="s">
        <v>18</v>
      </c>
      <c r="E151" s="43" t="s">
        <v>20</v>
      </c>
      <c r="F151" t="s">
        <v>31</v>
      </c>
      <c r="G151" s="43" t="s">
        <v>30</v>
      </c>
      <c r="H151" s="43" t="s">
        <v>29</v>
      </c>
      <c r="I151" s="43" t="s">
        <v>28</v>
      </c>
    </row>
    <row r="152" spans="1:9">
      <c r="A152">
        <v>1</v>
      </c>
      <c r="B152" s="32">
        <v>13.508333333333335</v>
      </c>
      <c r="C152" s="32">
        <v>107.96333333333332</v>
      </c>
      <c r="D152" s="32">
        <v>120.39666666666666</v>
      </c>
      <c r="E152" s="32">
        <v>84.986666666666665</v>
      </c>
      <c r="F152" s="32">
        <f>SUM(B152:E152)</f>
        <v>326.85500000000002</v>
      </c>
      <c r="G152">
        <f>H152/4</f>
        <v>246.59971874999999</v>
      </c>
      <c r="H152">
        <v>986.39887499999998</v>
      </c>
    </row>
    <row r="153" spans="1:9">
      <c r="A153">
        <v>2</v>
      </c>
      <c r="B153" s="32">
        <v>32.223333333333329</v>
      </c>
      <c r="C153" s="32">
        <v>157.83666666666667</v>
      </c>
      <c r="D153" s="32">
        <v>182.72666666666669</v>
      </c>
      <c r="E153" s="32">
        <v>124.29</v>
      </c>
      <c r="F153" s="32">
        <f>SUM(B153:E153)</f>
        <v>497.07666666666671</v>
      </c>
      <c r="G153">
        <f>H153/4</f>
        <v>493.19943749999999</v>
      </c>
      <c r="H153">
        <v>1972.79775</v>
      </c>
    </row>
    <row r="154" spans="1:9">
      <c r="A154">
        <v>4</v>
      </c>
      <c r="B154" s="32">
        <v>27.320000000000004</v>
      </c>
      <c r="C154" s="32">
        <v>266.6466666666667</v>
      </c>
      <c r="D154" s="32">
        <v>324.70333333333332</v>
      </c>
      <c r="E154" s="32">
        <v>246.10999999999999</v>
      </c>
      <c r="F154" s="32">
        <f>SUM(B154:E154)</f>
        <v>864.78000000000009</v>
      </c>
      <c r="G154">
        <f>H154/4</f>
        <v>986.39887499999998</v>
      </c>
      <c r="H154">
        <v>3945.5954999999999</v>
      </c>
    </row>
    <row r="155" spans="1:9">
      <c r="A155">
        <v>8</v>
      </c>
      <c r="B155" s="32">
        <v>52.568333333333335</v>
      </c>
      <c r="C155" s="32">
        <v>486.96000000000004</v>
      </c>
      <c r="D155" s="32">
        <v>653.87</v>
      </c>
      <c r="E155" s="32">
        <v>470.88666666666671</v>
      </c>
      <c r="F155" s="32">
        <f>SUM(B155:E155)</f>
        <v>1664.2850000000003</v>
      </c>
      <c r="G155">
        <f>H155/4</f>
        <v>1972.79775</v>
      </c>
      <c r="H155">
        <v>7891.1909999999998</v>
      </c>
    </row>
    <row r="156" spans="1:9">
      <c r="A156">
        <v>16</v>
      </c>
      <c r="H156">
        <v>15782.3825</v>
      </c>
    </row>
    <row r="160" spans="1:9">
      <c r="E160" t="s">
        <v>14</v>
      </c>
    </row>
    <row r="162" spans="1:18" ht="39">
      <c r="A162" s="40" t="s">
        <v>127</v>
      </c>
      <c r="B162" s="40" t="s">
        <v>130</v>
      </c>
      <c r="C162" s="40" t="s">
        <v>129</v>
      </c>
      <c r="D162" s="40" t="s">
        <v>132</v>
      </c>
      <c r="E162" s="40" t="s">
        <v>133</v>
      </c>
      <c r="F162" s="40" t="s">
        <v>134</v>
      </c>
      <c r="G162" s="40" t="s">
        <v>135</v>
      </c>
      <c r="H162" s="40" t="s">
        <v>136</v>
      </c>
      <c r="I162" s="40" t="s">
        <v>128</v>
      </c>
      <c r="J162" s="40" t="s">
        <v>137</v>
      </c>
      <c r="K162" s="40" t="s">
        <v>138</v>
      </c>
      <c r="O162" t="s">
        <v>23</v>
      </c>
      <c r="P162" t="s">
        <v>17</v>
      </c>
      <c r="Q162" t="s">
        <v>19</v>
      </c>
      <c r="R162" t="s">
        <v>21</v>
      </c>
    </row>
    <row r="163" spans="1:18">
      <c r="A163">
        <v>1</v>
      </c>
      <c r="B163">
        <v>8</v>
      </c>
      <c r="C163">
        <v>35.738</v>
      </c>
      <c r="D163">
        <v>0</v>
      </c>
      <c r="E163">
        <v>82</v>
      </c>
      <c r="F163">
        <v>96</v>
      </c>
      <c r="G163">
        <v>130</v>
      </c>
      <c r="H163">
        <f t="shared" ref="H163:I165" si="130">E163-D163</f>
        <v>82</v>
      </c>
      <c r="I163">
        <f t="shared" si="130"/>
        <v>14</v>
      </c>
      <c r="J163">
        <f>G163-F163</f>
        <v>34</v>
      </c>
      <c r="K163">
        <f>G163+C163</f>
        <v>165.738</v>
      </c>
      <c r="O163">
        <f>AVERAGE(C163:C165)</f>
        <v>36.706333333333333</v>
      </c>
      <c r="P163">
        <f>AVERAGE(H163:H165)</f>
        <v>81.666666666666671</v>
      </c>
      <c r="Q163">
        <f>AVERAGE(I163:I165)</f>
        <v>14.666666666666666</v>
      </c>
      <c r="R163">
        <f>AVERAGE(J163:J165)</f>
        <v>31.333333333333332</v>
      </c>
    </row>
    <row r="164" spans="1:18">
      <c r="B164">
        <v>8</v>
      </c>
      <c r="C164">
        <v>35.241</v>
      </c>
      <c r="D164">
        <v>0</v>
      </c>
      <c r="E164">
        <v>82</v>
      </c>
      <c r="F164">
        <v>97</v>
      </c>
      <c r="G164">
        <v>125</v>
      </c>
      <c r="H164">
        <f t="shared" si="130"/>
        <v>82</v>
      </c>
      <c r="I164">
        <f t="shared" si="130"/>
        <v>15</v>
      </c>
      <c r="J164">
        <f>G164-F164</f>
        <v>28</v>
      </c>
      <c r="K164">
        <f>G164+C164</f>
        <v>160.24099999999999</v>
      </c>
      <c r="L164">
        <f>AVERAGE(K163:K165)</f>
        <v>164.37299999999999</v>
      </c>
      <c r="M164">
        <f>AVERAGE(G163:G165)</f>
        <v>127.66666666666667</v>
      </c>
    </row>
    <row r="165" spans="1:18">
      <c r="B165">
        <v>8</v>
      </c>
      <c r="C165">
        <v>39.14</v>
      </c>
      <c r="D165">
        <v>0</v>
      </c>
      <c r="E165">
        <v>81</v>
      </c>
      <c r="F165">
        <v>96</v>
      </c>
      <c r="G165">
        <v>128</v>
      </c>
      <c r="H165">
        <f t="shared" si="130"/>
        <v>81</v>
      </c>
      <c r="I165">
        <f t="shared" si="130"/>
        <v>15</v>
      </c>
      <c r="J165">
        <f>G165-F165</f>
        <v>32</v>
      </c>
      <c r="K165">
        <f>G165+C165</f>
        <v>167.14</v>
      </c>
      <c r="L165">
        <f>1.96*(STDEV(K163:K165)/SQRT(3))</f>
        <v>4.1263266678892929</v>
      </c>
      <c r="M165">
        <f>1.96*(STDEV(G163:G165)/SQRT(3))</f>
        <v>2.8478139764463011</v>
      </c>
    </row>
    <row r="167" spans="1:18">
      <c r="A167">
        <v>2</v>
      </c>
      <c r="B167">
        <v>16</v>
      </c>
      <c r="C167">
        <v>69.153000000000006</v>
      </c>
      <c r="D167">
        <v>0</v>
      </c>
      <c r="E167">
        <v>157</v>
      </c>
      <c r="F167">
        <v>209</v>
      </c>
      <c r="G167">
        <f>3*60+55</f>
        <v>235</v>
      </c>
      <c r="H167">
        <f t="shared" ref="H167:I169" si="131">E167-D167</f>
        <v>157</v>
      </c>
      <c r="I167">
        <f t="shared" si="131"/>
        <v>52</v>
      </c>
      <c r="J167">
        <f>G167-F167</f>
        <v>26</v>
      </c>
      <c r="K167">
        <f>G167+C167</f>
        <v>304.15300000000002</v>
      </c>
    </row>
    <row r="168" spans="1:18">
      <c r="B168">
        <v>16</v>
      </c>
      <c r="C168">
        <v>70.730999999999995</v>
      </c>
      <c r="D168">
        <v>0</v>
      </c>
      <c r="E168">
        <v>156</v>
      </c>
      <c r="F168">
        <v>213</v>
      </c>
      <c r="G168">
        <v>242</v>
      </c>
      <c r="H168">
        <f t="shared" si="131"/>
        <v>156</v>
      </c>
      <c r="I168">
        <f t="shared" si="131"/>
        <v>57</v>
      </c>
      <c r="J168">
        <f>G168-F168</f>
        <v>29</v>
      </c>
      <c r="K168">
        <f>G168+C168</f>
        <v>312.73099999999999</v>
      </c>
      <c r="L168">
        <f>AVERAGE(K167:K169)</f>
        <v>307.21300000000002</v>
      </c>
      <c r="M168">
        <f>AVERAGE(G167:G169)</f>
        <v>237.33333333333334</v>
      </c>
      <c r="O168">
        <f>AVERAGE(C168:C170)</f>
        <v>70.242999999999995</v>
      </c>
      <c r="P168">
        <f>AVERAGE(H168:H170)</f>
        <v>156.5</v>
      </c>
      <c r="Q168">
        <f>AVERAGE(I168:I170)</f>
        <v>55</v>
      </c>
      <c r="R168">
        <f>AVERAGE(J168:J170)</f>
        <v>27</v>
      </c>
    </row>
    <row r="169" spans="1:18">
      <c r="B169">
        <v>16</v>
      </c>
      <c r="C169">
        <v>69.754999999999995</v>
      </c>
      <c r="D169">
        <v>0</v>
      </c>
      <c r="E169">
        <v>157</v>
      </c>
      <c r="F169">
        <v>210</v>
      </c>
      <c r="G169">
        <f>180+55</f>
        <v>235</v>
      </c>
      <c r="H169">
        <f t="shared" si="131"/>
        <v>157</v>
      </c>
      <c r="I169">
        <f t="shared" si="131"/>
        <v>53</v>
      </c>
      <c r="J169">
        <f>G169-F169</f>
        <v>25</v>
      </c>
      <c r="K169">
        <f>G169+C169</f>
        <v>304.755</v>
      </c>
      <c r="L169">
        <f>1.96*(STDEV(K167:K169)/SQRT(3))</f>
        <v>5.4183565746575937</v>
      </c>
      <c r="M169">
        <f>1.96*(STDEV(G167:G169)/SQRT(3))</f>
        <v>4.5733333333326547</v>
      </c>
    </row>
    <row r="171" spans="1:18">
      <c r="A171">
        <v>4</v>
      </c>
      <c r="B171">
        <v>32</v>
      </c>
      <c r="C171">
        <v>138.26300000000001</v>
      </c>
      <c r="D171">
        <v>0</v>
      </c>
      <c r="E171">
        <v>302</v>
      </c>
      <c r="F171">
        <v>410</v>
      </c>
      <c r="G171">
        <v>459</v>
      </c>
      <c r="H171">
        <f t="shared" ref="H171:I173" si="132">E171-D171</f>
        <v>302</v>
      </c>
      <c r="I171">
        <f t="shared" si="132"/>
        <v>108</v>
      </c>
      <c r="J171">
        <f>G171-F171</f>
        <v>49</v>
      </c>
      <c r="K171">
        <f>G171+C171</f>
        <v>597.26300000000003</v>
      </c>
    </row>
    <row r="172" spans="1:18">
      <c r="B172">
        <v>32</v>
      </c>
      <c r="C172">
        <v>140.792</v>
      </c>
      <c r="D172">
        <v>0</v>
      </c>
      <c r="E172">
        <v>302</v>
      </c>
      <c r="F172">
        <f>6*60+58</f>
        <v>418</v>
      </c>
      <c r="G172">
        <f>7*60+30</f>
        <v>450</v>
      </c>
      <c r="H172">
        <f t="shared" si="132"/>
        <v>302</v>
      </c>
      <c r="I172">
        <f t="shared" si="132"/>
        <v>116</v>
      </c>
      <c r="J172">
        <f>G172-F172</f>
        <v>32</v>
      </c>
      <c r="K172">
        <f>G172+C172</f>
        <v>590.79200000000003</v>
      </c>
      <c r="L172">
        <f>AVERAGE(K171:K173)</f>
        <v>593.79100000000005</v>
      </c>
      <c r="M172">
        <f>AVERAGE(G171:G173)</f>
        <v>454</v>
      </c>
      <c r="O172">
        <f>AVERAGE(C172:C174)</f>
        <v>140.55500000000001</v>
      </c>
      <c r="P172">
        <f>AVERAGE(H172:H174)</f>
        <v>304</v>
      </c>
      <c r="Q172">
        <f>AVERAGE(I172:I174)</f>
        <v>115.5</v>
      </c>
      <c r="R172">
        <f>AVERAGE(J172:J174)</f>
        <v>32</v>
      </c>
    </row>
    <row r="173" spans="1:18">
      <c r="B173">
        <v>32</v>
      </c>
      <c r="C173">
        <v>140.31800000000001</v>
      </c>
      <c r="D173">
        <v>0</v>
      </c>
      <c r="E173">
        <v>306</v>
      </c>
      <c r="F173">
        <v>421</v>
      </c>
      <c r="G173">
        <v>453</v>
      </c>
      <c r="H173">
        <f t="shared" si="132"/>
        <v>306</v>
      </c>
      <c r="I173">
        <f t="shared" si="132"/>
        <v>115</v>
      </c>
      <c r="J173">
        <f>G173-F173</f>
        <v>32</v>
      </c>
      <c r="K173">
        <f>G173+C173</f>
        <v>593.31799999999998</v>
      </c>
      <c r="L173">
        <f>1.96*(STDEV(K171:K173)/SQRT(3))</f>
        <v>3.6905394768847009</v>
      </c>
      <c r="M173">
        <f>1.96*(STDEV(G171:G173)/SQRT(3))</f>
        <v>5.1856725696865977</v>
      </c>
    </row>
    <row r="175" spans="1:18">
      <c r="A175">
        <v>8</v>
      </c>
      <c r="B175">
        <v>64</v>
      </c>
      <c r="C175">
        <v>250</v>
      </c>
      <c r="D175">
        <v>1</v>
      </c>
      <c r="E175">
        <f>9*60+55</f>
        <v>595</v>
      </c>
      <c r="F175">
        <f>13*60+30</f>
        <v>810</v>
      </c>
      <c r="G175">
        <f>14*60+42</f>
        <v>882</v>
      </c>
      <c r="H175">
        <f t="shared" ref="H175:I180" si="133">E175-D175</f>
        <v>594</v>
      </c>
      <c r="I175">
        <f t="shared" si="133"/>
        <v>215</v>
      </c>
      <c r="J175">
        <f>G175-F175</f>
        <v>72</v>
      </c>
      <c r="K175">
        <f>G175+C175</f>
        <v>1132</v>
      </c>
      <c r="O175">
        <f>AVERAGE(C175:C177)</f>
        <v>267.87333333333333</v>
      </c>
      <c r="P175">
        <f>AVERAGE(H175:H177)</f>
        <v>596.33333333333337</v>
      </c>
      <c r="Q175">
        <f>AVERAGE(I175:I177)</f>
        <v>212.33333333333334</v>
      </c>
      <c r="R175">
        <f>AVERAGE(J175:J177)</f>
        <v>66.333333333333329</v>
      </c>
    </row>
    <row r="176" spans="1:18">
      <c r="B176">
        <v>64</v>
      </c>
      <c r="C176">
        <v>275.30799999999999</v>
      </c>
      <c r="D176">
        <v>0</v>
      </c>
      <c r="E176">
        <f>9*60+57</f>
        <v>597</v>
      </c>
      <c r="F176">
        <f>13*60+28</f>
        <v>808</v>
      </c>
      <c r="G176">
        <f>14*60+35</f>
        <v>875</v>
      </c>
      <c r="H176">
        <f t="shared" si="133"/>
        <v>597</v>
      </c>
      <c r="I176">
        <f t="shared" si="133"/>
        <v>211</v>
      </c>
      <c r="J176">
        <f>G176-F176</f>
        <v>67</v>
      </c>
      <c r="K176">
        <f>G176+C176</f>
        <v>1150.308</v>
      </c>
      <c r="L176">
        <f>AVERAGE(K175:K177)</f>
        <v>1143.2066666666667</v>
      </c>
      <c r="M176">
        <f>AVERAGE(G175:G177)</f>
        <v>875.33333333333337</v>
      </c>
    </row>
    <row r="177" spans="1:13">
      <c r="B177">
        <v>64</v>
      </c>
      <c r="C177">
        <v>278.31200000000001</v>
      </c>
      <c r="D177">
        <v>0</v>
      </c>
      <c r="E177">
        <f>9*60+58</f>
        <v>598</v>
      </c>
      <c r="F177">
        <f>13*60+29</f>
        <v>809</v>
      </c>
      <c r="G177">
        <f>14*60+29</f>
        <v>869</v>
      </c>
      <c r="H177">
        <f t="shared" si="133"/>
        <v>598</v>
      </c>
      <c r="I177">
        <f t="shared" si="133"/>
        <v>211</v>
      </c>
      <c r="J177">
        <f>G177-F177</f>
        <v>60</v>
      </c>
      <c r="K177">
        <f>G177+C177</f>
        <v>1147.3119999999999</v>
      </c>
      <c r="L177">
        <f>1.96*(STDEV(K175:K177)/SQRT(3))</f>
        <v>11.112585673013266</v>
      </c>
      <c r="M177">
        <f>1.96*(STDEV(G175:G177)/SQRT(3))</f>
        <v>7.3626927441218859</v>
      </c>
    </row>
    <row r="179" spans="1:13">
      <c r="A179">
        <v>16</v>
      </c>
      <c r="B179">
        <v>128</v>
      </c>
      <c r="C179">
        <v>663.63499999999999</v>
      </c>
      <c r="D179">
        <v>1</v>
      </c>
      <c r="E179">
        <f>26*60+16</f>
        <v>1576</v>
      </c>
      <c r="F179">
        <f>36*60+27</f>
        <v>2187</v>
      </c>
      <c r="G179">
        <f>37*60+38</f>
        <v>2258</v>
      </c>
      <c r="H179">
        <f t="shared" si="133"/>
        <v>1575</v>
      </c>
      <c r="I179">
        <f t="shared" si="133"/>
        <v>611</v>
      </c>
      <c r="J179">
        <f>G179-F179</f>
        <v>71</v>
      </c>
      <c r="K179">
        <f>G179+C179</f>
        <v>2921.6350000000002</v>
      </c>
    </row>
    <row r="180" spans="1:13">
      <c r="A180">
        <v>16</v>
      </c>
      <c r="B180">
        <v>128</v>
      </c>
      <c r="C180">
        <v>670.37300000000005</v>
      </c>
      <c r="D180">
        <v>0</v>
      </c>
      <c r="E180">
        <f>24*60+55</f>
        <v>1495</v>
      </c>
      <c r="F180">
        <f>33*60+44</f>
        <v>2024</v>
      </c>
      <c r="G180">
        <f>36*60+42</f>
        <v>2202</v>
      </c>
      <c r="H180">
        <f t="shared" si="133"/>
        <v>1495</v>
      </c>
      <c r="I180">
        <f t="shared" si="133"/>
        <v>529</v>
      </c>
      <c r="J180">
        <f>G180-F180</f>
        <v>178</v>
      </c>
      <c r="K180">
        <f>G180+C180</f>
        <v>2872.373</v>
      </c>
      <c r="L180">
        <f>AVERAGE(K179:K181)</f>
        <v>2929.5713333333333</v>
      </c>
    </row>
    <row r="181" spans="1:13">
      <c r="A181">
        <v>16</v>
      </c>
      <c r="B181">
        <v>128</v>
      </c>
      <c r="C181">
        <v>718.70600000000002</v>
      </c>
      <c r="D181">
        <v>0</v>
      </c>
      <c r="E181">
        <f>25*60+55</f>
        <v>1555</v>
      </c>
      <c r="F181">
        <f>34*60+56</f>
        <v>2096</v>
      </c>
      <c r="G181">
        <f>37*60+56</f>
        <v>2276</v>
      </c>
      <c r="H181">
        <f t="shared" ref="H181:J181" si="134">E181-D181</f>
        <v>1555</v>
      </c>
      <c r="I181">
        <f t="shared" si="134"/>
        <v>541</v>
      </c>
      <c r="J181">
        <f t="shared" si="134"/>
        <v>180</v>
      </c>
      <c r="K181">
        <f>G181+C181</f>
        <v>2994.7060000000001</v>
      </c>
      <c r="L181">
        <f>1.96*(STDEV(K179:K181)/SQRT(3))</f>
        <v>69.652011253522105</v>
      </c>
    </row>
    <row r="183" spans="1:13">
      <c r="C183">
        <f>AVERAGE(C179:C181)</f>
        <v>684.23799999999994</v>
      </c>
      <c r="H183">
        <f>AVERAGE(H179:H181)</f>
        <v>1541.6666666666667</v>
      </c>
      <c r="I183">
        <f>AVERAGE(I179:I181)</f>
        <v>560.33333333333337</v>
      </c>
      <c r="J183">
        <f>AVERAGE(J179:J181)</f>
        <v>143</v>
      </c>
    </row>
    <row r="184" spans="1:13">
      <c r="C184">
        <f>1.96*(STDEV(C179:C181)/SQRT(3))</f>
        <v>33.993099001840605</v>
      </c>
      <c r="H184">
        <f>1.96*(STDEV(H179:H181)/SQRT(3))</f>
        <v>47.112536666064905</v>
      </c>
      <c r="I184">
        <f>1.96*(STDEV(I179:I181)/SQRT(3))</f>
        <v>50.115393953465905</v>
      </c>
      <c r="J184">
        <f>1.96*(STDEV(J179:J181)/SQRT(3))</f>
        <v>70.569073490682399</v>
      </c>
      <c r="K184">
        <f>1.96*(STDEV(K179:K181)/SQRT(3))</f>
        <v>69.652011253522105</v>
      </c>
    </row>
    <row r="189" spans="1:13">
      <c r="B189" t="s">
        <v>10</v>
      </c>
      <c r="C189" t="s">
        <v>7</v>
      </c>
      <c r="D189" t="s">
        <v>6</v>
      </c>
      <c r="E189" t="s">
        <v>8</v>
      </c>
      <c r="F189" t="s">
        <v>6</v>
      </c>
      <c r="G189" t="s">
        <v>9</v>
      </c>
      <c r="H189" t="s">
        <v>6</v>
      </c>
    </row>
    <row r="190" spans="1:13">
      <c r="B190">
        <v>1</v>
      </c>
      <c r="C190">
        <v>127.66666666666667</v>
      </c>
      <c r="D190">
        <v>2.8478139764463011</v>
      </c>
      <c r="E190">
        <v>138.84366666666668</v>
      </c>
      <c r="F190">
        <v>3.9537597419720347</v>
      </c>
      <c r="G190">
        <v>333.02333333333331</v>
      </c>
      <c r="H190">
        <v>3.7673547666510578</v>
      </c>
    </row>
    <row r="191" spans="1:13">
      <c r="B191">
        <v>2</v>
      </c>
      <c r="C191">
        <v>237.33333333333334</v>
      </c>
      <c r="D191">
        <v>4.5733333333326547</v>
      </c>
      <c r="E191">
        <v>291.65900000000005</v>
      </c>
      <c r="F191">
        <v>9.3328871561992184</v>
      </c>
      <c r="G191">
        <v>515.9666666666667</v>
      </c>
      <c r="H191">
        <v>16.561657221961795</v>
      </c>
    </row>
    <row r="192" spans="1:13">
      <c r="B192">
        <v>4</v>
      </c>
      <c r="C192">
        <v>454</v>
      </c>
      <c r="D192">
        <v>5.1856725696865977</v>
      </c>
      <c r="E192">
        <v>554.89466666666669</v>
      </c>
      <c r="F192">
        <v>29.365570828382978</v>
      </c>
      <c r="G192">
        <v>892.1</v>
      </c>
      <c r="H192">
        <v>7.4403193730497463</v>
      </c>
    </row>
    <row r="193" spans="1:16">
      <c r="B193">
        <v>8</v>
      </c>
      <c r="C193">
        <v>875.33333333333337</v>
      </c>
      <c r="D193">
        <v>7.3626927441218859</v>
      </c>
      <c r="E193">
        <v>1152.5989999999999</v>
      </c>
      <c r="F193">
        <v>45.910195475769797</v>
      </c>
      <c r="G193">
        <v>1716.8533333333332</v>
      </c>
      <c r="H193">
        <v>84.245652230867222</v>
      </c>
    </row>
    <row r="197" spans="1:16">
      <c r="F197" t="s">
        <v>98</v>
      </c>
      <c r="I197" t="s">
        <v>99</v>
      </c>
    </row>
    <row r="198" spans="1:16">
      <c r="F198" t="s">
        <v>100</v>
      </c>
      <c r="I198">
        <v>8</v>
      </c>
    </row>
    <row r="199" spans="1:16">
      <c r="F199" t="s">
        <v>101</v>
      </c>
      <c r="I199">
        <v>1</v>
      </c>
      <c r="J199" t="s">
        <v>102</v>
      </c>
    </row>
    <row r="200" spans="1:16">
      <c r="F200" t="s">
        <v>103</v>
      </c>
      <c r="I200">
        <v>8</v>
      </c>
    </row>
    <row r="201" spans="1:16">
      <c r="A201" t="s">
        <v>47</v>
      </c>
      <c r="F201" t="s">
        <v>104</v>
      </c>
      <c r="I201" t="s">
        <v>105</v>
      </c>
    </row>
    <row r="202" spans="1:16">
      <c r="A202" t="s">
        <v>48</v>
      </c>
    </row>
    <row r="203" spans="1:16">
      <c r="A203" t="s">
        <v>49</v>
      </c>
      <c r="F203" t="s">
        <v>108</v>
      </c>
    </row>
    <row r="204" spans="1:16" s="40" customFormat="1">
      <c r="A204" t="s">
        <v>50</v>
      </c>
      <c r="B204"/>
      <c r="C204"/>
      <c r="D204"/>
      <c r="E204"/>
      <c r="F204" t="s">
        <v>106</v>
      </c>
      <c r="G204"/>
      <c r="H204" t="s">
        <v>109</v>
      </c>
      <c r="I204"/>
      <c r="J204"/>
      <c r="K204"/>
      <c r="L204"/>
      <c r="M204"/>
      <c r="N204"/>
      <c r="O204"/>
      <c r="P204"/>
    </row>
    <row r="205" spans="1:16">
      <c r="A205" t="s">
        <v>51</v>
      </c>
      <c r="F205" t="s">
        <v>79</v>
      </c>
      <c r="L205" t="s">
        <v>73</v>
      </c>
    </row>
    <row r="206" spans="1:16">
      <c r="A206" t="s">
        <v>52</v>
      </c>
      <c r="F206" t="s">
        <v>107</v>
      </c>
      <c r="H206" t="s">
        <v>72</v>
      </c>
    </row>
    <row r="207" spans="1:16">
      <c r="H207" t="s">
        <v>64</v>
      </c>
    </row>
    <row r="208" spans="1:16">
      <c r="F208" t="s">
        <v>74</v>
      </c>
    </row>
    <row r="209" spans="1:17">
      <c r="F209" t="s">
        <v>75</v>
      </c>
      <c r="H209" t="s">
        <v>76</v>
      </c>
      <c r="I209" t="s">
        <v>77</v>
      </c>
    </row>
    <row r="210" spans="1:17">
      <c r="I210" t="s">
        <v>78</v>
      </c>
    </row>
    <row r="212" spans="1:17">
      <c r="F212" t="s">
        <v>0</v>
      </c>
    </row>
    <row r="213" spans="1:17">
      <c r="F213" t="s">
        <v>62</v>
      </c>
      <c r="Q213" s="40"/>
    </row>
    <row r="214" spans="1:17">
      <c r="F214" t="s">
        <v>63</v>
      </c>
    </row>
    <row r="215" spans="1:17">
      <c r="A215" s="40"/>
      <c r="B215" s="40"/>
      <c r="C215" s="40"/>
      <c r="D215" s="40"/>
      <c r="E215" s="40"/>
      <c r="F215" t="s">
        <v>61</v>
      </c>
    </row>
    <row r="216" spans="1:17">
      <c r="J216">
        <f>(D233-D234)/D234*100</f>
        <v>10.043727265691516</v>
      </c>
    </row>
    <row r="217" spans="1:17">
      <c r="J217">
        <f>(D237-D238)/D237*100</f>
        <v>9.1168250419228816</v>
      </c>
    </row>
    <row r="218" spans="1:17">
      <c r="K218" t="e">
        <f>SUM(#REF!+#REF!+J216+J217)/4</f>
        <v>#REF!</v>
      </c>
      <c r="L218" t="e">
        <f>1.96*STDEV(#REF!,#REF!,J216,J217)/SQRT(4)</f>
        <v>#REF!</v>
      </c>
    </row>
    <row r="219" spans="1:17">
      <c r="G219" t="s">
        <v>12</v>
      </c>
    </row>
    <row r="222" spans="1:17">
      <c r="G222" t="s">
        <v>13</v>
      </c>
    </row>
    <row r="224" spans="1:17" ht="52">
      <c r="A224" s="40" t="s">
        <v>10</v>
      </c>
      <c r="B224" s="40" t="s">
        <v>65</v>
      </c>
      <c r="C224" s="40" t="s">
        <v>60</v>
      </c>
      <c r="D224" s="40" t="s">
        <v>68</v>
      </c>
      <c r="E224" s="40" t="s">
        <v>69</v>
      </c>
      <c r="F224" s="40"/>
      <c r="G224" s="40" t="s">
        <v>70</v>
      </c>
      <c r="H224" s="40" t="s">
        <v>71</v>
      </c>
      <c r="I224" s="40" t="s">
        <v>59</v>
      </c>
    </row>
    <row r="225" spans="1:15" ht="26">
      <c r="A225">
        <v>1</v>
      </c>
      <c r="B225" t="s">
        <v>66</v>
      </c>
      <c r="D225" s="42">
        <f>AVERAGE(H163:H165)</f>
        <v>81.666666666666671</v>
      </c>
      <c r="E225" s="42">
        <f>AVERAGE(I163:I165)</f>
        <v>14.666666666666666</v>
      </c>
      <c r="F225" s="42"/>
      <c r="G225" s="42">
        <f>AVERAGE(J163:J165)</f>
        <v>31.333333333333332</v>
      </c>
      <c r="H225" s="42">
        <f>M164</f>
        <v>127.66666666666667</v>
      </c>
      <c r="J225" s="40" t="s">
        <v>53</v>
      </c>
      <c r="K225" s="40" t="s">
        <v>54</v>
      </c>
      <c r="L225" s="40" t="s">
        <v>55</v>
      </c>
      <c r="M225" s="40" t="s">
        <v>56</v>
      </c>
      <c r="N225" s="40" t="s">
        <v>57</v>
      </c>
      <c r="O225" s="40" t="s">
        <v>58</v>
      </c>
    </row>
    <row r="226" spans="1:15">
      <c r="B226" t="s">
        <v>8</v>
      </c>
      <c r="C226">
        <f>AVERAGE(D97:D99)</f>
        <v>13.225333333333333</v>
      </c>
      <c r="D226" s="42">
        <f>AVERAGE(E97:E99)</f>
        <v>70.463999999999999</v>
      </c>
      <c r="E226" s="42">
        <f>AVERAGE(F97:F99)</f>
        <v>0.12366666666666666</v>
      </c>
      <c r="G226" s="42">
        <f>AVERAGE(G97:G99)</f>
        <v>55.153999999999996</v>
      </c>
      <c r="H226" s="42">
        <f>J98</f>
        <v>138.84366666666668</v>
      </c>
      <c r="I226" s="42">
        <f>(H226-H225)/H225*100</f>
        <v>8.7548302872062713</v>
      </c>
      <c r="K226">
        <f>1.96*(STDEV(H175:H177)/SQRT(3))</f>
        <v>2.3556268333136874</v>
      </c>
      <c r="L226">
        <f>1.96*(STDEV(F175:F177)/SQRT(3))</f>
        <v>1.1316065276116667</v>
      </c>
      <c r="N226">
        <f>1.96*(STDEV(J175:J177)/SQRT(3))</f>
        <v>6.8210002524881972</v>
      </c>
      <c r="O226">
        <f>1.96*(STDEV(G175:G177)/SQRT(3))</f>
        <v>7.3626927441218859</v>
      </c>
    </row>
    <row r="227" spans="1:15" ht="26">
      <c r="B227" s="40" t="s">
        <v>67</v>
      </c>
      <c r="C227">
        <f>AVERAGE(D130:D132)/2</f>
        <v>6.7541666666666673</v>
      </c>
      <c r="D227" s="42">
        <f>AVERAGE(E130:E132)</f>
        <v>107.96333333333332</v>
      </c>
      <c r="E227" s="42">
        <f>AVERAGE(F130:F132)</f>
        <v>120.39666666666666</v>
      </c>
      <c r="G227" s="42">
        <f>AVERAGE(G130:G132)</f>
        <v>84.986666666666665</v>
      </c>
      <c r="H227" s="42">
        <f>J131</f>
        <v>326.85499999999996</v>
      </c>
      <c r="J227">
        <f>1.96*(STDEV(D109:D111)/SQRT(3))</f>
        <v>3.7164746502981814</v>
      </c>
      <c r="K227">
        <f>1.96*(STDEV(E109:E111)/SQRT(3))</f>
        <v>7.5487520113123123</v>
      </c>
      <c r="M227">
        <f>1.96*(STDEV(F109:F111)/SQRT(3))</f>
        <v>0.15102743650667599</v>
      </c>
      <c r="N227">
        <f>1.96*(STDEV(G109:G111)/SQRT(3))</f>
        <v>6.4612074420552403</v>
      </c>
      <c r="O227">
        <f>1.96*(STDEV(H109:H111)/SQRT(3))</f>
        <v>45.910195475769797</v>
      </c>
    </row>
    <row r="228" spans="1:15">
      <c r="E228" s="42"/>
      <c r="F228" s="42"/>
      <c r="G228" s="42"/>
      <c r="H228" s="42"/>
      <c r="J228">
        <f>1.96*(STDEV(D142:D144)/SQRT(3))</f>
        <v>6.9319890501291139</v>
      </c>
      <c r="K228">
        <f>1.96*(STDEV(E142:E144)/SQRT(3))</f>
        <v>11.052853437914052</v>
      </c>
      <c r="M228">
        <f>1.96*(STDEV(F142:F144)/SQRT(3))</f>
        <v>62.923590217129892</v>
      </c>
      <c r="N228">
        <f>1.96*(STDEV(G142:G144)/SQRT(3))</f>
        <v>1.5026240573288348</v>
      </c>
      <c r="O228">
        <f>1.96*(STDEV(H142:H144)/SQRT(3))</f>
        <v>78.105044791314469</v>
      </c>
    </row>
    <row r="229" spans="1:15">
      <c r="A229">
        <v>2</v>
      </c>
      <c r="B229" t="s">
        <v>66</v>
      </c>
      <c r="D229" s="42">
        <f>AVERAGE(H167:H169)</f>
        <v>156.66666666666666</v>
      </c>
      <c r="E229" s="42">
        <f>AVERAGE(I167:I169)</f>
        <v>54</v>
      </c>
      <c r="F229" s="42"/>
      <c r="G229" s="42">
        <f>AVERAGE(J167:J169)</f>
        <v>26.666666666666668</v>
      </c>
      <c r="H229" s="42">
        <f>M168</f>
        <v>237.33333333333334</v>
      </c>
    </row>
    <row r="230" spans="1:15">
      <c r="B230" t="s">
        <v>8</v>
      </c>
      <c r="C230">
        <f>AVERAGE(D101:D103)</f>
        <v>43.638333333333328</v>
      </c>
      <c r="D230" s="42">
        <f>AVERAGE(E101:E103)</f>
        <v>140.70033333333333</v>
      </c>
      <c r="E230" s="42">
        <f>AVERAGE(F101:F103)</f>
        <v>0.29399999999999998</v>
      </c>
      <c r="G230" s="42">
        <f>AVERAGE(G101:G103)</f>
        <v>107.61733333333335</v>
      </c>
      <c r="H230" s="42">
        <f>J102</f>
        <v>291.65900000000005</v>
      </c>
      <c r="I230" s="42">
        <f>(H230-H229)/H229*100</f>
        <v>22.890028089887657</v>
      </c>
    </row>
    <row r="231" spans="1:15" ht="26">
      <c r="B231" s="40" t="s">
        <v>67</v>
      </c>
      <c r="C231">
        <f>AVERAGE(D134:D136)/2</f>
        <v>16.111666666666665</v>
      </c>
      <c r="D231" s="42">
        <f>AVERAGE(E134:E136)</f>
        <v>157.83666666666667</v>
      </c>
      <c r="E231" s="42">
        <f>AVERAGE(F134:F136)</f>
        <v>182.72666666666669</v>
      </c>
      <c r="G231" s="42">
        <f>AVERAGE(G134:G136)</f>
        <v>124.29</v>
      </c>
      <c r="H231" s="42">
        <f>J135</f>
        <v>497.07666666666665</v>
      </c>
    </row>
    <row r="232" spans="1:15">
      <c r="E232" s="42"/>
      <c r="F232" s="42"/>
      <c r="G232" s="42"/>
      <c r="H232" s="42"/>
    </row>
    <row r="233" spans="1:15">
      <c r="A233">
        <v>4</v>
      </c>
      <c r="B233" t="s">
        <v>66</v>
      </c>
      <c r="D233" s="42">
        <f>AVERAGE(H171:H173)</f>
        <v>303.33333333333331</v>
      </c>
      <c r="E233" s="42">
        <f>AVERAGE(I171:I173)</f>
        <v>113</v>
      </c>
      <c r="F233" s="42"/>
      <c r="G233" s="42">
        <f>AVERAGE(J171:J173)</f>
        <v>37.666666666666664</v>
      </c>
      <c r="H233" s="42">
        <f>M172</f>
        <v>454</v>
      </c>
    </row>
    <row r="234" spans="1:15">
      <c r="B234" t="s">
        <v>8</v>
      </c>
      <c r="C234">
        <f>AVERAGE(D105:D107)</f>
        <v>64.720000000000013</v>
      </c>
      <c r="D234" s="42">
        <f>AVERAGE(E105:E107)</f>
        <v>275.64799999999997</v>
      </c>
      <c r="E234" s="42">
        <f>AVERAGE(F105:F107)</f>
        <v>0.57500000000000007</v>
      </c>
      <c r="G234" s="42">
        <f>AVERAGE(G105:G107)</f>
        <v>214.52633333333333</v>
      </c>
      <c r="H234" s="42">
        <f>J106</f>
        <v>554.89466666666669</v>
      </c>
      <c r="I234" s="42">
        <f>(H234-H233)/H233*100</f>
        <v>22.223494860499272</v>
      </c>
    </row>
    <row r="235" spans="1:15" ht="26">
      <c r="B235" s="40" t="s">
        <v>67</v>
      </c>
      <c r="C235">
        <f>AVERAGE(D138:D140)/2</f>
        <v>13.660000000000002</v>
      </c>
      <c r="D235" s="42">
        <f>AVERAGE(E138:E140)</f>
        <v>266.6466666666667</v>
      </c>
      <c r="E235" s="42">
        <f>AVERAGE(F138:F140)</f>
        <v>324.70333333333332</v>
      </c>
      <c r="G235" s="42">
        <f>AVERAGE(G138:G140)</f>
        <v>246.10999999999999</v>
      </c>
      <c r="H235" s="42">
        <f>J139</f>
        <v>864.78000000000009</v>
      </c>
    </row>
    <row r="236" spans="1:15">
      <c r="E236" s="42"/>
      <c r="F236" s="42"/>
      <c r="G236" s="42"/>
      <c r="H236" s="42"/>
    </row>
    <row r="237" spans="1:15">
      <c r="A237">
        <v>8</v>
      </c>
      <c r="B237" t="s">
        <v>66</v>
      </c>
      <c r="D237" s="42">
        <f>AVERAGE(H175:H177)</f>
        <v>596.33333333333337</v>
      </c>
      <c r="E237" s="42">
        <f>AVERAGE(I175:I177)</f>
        <v>212.33333333333334</v>
      </c>
      <c r="F237" s="42"/>
      <c r="G237" s="42">
        <f>AVERAGE(J175:J177)</f>
        <v>66.333333333333329</v>
      </c>
      <c r="H237" s="42">
        <f>M176</f>
        <v>875.33333333333337</v>
      </c>
    </row>
    <row r="238" spans="1:15">
      <c r="B238" t="s">
        <v>8</v>
      </c>
      <c r="C238">
        <f>AVERAGE(D109:D111)</f>
        <v>154.98133333333334</v>
      </c>
      <c r="D238" s="42">
        <f>AVERAGE(E109:E111)</f>
        <v>541.96666666666658</v>
      </c>
      <c r="E238" s="42">
        <f>AVERAGE(F109:F111)</f>
        <v>1.2026666666666666</v>
      </c>
      <c r="G238" s="42">
        <f>AVERAGE(G109:G111)</f>
        <v>438.98433333333332</v>
      </c>
      <c r="H238" s="42">
        <f>J110</f>
        <v>1152.5990000000002</v>
      </c>
      <c r="I238" s="42">
        <f>(H238-H237)/H237*100</f>
        <v>31.67543792840824</v>
      </c>
    </row>
    <row r="239" spans="1:15" ht="26">
      <c r="B239" s="40" t="s">
        <v>67</v>
      </c>
      <c r="C239">
        <f>AVERAGE(D142:D144)/2</f>
        <v>26.284166666666668</v>
      </c>
      <c r="D239" s="42">
        <f>AVERAGE(E142:E144)</f>
        <v>486.96000000000004</v>
      </c>
      <c r="E239" s="42">
        <f>AVERAGE(F142:F144)</f>
        <v>653.87</v>
      </c>
      <c r="G239" s="42">
        <f>AVERAGE(G142:G144)</f>
        <v>470.88666666666671</v>
      </c>
      <c r="H239" s="42">
        <f>J143</f>
        <v>1664.2849999999999</v>
      </c>
    </row>
    <row r="243" spans="1:2">
      <c r="A243">
        <v>1</v>
      </c>
      <c r="B243" s="42">
        <v>120.39666666666666</v>
      </c>
    </row>
    <row r="244" spans="1:2">
      <c r="A244">
        <v>2</v>
      </c>
      <c r="B244" s="42">
        <v>182.72666666666669</v>
      </c>
    </row>
    <row r="245" spans="1:2">
      <c r="A245">
        <v>4</v>
      </c>
      <c r="B245" s="42">
        <v>324.70333333333332</v>
      </c>
    </row>
    <row r="246" spans="1:2">
      <c r="A246">
        <v>8</v>
      </c>
      <c r="B246" s="42">
        <v>653.87</v>
      </c>
    </row>
  </sheetData>
  <sheetCalcPr fullCalcOnLoad="1"/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89"/>
  <sheetViews>
    <sheetView workbookViewId="0">
      <selection activeCell="G36" sqref="G36"/>
    </sheetView>
  </sheetViews>
  <sheetFormatPr baseColWidth="10" defaultRowHeight="13"/>
  <sheetData>
    <row r="1" spans="1:13">
      <c r="A1" t="s">
        <v>413</v>
      </c>
    </row>
    <row r="2" spans="1:13">
      <c r="A2" t="s">
        <v>414</v>
      </c>
    </row>
    <row r="3" spans="1:13">
      <c r="A3" t="s">
        <v>320</v>
      </c>
    </row>
    <row r="4" spans="1:13">
      <c r="A4" t="s">
        <v>399</v>
      </c>
    </row>
    <row r="5" spans="1:13">
      <c r="A5" t="s">
        <v>389</v>
      </c>
    </row>
    <row r="8" spans="1:13">
      <c r="E8" t="s">
        <v>390</v>
      </c>
    </row>
    <row r="10" spans="1:13" ht="104">
      <c r="A10" s="41" t="s">
        <v>415</v>
      </c>
      <c r="B10" s="43" t="s">
        <v>27</v>
      </c>
      <c r="C10" s="41" t="s">
        <v>416</v>
      </c>
      <c r="D10" s="41" t="s">
        <v>316</v>
      </c>
      <c r="E10" s="41" t="s">
        <v>317</v>
      </c>
      <c r="F10" s="41" t="s">
        <v>318</v>
      </c>
      <c r="G10" s="48" t="s">
        <v>319</v>
      </c>
      <c r="H10" s="48"/>
      <c r="I10" s="48"/>
      <c r="J10" s="48"/>
    </row>
    <row r="11" spans="1:13">
      <c r="A11" s="32">
        <v>1696.0322450000001</v>
      </c>
      <c r="B11" s="32">
        <v>1712.163</v>
      </c>
      <c r="C11" s="32">
        <v>1342.8240000000001</v>
      </c>
      <c r="D11" s="32">
        <v>271.30434782608694</v>
      </c>
      <c r="E11" s="32">
        <v>71.724137931034477</v>
      </c>
      <c r="F11">
        <v>637.42506249999997</v>
      </c>
      <c r="G11">
        <f>MAX(A11:C11)+MAX(D11:E11)+F11</f>
        <v>2620.892410326087</v>
      </c>
      <c r="H11" s="44"/>
    </row>
    <row r="12" spans="1:13">
      <c r="A12" s="32">
        <v>1660.294715</v>
      </c>
      <c r="B12" s="32">
        <v>1730.741</v>
      </c>
      <c r="C12" s="32">
        <v>1613.597</v>
      </c>
      <c r="D12" s="32">
        <v>271.30434782608694</v>
      </c>
      <c r="E12" s="32">
        <v>71.724137931034477</v>
      </c>
      <c r="F12">
        <v>649.32174218750004</v>
      </c>
      <c r="G12">
        <f t="shared" ref="G12:G14" si="0">MAX(A12:C12)+MAX(D12:E12)+F12</f>
        <v>2651.3670900135871</v>
      </c>
      <c r="H12" s="44"/>
    </row>
    <row r="13" spans="1:13">
      <c r="A13" s="32">
        <v>1675.3710450000001</v>
      </c>
      <c r="B13" s="32">
        <v>1724.692</v>
      </c>
      <c r="C13" s="32">
        <v>1338.2349999999999</v>
      </c>
      <c r="D13" s="32">
        <v>271.30434782608694</v>
      </c>
      <c r="E13" s="32">
        <v>71.724137931034477</v>
      </c>
      <c r="F13">
        <v>623.23042968749996</v>
      </c>
      <c r="G13">
        <f t="shared" si="0"/>
        <v>2619.226777513587</v>
      </c>
      <c r="H13" s="44"/>
      <c r="K13" s="32"/>
      <c r="L13" s="32"/>
      <c r="M13" s="32"/>
    </row>
    <row r="14" spans="1:13">
      <c r="A14" s="32">
        <v>1690.3228349999999</v>
      </c>
      <c r="B14" s="32">
        <v>1793.2760000000001</v>
      </c>
      <c r="C14" s="32">
        <v>1344.8989999999999</v>
      </c>
      <c r="D14" s="32">
        <v>271.30434782608694</v>
      </c>
      <c r="E14" s="32">
        <v>71.724137931034477</v>
      </c>
      <c r="F14">
        <v>674.92850781250002</v>
      </c>
      <c r="G14">
        <f t="shared" si="0"/>
        <v>2739.5088556385867</v>
      </c>
      <c r="H14" s="44"/>
    </row>
    <row r="16" spans="1:13">
      <c r="E16" t="s">
        <v>391</v>
      </c>
    </row>
    <row r="18" spans="1:18" ht="104">
      <c r="A18" s="41" t="s">
        <v>231</v>
      </c>
      <c r="B18" s="41" t="s">
        <v>386</v>
      </c>
      <c r="C18" s="41" t="s">
        <v>308</v>
      </c>
      <c r="D18" s="41" t="s">
        <v>190</v>
      </c>
      <c r="E18" s="41" t="s">
        <v>393</v>
      </c>
      <c r="F18" s="41" t="s">
        <v>394</v>
      </c>
      <c r="G18" s="49" t="s">
        <v>175</v>
      </c>
      <c r="H18" s="48"/>
      <c r="I18" s="48"/>
      <c r="J18" s="48"/>
    </row>
    <row r="19" spans="1:18">
      <c r="A19">
        <v>2974.0509999999999</v>
      </c>
      <c r="B19">
        <v>3280.701</v>
      </c>
      <c r="C19">
        <v>2479.7370000000001</v>
      </c>
      <c r="D19">
        <f>5936/11.5</f>
        <v>516.17391304347825</v>
      </c>
      <c r="E19">
        <f>5936/43.5</f>
        <v>136.45977011494253</v>
      </c>
      <c r="F19">
        <v>820.30881328124997</v>
      </c>
      <c r="G19">
        <f>MAX(A19:C19)+MAX(D19:E19)+F19</f>
        <v>4617.183726324728</v>
      </c>
    </row>
    <row r="20" spans="1:18">
      <c r="A20">
        <v>3255.24</v>
      </c>
      <c r="B20">
        <v>3333.0770000000002</v>
      </c>
      <c r="C20">
        <v>2461.779</v>
      </c>
      <c r="D20">
        <f t="shared" ref="D20:D22" si="1">5936/11.5</f>
        <v>516.17391304347825</v>
      </c>
      <c r="E20">
        <f t="shared" ref="E20:E22" si="2">5936/43.5</f>
        <v>136.45977011494253</v>
      </c>
      <c r="F20">
        <v>884.69377109375</v>
      </c>
      <c r="G20">
        <f t="shared" ref="G20:G22" si="3">MAX(A20:C20)+MAX(D20:E20)+F20</f>
        <v>4733.9446841372283</v>
      </c>
    </row>
    <row r="21" spans="1:18">
      <c r="A21">
        <v>3378.21</v>
      </c>
      <c r="B21">
        <f>3105.023</f>
        <v>3105.0230000000001</v>
      </c>
      <c r="C21">
        <v>2470.4319999999998</v>
      </c>
      <c r="D21">
        <f t="shared" si="1"/>
        <v>516.17391304347825</v>
      </c>
      <c r="E21">
        <f t="shared" si="2"/>
        <v>136.45977011494253</v>
      </c>
      <c r="F21">
        <v>892.21782499999995</v>
      </c>
      <c r="G21">
        <f t="shared" si="3"/>
        <v>4786.6017380434778</v>
      </c>
      <c r="K21" s="32"/>
      <c r="L21" s="32"/>
      <c r="M21" s="32"/>
    </row>
    <row r="22" spans="1:18">
      <c r="A22">
        <v>3022.0169999999998</v>
      </c>
      <c r="B22">
        <f>2965.8477</f>
        <v>2965.8476999999998</v>
      </c>
      <c r="C22">
        <v>2485.3420000000001</v>
      </c>
      <c r="D22">
        <f t="shared" si="1"/>
        <v>516.17391304347825</v>
      </c>
      <c r="E22">
        <f t="shared" si="2"/>
        <v>136.45977011494253</v>
      </c>
      <c r="F22">
        <v>805.18253593750001</v>
      </c>
      <c r="G22">
        <f t="shared" si="3"/>
        <v>4343.3734489809776</v>
      </c>
      <c r="R22" s="32"/>
    </row>
    <row r="23" spans="1:18">
      <c r="R23" s="32"/>
    </row>
    <row r="26" spans="1:18">
      <c r="E26" t="s">
        <v>392</v>
      </c>
    </row>
    <row r="28" spans="1:18" ht="104" customHeight="1">
      <c r="A28" s="41" t="s">
        <v>231</v>
      </c>
      <c r="B28" s="41" t="s">
        <v>386</v>
      </c>
      <c r="C28" s="41" t="s">
        <v>308</v>
      </c>
      <c r="D28" s="41" t="s">
        <v>395</v>
      </c>
      <c r="E28" s="41" t="s">
        <v>396</v>
      </c>
      <c r="F28" s="41" t="s">
        <v>397</v>
      </c>
      <c r="G28" s="49" t="s">
        <v>175</v>
      </c>
      <c r="H28" s="48"/>
      <c r="I28" s="48"/>
      <c r="J28" s="48"/>
    </row>
    <row r="29" spans="1:18">
      <c r="A29">
        <v>5367.8280000000004</v>
      </c>
      <c r="B29">
        <v>6180.701</v>
      </c>
      <c r="C29">
        <v>4905.9120000000003</v>
      </c>
      <c r="D29">
        <f>8952/11.5</f>
        <v>778.43478260869563</v>
      </c>
      <c r="E29">
        <f>8952/43.5</f>
        <v>205.79310344827587</v>
      </c>
      <c r="F29">
        <v>1217.5301921875</v>
      </c>
      <c r="G29">
        <f>MAX(A29:C29)+MAX(D29:E29)+F29</f>
        <v>8176.6659747961958</v>
      </c>
    </row>
    <row r="30" spans="1:18">
      <c r="A30">
        <v>5315.8459999999995</v>
      </c>
      <c r="B30">
        <v>5933.0770000000002</v>
      </c>
      <c r="C30">
        <v>4943.2259999999997</v>
      </c>
      <c r="D30">
        <f t="shared" ref="D30:D32" si="4">8952/11.5</f>
        <v>778.43478260869563</v>
      </c>
      <c r="E30">
        <f t="shared" ref="E30:E32" si="5">8952/43.5</f>
        <v>205.79310344827587</v>
      </c>
      <c r="F30">
        <v>1241.9956410156201</v>
      </c>
      <c r="G30">
        <f t="shared" ref="G30:G32" si="6">MAX(A30:C30)+MAX(D30:E30)+F30</f>
        <v>7953.5074236243163</v>
      </c>
    </row>
    <row r="31" spans="1:18">
      <c r="A31">
        <v>5563.4449999999997</v>
      </c>
      <c r="B31">
        <v>6130.55</v>
      </c>
      <c r="C31">
        <v>4995.1239999999998</v>
      </c>
      <c r="D31">
        <f t="shared" si="4"/>
        <v>778.43478260869563</v>
      </c>
      <c r="E31">
        <f t="shared" si="5"/>
        <v>205.79310344827587</v>
      </c>
      <c r="F31">
        <v>1276.02329453125</v>
      </c>
      <c r="G31">
        <f t="shared" si="6"/>
        <v>8185.0080771399462</v>
      </c>
      <c r="K31" s="32"/>
      <c r="L31" s="32"/>
      <c r="M31" s="32"/>
    </row>
    <row r="32" spans="1:18">
      <c r="A32">
        <v>5511.2950000000001</v>
      </c>
      <c r="B32">
        <v>5979.0776999999998</v>
      </c>
      <c r="C32">
        <v>4979.2349999999997</v>
      </c>
      <c r="D32">
        <f t="shared" si="4"/>
        <v>778.43478260869563</v>
      </c>
      <c r="E32">
        <f t="shared" si="5"/>
        <v>205.79310344827587</v>
      </c>
      <c r="F32">
        <v>1265.6054482421901</v>
      </c>
      <c r="G32">
        <f t="shared" si="6"/>
        <v>8023.1179308508854</v>
      </c>
    </row>
    <row r="35" spans="1:15">
      <c r="J35">
        <f>(I39-I38)/I38</f>
        <v>0.32234495839288346</v>
      </c>
      <c r="K35">
        <f>(J39-J38)/J38</f>
        <v>0.13544371668576599</v>
      </c>
      <c r="L35">
        <f>(K39-K38)/K38</f>
        <v>0.71808868996532804</v>
      </c>
    </row>
    <row r="38" spans="1:15">
      <c r="I38" s="32">
        <v>1497.34</v>
      </c>
      <c r="J38" s="32">
        <v>1902.34</v>
      </c>
      <c r="K38" s="32">
        <v>1257.211</v>
      </c>
    </row>
    <row r="39" spans="1:15">
      <c r="E39" t="s">
        <v>398</v>
      </c>
      <c r="I39">
        <f>33*60</f>
        <v>1980</v>
      </c>
      <c r="J39">
        <f>36*60</f>
        <v>2160</v>
      </c>
      <c r="K39">
        <f>36*60</f>
        <v>2160</v>
      </c>
    </row>
    <row r="42" spans="1:15">
      <c r="A42" t="s">
        <v>367</v>
      </c>
      <c r="B42" t="s">
        <v>387</v>
      </c>
      <c r="C42" t="s">
        <v>369</v>
      </c>
      <c r="D42" t="s">
        <v>388</v>
      </c>
      <c r="E42" t="s">
        <v>368</v>
      </c>
      <c r="M42" t="s">
        <v>400</v>
      </c>
    </row>
    <row r="43" spans="1:15" ht="26">
      <c r="A43">
        <f>545.15/3</f>
        <v>181.71666666666667</v>
      </c>
      <c r="B43">
        <v>2392.8200000000002</v>
      </c>
      <c r="C43">
        <f>875</f>
        <v>875</v>
      </c>
      <c r="D43">
        <v>187.56</v>
      </c>
      <c r="E43">
        <f>A43+B43+C43+D43</f>
        <v>3637.0966666666668</v>
      </c>
      <c r="I43" s="32">
        <v>142.614</v>
      </c>
      <c r="J43" s="32">
        <v>154.36000000000001</v>
      </c>
      <c r="K43" s="32">
        <v>54.945999999999998</v>
      </c>
      <c r="M43" s="41" t="s">
        <v>384</v>
      </c>
      <c r="N43" t="s">
        <v>401</v>
      </c>
      <c r="O43" t="s">
        <v>381</v>
      </c>
    </row>
    <row r="44" spans="1:15">
      <c r="I44" s="32">
        <v>143.22999999999999</v>
      </c>
      <c r="J44" s="32">
        <v>160.34899999999999</v>
      </c>
      <c r="K44" s="32">
        <v>56.898000000000003</v>
      </c>
      <c r="L44" t="s">
        <v>370</v>
      </c>
      <c r="M44" s="41">
        <f>65*60</f>
        <v>3900</v>
      </c>
      <c r="N44" t="s">
        <v>402</v>
      </c>
      <c r="O44" t="s">
        <v>382</v>
      </c>
    </row>
    <row r="45" spans="1:15">
      <c r="I45" s="32">
        <v>140.245</v>
      </c>
      <c r="J45" s="32">
        <v>160.79</v>
      </c>
      <c r="K45" s="32">
        <v>57.058</v>
      </c>
      <c r="M45" s="41">
        <f>63*60</f>
        <v>3780</v>
      </c>
      <c r="N45" t="s">
        <v>403</v>
      </c>
      <c r="O45" t="s">
        <v>383</v>
      </c>
    </row>
    <row r="46" spans="1:15">
      <c r="I46" s="32">
        <v>145.43</v>
      </c>
      <c r="J46" s="32">
        <v>160.34299999999999</v>
      </c>
      <c r="K46" s="32">
        <v>56.893999999999998</v>
      </c>
      <c r="M46" s="41">
        <f>61*60</f>
        <v>3660</v>
      </c>
      <c r="N46" t="s">
        <v>404</v>
      </c>
      <c r="O46">
        <v>3.4</v>
      </c>
    </row>
    <row r="47" spans="1:15">
      <c r="L47" t="s">
        <v>371</v>
      </c>
      <c r="M47" s="41">
        <v>3660</v>
      </c>
      <c r="N47" t="s">
        <v>363</v>
      </c>
      <c r="O47">
        <v>3.7</v>
      </c>
    </row>
    <row r="48" spans="1:15">
      <c r="M48" s="41">
        <f>59*60</f>
        <v>3540</v>
      </c>
      <c r="N48" t="s">
        <v>364</v>
      </c>
    </row>
    <row r="49" spans="7:14">
      <c r="M49" s="41">
        <f>127*60</f>
        <v>7620</v>
      </c>
      <c r="N49" t="s">
        <v>365</v>
      </c>
    </row>
    <row r="50" spans="7:14">
      <c r="I50">
        <f>I43+I43*0.32</f>
        <v>188.25048000000001</v>
      </c>
      <c r="J50">
        <v>236.345</v>
      </c>
      <c r="K50">
        <v>200</v>
      </c>
      <c r="M50" s="41">
        <f>7625</f>
        <v>7625</v>
      </c>
      <c r="N50" t="s">
        <v>366</v>
      </c>
    </row>
    <row r="54" spans="7:14">
      <c r="G54" t="s">
        <v>385</v>
      </c>
    </row>
    <row r="87" spans="8:15">
      <c r="H87" t="s">
        <v>372</v>
      </c>
      <c r="K87" s="45" t="s">
        <v>377</v>
      </c>
      <c r="M87">
        <v>2.0499999999999998</v>
      </c>
      <c r="N87" t="s">
        <v>380</v>
      </c>
      <c r="O87">
        <v>3.16</v>
      </c>
    </row>
    <row r="88" spans="8:15">
      <c r="H88" t="s">
        <v>373</v>
      </c>
      <c r="K88" t="s">
        <v>375</v>
      </c>
      <c r="M88">
        <v>23.05</v>
      </c>
      <c r="N88" t="s">
        <v>379</v>
      </c>
    </row>
    <row r="89" spans="8:15">
      <c r="H89" t="s">
        <v>374</v>
      </c>
      <c r="K89" t="s">
        <v>376</v>
      </c>
      <c r="M89" s="46">
        <v>3.6805555555555557E-2</v>
      </c>
      <c r="N89" t="s">
        <v>378</v>
      </c>
    </row>
  </sheetData>
  <sheetCalcPr fullCalcOnLoad="1"/>
  <mergeCells count="3">
    <mergeCell ref="G10:J10"/>
    <mergeCell ref="G18:J18"/>
    <mergeCell ref="G28:J28"/>
  </mergeCells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51"/>
  <sheetViews>
    <sheetView workbookViewId="0">
      <selection activeCell="E9" sqref="E9"/>
    </sheetView>
  </sheetViews>
  <sheetFormatPr baseColWidth="10" defaultRowHeight="13"/>
  <sheetData>
    <row r="1" spans="1:10">
      <c r="A1" t="s">
        <v>304</v>
      </c>
    </row>
    <row r="3" spans="1:10" s="3" customFormat="1" ht="75">
      <c r="A3" s="2" t="s">
        <v>41</v>
      </c>
      <c r="B3" s="2" t="s">
        <v>152</v>
      </c>
      <c r="C3" s="2" t="s">
        <v>153</v>
      </c>
      <c r="D3" s="2" t="s">
        <v>154</v>
      </c>
      <c r="E3" s="2" t="s">
        <v>120</v>
      </c>
      <c r="F3" s="2" t="s">
        <v>279</v>
      </c>
      <c r="G3" s="2" t="s">
        <v>286</v>
      </c>
      <c r="H3" s="2" t="s">
        <v>285</v>
      </c>
      <c r="I3" s="2" t="s">
        <v>202</v>
      </c>
      <c r="J3" s="2" t="s">
        <v>292</v>
      </c>
    </row>
    <row r="4" spans="1:10">
      <c r="A4">
        <v>64</v>
      </c>
      <c r="B4">
        <v>1</v>
      </c>
      <c r="C4" s="4">
        <v>1.1416666666666668</v>
      </c>
      <c r="D4" s="4">
        <v>5.1988246534940198E-2</v>
      </c>
      <c r="E4" s="4">
        <v>26.666666666666668</v>
      </c>
      <c r="F4" s="4">
        <v>0.33333333333329546</v>
      </c>
      <c r="G4" s="4">
        <v>23.666666666666668</v>
      </c>
      <c r="H4" s="4">
        <v>0.3333333333333523</v>
      </c>
      <c r="I4" s="4">
        <v>53.160000000000004</v>
      </c>
      <c r="J4" s="4">
        <v>1.0230014662744582</v>
      </c>
    </row>
    <row r="5" spans="1:10">
      <c r="A5">
        <v>128</v>
      </c>
      <c r="B5">
        <v>2</v>
      </c>
      <c r="C5" s="4">
        <v>1.5520000000000003</v>
      </c>
      <c r="D5" s="4">
        <v>0.12523710845166136</v>
      </c>
      <c r="E5" s="4">
        <v>27.333333333333332</v>
      </c>
      <c r="F5" s="4">
        <v>0.88191710368818266</v>
      </c>
      <c r="G5" s="4">
        <v>21.333333333333332</v>
      </c>
      <c r="H5" s="4">
        <v>0.3333333333333523</v>
      </c>
      <c r="I5" s="4">
        <v>53.091333333333331</v>
      </c>
      <c r="J5" s="4">
        <v>0.48659714115280245</v>
      </c>
    </row>
    <row r="6" spans="1:10">
      <c r="A6">
        <v>256</v>
      </c>
      <c r="B6">
        <v>4</v>
      </c>
      <c r="C6" s="4">
        <v>2.7803333333333335</v>
      </c>
      <c r="D6" s="4">
        <v>4.8666666666655138E-2</v>
      </c>
      <c r="E6" s="4">
        <v>25.666666666666668</v>
      </c>
      <c r="F6" s="4">
        <v>1.2018504251546684</v>
      </c>
      <c r="G6" s="4">
        <v>20.333333333333332</v>
      </c>
      <c r="H6" s="4">
        <v>1.8559214542766775</v>
      </c>
      <c r="I6" s="4">
        <v>49.562000000000005</v>
      </c>
      <c r="J6" s="4">
        <v>0.28536526301036813</v>
      </c>
    </row>
    <row r="7" spans="1:10">
      <c r="A7">
        <v>512</v>
      </c>
      <c r="B7">
        <v>8</v>
      </c>
      <c r="C7" s="4">
        <v>3.4540000000000002</v>
      </c>
      <c r="D7" s="4">
        <v>0.23460889440371377</v>
      </c>
      <c r="E7" s="4">
        <v>26</v>
      </c>
      <c r="F7" s="4">
        <v>0.57735026918962584</v>
      </c>
      <c r="G7" s="4">
        <v>21.333333333333332</v>
      </c>
      <c r="H7" s="4">
        <v>0.3333333333333523</v>
      </c>
      <c r="I7" s="4">
        <v>53.520333333333333</v>
      </c>
      <c r="J7" s="4">
        <v>1.6503261630489916</v>
      </c>
    </row>
    <row r="8" spans="1:10">
      <c r="A8">
        <v>1024</v>
      </c>
      <c r="B8">
        <v>16</v>
      </c>
      <c r="C8" s="4">
        <v>5.5799999999999992</v>
      </c>
      <c r="D8" s="4">
        <v>0.16854178512563006</v>
      </c>
      <c r="E8" s="4">
        <v>34</v>
      </c>
      <c r="F8" s="4">
        <v>1.1547005383792517</v>
      </c>
      <c r="G8" s="4">
        <v>23.333333333333332</v>
      </c>
      <c r="H8" s="4">
        <v>1.2018504251546684</v>
      </c>
      <c r="I8" s="4">
        <v>61.296333333333337</v>
      </c>
      <c r="J8" s="4">
        <v>0.22520385826574887</v>
      </c>
    </row>
    <row r="9" spans="1:10">
      <c r="A9">
        <v>2048</v>
      </c>
      <c r="B9">
        <v>32</v>
      </c>
      <c r="C9" s="4">
        <v>10.491999999999999</v>
      </c>
      <c r="D9" s="4">
        <v>5.8560510015920907E-2</v>
      </c>
      <c r="E9" s="4">
        <v>61.333333333333336</v>
      </c>
      <c r="F9" s="4">
        <v>4.0960685758148241</v>
      </c>
      <c r="G9" s="4">
        <v>28.666666666666668</v>
      </c>
      <c r="H9" s="4">
        <v>2.6034165586355469</v>
      </c>
      <c r="I9" s="4">
        <v>89.217333333333343</v>
      </c>
      <c r="J9" s="4">
        <v>1.171609766280177</v>
      </c>
    </row>
    <row r="10" spans="1:10">
      <c r="A10">
        <v>4096</v>
      </c>
      <c r="B10">
        <v>64</v>
      </c>
      <c r="C10" s="4">
        <v>23.24666666666667</v>
      </c>
      <c r="D10" s="4">
        <v>1.2386618227389721</v>
      </c>
      <c r="E10" s="4">
        <v>114</v>
      </c>
      <c r="F10" s="4">
        <v>1.1547005383792517</v>
      </c>
      <c r="G10" s="4">
        <v>33.333333333333336</v>
      </c>
      <c r="H10" s="4">
        <v>0.88191710368818266</v>
      </c>
      <c r="I10" s="4">
        <v>154.77266666666665</v>
      </c>
      <c r="J10" s="4">
        <v>1.273472985362065</v>
      </c>
    </row>
    <row r="11" spans="1:10">
      <c r="A11">
        <v>8092</v>
      </c>
      <c r="B11">
        <v>128</v>
      </c>
      <c r="C11" s="4">
        <v>56.948</v>
      </c>
      <c r="D11" s="4">
        <v>0.93345076642160763</v>
      </c>
      <c r="E11" s="4">
        <v>395.33333333333331</v>
      </c>
      <c r="F11" s="4">
        <v>6.9362173488951706</v>
      </c>
      <c r="G11" s="4">
        <v>33</v>
      </c>
      <c r="H11" s="4">
        <v>0.57735026918962584</v>
      </c>
      <c r="I11" s="4">
        <v>431.85066666666671</v>
      </c>
      <c r="J11" s="4">
        <v>7.2565362796415469</v>
      </c>
    </row>
    <row r="17" spans="1:10">
      <c r="A17" t="s">
        <v>306</v>
      </c>
    </row>
    <row r="18" spans="1:10">
      <c r="A18" t="s">
        <v>296</v>
      </c>
    </row>
    <row r="22" spans="1:10" ht="75">
      <c r="A22" s="2" t="s">
        <v>298</v>
      </c>
      <c r="B22" s="2" t="s">
        <v>152</v>
      </c>
      <c r="C22" s="2" t="s">
        <v>120</v>
      </c>
      <c r="D22" s="2" t="s">
        <v>279</v>
      </c>
      <c r="E22" s="2" t="s">
        <v>286</v>
      </c>
      <c r="F22" s="2" t="s">
        <v>285</v>
      </c>
      <c r="G22" s="2" t="s">
        <v>202</v>
      </c>
      <c r="H22" s="2" t="s">
        <v>292</v>
      </c>
      <c r="I22" s="2"/>
      <c r="J22" s="2"/>
    </row>
    <row r="23" spans="1:10">
      <c r="A23">
        <v>32</v>
      </c>
      <c r="B23">
        <v>64</v>
      </c>
      <c r="C23" s="1">
        <v>65.666666666666671</v>
      </c>
      <c r="D23" s="1">
        <v>0.33333333333318171</v>
      </c>
      <c r="E23" s="1">
        <v>30.333333333333332</v>
      </c>
      <c r="F23" s="1">
        <v>0.66666666666664764</v>
      </c>
      <c r="G23" s="1">
        <v>101.09766666666667</v>
      </c>
      <c r="H23" s="1">
        <v>1.1537556548553047</v>
      </c>
    </row>
    <row r="24" spans="1:10">
      <c r="A24">
        <v>64</v>
      </c>
      <c r="B24">
        <v>32</v>
      </c>
      <c r="C24" s="1">
        <v>61.333333333333336</v>
      </c>
      <c r="D24" s="1">
        <v>4.0960685758148241</v>
      </c>
      <c r="E24" s="1">
        <v>28.666666666666668</v>
      </c>
      <c r="F24" s="1">
        <v>2.6034165586355469</v>
      </c>
      <c r="G24" s="1">
        <v>89.217333333333343</v>
      </c>
      <c r="H24" s="1">
        <v>1.171609766280177</v>
      </c>
    </row>
    <row r="25" spans="1:10">
      <c r="A25">
        <v>128</v>
      </c>
      <c r="B25">
        <v>16</v>
      </c>
      <c r="C25" s="1">
        <v>60.666666666666664</v>
      </c>
      <c r="D25" s="1">
        <v>3.9299420408505195</v>
      </c>
      <c r="E25" s="1">
        <v>25</v>
      </c>
      <c r="F25" s="1">
        <v>2</v>
      </c>
      <c r="G25" s="1">
        <v>85.240000000000009</v>
      </c>
      <c r="H25" s="1">
        <v>2.7735033802033189</v>
      </c>
    </row>
    <row r="26" spans="1:10">
      <c r="A26">
        <v>256</v>
      </c>
      <c r="B26">
        <v>8</v>
      </c>
      <c r="C26" s="1">
        <v>80.333333333333329</v>
      </c>
      <c r="D26" s="1">
        <v>4.333333333333357</v>
      </c>
      <c r="E26" s="1">
        <v>25.333333333333332</v>
      </c>
      <c r="F26" s="1">
        <v>3.7118429085533498</v>
      </c>
      <c r="G26" s="1">
        <v>109.78233333333333</v>
      </c>
      <c r="H26" s="1">
        <v>1.2203008281210996</v>
      </c>
    </row>
    <row r="27" spans="1:10">
      <c r="A27">
        <v>512</v>
      </c>
      <c r="B27">
        <v>4</v>
      </c>
      <c r="C27" s="1">
        <v>122</v>
      </c>
      <c r="D27" s="1">
        <v>0.57735026918962584</v>
      </c>
      <c r="E27" s="1">
        <v>44.666666666666664</v>
      </c>
      <c r="F27" s="1">
        <v>1.4529663145135754</v>
      </c>
      <c r="G27" s="1">
        <v>171.10166666666669</v>
      </c>
      <c r="H27" s="1">
        <v>1.3059791133252205</v>
      </c>
    </row>
    <row r="33" spans="1:10">
      <c r="A33" t="s">
        <v>300</v>
      </c>
    </row>
    <row r="35" spans="1:10" ht="75">
      <c r="A35" s="2" t="s">
        <v>302</v>
      </c>
      <c r="B35" s="2" t="s">
        <v>120</v>
      </c>
      <c r="C35" s="2" t="s">
        <v>279</v>
      </c>
      <c r="D35" s="2" t="s">
        <v>286</v>
      </c>
      <c r="E35" s="2" t="s">
        <v>285</v>
      </c>
      <c r="F35" s="2" t="s">
        <v>202</v>
      </c>
      <c r="G35" s="2" t="s">
        <v>292</v>
      </c>
      <c r="H35" s="2"/>
      <c r="I35" s="2"/>
      <c r="J35" s="2"/>
    </row>
    <row r="36" spans="1:10">
      <c r="A36">
        <v>2</v>
      </c>
      <c r="B36" s="1">
        <v>346.66666666666669</v>
      </c>
      <c r="C36" s="1">
        <v>2.0275875101002043</v>
      </c>
      <c r="D36" s="1">
        <v>62</v>
      </c>
      <c r="E36" s="1">
        <v>0.57735026918962584</v>
      </c>
      <c r="F36" s="1">
        <v>412.32900000000001</v>
      </c>
      <c r="G36" s="1">
        <v>1.0386839429424817</v>
      </c>
    </row>
    <row r="37" spans="1:10">
      <c r="A37">
        <v>4</v>
      </c>
      <c r="B37" s="1">
        <v>168.33333333333334</v>
      </c>
      <c r="C37" s="1">
        <v>1.4529663145138361</v>
      </c>
      <c r="D37" s="1">
        <v>32</v>
      </c>
      <c r="E37" s="1">
        <v>2.6457513110645907</v>
      </c>
      <c r="F37" s="1">
        <v>204.25733333333335</v>
      </c>
      <c r="G37" s="1">
        <v>1.7922094681628635</v>
      </c>
    </row>
    <row r="38" spans="1:10">
      <c r="A38">
        <v>8</v>
      </c>
      <c r="B38" s="1">
        <v>96.666666666666671</v>
      </c>
      <c r="C38" s="1">
        <v>1.2018504251547473</v>
      </c>
      <c r="D38" s="1">
        <v>29.666666666666668</v>
      </c>
      <c r="E38" s="1">
        <v>1.7638342073763869</v>
      </c>
      <c r="F38" s="1">
        <v>133.83833333333334</v>
      </c>
      <c r="G38" s="1">
        <v>4.2491811106508921</v>
      </c>
    </row>
    <row r="39" spans="1:10">
      <c r="A39">
        <v>16</v>
      </c>
      <c r="B39" s="1">
        <v>64.666666666666671</v>
      </c>
      <c r="C39" s="1">
        <v>0.66666666666659091</v>
      </c>
      <c r="D39" s="1">
        <v>28.666666666666668</v>
      </c>
      <c r="E39" s="1">
        <v>0.88191710368818266</v>
      </c>
      <c r="F39" s="1">
        <v>97.152333333333331</v>
      </c>
      <c r="G39" s="1">
        <v>1.5660056761642747</v>
      </c>
    </row>
    <row r="40" spans="1:10">
      <c r="A40">
        <v>32</v>
      </c>
      <c r="B40" s="1">
        <v>61.333333333333336</v>
      </c>
      <c r="C40" s="1">
        <v>4.0960685758148241</v>
      </c>
      <c r="D40" s="1">
        <v>28.666666666666668</v>
      </c>
      <c r="E40" s="1">
        <v>2.6034165586355469</v>
      </c>
      <c r="F40" s="1">
        <v>89.217333333333343</v>
      </c>
      <c r="G40" s="1">
        <v>1.171609766280177</v>
      </c>
    </row>
    <row r="44" spans="1:10">
      <c r="A44" t="s">
        <v>37</v>
      </c>
    </row>
    <row r="46" spans="1:10" ht="75">
      <c r="A46" s="2" t="s">
        <v>39</v>
      </c>
      <c r="B46" s="2" t="s">
        <v>120</v>
      </c>
      <c r="C46" s="2" t="s">
        <v>279</v>
      </c>
      <c r="D46" s="2" t="s">
        <v>286</v>
      </c>
      <c r="E46" s="2" t="s">
        <v>285</v>
      </c>
      <c r="F46" s="2" t="s">
        <v>202</v>
      </c>
      <c r="G46" s="2" t="s">
        <v>292</v>
      </c>
      <c r="H46" s="2"/>
      <c r="I46" s="2"/>
      <c r="J46" s="2"/>
    </row>
    <row r="47" spans="1:10">
      <c r="A47">
        <v>1</v>
      </c>
      <c r="B47" s="1">
        <v>61.333333333333336</v>
      </c>
      <c r="C47" s="1">
        <v>4.4845413490245587</v>
      </c>
      <c r="D47" s="1">
        <v>45</v>
      </c>
      <c r="E47" s="1">
        <v>3.7859388972001824</v>
      </c>
      <c r="F47" s="1">
        <v>110.76333333333334</v>
      </c>
      <c r="G47" s="1">
        <v>1.6466116050171593</v>
      </c>
    </row>
    <row r="48" spans="1:10">
      <c r="A48">
        <v>2</v>
      </c>
      <c r="B48" s="1">
        <v>65</v>
      </c>
      <c r="C48" s="1">
        <v>6.110100926607787</v>
      </c>
      <c r="D48" s="1">
        <v>28.333333333333332</v>
      </c>
      <c r="E48" s="1">
        <v>3.2829526005986982</v>
      </c>
      <c r="F48" s="1">
        <v>97.397666666666666</v>
      </c>
      <c r="G48" s="1">
        <v>2.9010331684495636</v>
      </c>
    </row>
    <row r="49" spans="1:7">
      <c r="A49">
        <v>4</v>
      </c>
      <c r="B49" s="1">
        <v>73</v>
      </c>
      <c r="C49" s="1">
        <v>4.0414518843273806</v>
      </c>
      <c r="D49" s="1">
        <v>22.666666666666668</v>
      </c>
      <c r="E49" s="1">
        <v>1.6666666666666705</v>
      </c>
      <c r="F49" s="1">
        <v>99.324666666666658</v>
      </c>
      <c r="G49" s="1">
        <v>2.3914344602723534</v>
      </c>
    </row>
    <row r="50" spans="1:7">
      <c r="A50">
        <v>8</v>
      </c>
      <c r="B50" s="1">
        <v>62.333333333333336</v>
      </c>
      <c r="C50" s="1">
        <v>4.4845413490245587</v>
      </c>
      <c r="D50" s="1">
        <v>35</v>
      </c>
      <c r="E50" s="1">
        <v>3.7859388972001824</v>
      </c>
      <c r="F50" s="1">
        <v>100.96833333333335</v>
      </c>
      <c r="G50" s="1">
        <v>1.7785740855463308</v>
      </c>
    </row>
    <row r="51" spans="1:7">
      <c r="A51">
        <v>16</v>
      </c>
      <c r="B51" s="1">
        <v>69.333333333333329</v>
      </c>
      <c r="C51" s="1">
        <v>5.6960024968783456</v>
      </c>
      <c r="D51" s="1">
        <v>43.333333333333336</v>
      </c>
      <c r="E51" s="1">
        <v>4.3716256828680065</v>
      </c>
      <c r="F51" s="1">
        <v>116.41366666666666</v>
      </c>
      <c r="G51" s="1">
        <v>1.6642458085005885</v>
      </c>
    </row>
  </sheetData>
  <sheetCalcPr fullCalcOnLoad="1"/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87"/>
  <sheetViews>
    <sheetView topLeftCell="A60" workbookViewId="0">
      <selection activeCell="L22" sqref="L22"/>
    </sheetView>
  </sheetViews>
  <sheetFormatPr baseColWidth="10" defaultRowHeight="13"/>
  <sheetData>
    <row r="1" spans="1:15">
      <c r="A1" s="47" t="s">
        <v>265</v>
      </c>
      <c r="B1" s="47"/>
      <c r="C1" s="47"/>
      <c r="D1" s="47"/>
      <c r="E1" s="6"/>
      <c r="F1" s="6"/>
      <c r="G1" s="6"/>
      <c r="H1" s="6"/>
      <c r="I1" s="6"/>
      <c r="J1" s="6"/>
    </row>
    <row r="2" spans="1:1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5">
      <c r="A3" s="47" t="s">
        <v>304</v>
      </c>
      <c r="B3" s="47"/>
      <c r="C3" s="47"/>
      <c r="D3" s="47"/>
      <c r="E3" s="47"/>
      <c r="F3" s="47"/>
      <c r="G3" s="47"/>
      <c r="H3" s="6"/>
      <c r="I3" s="6"/>
      <c r="J3" s="6"/>
    </row>
    <row r="4" spans="1:1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5" ht="60">
      <c r="A5" s="2" t="s">
        <v>41</v>
      </c>
      <c r="B5" s="2" t="s">
        <v>152</v>
      </c>
      <c r="C5" s="2" t="s">
        <v>266</v>
      </c>
      <c r="D5" s="2" t="s">
        <v>182</v>
      </c>
      <c r="E5" s="2" t="s">
        <v>120</v>
      </c>
      <c r="F5" s="2" t="s">
        <v>183</v>
      </c>
      <c r="G5" s="2" t="s">
        <v>286</v>
      </c>
      <c r="H5" s="2" t="s">
        <v>184</v>
      </c>
      <c r="I5" s="2" t="s">
        <v>80</v>
      </c>
      <c r="J5" s="2" t="s">
        <v>81</v>
      </c>
    </row>
    <row r="6" spans="1:15">
      <c r="A6" s="6">
        <v>64</v>
      </c>
      <c r="B6" s="6">
        <v>1</v>
      </c>
      <c r="C6" s="8">
        <f>AVERAGE(B17:D17)</f>
        <v>0.71666666666666679</v>
      </c>
      <c r="D6" s="8">
        <f>STDEV(B17:D17)/SQRT(3)</f>
        <v>4.3394828160865644E-2</v>
      </c>
      <c r="E6" s="8">
        <f>AVERAGE(E17:G17)</f>
        <v>29.663666666666668</v>
      </c>
      <c r="F6" s="8">
        <f>STDEV(E17:G17)/SQRT(3)</f>
        <v>4.7949047030596319E-2</v>
      </c>
      <c r="G6" s="8">
        <f>AVERAGE(J17:L17)</f>
        <v>9.5153333333333325</v>
      </c>
      <c r="H6" s="8">
        <f>STDEV(J17:L17)/SQRT(3)</f>
        <v>0.73944446114032125</v>
      </c>
      <c r="I6" s="8">
        <f>AVERAGE(M17:O17)</f>
        <v>40.169333333333334</v>
      </c>
      <c r="J6" s="8">
        <f>STDEV(M17:O17)/SQRT(3)</f>
        <v>0.92875514055699193</v>
      </c>
    </row>
    <row r="7" spans="1:15">
      <c r="A7" s="6">
        <v>128</v>
      </c>
      <c r="B7" s="6">
        <v>2</v>
      </c>
      <c r="C7" s="8">
        <f t="shared" ref="C7:C11" si="0">AVERAGE(B18:D18)</f>
        <v>2.1649999999999996</v>
      </c>
      <c r="D7" s="8">
        <f t="shared" ref="D7:D11" si="1">STDEV(B18:D18)/SQRT(3)</f>
        <v>0.75094362859893427</v>
      </c>
      <c r="E7" s="8">
        <f t="shared" ref="E7:E11" si="2">AVERAGE(E18:G18)</f>
        <v>38.874000000000002</v>
      </c>
      <c r="F7" s="8">
        <f t="shared" ref="F7:F11" si="3">STDEV(E18:G18)/SQRT(3)</f>
        <v>4.6975996352747353</v>
      </c>
      <c r="G7" s="8">
        <f t="shared" ref="G7:G11" si="4">AVERAGE(J18:L18)</f>
        <v>8.94</v>
      </c>
      <c r="H7" s="8">
        <f t="shared" ref="H7:H11" si="5">STDEV(J18:L18)/SQRT(3)</f>
        <v>0.11034038245358721</v>
      </c>
      <c r="I7" s="8">
        <f t="shared" ref="I7:I11" si="6">AVERAGE(M18:O18)</f>
        <v>54.408999999999999</v>
      </c>
      <c r="J7" s="8">
        <f t="shared" ref="J7:J11" si="7">STDEV(M18:O18)/SQRT(3)</f>
        <v>8.8053109163352836</v>
      </c>
    </row>
    <row r="8" spans="1:15">
      <c r="A8" s="6">
        <v>256</v>
      </c>
      <c r="B8" s="6">
        <v>4</v>
      </c>
      <c r="C8" s="8">
        <f t="shared" si="0"/>
        <v>3.0906666666666669</v>
      </c>
      <c r="D8" s="8">
        <f t="shared" si="1"/>
        <v>7.2648315725661163E-3</v>
      </c>
      <c r="E8" s="8">
        <f t="shared" si="2"/>
        <v>37.615999999999993</v>
      </c>
      <c r="F8" s="8">
        <f t="shared" si="3"/>
        <v>1.9496210742945015</v>
      </c>
      <c r="G8" s="8">
        <f t="shared" si="4"/>
        <v>19.700333333333333</v>
      </c>
      <c r="H8" s="8">
        <f t="shared" si="5"/>
        <v>0.62286979199330383</v>
      </c>
      <c r="I8" s="8">
        <f t="shared" si="6"/>
        <v>60.407000000000004</v>
      </c>
      <c r="J8" s="8">
        <f t="shared" si="7"/>
        <v>2.5670951157549817</v>
      </c>
    </row>
    <row r="9" spans="1:15">
      <c r="A9" s="6">
        <v>512</v>
      </c>
      <c r="B9" s="6">
        <v>8</v>
      </c>
      <c r="C9" s="8">
        <f t="shared" si="0"/>
        <v>10.350333333333333</v>
      </c>
      <c r="D9" s="8">
        <f t="shared" si="1"/>
        <v>4.1810258842112455</v>
      </c>
      <c r="E9" s="8">
        <f t="shared" si="2"/>
        <v>47.581333333333333</v>
      </c>
      <c r="F9" s="8">
        <f t="shared" si="3"/>
        <v>3.2866480560663018</v>
      </c>
      <c r="G9" s="8">
        <f t="shared" si="4"/>
        <v>33.12466666666667</v>
      </c>
      <c r="H9" s="8">
        <f t="shared" si="5"/>
        <v>4.0681720847465446</v>
      </c>
      <c r="I9" s="8">
        <f t="shared" si="6"/>
        <v>91.056333333333328</v>
      </c>
      <c r="J9" s="8">
        <f t="shared" si="7"/>
        <v>11.533924662104901</v>
      </c>
    </row>
    <row r="10" spans="1:15">
      <c r="A10" s="6">
        <v>1024</v>
      </c>
      <c r="B10" s="6">
        <v>16</v>
      </c>
      <c r="C10" s="8">
        <f t="shared" si="0"/>
        <v>15.616333333333332</v>
      </c>
      <c r="D10" s="8">
        <f t="shared" si="1"/>
        <v>3.012635298944176</v>
      </c>
      <c r="E10" s="8">
        <f t="shared" si="2"/>
        <v>65.370666666666665</v>
      </c>
      <c r="F10" s="8">
        <f t="shared" si="3"/>
        <v>9.8019784114115236</v>
      </c>
      <c r="G10" s="8">
        <f t="shared" si="4"/>
        <v>57.984999999999992</v>
      </c>
      <c r="H10" s="8">
        <f t="shared" si="5"/>
        <v>1.7810250793668159</v>
      </c>
      <c r="I10" s="8">
        <f t="shared" si="6"/>
        <v>143.01233333333332</v>
      </c>
      <c r="J10" s="8">
        <f t="shared" si="7"/>
        <v>15.440599970352324</v>
      </c>
    </row>
    <row r="11" spans="1:15">
      <c r="A11" s="6">
        <v>2048</v>
      </c>
      <c r="B11" s="6">
        <v>32</v>
      </c>
      <c r="C11" s="8">
        <f t="shared" si="0"/>
        <v>24.827333333333332</v>
      </c>
      <c r="D11" s="8">
        <f t="shared" si="1"/>
        <v>0.15648890624524503</v>
      </c>
      <c r="E11" s="8">
        <f t="shared" si="2"/>
        <v>86.34666666666665</v>
      </c>
      <c r="F11" s="8">
        <f t="shared" si="3"/>
        <v>2.5471710669771648</v>
      </c>
      <c r="G11" s="8">
        <f t="shared" si="4"/>
        <v>116.63566666666667</v>
      </c>
      <c r="H11" s="8">
        <f t="shared" si="5"/>
        <v>0.69260145666737216</v>
      </c>
      <c r="I11" s="8">
        <f t="shared" si="6"/>
        <v>227.80999999999997</v>
      </c>
      <c r="J11" s="8">
        <f t="shared" si="7"/>
        <v>3.0870886500609558</v>
      </c>
    </row>
    <row r="16" spans="1:15" ht="52">
      <c r="A16" s="7" t="s">
        <v>82</v>
      </c>
      <c r="B16" s="7" t="s">
        <v>83</v>
      </c>
      <c r="C16" s="7" t="s">
        <v>84</v>
      </c>
      <c r="D16" s="7" t="s">
        <v>85</v>
      </c>
      <c r="E16" s="7" t="s">
        <v>86</v>
      </c>
      <c r="F16" s="7" t="s">
        <v>87</v>
      </c>
      <c r="G16" s="7" t="s">
        <v>88</v>
      </c>
      <c r="H16" s="7" t="s">
        <v>95</v>
      </c>
      <c r="I16" s="7" t="s">
        <v>96</v>
      </c>
      <c r="J16" s="7" t="s">
        <v>89</v>
      </c>
      <c r="K16" s="7" t="s">
        <v>90</v>
      </c>
      <c r="L16" s="7" t="s">
        <v>91</v>
      </c>
      <c r="M16" s="7" t="s">
        <v>92</v>
      </c>
      <c r="N16" s="7" t="s">
        <v>93</v>
      </c>
      <c r="O16" s="7" t="s">
        <v>94</v>
      </c>
    </row>
    <row r="17" spans="1:15">
      <c r="A17" s="6">
        <v>64</v>
      </c>
      <c r="B17">
        <v>0.63</v>
      </c>
      <c r="C17">
        <v>0.75600000000000001</v>
      </c>
      <c r="D17">
        <v>0.76400000000000001</v>
      </c>
      <c r="E17">
        <v>29.579000000000001</v>
      </c>
      <c r="F17">
        <v>29.667000000000002</v>
      </c>
      <c r="G17">
        <v>29.745000000000001</v>
      </c>
      <c r="H17">
        <v>123.3</v>
      </c>
      <c r="I17">
        <v>2.1999999999999999E-2</v>
      </c>
      <c r="J17">
        <v>10.991</v>
      </c>
      <c r="K17">
        <v>8.6929999999999996</v>
      </c>
      <c r="L17">
        <v>8.8620000000000001</v>
      </c>
      <c r="M17">
        <v>42.021000000000001</v>
      </c>
      <c r="N17">
        <v>39.116</v>
      </c>
      <c r="O17">
        <v>39.371000000000002</v>
      </c>
    </row>
    <row r="18" spans="1:15">
      <c r="A18" s="6">
        <v>128</v>
      </c>
      <c r="B18">
        <v>3.657</v>
      </c>
      <c r="C18">
        <v>1.5680000000000001</v>
      </c>
      <c r="D18">
        <v>1.27</v>
      </c>
      <c r="E18">
        <v>34.046999999999997</v>
      </c>
      <c r="F18">
        <v>48.268000000000001</v>
      </c>
      <c r="G18">
        <v>34.307000000000002</v>
      </c>
      <c r="H18">
        <v>246.6</v>
      </c>
      <c r="I18">
        <v>3.6999999999999998E-2</v>
      </c>
      <c r="J18">
        <v>8.8450000000000006</v>
      </c>
      <c r="K18">
        <v>9.16</v>
      </c>
      <c r="L18">
        <v>8.8149999999999995</v>
      </c>
      <c r="M18">
        <v>46.518000000000001</v>
      </c>
      <c r="N18">
        <v>71.989000000000004</v>
      </c>
      <c r="O18">
        <v>44.72</v>
      </c>
    </row>
    <row r="19" spans="1:15">
      <c r="A19" s="6">
        <v>256</v>
      </c>
      <c r="B19">
        <v>3.089</v>
      </c>
      <c r="C19">
        <v>3.0790000000000002</v>
      </c>
      <c r="D19">
        <v>3.1040000000000001</v>
      </c>
      <c r="E19">
        <v>41.512999999999998</v>
      </c>
      <c r="F19">
        <v>35.781999999999996</v>
      </c>
      <c r="G19">
        <v>35.552999999999997</v>
      </c>
      <c r="H19">
        <v>493.19900000000001</v>
      </c>
      <c r="I19">
        <v>9.1999999999999998E-2</v>
      </c>
      <c r="J19">
        <v>20.928999999999998</v>
      </c>
      <c r="K19">
        <v>19.263999999999999</v>
      </c>
      <c r="L19">
        <v>18.908000000000001</v>
      </c>
      <c r="M19">
        <v>65.531000000000006</v>
      </c>
      <c r="N19">
        <v>58.125</v>
      </c>
      <c r="O19">
        <v>57.564999999999998</v>
      </c>
    </row>
    <row r="20" spans="1:15">
      <c r="A20" s="6">
        <v>512</v>
      </c>
      <c r="B20">
        <v>18.712</v>
      </c>
      <c r="C20">
        <v>6.2389999999999999</v>
      </c>
      <c r="D20">
        <v>6.1</v>
      </c>
      <c r="E20">
        <v>54.152000000000001</v>
      </c>
      <c r="F20">
        <v>44.134999999999998</v>
      </c>
      <c r="G20">
        <v>44.457000000000001</v>
      </c>
      <c r="H20">
        <v>986.399</v>
      </c>
      <c r="I20">
        <v>0.153</v>
      </c>
      <c r="J20">
        <v>41.261000000000003</v>
      </c>
      <c r="K20">
        <v>29.068000000000001</v>
      </c>
      <c r="L20">
        <v>29.045000000000002</v>
      </c>
      <c r="M20">
        <v>114.124</v>
      </c>
      <c r="N20">
        <v>79.442999999999998</v>
      </c>
      <c r="O20">
        <v>79.602000000000004</v>
      </c>
    </row>
    <row r="21" spans="1:15">
      <c r="A21" s="6">
        <v>1024</v>
      </c>
      <c r="B21">
        <v>21.632000000000001</v>
      </c>
      <c r="C21">
        <v>12.314</v>
      </c>
      <c r="D21">
        <v>12.903</v>
      </c>
      <c r="E21">
        <v>84.828999999999994</v>
      </c>
      <c r="F21">
        <v>57.707000000000001</v>
      </c>
      <c r="G21">
        <v>53.576000000000001</v>
      </c>
      <c r="H21">
        <v>1972.798</v>
      </c>
      <c r="I21">
        <v>0.24299999999999999</v>
      </c>
      <c r="J21">
        <v>55.311</v>
      </c>
      <c r="K21">
        <v>57.283999999999999</v>
      </c>
      <c r="L21">
        <v>61.36</v>
      </c>
      <c r="M21">
        <v>173.892</v>
      </c>
      <c r="N21">
        <v>127.306</v>
      </c>
      <c r="O21">
        <v>127.839</v>
      </c>
    </row>
    <row r="22" spans="1:15">
      <c r="A22" s="6">
        <v>2048</v>
      </c>
      <c r="B22">
        <v>24.606999999999999</v>
      </c>
      <c r="C22">
        <v>25.13</v>
      </c>
      <c r="D22">
        <v>24.745000000000001</v>
      </c>
      <c r="E22">
        <v>91.268000000000001</v>
      </c>
      <c r="F22">
        <v>85.025999999999996</v>
      </c>
      <c r="G22">
        <v>82.745999999999995</v>
      </c>
      <c r="H22">
        <v>3945.596</v>
      </c>
      <c r="I22">
        <v>0.57199999999999995</v>
      </c>
      <c r="J22">
        <v>118.02</v>
      </c>
      <c r="K22">
        <v>115.901</v>
      </c>
      <c r="L22">
        <v>115.986</v>
      </c>
      <c r="M22">
        <v>233.89500000000001</v>
      </c>
      <c r="N22">
        <v>225.673</v>
      </c>
      <c r="O22">
        <v>223.86199999999999</v>
      </c>
    </row>
    <row r="23" spans="1:15">
      <c r="A23" s="6">
        <v>4096</v>
      </c>
      <c r="E23">
        <v>193.71199999999999</v>
      </c>
      <c r="J23">
        <v>221.333</v>
      </c>
      <c r="M23">
        <v>550.779</v>
      </c>
    </row>
    <row r="29" spans="1:15">
      <c r="A29" t="s">
        <v>218</v>
      </c>
    </row>
    <row r="30" spans="1:15">
      <c r="A30" t="s">
        <v>151</v>
      </c>
    </row>
    <row r="34" spans="1:10" ht="75">
      <c r="A34" s="2" t="s">
        <v>299</v>
      </c>
      <c r="B34" s="2" t="s">
        <v>152</v>
      </c>
      <c r="C34" s="2" t="s">
        <v>121</v>
      </c>
      <c r="D34" s="2" t="s">
        <v>196</v>
      </c>
      <c r="E34" s="2" t="s">
        <v>284</v>
      </c>
      <c r="F34" s="2" t="s">
        <v>289</v>
      </c>
      <c r="G34" s="2" t="s">
        <v>291</v>
      </c>
      <c r="H34" s="2" t="s">
        <v>293</v>
      </c>
    </row>
    <row r="35" spans="1:10">
      <c r="A35">
        <v>32</v>
      </c>
      <c r="B35">
        <v>64</v>
      </c>
      <c r="C35" s="5">
        <f>AVERAGE(B45:D45)</f>
        <v>114.94233333333334</v>
      </c>
      <c r="D35" s="5">
        <f>STDEV(B45:D45)/SQRT(3)</f>
        <v>1.487143271884255</v>
      </c>
      <c r="E35" s="5">
        <f>AVERAGE(E45:G45)</f>
        <v>110.79733333333333</v>
      </c>
      <c r="F35" s="5">
        <f>STDEV(E45:G45)/SQRT(3)</f>
        <v>6.1734197886170756E-3</v>
      </c>
      <c r="G35" s="5">
        <f>AVERAGE(H45:J45)</f>
        <v>261.30099999999999</v>
      </c>
      <c r="H35" s="5">
        <f>STDEV(H45:J45)/SQRT(3)</f>
        <v>10.351153671612753</v>
      </c>
    </row>
    <row r="36" spans="1:10">
      <c r="A36">
        <v>64</v>
      </c>
      <c r="B36">
        <v>32</v>
      </c>
      <c r="C36" s="5">
        <f t="shared" ref="C36:C38" si="8">AVERAGE(B46:D46)</f>
        <v>86.34666666666665</v>
      </c>
      <c r="D36" s="5">
        <f t="shared" ref="D36:D38" si="9">STDEV(B46:D46)/SQRT(3)</f>
        <v>2.5471710669771648</v>
      </c>
      <c r="E36" s="5">
        <f t="shared" ref="E36:E38" si="10">AVERAGE(E46:G46)</f>
        <v>116.63566666666667</v>
      </c>
      <c r="F36" s="5">
        <f t="shared" ref="F36:F38" si="11">STDEV(E46:G46)/SQRT(3)</f>
        <v>0.69260145666737216</v>
      </c>
      <c r="G36" s="5">
        <f t="shared" ref="G36:G38" si="12">AVERAGE(H46:J46)</f>
        <v>227.80999999999997</v>
      </c>
      <c r="H36" s="5">
        <f t="shared" ref="H36:H38" si="13">STDEV(H46:J46)/SQRT(3)</f>
        <v>3.0870886500609558</v>
      </c>
    </row>
    <row r="37" spans="1:10">
      <c r="A37">
        <v>128</v>
      </c>
      <c r="B37">
        <v>16</v>
      </c>
      <c r="C37" s="5">
        <f t="shared" si="8"/>
        <v>95.314999999999998</v>
      </c>
      <c r="D37" s="5">
        <f t="shared" si="9"/>
        <v>9.4998629639239276</v>
      </c>
      <c r="E37" s="5">
        <f t="shared" si="10"/>
        <v>111.67</v>
      </c>
      <c r="F37" s="5">
        <f t="shared" si="11"/>
        <v>4.9500841744354332E-2</v>
      </c>
      <c r="G37" s="5">
        <f t="shared" si="12"/>
        <v>242.00366666666665</v>
      </c>
      <c r="H37" s="5">
        <f t="shared" si="13"/>
        <v>18.915567595090828</v>
      </c>
    </row>
    <row r="38" spans="1:10">
      <c r="A38">
        <v>256</v>
      </c>
      <c r="B38">
        <v>8</v>
      </c>
      <c r="C38" s="5">
        <f t="shared" si="8"/>
        <v>118.56733333333334</v>
      </c>
      <c r="D38" s="5">
        <f t="shared" si="9"/>
        <v>8.4270068507499366E-2</v>
      </c>
      <c r="E38" s="5">
        <f t="shared" si="10"/>
        <v>111.53233333333333</v>
      </c>
      <c r="F38" s="5">
        <f t="shared" si="11"/>
        <v>1.5495519105914905E-2</v>
      </c>
      <c r="G38" s="5">
        <f t="shared" si="12"/>
        <v>256.82400000000001</v>
      </c>
      <c r="H38" s="5">
        <f t="shared" si="13"/>
        <v>0.44338508469839866</v>
      </c>
    </row>
    <row r="44" spans="1:10">
      <c r="A44" t="s">
        <v>294</v>
      </c>
      <c r="B44" t="s">
        <v>324</v>
      </c>
      <c r="C44" t="s">
        <v>325</v>
      </c>
      <c r="D44" t="s">
        <v>117</v>
      </c>
      <c r="E44" t="s">
        <v>326</v>
      </c>
      <c r="F44" t="s">
        <v>327</v>
      </c>
      <c r="G44" t="s">
        <v>112</v>
      </c>
      <c r="H44" t="s">
        <v>195</v>
      </c>
      <c r="I44" t="s">
        <v>114</v>
      </c>
      <c r="J44" t="s">
        <v>115</v>
      </c>
    </row>
    <row r="45" spans="1:10">
      <c r="A45">
        <v>32</v>
      </c>
      <c r="B45">
        <v>117.907</v>
      </c>
      <c r="C45">
        <v>113.667</v>
      </c>
      <c r="D45">
        <v>113.253</v>
      </c>
      <c r="E45">
        <v>110.809</v>
      </c>
      <c r="F45">
        <v>110.795</v>
      </c>
      <c r="G45">
        <v>110.788</v>
      </c>
      <c r="H45">
        <v>253.279</v>
      </c>
      <c r="I45">
        <v>281.83999999999997</v>
      </c>
      <c r="J45">
        <v>248.78399999999999</v>
      </c>
    </row>
    <row r="46" spans="1:10">
      <c r="A46">
        <v>64</v>
      </c>
      <c r="B46">
        <v>91.268000000000001</v>
      </c>
      <c r="C46">
        <v>85.025999999999996</v>
      </c>
      <c r="D46">
        <v>82.745999999999995</v>
      </c>
      <c r="E46">
        <v>118.02</v>
      </c>
      <c r="F46">
        <v>115.901</v>
      </c>
      <c r="G46">
        <v>115.986</v>
      </c>
      <c r="H46">
        <v>233.89500000000001</v>
      </c>
      <c r="I46">
        <v>225.673</v>
      </c>
      <c r="J46">
        <v>223.86199999999999</v>
      </c>
    </row>
    <row r="47" spans="1:10">
      <c r="A47">
        <v>128</v>
      </c>
      <c r="B47">
        <v>87.822999999999993</v>
      </c>
      <c r="C47">
        <v>114.182</v>
      </c>
      <c r="D47">
        <v>83.94</v>
      </c>
      <c r="E47">
        <v>111.571</v>
      </c>
      <c r="F47">
        <v>111.71899999999999</v>
      </c>
      <c r="G47">
        <v>111.72</v>
      </c>
      <c r="H47">
        <v>225.12700000000001</v>
      </c>
      <c r="I47">
        <v>279.76400000000001</v>
      </c>
      <c r="J47">
        <v>221.12</v>
      </c>
    </row>
    <row r="48" spans="1:10">
      <c r="A48">
        <v>256</v>
      </c>
      <c r="B48">
        <v>118.685</v>
      </c>
      <c r="C48">
        <v>118.404</v>
      </c>
      <c r="D48">
        <v>118.613</v>
      </c>
      <c r="E48">
        <v>111.553</v>
      </c>
      <c r="F48">
        <v>111.542</v>
      </c>
      <c r="G48">
        <v>111.502</v>
      </c>
      <c r="H48">
        <v>256.43</v>
      </c>
      <c r="I48">
        <v>257.709</v>
      </c>
      <c r="J48">
        <v>256.33300000000003</v>
      </c>
    </row>
    <row r="54" spans="1:10">
      <c r="A54" t="s">
        <v>301</v>
      </c>
    </row>
    <row r="56" spans="1:10" ht="75">
      <c r="A56" s="2" t="s">
        <v>303</v>
      </c>
      <c r="B56" s="2" t="s">
        <v>121</v>
      </c>
      <c r="C56" s="2" t="s">
        <v>196</v>
      </c>
      <c r="D56" s="2" t="s">
        <v>284</v>
      </c>
      <c r="E56" s="2" t="s">
        <v>289</v>
      </c>
      <c r="F56" s="2" t="s">
        <v>291</v>
      </c>
      <c r="G56" s="2" t="s">
        <v>293</v>
      </c>
      <c r="H56" s="3"/>
      <c r="I56" s="3"/>
      <c r="J56" s="3"/>
    </row>
    <row r="57" spans="1:10">
      <c r="A57">
        <v>2</v>
      </c>
      <c r="B57" s="5">
        <f>AVERAGE(B65:D65)</f>
        <v>502.32866666666672</v>
      </c>
      <c r="C57" s="5">
        <f>STDEV(B65:D65)/SQRT(3)</f>
        <v>1.8935659774898159</v>
      </c>
      <c r="D57" s="5">
        <f>AVERAGE(E65:G65)</f>
        <v>352.37966666666671</v>
      </c>
      <c r="E57" s="5">
        <f>STDEV(E65:G65)/SQRT(3)</f>
        <v>2.2223240337733232</v>
      </c>
      <c r="F57" s="5">
        <f>AVERAGE(H65:J65)</f>
        <v>886.04533333333336</v>
      </c>
      <c r="G57" s="5">
        <f>STDEV(H65:J65)/SQRT(3)</f>
        <v>4.5890304471003427</v>
      </c>
    </row>
    <row r="58" spans="1:10">
      <c r="A58">
        <v>4</v>
      </c>
      <c r="B58" s="5">
        <f t="shared" ref="B58:B61" si="14">AVERAGE(B66:D66)</f>
        <v>269.18066666666664</v>
      </c>
      <c r="C58" s="5">
        <f t="shared" ref="C58:C61" si="15">STDEV(B66:D66)/SQRT(3)</f>
        <v>3.6645148989259488</v>
      </c>
      <c r="D58" s="5">
        <f t="shared" ref="D58:D61" si="16">AVERAGE(E66:G66)</f>
        <v>203.26066666666668</v>
      </c>
      <c r="E58" s="5">
        <f t="shared" ref="E58:E61" si="17">STDEV(E66:G66)/SQRT(3)</f>
        <v>9.4950047276331926</v>
      </c>
      <c r="F58" s="5">
        <f t="shared" ref="F58:F61" si="18">AVERAGE(H66:J66)</f>
        <v>497.12133333333333</v>
      </c>
      <c r="G58" s="5">
        <f t="shared" ref="G58:G61" si="19">STDEV(H66:J66)/SQRT(3)</f>
        <v>11.461381029836378</v>
      </c>
    </row>
    <row r="59" spans="1:10">
      <c r="A59">
        <v>8</v>
      </c>
      <c r="B59" s="5">
        <f t="shared" si="14"/>
        <v>154.80100000000002</v>
      </c>
      <c r="C59" s="5">
        <f t="shared" si="15"/>
        <v>4.3800395355901118</v>
      </c>
      <c r="D59" s="5">
        <f t="shared" si="16"/>
        <v>114.42100000000001</v>
      </c>
      <c r="E59" s="5">
        <f t="shared" si="17"/>
        <v>1.0554600892496269</v>
      </c>
      <c r="F59" s="5">
        <f t="shared" si="18"/>
        <v>299.29033333333331</v>
      </c>
      <c r="G59" s="5">
        <f t="shared" si="19"/>
        <v>8.1856935021487267</v>
      </c>
    </row>
    <row r="60" spans="1:10">
      <c r="A60">
        <v>16</v>
      </c>
      <c r="B60" s="5">
        <f t="shared" si="14"/>
        <v>114.806</v>
      </c>
      <c r="C60" s="5">
        <f t="shared" si="15"/>
        <v>3.3322300340762125</v>
      </c>
      <c r="D60" s="5">
        <f t="shared" si="16"/>
        <v>112.69833333333334</v>
      </c>
      <c r="E60" s="5">
        <f t="shared" si="17"/>
        <v>1.760531390739128</v>
      </c>
      <c r="F60" s="5">
        <f t="shared" si="18"/>
        <v>249.74433333333334</v>
      </c>
      <c r="G60" s="5">
        <f t="shared" si="19"/>
        <v>1.5508696843296976</v>
      </c>
    </row>
    <row r="61" spans="1:10">
      <c r="A61">
        <v>32</v>
      </c>
      <c r="B61" s="5">
        <f t="shared" si="14"/>
        <v>86.34666666666665</v>
      </c>
      <c r="C61" s="5">
        <f t="shared" si="15"/>
        <v>2.5471710669771648</v>
      </c>
      <c r="D61" s="5">
        <f t="shared" si="16"/>
        <v>116.63566666666667</v>
      </c>
      <c r="E61" s="5">
        <f t="shared" si="17"/>
        <v>0.69260145666737216</v>
      </c>
      <c r="F61" s="5">
        <f t="shared" si="18"/>
        <v>227.80999999999997</v>
      </c>
      <c r="G61" s="5">
        <f t="shared" si="19"/>
        <v>3.0870886500609558</v>
      </c>
    </row>
    <row r="64" spans="1:10" ht="26">
      <c r="A64" s="3" t="s">
        <v>303</v>
      </c>
      <c r="B64" s="3" t="s">
        <v>324</v>
      </c>
      <c r="C64" s="3" t="s">
        <v>325</v>
      </c>
      <c r="D64" s="3" t="s">
        <v>117</v>
      </c>
      <c r="E64" s="3" t="s">
        <v>326</v>
      </c>
      <c r="F64" s="3" t="s">
        <v>327</v>
      </c>
      <c r="G64" s="3" t="s">
        <v>112</v>
      </c>
      <c r="H64" s="3" t="s">
        <v>195</v>
      </c>
      <c r="I64" s="3" t="s">
        <v>114</v>
      </c>
      <c r="J64" s="3" t="s">
        <v>115</v>
      </c>
    </row>
    <row r="65" spans="1:10">
      <c r="A65">
        <v>2</v>
      </c>
      <c r="B65">
        <v>504.78</v>
      </c>
      <c r="C65">
        <v>503.60300000000001</v>
      </c>
      <c r="D65">
        <v>498.60300000000001</v>
      </c>
      <c r="E65">
        <v>351.21</v>
      </c>
      <c r="F65">
        <v>349.25099999999998</v>
      </c>
      <c r="G65">
        <v>356.678</v>
      </c>
      <c r="H65">
        <v>893.18</v>
      </c>
      <c r="I65">
        <v>877.47799999999995</v>
      </c>
      <c r="J65">
        <v>887.47799999999995</v>
      </c>
    </row>
    <row r="66" spans="1:10">
      <c r="A66">
        <v>4</v>
      </c>
      <c r="B66">
        <v>265.42899999999997</v>
      </c>
      <c r="C66">
        <v>265.60399999999998</v>
      </c>
      <c r="D66">
        <v>276.50900000000001</v>
      </c>
      <c r="E66">
        <v>184.40899999999999</v>
      </c>
      <c r="F66">
        <v>214.66800000000001</v>
      </c>
      <c r="G66">
        <v>210.70500000000001</v>
      </c>
      <c r="H66">
        <v>474.55599999999998</v>
      </c>
      <c r="I66">
        <v>504.91199999999998</v>
      </c>
      <c r="J66">
        <v>511.89600000000002</v>
      </c>
    </row>
    <row r="67" spans="1:10">
      <c r="A67">
        <v>8</v>
      </c>
      <c r="B67">
        <v>150.90299999999999</v>
      </c>
      <c r="C67">
        <v>163.54400000000001</v>
      </c>
      <c r="D67">
        <v>149.95599999999999</v>
      </c>
      <c r="E67">
        <v>114.607</v>
      </c>
      <c r="F67">
        <v>112.50700000000001</v>
      </c>
      <c r="G67">
        <v>116.149</v>
      </c>
      <c r="H67">
        <v>290.036</v>
      </c>
      <c r="I67">
        <v>315.613</v>
      </c>
      <c r="J67">
        <v>292.22199999999998</v>
      </c>
    </row>
    <row r="68" spans="1:10">
      <c r="A68">
        <v>16</v>
      </c>
      <c r="B68">
        <v>120.88500000000001</v>
      </c>
      <c r="C68">
        <v>109.401</v>
      </c>
      <c r="D68">
        <v>114.13200000000001</v>
      </c>
      <c r="E68">
        <v>112.05500000000001</v>
      </c>
      <c r="F68">
        <v>116.018</v>
      </c>
      <c r="G68">
        <v>110.02200000000001</v>
      </c>
      <c r="H68">
        <v>249.035</v>
      </c>
      <c r="I68">
        <v>252.714</v>
      </c>
      <c r="J68">
        <v>247.48400000000001</v>
      </c>
    </row>
    <row r="69" spans="1:10">
      <c r="A69">
        <v>32</v>
      </c>
      <c r="B69">
        <v>91.268000000000001</v>
      </c>
      <c r="C69">
        <v>85.025999999999996</v>
      </c>
      <c r="D69">
        <v>82.745999999999995</v>
      </c>
      <c r="E69">
        <v>118.02</v>
      </c>
      <c r="F69">
        <v>115.901</v>
      </c>
      <c r="G69">
        <v>115.986</v>
      </c>
      <c r="H69">
        <v>233.89500000000001</v>
      </c>
      <c r="I69">
        <v>225.673</v>
      </c>
      <c r="J69">
        <v>223.86199999999999</v>
      </c>
    </row>
    <row r="74" spans="1:10">
      <c r="A74" t="s">
        <v>38</v>
      </c>
    </row>
    <row r="76" spans="1:10" ht="75">
      <c r="A76" s="2" t="s">
        <v>40</v>
      </c>
      <c r="B76" s="2" t="s">
        <v>121</v>
      </c>
      <c r="C76" s="2" t="s">
        <v>196</v>
      </c>
      <c r="D76" s="2" t="s">
        <v>284</v>
      </c>
      <c r="E76" s="2" t="s">
        <v>289</v>
      </c>
      <c r="F76" s="2" t="s">
        <v>291</v>
      </c>
      <c r="G76" s="2" t="s">
        <v>293</v>
      </c>
      <c r="H76" s="3"/>
      <c r="I76" s="3"/>
      <c r="J76" s="3"/>
    </row>
    <row r="77" spans="1:10">
      <c r="A77">
        <v>2</v>
      </c>
      <c r="B77" s="5">
        <f t="shared" ref="B77:B80" si="20">AVERAGE(B84:D84)</f>
        <v>85.754333333333349</v>
      </c>
      <c r="C77" s="5">
        <f t="shared" ref="C77:C80" si="21">STDEV(B84:D84)/SQRT(3)</f>
        <v>1.860064544877591</v>
      </c>
      <c r="D77" s="5">
        <f t="shared" ref="D77:D80" si="22">AVERAGE(E84:G84)</f>
        <v>334.30166666666668</v>
      </c>
      <c r="E77" s="5">
        <f t="shared" ref="E77:E80" si="23">STDEV(E84:G84)/SQRT(3)</f>
        <v>4.8438770055032734</v>
      </c>
      <c r="F77" s="5">
        <f t="shared" ref="F77:F80" si="24">AVERAGE(H84:J84)</f>
        <v>444.91300000000001</v>
      </c>
      <c r="G77" s="5">
        <f t="shared" ref="G77:G80" si="25">STDEV(H84:J84)/SQRT(3)</f>
        <v>6.5492480738883447</v>
      </c>
    </row>
    <row r="78" spans="1:10">
      <c r="A78">
        <v>4</v>
      </c>
      <c r="B78" s="5">
        <f t="shared" si="20"/>
        <v>85.625</v>
      </c>
      <c r="C78" s="5">
        <f t="shared" si="21"/>
        <v>1.7309535907509601</v>
      </c>
      <c r="D78" s="5">
        <f t="shared" si="22"/>
        <v>181.72633333333332</v>
      </c>
      <c r="E78" s="5">
        <f t="shared" si="23"/>
        <v>1.8905992289337774</v>
      </c>
      <c r="F78" s="5">
        <f t="shared" si="24"/>
        <v>294.95166666666665</v>
      </c>
      <c r="G78" s="5">
        <f t="shared" si="25"/>
        <v>3.1979906364947226</v>
      </c>
    </row>
    <row r="79" spans="1:10">
      <c r="A79">
        <v>8</v>
      </c>
      <c r="B79" s="5">
        <f t="shared" si="20"/>
        <v>86.34666666666665</v>
      </c>
      <c r="C79" s="5">
        <f t="shared" si="21"/>
        <v>2.5471710669771648</v>
      </c>
      <c r="D79" s="5">
        <f t="shared" si="22"/>
        <v>116.63566666666667</v>
      </c>
      <c r="E79" s="5">
        <f t="shared" si="23"/>
        <v>0.69260145666737216</v>
      </c>
      <c r="F79" s="5">
        <f t="shared" si="24"/>
        <v>227.80999999999997</v>
      </c>
      <c r="G79" s="5">
        <f t="shared" si="25"/>
        <v>3.0870886500609558</v>
      </c>
    </row>
    <row r="80" spans="1:10">
      <c r="A80">
        <v>16</v>
      </c>
      <c r="B80" s="5">
        <f t="shared" si="20"/>
        <v>91.06</v>
      </c>
      <c r="C80" s="5">
        <f t="shared" si="21"/>
        <v>2.0897589175148039</v>
      </c>
      <c r="D80" s="5">
        <f t="shared" si="22"/>
        <v>82.147333333333336</v>
      </c>
      <c r="E80" s="5">
        <f t="shared" si="23"/>
        <v>0.98876359381022594</v>
      </c>
      <c r="F80" s="5">
        <f t="shared" si="24"/>
        <v>206.3546666666667</v>
      </c>
      <c r="G80" s="5">
        <f t="shared" si="25"/>
        <v>6.6302084515575883</v>
      </c>
    </row>
    <row r="83" spans="1:10" ht="26">
      <c r="A83" s="3" t="s">
        <v>303</v>
      </c>
      <c r="B83" s="3" t="s">
        <v>324</v>
      </c>
      <c r="C83" s="3" t="s">
        <v>325</v>
      </c>
      <c r="D83" s="3" t="s">
        <v>117</v>
      </c>
      <c r="E83" s="3" t="s">
        <v>326</v>
      </c>
      <c r="F83" s="3" t="s">
        <v>327</v>
      </c>
      <c r="G83" s="3" t="s">
        <v>112</v>
      </c>
      <c r="H83" s="3" t="s">
        <v>195</v>
      </c>
      <c r="I83" s="3" t="s">
        <v>114</v>
      </c>
      <c r="J83" s="3" t="s">
        <v>115</v>
      </c>
    </row>
    <row r="84" spans="1:10">
      <c r="A84">
        <v>2</v>
      </c>
      <c r="B84">
        <v>82.766999999999996</v>
      </c>
      <c r="C84">
        <v>89.168000000000006</v>
      </c>
      <c r="D84">
        <v>85.328000000000003</v>
      </c>
      <c r="E84">
        <v>325.32499999999999</v>
      </c>
      <c r="F84">
        <v>341.94499999999999</v>
      </c>
      <c r="G84">
        <v>335.63499999999999</v>
      </c>
      <c r="H84">
        <v>433.22199999999998</v>
      </c>
      <c r="I84">
        <v>455.87400000000002</v>
      </c>
      <c r="J84">
        <v>445.64299999999997</v>
      </c>
    </row>
    <row r="85" spans="1:10">
      <c r="A85">
        <v>4</v>
      </c>
      <c r="B85">
        <v>88.921000000000006</v>
      </c>
      <c r="C85">
        <v>83.06</v>
      </c>
      <c r="D85">
        <v>84.894000000000005</v>
      </c>
      <c r="E85">
        <v>185.49199999999999</v>
      </c>
      <c r="F85">
        <v>180.14</v>
      </c>
      <c r="G85">
        <v>179.547</v>
      </c>
      <c r="H85">
        <v>300.322</v>
      </c>
      <c r="I85">
        <v>295.27499999999998</v>
      </c>
      <c r="J85">
        <v>289.25799999999998</v>
      </c>
    </row>
    <row r="86" spans="1:10">
      <c r="A86">
        <v>8</v>
      </c>
      <c r="B86">
        <v>91.268000000000001</v>
      </c>
      <c r="C86">
        <v>85.025999999999996</v>
      </c>
      <c r="D86">
        <v>82.745999999999995</v>
      </c>
      <c r="E86">
        <v>118.02</v>
      </c>
      <c r="F86">
        <v>115.901</v>
      </c>
      <c r="G86">
        <v>115.986</v>
      </c>
      <c r="H86">
        <v>233.89500000000001</v>
      </c>
      <c r="I86">
        <v>225.673</v>
      </c>
      <c r="J86">
        <v>223.86199999999999</v>
      </c>
    </row>
    <row r="87" spans="1:10">
      <c r="A87">
        <v>16</v>
      </c>
      <c r="B87">
        <v>87.626999999999995</v>
      </c>
      <c r="C87">
        <v>94.840999999999994</v>
      </c>
      <c r="D87">
        <v>90.712000000000003</v>
      </c>
      <c r="E87">
        <v>81.557000000000002</v>
      </c>
      <c r="F87">
        <v>84.076999999999998</v>
      </c>
      <c r="G87">
        <v>80.808000000000007</v>
      </c>
      <c r="H87">
        <v>193.74600000000001</v>
      </c>
      <c r="I87">
        <v>216.215</v>
      </c>
      <c r="J87">
        <v>209.10300000000001</v>
      </c>
    </row>
  </sheetData>
  <sheetCalcPr fullCalcOnLoad="1"/>
  <mergeCells count="2">
    <mergeCell ref="A1:D1"/>
    <mergeCell ref="A3:G3"/>
  </mergeCells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55"/>
  <sheetViews>
    <sheetView topLeftCell="A5" workbookViewId="0">
      <selection activeCell="A11" sqref="A11:XFD11"/>
    </sheetView>
  </sheetViews>
  <sheetFormatPr baseColWidth="10" defaultRowHeight="13"/>
  <sheetData>
    <row r="1" spans="1:10">
      <c r="A1" t="s">
        <v>265</v>
      </c>
    </row>
    <row r="3" spans="1:10">
      <c r="A3" t="s">
        <v>304</v>
      </c>
    </row>
    <row r="5" spans="1:10" s="3" customFormat="1" ht="52">
      <c r="A5" s="9" t="s">
        <v>41</v>
      </c>
      <c r="B5" s="9" t="s">
        <v>152</v>
      </c>
      <c r="C5" s="9" t="s">
        <v>266</v>
      </c>
      <c r="D5" s="9" t="s">
        <v>182</v>
      </c>
      <c r="E5" s="9" t="s">
        <v>120</v>
      </c>
      <c r="F5" s="9" t="s">
        <v>183</v>
      </c>
      <c r="G5" s="9" t="s">
        <v>286</v>
      </c>
      <c r="H5" s="9" t="s">
        <v>184</v>
      </c>
      <c r="I5" s="9" t="s">
        <v>80</v>
      </c>
      <c r="J5" s="9" t="s">
        <v>81</v>
      </c>
    </row>
    <row r="6" spans="1:10">
      <c r="A6">
        <v>64</v>
      </c>
      <c r="B6">
        <v>1</v>
      </c>
      <c r="C6" s="5">
        <v>0.71666666666666679</v>
      </c>
      <c r="D6" s="5">
        <v>4.3394828160865644E-2</v>
      </c>
      <c r="E6" s="5">
        <v>29.663666666666668</v>
      </c>
      <c r="F6" s="5">
        <v>4.7949047030596319E-2</v>
      </c>
      <c r="G6" s="5">
        <v>9.5153333333333325</v>
      </c>
      <c r="H6" s="5">
        <v>0.73944446114032125</v>
      </c>
      <c r="I6" s="5">
        <v>40.169333333333334</v>
      </c>
      <c r="J6" s="5">
        <v>0.92875514055699193</v>
      </c>
    </row>
    <row r="7" spans="1:10">
      <c r="A7">
        <v>128</v>
      </c>
      <c r="B7">
        <v>2</v>
      </c>
      <c r="C7" s="5">
        <v>2.1649999999999996</v>
      </c>
      <c r="D7" s="5">
        <v>0.75094362859893427</v>
      </c>
      <c r="E7" s="5">
        <v>38.874000000000002</v>
      </c>
      <c r="F7" s="5">
        <v>4.6975996352747353</v>
      </c>
      <c r="G7" s="5">
        <v>8.94</v>
      </c>
      <c r="H7" s="5">
        <v>0.11034038245358721</v>
      </c>
      <c r="I7" s="5">
        <v>54.408999999999999</v>
      </c>
      <c r="J7" s="5">
        <v>8.8053109163352836</v>
      </c>
    </row>
    <row r="8" spans="1:10">
      <c r="A8">
        <v>256</v>
      </c>
      <c r="B8">
        <v>4</v>
      </c>
      <c r="C8" s="5">
        <v>3.0906666666666669</v>
      </c>
      <c r="D8" s="5">
        <v>7.2648315725661163E-3</v>
      </c>
      <c r="E8" s="5">
        <v>37.615999999999993</v>
      </c>
      <c r="F8" s="5">
        <v>1.9496210742945015</v>
      </c>
      <c r="G8" s="5">
        <v>19.700333333333333</v>
      </c>
      <c r="H8" s="5">
        <v>0.62286979199330383</v>
      </c>
      <c r="I8" s="5">
        <v>60.407000000000004</v>
      </c>
      <c r="J8" s="5">
        <v>2.5670951157549817</v>
      </c>
    </row>
    <row r="9" spans="1:10">
      <c r="A9">
        <v>512</v>
      </c>
      <c r="B9">
        <v>8</v>
      </c>
      <c r="C9" s="5">
        <v>10.350333333333333</v>
      </c>
      <c r="D9" s="5">
        <v>4.1810258842112455</v>
      </c>
      <c r="E9" s="5">
        <v>47.581333333333333</v>
      </c>
      <c r="F9" s="5">
        <v>3.2866480560663018</v>
      </c>
      <c r="G9" s="5">
        <v>33.12466666666667</v>
      </c>
      <c r="H9" s="5">
        <v>4.0681720847465446</v>
      </c>
      <c r="I9" s="5">
        <v>91.056333333333328</v>
      </c>
      <c r="J9" s="5">
        <v>11.533924662104901</v>
      </c>
    </row>
    <row r="10" spans="1:10">
      <c r="A10">
        <v>1024</v>
      </c>
      <c r="B10">
        <v>16</v>
      </c>
      <c r="C10" s="5">
        <v>15.616333333333332</v>
      </c>
      <c r="D10" s="5">
        <v>3.012635298944176</v>
      </c>
      <c r="E10" s="5">
        <v>65.370666666666665</v>
      </c>
      <c r="F10" s="5">
        <v>9.8019784114115236</v>
      </c>
      <c r="G10" s="5">
        <v>57.984999999999992</v>
      </c>
      <c r="H10" s="5">
        <v>1.7810250793668159</v>
      </c>
      <c r="I10" s="5">
        <v>143.01233333333332</v>
      </c>
      <c r="J10" s="5">
        <v>15.440599970352324</v>
      </c>
    </row>
    <row r="11" spans="1:10">
      <c r="A11">
        <v>2048</v>
      </c>
      <c r="B11">
        <v>32</v>
      </c>
      <c r="C11" s="5">
        <v>24.827333333333332</v>
      </c>
      <c r="D11" s="5">
        <v>0.15648890624524503</v>
      </c>
      <c r="E11" s="5">
        <v>86.34666666666665</v>
      </c>
      <c r="F11" s="5">
        <v>2.5471710669771648</v>
      </c>
      <c r="G11" s="5">
        <v>116.63566666666667</v>
      </c>
      <c r="H11" s="5">
        <v>0.69260145666737216</v>
      </c>
      <c r="I11" s="5">
        <v>227.80999999999997</v>
      </c>
      <c r="J11" s="5">
        <v>3.0870886500609558</v>
      </c>
    </row>
    <row r="12" spans="1:10">
      <c r="A12">
        <v>4096</v>
      </c>
      <c r="B12">
        <v>64</v>
      </c>
    </row>
    <row r="17" spans="1:10">
      <c r="A17" t="s">
        <v>306</v>
      </c>
    </row>
    <row r="18" spans="1:10">
      <c r="A18" t="s">
        <v>97</v>
      </c>
    </row>
    <row r="22" spans="1:10" s="3" customFormat="1" ht="65">
      <c r="A22" s="9" t="s">
        <v>298</v>
      </c>
      <c r="B22" s="9" t="s">
        <v>152</v>
      </c>
      <c r="C22" s="9" t="s">
        <v>120</v>
      </c>
      <c r="D22" s="9" t="s">
        <v>279</v>
      </c>
      <c r="E22" s="9" t="s">
        <v>286</v>
      </c>
      <c r="F22" s="9" t="s">
        <v>285</v>
      </c>
      <c r="G22" s="9" t="s">
        <v>202</v>
      </c>
      <c r="H22" s="9" t="s">
        <v>292</v>
      </c>
      <c r="I22" s="9"/>
      <c r="J22" s="9"/>
    </row>
    <row r="23" spans="1:10">
      <c r="A23">
        <v>32</v>
      </c>
      <c r="B23">
        <v>64</v>
      </c>
      <c r="C23" s="5">
        <v>114.94233333333334</v>
      </c>
      <c r="D23" s="5">
        <v>1.487143271884255</v>
      </c>
      <c r="E23" s="5">
        <v>110.79733333333333</v>
      </c>
      <c r="F23" s="5">
        <v>6.1734197886170756E-3</v>
      </c>
      <c r="G23" s="5">
        <v>261.30099999999999</v>
      </c>
      <c r="H23" s="5">
        <v>10.351153671612753</v>
      </c>
    </row>
    <row r="24" spans="1:10">
      <c r="A24">
        <v>64</v>
      </c>
      <c r="B24">
        <v>32</v>
      </c>
      <c r="C24" s="5">
        <v>86.34666666666665</v>
      </c>
      <c r="D24" s="5">
        <v>2.5471710669771648</v>
      </c>
      <c r="E24" s="5">
        <v>116.63566666666667</v>
      </c>
      <c r="F24" s="5">
        <v>0.69260145666737216</v>
      </c>
      <c r="G24" s="5">
        <v>227.80999999999997</v>
      </c>
      <c r="H24" s="5">
        <v>3.0870886500609558</v>
      </c>
    </row>
    <row r="25" spans="1:10">
      <c r="A25">
        <v>128</v>
      </c>
      <c r="B25">
        <v>16</v>
      </c>
      <c r="C25" s="5">
        <v>95.314999999999998</v>
      </c>
      <c r="D25" s="5">
        <v>9.4998629639239276</v>
      </c>
      <c r="E25" s="5">
        <v>111.67</v>
      </c>
      <c r="F25" s="5">
        <v>4.9500841744354332E-2</v>
      </c>
      <c r="G25" s="5">
        <v>242.00366666666665</v>
      </c>
      <c r="H25" s="5">
        <v>18.915567595090828</v>
      </c>
    </row>
    <row r="26" spans="1:10">
      <c r="A26">
        <v>256</v>
      </c>
      <c r="B26">
        <v>8</v>
      </c>
      <c r="C26" s="5">
        <v>118.56733333333334</v>
      </c>
      <c r="D26" s="5">
        <v>8.4270068507499366E-2</v>
      </c>
      <c r="E26" s="5">
        <v>111.53233333333333</v>
      </c>
      <c r="F26" s="5">
        <v>1.5495519105914905E-2</v>
      </c>
      <c r="G26" s="5">
        <v>256.82400000000001</v>
      </c>
      <c r="H26" s="5">
        <v>0.44338508469839866</v>
      </c>
    </row>
    <row r="34" spans="1:10">
      <c r="A34" t="s">
        <v>300</v>
      </c>
    </row>
    <row r="36" spans="1:10" s="3" customFormat="1" ht="65">
      <c r="A36" s="9" t="s">
        <v>302</v>
      </c>
      <c r="B36" s="9" t="s">
        <v>120</v>
      </c>
      <c r="C36" s="9" t="s">
        <v>279</v>
      </c>
      <c r="D36" s="9" t="s">
        <v>286</v>
      </c>
      <c r="E36" s="9" t="s">
        <v>285</v>
      </c>
      <c r="F36" s="9" t="s">
        <v>202</v>
      </c>
      <c r="G36" s="9" t="s">
        <v>292</v>
      </c>
      <c r="H36" s="9"/>
      <c r="I36" s="9"/>
      <c r="J36" s="9"/>
    </row>
    <row r="37" spans="1:10">
      <c r="A37">
        <v>2</v>
      </c>
      <c r="B37" s="5">
        <v>502.32866666666672</v>
      </c>
      <c r="C37" s="5">
        <v>1.8935659774898159</v>
      </c>
      <c r="D37" s="5">
        <v>352.37966666666671</v>
      </c>
      <c r="E37" s="5">
        <v>2.2223240337733232</v>
      </c>
      <c r="F37" s="5">
        <v>886.04533333333336</v>
      </c>
      <c r="G37" s="5">
        <v>4.5890304471003427</v>
      </c>
    </row>
    <row r="38" spans="1:10">
      <c r="A38">
        <v>4</v>
      </c>
      <c r="B38" s="5">
        <v>269.18066666666664</v>
      </c>
      <c r="C38" s="5">
        <v>3.6645148989259488</v>
      </c>
      <c r="D38" s="5">
        <v>203.26066666666668</v>
      </c>
      <c r="E38" s="5">
        <v>9.4950047276331926</v>
      </c>
      <c r="F38" s="5">
        <v>497.12133333333333</v>
      </c>
      <c r="G38" s="5">
        <v>11.461381029836378</v>
      </c>
    </row>
    <row r="39" spans="1:10">
      <c r="A39">
        <v>8</v>
      </c>
      <c r="B39" s="5">
        <v>154.80100000000002</v>
      </c>
      <c r="C39" s="5">
        <v>4.3800395355901118</v>
      </c>
      <c r="D39" s="5">
        <v>114.42100000000001</v>
      </c>
      <c r="E39" s="5">
        <v>1.0554600892496269</v>
      </c>
      <c r="F39" s="5">
        <v>299.29033333333331</v>
      </c>
      <c r="G39" s="5">
        <v>8.1856935021487267</v>
      </c>
    </row>
    <row r="40" spans="1:10">
      <c r="A40">
        <v>16</v>
      </c>
      <c r="B40" s="5">
        <v>114.806</v>
      </c>
      <c r="C40" s="5">
        <v>3.3322300340762125</v>
      </c>
      <c r="D40" s="5">
        <v>112.69833333333334</v>
      </c>
      <c r="E40" s="5">
        <v>1.760531390739128</v>
      </c>
      <c r="F40" s="5">
        <v>249.74433333333334</v>
      </c>
      <c r="G40" s="5">
        <v>1.5508696843296976</v>
      </c>
    </row>
    <row r="41" spans="1:10">
      <c r="A41">
        <v>32</v>
      </c>
      <c r="B41" s="5">
        <v>86.34666666666665</v>
      </c>
      <c r="C41" s="5">
        <v>2.5471710669771648</v>
      </c>
      <c r="D41" s="5">
        <v>116.63566666666667</v>
      </c>
      <c r="E41" s="5">
        <v>0.69260145666737216</v>
      </c>
      <c r="F41" s="5">
        <v>227.80999999999997</v>
      </c>
      <c r="G41" s="5">
        <v>3.0870886500609558</v>
      </c>
    </row>
    <row r="49" spans="1:10">
      <c r="A49" t="s">
        <v>37</v>
      </c>
    </row>
    <row r="51" spans="1:10" s="3" customFormat="1" ht="65">
      <c r="A51" s="9" t="s">
        <v>39</v>
      </c>
      <c r="B51" s="9" t="s">
        <v>120</v>
      </c>
      <c r="C51" s="9" t="s">
        <v>279</v>
      </c>
      <c r="D51" s="9" t="s">
        <v>286</v>
      </c>
      <c r="E51" s="9" t="s">
        <v>285</v>
      </c>
      <c r="F51" s="9" t="s">
        <v>202</v>
      </c>
      <c r="G51" s="9" t="s">
        <v>292</v>
      </c>
      <c r="H51" s="9"/>
      <c r="I51" s="9"/>
      <c r="J51" s="9"/>
    </row>
    <row r="52" spans="1:10">
      <c r="A52">
        <v>2</v>
      </c>
      <c r="B52" s="5">
        <v>85.754333333333349</v>
      </c>
      <c r="C52" s="5">
        <v>1.860064544877591</v>
      </c>
      <c r="D52" s="5">
        <v>334.30166666666668</v>
      </c>
      <c r="E52" s="5">
        <v>4.8438770055032734</v>
      </c>
      <c r="F52" s="5">
        <v>444.91300000000001</v>
      </c>
      <c r="G52" s="5">
        <v>6.5492480738883447</v>
      </c>
    </row>
    <row r="53" spans="1:10">
      <c r="A53">
        <v>4</v>
      </c>
      <c r="B53" s="5">
        <v>85.625</v>
      </c>
      <c r="C53" s="5">
        <v>1.7309535907509601</v>
      </c>
      <c r="D53" s="5">
        <v>181.72633333333332</v>
      </c>
      <c r="E53" s="5">
        <v>1.8905992289337774</v>
      </c>
      <c r="F53" s="5">
        <v>294.95166666666665</v>
      </c>
      <c r="G53" s="5">
        <v>3.1979906364947226</v>
      </c>
    </row>
    <row r="54" spans="1:10">
      <c r="A54">
        <v>8</v>
      </c>
      <c r="B54" s="5">
        <v>86.34666666666665</v>
      </c>
      <c r="C54" s="5">
        <v>2.5471710669771648</v>
      </c>
      <c r="D54" s="5">
        <v>116.63566666666667</v>
      </c>
      <c r="E54" s="5">
        <v>0.69260145666737216</v>
      </c>
      <c r="F54" s="5">
        <v>227.80999999999997</v>
      </c>
      <c r="G54" s="5">
        <v>3.0870886500609558</v>
      </c>
    </row>
    <row r="55" spans="1:10">
      <c r="A55">
        <v>16</v>
      </c>
      <c r="B55" s="5">
        <v>91.06</v>
      </c>
      <c r="C55" s="5">
        <v>2.0897589175148039</v>
      </c>
      <c r="D55" s="5">
        <v>82.147333333333336</v>
      </c>
      <c r="E55" s="5">
        <v>0.98876359381022594</v>
      </c>
      <c r="F55" s="5">
        <v>206.3546666666667</v>
      </c>
      <c r="G55" s="5">
        <v>6.6302084515575883</v>
      </c>
    </row>
  </sheetData>
  <sheetCalcPr fullCalcOnLoad="1"/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U173"/>
  <sheetViews>
    <sheetView topLeftCell="A116" workbookViewId="0">
      <selection activeCell="A9" sqref="A9:J9"/>
    </sheetView>
  </sheetViews>
  <sheetFormatPr baseColWidth="10" defaultRowHeight="13"/>
  <cols>
    <col min="18" max="18" width="11.7109375" bestFit="1" customWidth="1"/>
  </cols>
  <sheetData>
    <row r="3" spans="1:21">
      <c r="H3" s="10" t="s">
        <v>46</v>
      </c>
      <c r="I3" s="10"/>
      <c r="J3" s="10"/>
    </row>
    <row r="5" spans="1:21">
      <c r="E5" s="10" t="s">
        <v>295</v>
      </c>
      <c r="F5" s="10"/>
      <c r="G5" s="10"/>
      <c r="H5" s="10"/>
      <c r="I5" s="10"/>
      <c r="J5" s="10"/>
    </row>
    <row r="8" spans="1:21">
      <c r="E8" s="10" t="s">
        <v>44</v>
      </c>
      <c r="F8" t="s">
        <v>405</v>
      </c>
      <c r="P8" s="10" t="s">
        <v>43</v>
      </c>
    </row>
    <row r="9" spans="1:21" ht="75">
      <c r="A9" s="9" t="s">
        <v>41</v>
      </c>
      <c r="B9" s="9" t="s">
        <v>152</v>
      </c>
      <c r="C9" s="9" t="s">
        <v>266</v>
      </c>
      <c r="D9" s="9" t="s">
        <v>182</v>
      </c>
      <c r="E9" s="9" t="s">
        <v>120</v>
      </c>
      <c r="F9" s="9" t="s">
        <v>183</v>
      </c>
      <c r="G9" s="9" t="s">
        <v>286</v>
      </c>
      <c r="H9" s="9" t="s">
        <v>184</v>
      </c>
      <c r="I9" s="9" t="s">
        <v>80</v>
      </c>
      <c r="J9" s="9" t="s">
        <v>81</v>
      </c>
      <c r="L9" s="2" t="s">
        <v>41</v>
      </c>
      <c r="M9" s="2" t="s">
        <v>152</v>
      </c>
      <c r="N9" s="2" t="s">
        <v>153</v>
      </c>
      <c r="O9" s="2" t="s">
        <v>154</v>
      </c>
      <c r="P9" s="2" t="s">
        <v>120</v>
      </c>
      <c r="Q9" s="2" t="s">
        <v>279</v>
      </c>
      <c r="R9" s="2" t="s">
        <v>286</v>
      </c>
      <c r="S9" s="2" t="s">
        <v>285</v>
      </c>
      <c r="T9" s="2" t="s">
        <v>202</v>
      </c>
      <c r="U9" s="2" t="s">
        <v>292</v>
      </c>
    </row>
    <row r="10" spans="1:21">
      <c r="A10">
        <v>64</v>
      </c>
      <c r="B10">
        <v>1</v>
      </c>
      <c r="C10" s="5">
        <v>0.71666666666666679</v>
      </c>
      <c r="D10" s="5">
        <v>4.3394828160865644E-2</v>
      </c>
      <c r="E10" s="5">
        <v>29.663666666666668</v>
      </c>
      <c r="F10" s="5">
        <v>4.7949047030596319E-2</v>
      </c>
      <c r="G10" s="5">
        <v>9.5153333333333325</v>
      </c>
      <c r="H10" s="5">
        <v>0.73944446114032125</v>
      </c>
      <c r="I10" s="5">
        <v>40.169333333333334</v>
      </c>
      <c r="J10" s="5">
        <v>0.92875514055699193</v>
      </c>
      <c r="L10">
        <v>64</v>
      </c>
      <c r="M10">
        <v>1</v>
      </c>
      <c r="N10" s="5">
        <v>1.1416666666666668</v>
      </c>
      <c r="O10" s="5">
        <v>5.1988246534940198E-2</v>
      </c>
      <c r="P10" s="5">
        <v>26.666666666666668</v>
      </c>
      <c r="Q10" s="5">
        <v>0.33333333333329546</v>
      </c>
      <c r="R10" s="5">
        <v>23.666666666666668</v>
      </c>
      <c r="S10" s="5">
        <v>0.3333333333333523</v>
      </c>
      <c r="T10" s="5">
        <v>53.160000000000004</v>
      </c>
      <c r="U10" s="5">
        <v>1.0230014662744582</v>
      </c>
    </row>
    <row r="11" spans="1:21">
      <c r="A11">
        <v>128</v>
      </c>
      <c r="B11">
        <v>2</v>
      </c>
      <c r="C11" s="5">
        <v>2.1649999999999996</v>
      </c>
      <c r="D11" s="5">
        <v>0.75094362859893427</v>
      </c>
      <c r="E11" s="5">
        <v>38.874000000000002</v>
      </c>
      <c r="F11" s="5">
        <v>4.6975996352747353</v>
      </c>
      <c r="G11" s="5">
        <v>8.94</v>
      </c>
      <c r="H11" s="5">
        <v>0.11034038245358721</v>
      </c>
      <c r="I11" s="5">
        <v>54.408999999999999</v>
      </c>
      <c r="J11" s="5">
        <v>8.8053109163352836</v>
      </c>
      <c r="L11">
        <v>128</v>
      </c>
      <c r="M11">
        <v>2</v>
      </c>
      <c r="N11" s="5">
        <v>1.5520000000000003</v>
      </c>
      <c r="O11" s="5">
        <v>0.12523710845166136</v>
      </c>
      <c r="P11" s="5">
        <v>27.333333333333332</v>
      </c>
      <c r="Q11" s="5">
        <v>0.88191710368818266</v>
      </c>
      <c r="R11" s="5">
        <v>21.333333333333332</v>
      </c>
      <c r="S11" s="5">
        <v>0.3333333333333523</v>
      </c>
      <c r="T11" s="5">
        <v>53.091333333333331</v>
      </c>
      <c r="U11" s="5">
        <v>0.48659714115280245</v>
      </c>
    </row>
    <row r="12" spans="1:21">
      <c r="A12">
        <v>256</v>
      </c>
      <c r="B12">
        <v>4</v>
      </c>
      <c r="C12" s="5">
        <v>3.0906666666666669</v>
      </c>
      <c r="D12" s="5">
        <v>7.2648315725661163E-3</v>
      </c>
      <c r="E12" s="5">
        <v>37.615999999999993</v>
      </c>
      <c r="F12" s="5">
        <v>1.9496210742945015</v>
      </c>
      <c r="G12" s="5">
        <v>19.700333333333333</v>
      </c>
      <c r="H12" s="5">
        <v>0.62286979199330383</v>
      </c>
      <c r="I12" s="5">
        <v>60.407000000000004</v>
      </c>
      <c r="J12" s="5">
        <v>2.5670951157549817</v>
      </c>
      <c r="L12">
        <v>256</v>
      </c>
      <c r="M12">
        <v>4</v>
      </c>
      <c r="N12" s="5">
        <v>2.7803333333333335</v>
      </c>
      <c r="O12" s="5">
        <v>4.8666666666655138E-2</v>
      </c>
      <c r="P12" s="5">
        <v>25.666666666666668</v>
      </c>
      <c r="Q12" s="5">
        <v>1.2018504251546684</v>
      </c>
      <c r="R12" s="5">
        <v>20.333333333333332</v>
      </c>
      <c r="S12" s="5">
        <v>1.8559214542766775</v>
      </c>
      <c r="T12" s="5">
        <v>49.561999999999998</v>
      </c>
      <c r="U12" s="5">
        <v>0.28536526301036813</v>
      </c>
    </row>
    <row r="13" spans="1:21">
      <c r="A13">
        <v>512</v>
      </c>
      <c r="B13">
        <v>8</v>
      </c>
      <c r="C13" s="5">
        <v>10.350333333333333</v>
      </c>
      <c r="D13" s="5">
        <v>4.1810258842112455</v>
      </c>
      <c r="E13" s="5">
        <v>47.581333333333333</v>
      </c>
      <c r="F13" s="5">
        <v>3.2866480560663018</v>
      </c>
      <c r="G13" s="5">
        <v>33.12466666666667</v>
      </c>
      <c r="H13" s="5">
        <v>4.0681720847465446</v>
      </c>
      <c r="I13" s="5">
        <v>91.056333333333328</v>
      </c>
      <c r="J13" s="5">
        <v>11.533924662104901</v>
      </c>
      <c r="L13">
        <v>512</v>
      </c>
      <c r="M13">
        <v>8</v>
      </c>
      <c r="N13" s="5">
        <v>3.4540000000000002</v>
      </c>
      <c r="O13" s="5">
        <v>0.23460889440371377</v>
      </c>
      <c r="P13" s="5">
        <v>26</v>
      </c>
      <c r="Q13" s="5">
        <v>0.57735026918962584</v>
      </c>
      <c r="R13" s="5">
        <v>21.333333333333332</v>
      </c>
      <c r="S13" s="5">
        <v>0.3333333333333523</v>
      </c>
      <c r="T13" s="5">
        <v>53.520333333333333</v>
      </c>
      <c r="U13" s="5">
        <v>1.6503261630489916</v>
      </c>
    </row>
    <row r="14" spans="1:21">
      <c r="A14">
        <v>1024</v>
      </c>
      <c r="B14">
        <v>16</v>
      </c>
      <c r="C14" s="5">
        <v>15.616333333333332</v>
      </c>
      <c r="D14" s="5">
        <v>3.012635298944176</v>
      </c>
      <c r="E14" s="5">
        <v>65.370666666666665</v>
      </c>
      <c r="F14" s="5">
        <v>9.8019784114115236</v>
      </c>
      <c r="G14" s="5">
        <v>57.984999999999992</v>
      </c>
      <c r="H14" s="5">
        <v>1.7810250793668159</v>
      </c>
      <c r="I14" s="5">
        <v>143.01233333333332</v>
      </c>
      <c r="J14" s="5">
        <v>15.440599970352324</v>
      </c>
      <c r="L14">
        <v>1024</v>
      </c>
      <c r="M14">
        <v>16</v>
      </c>
      <c r="N14" s="5">
        <v>5.5799999999999992</v>
      </c>
      <c r="O14" s="5">
        <v>0.16854178512563006</v>
      </c>
      <c r="P14" s="5">
        <v>34</v>
      </c>
      <c r="Q14" s="5">
        <v>1.1547005383792517</v>
      </c>
      <c r="R14" s="5">
        <v>23.333333333333332</v>
      </c>
      <c r="S14" s="5">
        <v>1.2018504251546684</v>
      </c>
      <c r="T14" s="5">
        <v>61.296333333333337</v>
      </c>
      <c r="U14" s="5">
        <v>0.22520385826574887</v>
      </c>
    </row>
    <row r="15" spans="1:21">
      <c r="A15">
        <v>2048</v>
      </c>
      <c r="B15">
        <v>32</v>
      </c>
      <c r="C15" s="5">
        <v>24.827333333333332</v>
      </c>
      <c r="D15" s="5">
        <v>0.15648890624524503</v>
      </c>
      <c r="E15" s="5">
        <v>86.346666666666593</v>
      </c>
      <c r="F15" s="5">
        <v>12.478037256627267</v>
      </c>
      <c r="G15" s="5">
        <v>116.63566666666667</v>
      </c>
      <c r="H15" s="5">
        <v>0.69260145666737216</v>
      </c>
      <c r="I15" s="5">
        <v>237.81</v>
      </c>
      <c r="J15" s="5">
        <v>13.052973467119903</v>
      </c>
      <c r="L15">
        <v>2048</v>
      </c>
      <c r="M15">
        <v>32</v>
      </c>
      <c r="N15" s="5">
        <v>10.491999999999999</v>
      </c>
      <c r="O15" s="5">
        <v>5.8560510015920907E-2</v>
      </c>
      <c r="P15" s="5">
        <v>61.333333333333336</v>
      </c>
      <c r="Q15" s="5">
        <v>4.0960685758148241</v>
      </c>
      <c r="R15" s="5">
        <v>28.666666666666668</v>
      </c>
      <c r="S15" s="5">
        <v>2.6034165586355469</v>
      </c>
      <c r="T15" s="5">
        <v>89.217333333333343</v>
      </c>
      <c r="U15" s="5">
        <v>1.171609766280177</v>
      </c>
    </row>
    <row r="16" spans="1:21">
      <c r="A16">
        <v>4096</v>
      </c>
      <c r="B16">
        <v>64</v>
      </c>
      <c r="E16" s="5">
        <f>0.0275*A16+32.397</f>
        <v>145.03700000000001</v>
      </c>
      <c r="G16" s="5">
        <f>0.0544*A16+4.4263</f>
        <v>227.24869999999999</v>
      </c>
      <c r="I16" s="5">
        <f>0.0985*A16+38.282</f>
        <v>441.738</v>
      </c>
      <c r="L16">
        <v>4096</v>
      </c>
      <c r="M16">
        <v>64</v>
      </c>
      <c r="N16" s="5">
        <v>23.24666666666667</v>
      </c>
      <c r="O16" s="5">
        <v>1.2386618227389721</v>
      </c>
      <c r="P16" s="5">
        <v>114</v>
      </c>
      <c r="Q16" s="5">
        <v>1.1547005383792517</v>
      </c>
      <c r="R16" s="5">
        <v>33.333333333333336</v>
      </c>
      <c r="S16" s="5">
        <v>0.88191710368818266</v>
      </c>
      <c r="T16" s="5">
        <v>154.77266666666665</v>
      </c>
      <c r="U16" s="5">
        <v>1.273472985362065</v>
      </c>
    </row>
    <row r="17" spans="1:21">
      <c r="A17">
        <v>8192</v>
      </c>
      <c r="B17">
        <v>128</v>
      </c>
      <c r="E17" s="5">
        <f t="shared" ref="E17:E18" si="0">0.0275*A17+32.397</f>
        <v>257.67700000000002</v>
      </c>
      <c r="G17" s="5">
        <f t="shared" ref="G17:G18" si="1">0.0544*A17+4.4263</f>
        <v>450.0711</v>
      </c>
      <c r="I17" s="5">
        <f t="shared" ref="I17:I18" si="2">0.0985*A17+38.282</f>
        <v>845.19400000000007</v>
      </c>
      <c r="L17">
        <v>8092</v>
      </c>
      <c r="M17">
        <v>128</v>
      </c>
      <c r="N17" s="5">
        <v>56.948</v>
      </c>
      <c r="O17" s="5">
        <v>0.93345076642160763</v>
      </c>
      <c r="P17" s="5">
        <v>395.33333333333331</v>
      </c>
      <c r="Q17" s="5">
        <v>6.9362173488951706</v>
      </c>
      <c r="R17" s="5">
        <v>33</v>
      </c>
      <c r="S17" s="5">
        <v>0.57735026918962584</v>
      </c>
      <c r="T17" s="5">
        <v>431.85066666666671</v>
      </c>
      <c r="U17" s="5">
        <v>7.2565362796415469</v>
      </c>
    </row>
    <row r="18" spans="1:21">
      <c r="A18">
        <v>16384</v>
      </c>
      <c r="B18">
        <v>256</v>
      </c>
      <c r="E18" s="5">
        <f t="shared" si="0"/>
        <v>482.95699999999999</v>
      </c>
      <c r="G18" s="5">
        <f t="shared" si="1"/>
        <v>895.71589999999992</v>
      </c>
      <c r="I18" s="5">
        <f t="shared" si="2"/>
        <v>1652.106</v>
      </c>
      <c r="L18">
        <v>16384</v>
      </c>
      <c r="M18">
        <v>256</v>
      </c>
      <c r="P18">
        <f>0.0493*L18-0.1578</f>
        <v>807.57339999999999</v>
      </c>
      <c r="R18">
        <f>0.0017*L18+22.272</f>
        <v>50.124799999999993</v>
      </c>
      <c r="T18">
        <f>0.0456*L18+25.582</f>
        <v>772.69240000000002</v>
      </c>
    </row>
    <row r="58" spans="8:14" s="11" customFormat="1"/>
    <row r="59" spans="8:14">
      <c r="H59" s="10" t="s">
        <v>306</v>
      </c>
      <c r="I59" s="10"/>
      <c r="J59" s="10"/>
      <c r="K59" s="10"/>
      <c r="L59" s="10"/>
      <c r="M59" s="10"/>
      <c r="N59" s="10"/>
    </row>
    <row r="60" spans="8:14">
      <c r="H60" s="10" t="s">
        <v>296</v>
      </c>
      <c r="I60" s="10"/>
      <c r="J60" s="10"/>
      <c r="K60" s="10"/>
      <c r="L60" s="10"/>
      <c r="M60" s="10"/>
      <c r="N60" s="10"/>
    </row>
    <row r="65" spans="1:18">
      <c r="D65" s="10" t="s">
        <v>42</v>
      </c>
    </row>
    <row r="66" spans="1:18">
      <c r="N66" s="10" t="s">
        <v>43</v>
      </c>
    </row>
    <row r="68" spans="1:18" ht="66">
      <c r="A68" s="9" t="s">
        <v>298</v>
      </c>
      <c r="B68" s="9" t="s">
        <v>152</v>
      </c>
      <c r="C68" s="9" t="s">
        <v>120</v>
      </c>
      <c r="D68" s="9" t="s">
        <v>279</v>
      </c>
      <c r="E68" s="9" t="s">
        <v>286</v>
      </c>
      <c r="F68" s="9" t="s">
        <v>285</v>
      </c>
      <c r="G68" s="9" t="s">
        <v>202</v>
      </c>
      <c r="H68" s="9" t="s">
        <v>292</v>
      </c>
      <c r="K68" s="2" t="s">
        <v>298</v>
      </c>
      <c r="L68" s="2" t="s">
        <v>152</v>
      </c>
      <c r="M68" s="2" t="s">
        <v>120</v>
      </c>
      <c r="N68" s="2" t="s">
        <v>279</v>
      </c>
      <c r="O68" s="2" t="s">
        <v>286</v>
      </c>
      <c r="P68" s="2" t="s">
        <v>285</v>
      </c>
      <c r="Q68" s="2" t="s">
        <v>202</v>
      </c>
      <c r="R68" s="2" t="s">
        <v>292</v>
      </c>
    </row>
    <row r="69" spans="1:18">
      <c r="A69">
        <v>32</v>
      </c>
      <c r="B69">
        <v>64</v>
      </c>
      <c r="C69" s="5">
        <v>114.94233333333334</v>
      </c>
      <c r="D69" s="5">
        <v>1.487143271884255</v>
      </c>
      <c r="E69" s="5">
        <v>110.79733333333333</v>
      </c>
      <c r="F69" s="5">
        <v>6.1734197886170756E-3</v>
      </c>
      <c r="G69" s="5">
        <v>261.30099999999999</v>
      </c>
      <c r="H69" s="5">
        <v>10.351153671612753</v>
      </c>
      <c r="K69">
        <v>32</v>
      </c>
      <c r="L69">
        <v>64</v>
      </c>
      <c r="M69" s="5">
        <v>65.666666666666671</v>
      </c>
      <c r="N69" s="5">
        <v>0.33333333333318171</v>
      </c>
      <c r="O69" s="5">
        <v>30.333333333333332</v>
      </c>
      <c r="P69" s="5">
        <v>0.66666666666664764</v>
      </c>
      <c r="Q69" s="5">
        <v>101.09766666666667</v>
      </c>
      <c r="R69" s="5">
        <v>1.1537556548553047</v>
      </c>
    </row>
    <row r="70" spans="1:18">
      <c r="A70">
        <v>64</v>
      </c>
      <c r="B70">
        <v>32</v>
      </c>
      <c r="C70" s="5">
        <v>86.34666666666665</v>
      </c>
      <c r="D70" s="5">
        <v>2.5471710669771648</v>
      </c>
      <c r="E70" s="5">
        <v>116.63566666666667</v>
      </c>
      <c r="F70" s="5">
        <v>0.69260145666737216</v>
      </c>
      <c r="G70" s="5">
        <v>227.80999999999997</v>
      </c>
      <c r="H70" s="5">
        <v>3.0870886500609558</v>
      </c>
      <c r="K70">
        <v>64</v>
      </c>
      <c r="L70">
        <v>32</v>
      </c>
      <c r="M70" s="5">
        <v>61.333333333333336</v>
      </c>
      <c r="N70" s="5">
        <v>4.0960685758148241</v>
      </c>
      <c r="O70" s="5">
        <v>28.666666666666668</v>
      </c>
      <c r="P70" s="5">
        <v>2.6034165586355469</v>
      </c>
      <c r="Q70" s="5">
        <v>89.217333333333343</v>
      </c>
      <c r="R70" s="5">
        <v>1.171609766280177</v>
      </c>
    </row>
    <row r="71" spans="1:18">
      <c r="A71">
        <v>128</v>
      </c>
      <c r="B71">
        <v>16</v>
      </c>
      <c r="C71" s="5">
        <v>95.314999999999998</v>
      </c>
      <c r="D71" s="5">
        <v>9.4998629639239276</v>
      </c>
      <c r="E71" s="5">
        <v>111.67</v>
      </c>
      <c r="F71" s="5">
        <v>4.9500841744354332E-2</v>
      </c>
      <c r="G71" s="5">
        <v>242.00366666666665</v>
      </c>
      <c r="H71" s="5">
        <v>18.915567595090828</v>
      </c>
      <c r="K71">
        <v>128</v>
      </c>
      <c r="L71">
        <v>16</v>
      </c>
      <c r="M71" s="5">
        <v>60.666666666666664</v>
      </c>
      <c r="N71" s="5">
        <v>3.9299420408505195</v>
      </c>
      <c r="O71" s="5">
        <v>25</v>
      </c>
      <c r="P71" s="5">
        <v>2</v>
      </c>
      <c r="Q71" s="5">
        <v>85.240000000000009</v>
      </c>
      <c r="R71" s="5">
        <v>2.7735033802033189</v>
      </c>
    </row>
    <row r="72" spans="1:18">
      <c r="A72">
        <v>256</v>
      </c>
      <c r="B72">
        <v>8</v>
      </c>
      <c r="C72" s="5">
        <v>118.56733333333334</v>
      </c>
      <c r="D72" s="5">
        <v>8.4270068507499366E-2</v>
      </c>
      <c r="E72" s="32" t="s">
        <v>125</v>
      </c>
      <c r="F72" s="5">
        <v>1.5495519105914905E-2</v>
      </c>
      <c r="G72" s="5">
        <v>256.82400000000001</v>
      </c>
      <c r="H72" s="5">
        <v>0.44338508469839866</v>
      </c>
      <c r="K72">
        <v>256</v>
      </c>
      <c r="L72">
        <v>8</v>
      </c>
      <c r="M72" s="5">
        <v>80.333333333333329</v>
      </c>
      <c r="N72" s="5">
        <v>4.333333333333357</v>
      </c>
      <c r="O72" s="5">
        <v>25.333333333333332</v>
      </c>
      <c r="P72" s="5">
        <v>3.7118429085533498</v>
      </c>
      <c r="Q72" s="5">
        <v>109.78233333333333</v>
      </c>
      <c r="R72" s="5">
        <v>1.2203008281210996</v>
      </c>
    </row>
    <row r="73" spans="1:18">
      <c r="K73">
        <v>512</v>
      </c>
      <c r="L73">
        <v>4</v>
      </c>
      <c r="M73" s="5">
        <v>122</v>
      </c>
      <c r="N73" s="5">
        <v>0.57735026918962584</v>
      </c>
      <c r="O73" s="5">
        <v>44.666666666666664</v>
      </c>
      <c r="P73" s="5">
        <v>1.4529663145135754</v>
      </c>
      <c r="Q73" s="5">
        <v>171.10166666666669</v>
      </c>
      <c r="R73" s="5">
        <v>1.3059791133252205</v>
      </c>
    </row>
    <row r="115" spans="1:17" s="11" customFormat="1"/>
    <row r="117" spans="1:17">
      <c r="I117" s="10" t="s">
        <v>300</v>
      </c>
      <c r="J117" s="10"/>
      <c r="K117" s="10"/>
      <c r="L117" s="10"/>
      <c r="M117" s="10"/>
      <c r="N117" s="10"/>
      <c r="O117" s="10"/>
    </row>
    <row r="119" spans="1:17" ht="75">
      <c r="A119" s="9" t="s">
        <v>302</v>
      </c>
      <c r="B119" s="9" t="s">
        <v>120</v>
      </c>
      <c r="C119" s="9" t="s">
        <v>279</v>
      </c>
      <c r="D119" s="9" t="s">
        <v>286</v>
      </c>
      <c r="E119" s="9" t="s">
        <v>285</v>
      </c>
      <c r="F119" s="9" t="s">
        <v>202</v>
      </c>
      <c r="G119" s="9" t="s">
        <v>292</v>
      </c>
      <c r="K119" s="2" t="s">
        <v>302</v>
      </c>
      <c r="L119" s="2" t="s">
        <v>120</v>
      </c>
      <c r="M119" s="2" t="s">
        <v>279</v>
      </c>
      <c r="N119" s="2" t="s">
        <v>286</v>
      </c>
      <c r="O119" s="2" t="s">
        <v>285</v>
      </c>
      <c r="P119" s="2" t="s">
        <v>202</v>
      </c>
      <c r="Q119" s="2" t="s">
        <v>292</v>
      </c>
    </row>
    <row r="120" spans="1:17">
      <c r="A120">
        <v>2</v>
      </c>
      <c r="B120" s="5">
        <v>502.32866666666672</v>
      </c>
      <c r="C120" s="5">
        <v>1.8935659774898159</v>
      </c>
      <c r="D120" s="5">
        <v>352.37966666666671</v>
      </c>
      <c r="E120" s="5">
        <v>2.2223240337733232</v>
      </c>
      <c r="F120" s="5">
        <v>886.04533333333336</v>
      </c>
      <c r="G120" s="5">
        <v>4.5890304471003427</v>
      </c>
      <c r="K120">
        <v>2</v>
      </c>
      <c r="L120" s="5">
        <v>346.66666666666669</v>
      </c>
      <c r="M120" s="5">
        <v>2.0275875101002043</v>
      </c>
      <c r="N120" s="5">
        <v>62</v>
      </c>
      <c r="O120" s="5">
        <v>0.57735026918962584</v>
      </c>
      <c r="P120" s="5">
        <v>412.32900000000001</v>
      </c>
      <c r="Q120" s="5">
        <v>1.0386839429424817</v>
      </c>
    </row>
    <row r="121" spans="1:17">
      <c r="A121">
        <v>4</v>
      </c>
      <c r="B121" s="5">
        <v>269.18066666666664</v>
      </c>
      <c r="C121" s="5">
        <v>3.6645148989259488</v>
      </c>
      <c r="D121" s="5">
        <v>203.26066666666668</v>
      </c>
      <c r="E121" s="5">
        <v>9.4950047276331926</v>
      </c>
      <c r="F121" s="5">
        <v>497.12133333333333</v>
      </c>
      <c r="G121" s="5">
        <v>11.461381029836378</v>
      </c>
      <c r="K121">
        <v>4</v>
      </c>
      <c r="L121" s="5">
        <v>168.33333333333334</v>
      </c>
      <c r="M121" s="5">
        <v>1.4529663145138361</v>
      </c>
      <c r="N121" s="5">
        <v>32</v>
      </c>
      <c r="O121" s="5">
        <v>2.6457513110645907</v>
      </c>
      <c r="P121" s="5">
        <v>204.25733333333335</v>
      </c>
      <c r="Q121" s="5">
        <v>1.7922094681628635</v>
      </c>
    </row>
    <row r="122" spans="1:17">
      <c r="A122">
        <v>8</v>
      </c>
      <c r="B122" s="5">
        <v>154.80100000000002</v>
      </c>
      <c r="C122" s="5">
        <v>4.3800395355901118</v>
      </c>
      <c r="D122" s="5">
        <v>114.42100000000001</v>
      </c>
      <c r="E122" s="5">
        <v>1.0554600892496269</v>
      </c>
      <c r="F122" s="5">
        <v>299.29033333333331</v>
      </c>
      <c r="G122" s="5">
        <v>8.1856935021487267</v>
      </c>
      <c r="K122">
        <v>8</v>
      </c>
      <c r="L122" s="5">
        <v>96.666666666666671</v>
      </c>
      <c r="M122" s="5">
        <v>1.2018504251547473</v>
      </c>
      <c r="N122" s="5">
        <v>29.666666666666668</v>
      </c>
      <c r="O122" s="5">
        <v>1.7638342073763869</v>
      </c>
      <c r="P122" s="5">
        <v>133.83833333333334</v>
      </c>
      <c r="Q122" s="5">
        <v>4.2491811106508921</v>
      </c>
    </row>
    <row r="123" spans="1:17">
      <c r="A123">
        <v>16</v>
      </c>
      <c r="B123" s="5">
        <v>114.806</v>
      </c>
      <c r="C123" s="5">
        <v>3.3322300340762125</v>
      </c>
      <c r="D123" s="5">
        <v>112.69833333333334</v>
      </c>
      <c r="E123" s="5">
        <v>1.760531390739128</v>
      </c>
      <c r="F123" s="5">
        <v>249.74433333333334</v>
      </c>
      <c r="G123" s="5">
        <v>1.5508696843296976</v>
      </c>
      <c r="K123">
        <v>16</v>
      </c>
      <c r="L123" s="5">
        <v>64.666666666666671</v>
      </c>
      <c r="M123" s="5">
        <v>0.66666666666659091</v>
      </c>
      <c r="N123" s="5">
        <v>28.666666666666668</v>
      </c>
      <c r="O123" s="5">
        <v>0.88191710368818266</v>
      </c>
      <c r="P123" s="5">
        <v>97.152333333333331</v>
      </c>
      <c r="Q123" s="5">
        <v>1.5660056761642747</v>
      </c>
    </row>
    <row r="124" spans="1:17">
      <c r="A124">
        <v>32</v>
      </c>
      <c r="B124" s="5">
        <v>86.34666666666665</v>
      </c>
      <c r="C124" s="5">
        <v>2.5471710669771648</v>
      </c>
      <c r="D124" s="5">
        <v>116.63566666666667</v>
      </c>
      <c r="E124" s="5">
        <v>0.69260145666737216</v>
      </c>
      <c r="F124" s="5">
        <v>227.80999999999997</v>
      </c>
      <c r="G124" s="5">
        <v>3.0870886500609558</v>
      </c>
      <c r="K124">
        <v>32</v>
      </c>
      <c r="L124" s="5">
        <v>61.333333333333336</v>
      </c>
      <c r="M124" s="5">
        <v>4.0960685758148241</v>
      </c>
      <c r="N124" s="5">
        <v>28.666666666666668</v>
      </c>
      <c r="O124" s="5">
        <v>2.6034165586355469</v>
      </c>
      <c r="P124" s="5">
        <v>89.217333333333343</v>
      </c>
      <c r="Q124" s="5">
        <v>1.171609766280177</v>
      </c>
    </row>
    <row r="163" spans="1:16" s="11" customFormat="1"/>
    <row r="166" spans="1:16">
      <c r="F166" s="10" t="s">
        <v>37</v>
      </c>
      <c r="G166" s="10"/>
      <c r="H166" s="10"/>
      <c r="I166" s="10"/>
      <c r="J166" s="10"/>
      <c r="K166" s="10"/>
      <c r="L166" s="10"/>
    </row>
    <row r="169" spans="1:16" ht="75">
      <c r="A169" s="9" t="s">
        <v>39</v>
      </c>
      <c r="B169" s="9" t="s">
        <v>120</v>
      </c>
      <c r="C169" s="9" t="s">
        <v>279</v>
      </c>
      <c r="D169" s="9" t="s">
        <v>286</v>
      </c>
      <c r="E169" s="9" t="s">
        <v>285</v>
      </c>
      <c r="F169" s="9" t="s">
        <v>202</v>
      </c>
      <c r="G169" s="9" t="s">
        <v>292</v>
      </c>
      <c r="J169" s="2" t="s">
        <v>39</v>
      </c>
      <c r="K169" s="2" t="s">
        <v>120</v>
      </c>
      <c r="L169" s="2" t="s">
        <v>279</v>
      </c>
      <c r="M169" s="2" t="s">
        <v>286</v>
      </c>
      <c r="N169" s="2" t="s">
        <v>285</v>
      </c>
      <c r="O169" s="2" t="s">
        <v>202</v>
      </c>
      <c r="P169" s="2" t="s">
        <v>292</v>
      </c>
    </row>
    <row r="170" spans="1:16">
      <c r="A170">
        <v>2</v>
      </c>
      <c r="B170" s="5">
        <v>85.754333333333349</v>
      </c>
      <c r="C170" s="5">
        <v>1.860064544877591</v>
      </c>
      <c r="D170" s="5">
        <v>334.30166666666668</v>
      </c>
      <c r="E170" s="5">
        <v>4.8438770055032734</v>
      </c>
      <c r="F170" s="5">
        <v>444.91300000000001</v>
      </c>
      <c r="G170" s="5">
        <v>6.5492480738883447</v>
      </c>
      <c r="J170">
        <v>2</v>
      </c>
      <c r="K170" s="5">
        <v>65</v>
      </c>
      <c r="L170" s="5">
        <v>6.110100926607787</v>
      </c>
      <c r="M170" s="5">
        <v>28.333333333333332</v>
      </c>
      <c r="N170" s="5">
        <v>3.2829526005986982</v>
      </c>
      <c r="O170" s="5">
        <v>97.397666666666666</v>
      </c>
      <c r="P170" s="5">
        <v>2.9010331684495636</v>
      </c>
    </row>
    <row r="171" spans="1:16">
      <c r="A171">
        <v>4</v>
      </c>
      <c r="B171" s="5">
        <v>85.625</v>
      </c>
      <c r="C171" s="5">
        <v>1.7309535907509601</v>
      </c>
      <c r="D171" s="5">
        <v>181.72633333333332</v>
      </c>
      <c r="E171" s="5">
        <v>1.8905992289337774</v>
      </c>
      <c r="F171" s="5">
        <v>294.95166666666665</v>
      </c>
      <c r="G171" s="5">
        <v>3.1979906364947226</v>
      </c>
      <c r="J171">
        <v>4</v>
      </c>
      <c r="K171" s="5">
        <v>73</v>
      </c>
      <c r="L171" s="5">
        <v>4.0414518843273806</v>
      </c>
      <c r="M171" s="5">
        <v>22.666666666666668</v>
      </c>
      <c r="N171" s="5">
        <v>1.6666666666666705</v>
      </c>
      <c r="O171" s="5">
        <v>99.324666666666658</v>
      </c>
      <c r="P171" s="5">
        <v>2.3914344602723534</v>
      </c>
    </row>
    <row r="172" spans="1:16">
      <c r="A172">
        <v>8</v>
      </c>
      <c r="B172" s="5">
        <v>86.34666666666665</v>
      </c>
      <c r="C172" s="5">
        <v>2.5471710669771648</v>
      </c>
      <c r="D172" s="5">
        <v>116.63566666666667</v>
      </c>
      <c r="E172" s="5">
        <v>0.69260145666737216</v>
      </c>
      <c r="F172" s="5">
        <v>227.80999999999997</v>
      </c>
      <c r="G172" s="5">
        <v>3.0870886500609558</v>
      </c>
      <c r="J172">
        <v>8</v>
      </c>
      <c r="K172" s="5">
        <v>62.333333333333336</v>
      </c>
      <c r="L172" s="5">
        <v>4.4845413490245587</v>
      </c>
      <c r="M172" s="5">
        <v>35</v>
      </c>
      <c r="N172" s="5">
        <v>3.7859388972001824</v>
      </c>
      <c r="O172" s="5">
        <v>100.96833333333335</v>
      </c>
      <c r="P172" s="5">
        <v>1.7785740855463308</v>
      </c>
    </row>
    <row r="173" spans="1:16">
      <c r="A173">
        <v>16</v>
      </c>
      <c r="B173" s="5">
        <v>91.06</v>
      </c>
      <c r="C173" s="5">
        <v>2.0897589175148039</v>
      </c>
      <c r="D173" s="5">
        <v>82.147333333333336</v>
      </c>
      <c r="E173" s="5">
        <v>0.98876359381022594</v>
      </c>
      <c r="F173" s="5">
        <v>206.3546666666667</v>
      </c>
      <c r="G173" s="5">
        <v>6.6302084515575883</v>
      </c>
      <c r="J173">
        <v>16</v>
      </c>
      <c r="K173" s="5">
        <v>69.333333333333329</v>
      </c>
      <c r="L173" s="5">
        <v>5.6960024968783456</v>
      </c>
      <c r="M173" s="5">
        <v>43.333333333333336</v>
      </c>
      <c r="N173" s="5">
        <v>4.3716256828680065</v>
      </c>
      <c r="O173" s="5">
        <v>116.41366666666666</v>
      </c>
      <c r="P173" s="5">
        <v>1.6642458085005885</v>
      </c>
    </row>
  </sheetData>
  <sheetCalcPr fullCalcOnLoad="1"/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S104"/>
  <sheetViews>
    <sheetView topLeftCell="A4" workbookViewId="0">
      <selection activeCell="B54" sqref="B54"/>
    </sheetView>
  </sheetViews>
  <sheetFormatPr baseColWidth="10" defaultRowHeight="13"/>
  <sheetData>
    <row r="2" spans="1:7">
      <c r="A2" t="s">
        <v>321</v>
      </c>
    </row>
    <row r="6" spans="1:7">
      <c r="A6" t="s">
        <v>345</v>
      </c>
    </row>
    <row r="7" spans="1:7">
      <c r="A7" t="s">
        <v>357</v>
      </c>
    </row>
    <row r="8" spans="1:7" s="12" customFormat="1" ht="65">
      <c r="A8" s="12" t="s">
        <v>346</v>
      </c>
      <c r="B8" s="12" t="s">
        <v>347</v>
      </c>
      <c r="C8" s="12" t="s">
        <v>349</v>
      </c>
      <c r="D8" s="12" t="s">
        <v>275</v>
      </c>
      <c r="E8" s="12" t="s">
        <v>276</v>
      </c>
      <c r="F8" s="12" t="s">
        <v>348</v>
      </c>
      <c r="G8" s="12" t="s">
        <v>277</v>
      </c>
    </row>
    <row r="9" spans="1:7">
      <c r="A9" s="13">
        <v>1812.8209999999999</v>
      </c>
      <c r="B9" s="13">
        <f>(A9-15.994)/0.7178</f>
        <v>2503.24185009752</v>
      </c>
      <c r="C9" s="13">
        <v>1342.8240000000001</v>
      </c>
      <c r="D9" s="14">
        <v>3122</v>
      </c>
      <c r="E9" s="14">
        <v>364</v>
      </c>
      <c r="F9" s="13">
        <f>(3120*3*A9)/10240</f>
        <v>1657.0316953124998</v>
      </c>
      <c r="G9" s="13">
        <f>MAX(A9,B9,C9)+MAX(D9,E9)+F9</f>
        <v>7282.2735454100202</v>
      </c>
    </row>
    <row r="10" spans="1:7">
      <c r="A10" s="13">
        <v>1883.1469999999999</v>
      </c>
      <c r="B10" s="13">
        <f t="shared" ref="B10" si="0">(A10-15.994)/0.7178</f>
        <v>2601.2162162162163</v>
      </c>
      <c r="C10" s="13">
        <f t="shared" ref="C10:C12" si="1">1.6031*A10-81.093</f>
        <v>2937.7799556999998</v>
      </c>
      <c r="D10" s="14">
        <v>3133</v>
      </c>
      <c r="E10" s="14">
        <v>362</v>
      </c>
      <c r="F10" s="13">
        <f>(3120*3*A10)/10240</f>
        <v>1721.3140546874997</v>
      </c>
      <c r="G10" s="13">
        <f t="shared" ref="G10:G19" si="2">MAX(A10,B10,C10)+MAX(D10,E10)+F10</f>
        <v>7792.0940103875</v>
      </c>
    </row>
    <row r="11" spans="1:7">
      <c r="A11" s="13">
        <v>1897.8610000000001</v>
      </c>
      <c r="B11" s="13">
        <f>(A12-15.994)/0.7178</f>
        <v>2560.9487322373921</v>
      </c>
      <c r="C11" s="13">
        <f t="shared" si="1"/>
        <v>2961.3679691000002</v>
      </c>
      <c r="D11" s="14">
        <v>3120</v>
      </c>
      <c r="E11" s="14">
        <v>372</v>
      </c>
      <c r="F11" s="13">
        <f t="shared" ref="F11:F12" si="3">(3120*3*A11)/10240</f>
        <v>1734.7635703125002</v>
      </c>
      <c r="G11" s="13">
        <f t="shared" si="2"/>
        <v>7816.1315394124995</v>
      </c>
    </row>
    <row r="12" spans="1:7">
      <c r="A12" s="13">
        <v>1854.2429999999999</v>
      </c>
      <c r="B12" s="13">
        <f>(A11-15.994)/0.7178</f>
        <v>2621.714962385066</v>
      </c>
      <c r="C12" s="13">
        <f t="shared" si="1"/>
        <v>2891.4439533</v>
      </c>
      <c r="D12" s="14">
        <v>3145</v>
      </c>
      <c r="E12" s="14">
        <v>367</v>
      </c>
      <c r="F12" s="13">
        <f t="shared" si="3"/>
        <v>1694.8939921875001</v>
      </c>
      <c r="G12" s="13">
        <f t="shared" si="2"/>
        <v>7731.3379454875003</v>
      </c>
    </row>
    <row r="13" spans="1:7">
      <c r="G13" s="13"/>
    </row>
    <row r="14" spans="1:7">
      <c r="G14" s="13"/>
    </row>
    <row r="15" spans="1:7">
      <c r="A15" t="s">
        <v>222</v>
      </c>
      <c r="G15" s="13"/>
    </row>
    <row r="16" spans="1:7">
      <c r="A16">
        <v>1636.0322450000001</v>
      </c>
      <c r="B16">
        <v>2274.2274382835999</v>
      </c>
      <c r="C16">
        <v>1985.2479190595</v>
      </c>
      <c r="D16" s="14">
        <v>3122</v>
      </c>
      <c r="E16" s="14">
        <v>364</v>
      </c>
      <c r="F16">
        <v>1494.2652435</v>
      </c>
      <c r="G16" s="13">
        <f t="shared" si="2"/>
        <v>6890.4926817836003</v>
      </c>
    </row>
    <row r="17" spans="1:15">
      <c r="A17">
        <v>1660.294715</v>
      </c>
      <c r="B17">
        <v>2108.0285945945898</v>
      </c>
      <c r="C17">
        <v>2024.1430847165</v>
      </c>
      <c r="D17" s="14">
        <v>3133</v>
      </c>
      <c r="E17" s="14">
        <v>362</v>
      </c>
      <c r="F17">
        <v>1472.4290205000002</v>
      </c>
      <c r="G17" s="13">
        <f t="shared" si="2"/>
        <v>6713.4576150945904</v>
      </c>
      <c r="N17" t="s">
        <v>237</v>
      </c>
    </row>
    <row r="18" spans="1:15">
      <c r="A18">
        <v>1675.3710450000001</v>
      </c>
      <c r="B18">
        <v>2194.1363126218998</v>
      </c>
      <c r="C18">
        <v>2032.2809493395</v>
      </c>
      <c r="D18" s="14">
        <v>3120</v>
      </c>
      <c r="E18" s="14">
        <v>372</v>
      </c>
      <c r="F18">
        <v>1485.2905515</v>
      </c>
      <c r="G18" s="13">
        <f t="shared" si="2"/>
        <v>6799.4268641219005</v>
      </c>
      <c r="M18" t="s">
        <v>238</v>
      </c>
      <c r="N18" s="13">
        <f>AVERAGE(G16:G19)</f>
        <v>6815.577940880733</v>
      </c>
      <c r="O18">
        <f>STDEV(G16:G19)/SQRT(4)</f>
        <v>38.924538888770826</v>
      </c>
    </row>
    <row r="19" spans="1:15">
      <c r="A19">
        <v>1650.3228349999999</v>
      </c>
      <c r="B19">
        <v>2215.10066202284</v>
      </c>
      <c r="C19">
        <v>2008.1571638885</v>
      </c>
      <c r="D19" s="14">
        <v>3145</v>
      </c>
      <c r="E19" s="14">
        <v>367</v>
      </c>
      <c r="F19">
        <v>1498.8339405000002</v>
      </c>
      <c r="G19" s="13">
        <f t="shared" si="2"/>
        <v>6858.9346025228406</v>
      </c>
    </row>
    <row r="24" spans="1:15">
      <c r="D24" t="s">
        <v>358</v>
      </c>
      <c r="I24" t="s">
        <v>359</v>
      </c>
    </row>
    <row r="26" spans="1:15">
      <c r="C26" t="s">
        <v>355</v>
      </c>
      <c r="D26" t="s">
        <v>352</v>
      </c>
      <c r="E26" t="s">
        <v>353</v>
      </c>
      <c r="F26" t="s">
        <v>356</v>
      </c>
      <c r="H26" t="s">
        <v>355</v>
      </c>
      <c r="I26" t="s">
        <v>361</v>
      </c>
      <c r="J26" t="s">
        <v>273</v>
      </c>
      <c r="K26" t="s">
        <v>356</v>
      </c>
      <c r="L26" t="s">
        <v>360</v>
      </c>
    </row>
    <row r="27" spans="1:15">
      <c r="C27" t="s">
        <v>350</v>
      </c>
      <c r="D27" t="s">
        <v>351</v>
      </c>
      <c r="E27" t="s">
        <v>354</v>
      </c>
      <c r="F27" t="s">
        <v>357</v>
      </c>
      <c r="H27" t="s">
        <v>350</v>
      </c>
      <c r="I27" t="s">
        <v>362</v>
      </c>
      <c r="J27" t="s">
        <v>274</v>
      </c>
      <c r="K27" t="s">
        <v>357</v>
      </c>
    </row>
    <row r="28" spans="1:15">
      <c r="B28">
        <v>2</v>
      </c>
      <c r="C28">
        <v>62.18</v>
      </c>
      <c r="D28">
        <v>130.684</v>
      </c>
      <c r="E28" s="5">
        <v>54.408999999999999</v>
      </c>
      <c r="F28">
        <f>(C28-10.609)/0.345</f>
        <v>149.48115942028986</v>
      </c>
      <c r="O28">
        <v>0.93</v>
      </c>
    </row>
    <row r="29" spans="1:15">
      <c r="B29">
        <v>4</v>
      </c>
      <c r="C29">
        <v>68.384</v>
      </c>
      <c r="D29">
        <v>163.75399999999999</v>
      </c>
      <c r="E29" s="5">
        <v>60.407000000000004</v>
      </c>
      <c r="F29">
        <f t="shared" ref="F29:F32" si="4">(C29-10.609)/0.345</f>
        <v>167.46376811594203</v>
      </c>
    </row>
    <row r="30" spans="1:15">
      <c r="B30">
        <v>8</v>
      </c>
      <c r="C30">
        <v>99.709000000000003</v>
      </c>
      <c r="D30">
        <v>214.60300000000001</v>
      </c>
      <c r="E30" s="5">
        <v>91.056333333333328</v>
      </c>
      <c r="F30">
        <f t="shared" si="4"/>
        <v>258.26086956521743</v>
      </c>
    </row>
    <row r="31" spans="1:15">
      <c r="B31">
        <v>16</v>
      </c>
      <c r="C31">
        <v>185.351</v>
      </c>
      <c r="D31">
        <v>371.447</v>
      </c>
      <c r="E31" s="5">
        <v>143.01233333333332</v>
      </c>
      <c r="F31">
        <f t="shared" si="4"/>
        <v>506.49855072463771</v>
      </c>
    </row>
    <row r="32" spans="1:15">
      <c r="B32">
        <v>32</v>
      </c>
      <c r="C32">
        <v>336.87400000000002</v>
      </c>
      <c r="D32">
        <v>637.11800000000005</v>
      </c>
      <c r="E32" s="5">
        <v>227.80999999999997</v>
      </c>
      <c r="F32">
        <f t="shared" si="4"/>
        <v>945.69565217391323</v>
      </c>
    </row>
    <row r="36" spans="4:5">
      <c r="D36" s="12" t="s">
        <v>346</v>
      </c>
      <c r="E36" t="s">
        <v>278</v>
      </c>
    </row>
    <row r="37" spans="4:5">
      <c r="D37" s="13">
        <v>1657.0316953124998</v>
      </c>
      <c r="E37">
        <f>0.345*D37+10.609</f>
        <v>582.28493488281242</v>
      </c>
    </row>
    <row r="38" spans="4:5">
      <c r="D38" s="13">
        <v>1721.3140546874997</v>
      </c>
      <c r="E38">
        <f t="shared" ref="E38:E40" si="5">0.345*D38+10.609</f>
        <v>604.46234886718742</v>
      </c>
    </row>
    <row r="39" spans="4:5">
      <c r="D39" s="13">
        <v>1734.7635703125002</v>
      </c>
      <c r="E39">
        <f t="shared" si="5"/>
        <v>609.1024317578125</v>
      </c>
    </row>
    <row r="40" spans="4:5">
      <c r="D40" s="13">
        <v>1694.8939921875001</v>
      </c>
      <c r="E40">
        <f t="shared" si="5"/>
        <v>595.34742730468747</v>
      </c>
    </row>
    <row r="51" spans="1:18">
      <c r="A51" t="s">
        <v>223</v>
      </c>
    </row>
    <row r="53" spans="1:18" s="3" customFormat="1" ht="52">
      <c r="A53" s="3" t="s">
        <v>224</v>
      </c>
      <c r="B53" s="3" t="s">
        <v>225</v>
      </c>
      <c r="C53" s="3" t="s">
        <v>226</v>
      </c>
      <c r="D53" s="3" t="s">
        <v>141</v>
      </c>
      <c r="E53" s="3" t="s">
        <v>144</v>
      </c>
      <c r="F53" s="3" t="s">
        <v>145</v>
      </c>
      <c r="G53" s="3" t="s">
        <v>146</v>
      </c>
      <c r="H53" s="3" t="s">
        <v>148</v>
      </c>
      <c r="I53" s="3" t="s">
        <v>149</v>
      </c>
      <c r="J53" s="3" t="s">
        <v>150</v>
      </c>
      <c r="K53" s="3" t="s">
        <v>241</v>
      </c>
      <c r="O53" s="3" t="s">
        <v>142</v>
      </c>
      <c r="P53" s="3" t="s">
        <v>143</v>
      </c>
    </row>
    <row r="54" spans="1:18">
      <c r="A54">
        <v>1497.34</v>
      </c>
      <c r="B54">
        <v>1980.32</v>
      </c>
      <c r="C54">
        <v>9262</v>
      </c>
      <c r="D54">
        <v>9306</v>
      </c>
      <c r="E54">
        <f>C54/2</f>
        <v>4631</v>
      </c>
      <c r="F54">
        <f>E54*0.93</f>
        <v>4306.83</v>
      </c>
      <c r="G54">
        <f>D54/2</f>
        <v>4653</v>
      </c>
      <c r="H54">
        <f>G54*0.93</f>
        <v>4327.29</v>
      </c>
      <c r="I54">
        <v>142.614</v>
      </c>
      <c r="J54">
        <v>164.321</v>
      </c>
      <c r="K54">
        <f>MAX(A54,B54)+MAX(F54,H54)+MAX(I54,J54)</f>
        <v>6471.9309999999996</v>
      </c>
      <c r="P54">
        <v>1000</v>
      </c>
      <c r="Q54" s="15">
        <f>AVERAGE(P54:P59)/1000</f>
        <v>0.93188333333333329</v>
      </c>
      <c r="R54" s="15">
        <f>(STDEV(P54:P59)/SQRT(6))/1000</f>
        <v>2.2408724739360873E-2</v>
      </c>
    </row>
    <row r="55" spans="1:18">
      <c r="P55">
        <v>941.1</v>
      </c>
    </row>
    <row r="56" spans="1:18">
      <c r="P56">
        <v>969.6</v>
      </c>
    </row>
    <row r="57" spans="1:18">
      <c r="P57">
        <v>849.2</v>
      </c>
    </row>
    <row r="58" spans="1:18">
      <c r="P58">
        <v>943.6</v>
      </c>
    </row>
    <row r="59" spans="1:18">
      <c r="P59">
        <v>887.8</v>
      </c>
    </row>
    <row r="62" spans="1:18">
      <c r="O62" t="s">
        <v>147</v>
      </c>
    </row>
    <row r="63" spans="1:18">
      <c r="P63">
        <v>969.6</v>
      </c>
      <c r="Q63" s="15">
        <f>AVERAGE(P63:P68)/1000</f>
        <v>0.92636666666666667</v>
      </c>
      <c r="R63" s="15">
        <f>STDEV(P63:P68)/SQRT(6)</f>
        <v>20.588065582867578</v>
      </c>
    </row>
    <row r="64" spans="1:18">
      <c r="P64">
        <v>872.6</v>
      </c>
    </row>
    <row r="65" spans="1:16">
      <c r="P65">
        <v>877.7</v>
      </c>
    </row>
    <row r="66" spans="1:16" ht="65">
      <c r="A66" s="12" t="s">
        <v>346</v>
      </c>
      <c r="B66" s="12" t="s">
        <v>347</v>
      </c>
      <c r="C66" s="12" t="s">
        <v>349</v>
      </c>
      <c r="D66" s="12" t="s">
        <v>275</v>
      </c>
      <c r="E66" s="12" t="s">
        <v>276</v>
      </c>
      <c r="F66" s="12" t="s">
        <v>348</v>
      </c>
      <c r="G66" s="12" t="s">
        <v>277</v>
      </c>
      <c r="J66">
        <f>0.6*A67</f>
        <v>981.61934700000006</v>
      </c>
      <c r="P66">
        <v>913.6</v>
      </c>
    </row>
    <row r="67" spans="1:16">
      <c r="A67">
        <v>1636.0322450000001</v>
      </c>
      <c r="B67">
        <v>2274.2274382835999</v>
      </c>
      <c r="C67">
        <v>1985.2479190595</v>
      </c>
      <c r="D67" s="14">
        <v>3122</v>
      </c>
      <c r="E67" s="14">
        <v>364</v>
      </c>
      <c r="F67">
        <v>1494.2652435</v>
      </c>
      <c r="G67" s="13">
        <f t="shared" ref="G67:G70" si="6">MAX(A67,B67,C67)+MAX(D67,E67)+F67</f>
        <v>6890.4926817836003</v>
      </c>
      <c r="P67">
        <v>1000</v>
      </c>
    </row>
    <row r="68" spans="1:16">
      <c r="A68">
        <v>1660.294715</v>
      </c>
      <c r="B68">
        <v>2108.0285945945898</v>
      </c>
      <c r="C68">
        <v>2024.1430847165</v>
      </c>
      <c r="D68" s="14">
        <v>3133</v>
      </c>
      <c r="E68" s="14">
        <v>362</v>
      </c>
      <c r="F68">
        <v>1472.4290205000002</v>
      </c>
      <c r="G68" s="13">
        <f t="shared" si="6"/>
        <v>6713.4576150945904</v>
      </c>
      <c r="P68">
        <v>924.7</v>
      </c>
    </row>
    <row r="69" spans="1:16">
      <c r="A69">
        <v>1665.3710450000001</v>
      </c>
      <c r="B69">
        <v>2194.1363126218998</v>
      </c>
      <c r="C69">
        <v>2032.2809493395</v>
      </c>
      <c r="D69" s="14">
        <v>3120</v>
      </c>
      <c r="E69" s="14">
        <v>372</v>
      </c>
      <c r="F69">
        <v>1485.2905515</v>
      </c>
      <c r="G69" s="13">
        <f t="shared" si="6"/>
        <v>6799.4268641219005</v>
      </c>
    </row>
    <row r="70" spans="1:16">
      <c r="A70">
        <v>1650.3228349999999</v>
      </c>
      <c r="B70">
        <v>2215.10066202284</v>
      </c>
      <c r="C70">
        <v>2008.1571638885</v>
      </c>
      <c r="D70" s="14">
        <v>3145</v>
      </c>
      <c r="E70" s="14">
        <v>367</v>
      </c>
      <c r="F70">
        <v>1498.8339405000002</v>
      </c>
      <c r="G70" s="13">
        <f t="shared" si="6"/>
        <v>6858.9346025228406</v>
      </c>
    </row>
    <row r="75" spans="1:16">
      <c r="A75" t="s">
        <v>242</v>
      </c>
      <c r="P75" t="s">
        <v>233</v>
      </c>
    </row>
    <row r="77" spans="1:16">
      <c r="A77" s="14">
        <f>MAX(A67,B67)+D67+(0.6*A67)</f>
        <v>6377.8467852836002</v>
      </c>
    </row>
    <row r="81" spans="1:19">
      <c r="A81" s="16">
        <v>1497.34</v>
      </c>
      <c r="B81" s="16">
        <v>1980.32</v>
      </c>
      <c r="C81" s="16">
        <v>1830.23</v>
      </c>
      <c r="D81" s="16">
        <v>9262</v>
      </c>
      <c r="E81" s="16">
        <v>9306</v>
      </c>
      <c r="F81" s="16">
        <v>9268</v>
      </c>
      <c r="G81" s="16">
        <f>9262/3</f>
        <v>3087.3333333333335</v>
      </c>
      <c r="H81" s="16">
        <f>G81*0.93</f>
        <v>2871.2200000000003</v>
      </c>
      <c r="I81" s="16">
        <f>G81/37.4</f>
        <v>82.54901960784315</v>
      </c>
      <c r="J81" s="16">
        <f>E81/3</f>
        <v>3102</v>
      </c>
      <c r="K81" s="16">
        <f>J81*0.93</f>
        <v>2884.86</v>
      </c>
      <c r="L81" s="16">
        <f>J81*0.88</f>
        <v>2729.76</v>
      </c>
      <c r="M81" s="16">
        <f>F81/3</f>
        <v>3089.3333333333335</v>
      </c>
      <c r="N81" s="16">
        <f>M81/37.4</f>
        <v>82.602495543672021</v>
      </c>
      <c r="O81" s="16">
        <f>M81/0.88</f>
        <v>3510.606060606061</v>
      </c>
      <c r="P81" s="16" t="s">
        <v>240</v>
      </c>
    </row>
    <row r="82" spans="1:19">
      <c r="A82" s="16">
        <v>1460.94</v>
      </c>
      <c r="B82" s="16">
        <v>1908.02859459459</v>
      </c>
      <c r="C82" s="16">
        <v>1824.1430847165</v>
      </c>
      <c r="D82" s="16">
        <v>9262</v>
      </c>
      <c r="E82" s="16">
        <v>9306</v>
      </c>
      <c r="F82" s="16">
        <v>9268</v>
      </c>
      <c r="G82" s="16"/>
      <c r="H82" s="16"/>
      <c r="I82" s="16"/>
      <c r="J82" s="16"/>
      <c r="K82" s="16"/>
      <c r="L82" s="16"/>
      <c r="M82" s="16"/>
      <c r="N82" s="16"/>
      <c r="O82" s="16"/>
      <c r="P82" s="16"/>
    </row>
    <row r="83" spans="1:19">
      <c r="A83" s="16">
        <v>1465.73</v>
      </c>
      <c r="B83" s="16">
        <v>1994.1363126219001</v>
      </c>
      <c r="C83" s="16">
        <v>1832.2809493395</v>
      </c>
      <c r="D83" s="16">
        <v>9262</v>
      </c>
      <c r="E83" s="16">
        <v>9306</v>
      </c>
      <c r="F83" s="16">
        <v>9268</v>
      </c>
      <c r="G83" s="16"/>
      <c r="H83" s="16"/>
      <c r="I83" s="16"/>
      <c r="J83" s="16"/>
      <c r="K83" s="16"/>
      <c r="L83" s="16"/>
      <c r="M83" s="16"/>
      <c r="N83" s="16"/>
      <c r="O83" s="16"/>
      <c r="P83" s="16"/>
    </row>
    <row r="84" spans="1:19">
      <c r="A84" s="16">
        <v>1480.98</v>
      </c>
      <c r="B84" s="16">
        <v>2015.10066202284</v>
      </c>
      <c r="C84" s="16">
        <v>1808.1571638885</v>
      </c>
      <c r="D84" s="16">
        <v>9262</v>
      </c>
      <c r="E84" s="16">
        <v>9306</v>
      </c>
      <c r="F84" s="16">
        <v>9268</v>
      </c>
      <c r="G84" s="16"/>
      <c r="H84" s="16"/>
      <c r="I84" s="16"/>
      <c r="J84" s="16"/>
      <c r="K84" s="16"/>
      <c r="L84" s="16"/>
      <c r="M84" s="16"/>
      <c r="N84" s="16"/>
      <c r="O84" s="16"/>
      <c r="P84" s="16"/>
    </row>
    <row r="87" spans="1:19" ht="52">
      <c r="I87" s="3" t="s">
        <v>146</v>
      </c>
      <c r="J87" s="3" t="s">
        <v>148</v>
      </c>
      <c r="K87" s="3" t="s">
        <v>329</v>
      </c>
      <c r="L87" s="3" t="s">
        <v>342</v>
      </c>
      <c r="M87" s="3" t="s">
        <v>330</v>
      </c>
      <c r="N87" s="3" t="s">
        <v>146</v>
      </c>
      <c r="O87" s="3" t="s">
        <v>146</v>
      </c>
      <c r="P87" s="3" t="s">
        <v>149</v>
      </c>
      <c r="Q87" s="3" t="s">
        <v>150</v>
      </c>
      <c r="R87" s="3" t="s">
        <v>328</v>
      </c>
      <c r="S87" s="3" t="s">
        <v>241</v>
      </c>
    </row>
    <row r="88" spans="1:19">
      <c r="I88">
        <f>9306/3</f>
        <v>3102</v>
      </c>
      <c r="J88">
        <f>I88*0.93</f>
        <v>2884.86</v>
      </c>
      <c r="K88">
        <f>F81/3</f>
        <v>3089.3333333333335</v>
      </c>
      <c r="L88">
        <f>K88/37.4</f>
        <v>82.602495543672021</v>
      </c>
      <c r="M88">
        <f>G81/37.4</f>
        <v>82.54901960784315</v>
      </c>
      <c r="N88">
        <f>E81/3</f>
        <v>3102</v>
      </c>
    </row>
    <row r="90" spans="1:19">
      <c r="A90" t="s">
        <v>236</v>
      </c>
    </row>
    <row r="91" spans="1:19">
      <c r="A91">
        <f>MAX(A81:C81)+MAX(H81:I81,K81:L81,N81:O81)+MAX(I54:J54)</f>
        <v>5655.2470606060606</v>
      </c>
    </row>
    <row r="99" spans="4:5">
      <c r="D99">
        <v>836.7</v>
      </c>
      <c r="E99">
        <f>AVERAGE(D99:D104)</f>
        <v>884.83333333333337</v>
      </c>
    </row>
    <row r="100" spans="4:5">
      <c r="D100">
        <v>855.4</v>
      </c>
    </row>
    <row r="101" spans="4:5">
      <c r="D101">
        <v>909.7</v>
      </c>
    </row>
    <row r="102" spans="4:5">
      <c r="D102">
        <v>918.2</v>
      </c>
    </row>
    <row r="103" spans="4:5">
      <c r="D103">
        <v>880.9</v>
      </c>
    </row>
    <row r="104" spans="4:5">
      <c r="D104">
        <v>908.1</v>
      </c>
    </row>
  </sheetData>
  <sheetCalcPr fullCalcOnLoad="1"/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S141"/>
  <sheetViews>
    <sheetView topLeftCell="A11" workbookViewId="0">
      <selection activeCell="B75" sqref="B75"/>
    </sheetView>
  </sheetViews>
  <sheetFormatPr baseColWidth="10" defaultRowHeight="13"/>
  <cols>
    <col min="4" max="6" width="15.28515625" bestFit="1" customWidth="1"/>
    <col min="7" max="7" width="16" bestFit="1" customWidth="1"/>
    <col min="8" max="8" width="15.28515625" bestFit="1" customWidth="1"/>
    <col min="19" max="19" width="29.7109375" customWidth="1"/>
  </cols>
  <sheetData>
    <row r="1" spans="1:19">
      <c r="A1" t="s">
        <v>239</v>
      </c>
    </row>
    <row r="3" spans="1:19">
      <c r="A3" t="s">
        <v>169</v>
      </c>
      <c r="H3" t="s">
        <v>163</v>
      </c>
      <c r="I3" t="s">
        <v>215</v>
      </c>
      <c r="J3" t="s">
        <v>290</v>
      </c>
    </row>
    <row r="4" spans="1:19">
      <c r="A4" t="s">
        <v>170</v>
      </c>
    </row>
    <row r="7" spans="1:19">
      <c r="A7" t="s">
        <v>215</v>
      </c>
    </row>
    <row r="8" spans="1:19" ht="65">
      <c r="A8" s="3" t="s">
        <v>166</v>
      </c>
      <c r="B8" s="3" t="s">
        <v>167</v>
      </c>
      <c r="C8" s="3" t="s">
        <v>168</v>
      </c>
      <c r="D8" s="3" t="s">
        <v>343</v>
      </c>
      <c r="E8" s="3" t="s">
        <v>344</v>
      </c>
      <c r="F8" s="3" t="s">
        <v>232</v>
      </c>
      <c r="G8" s="3" t="s">
        <v>234</v>
      </c>
      <c r="H8" s="3" t="s">
        <v>323</v>
      </c>
      <c r="I8" s="3" t="s">
        <v>322</v>
      </c>
      <c r="J8" s="3" t="s">
        <v>235</v>
      </c>
      <c r="K8" s="3" t="s">
        <v>339</v>
      </c>
      <c r="L8" s="3" t="s">
        <v>340</v>
      </c>
      <c r="M8" s="3" t="s">
        <v>341</v>
      </c>
      <c r="N8" s="3" t="s">
        <v>307</v>
      </c>
      <c r="O8" s="3" t="s">
        <v>220</v>
      </c>
      <c r="P8" s="3" t="s">
        <v>221</v>
      </c>
      <c r="Q8" s="3" t="s">
        <v>410</v>
      </c>
      <c r="R8" s="3" t="s">
        <v>411</v>
      </c>
      <c r="S8" s="3" t="s">
        <v>412</v>
      </c>
    </row>
    <row r="9" spans="1:19">
      <c r="A9" s="16">
        <v>1497.34</v>
      </c>
      <c r="B9" s="18">
        <v>1902.34</v>
      </c>
      <c r="C9" s="18">
        <v>1257.211</v>
      </c>
      <c r="D9" s="18">
        <v>9140.6260000000002</v>
      </c>
      <c r="E9" s="18">
        <v>9140.6260000000002</v>
      </c>
      <c r="F9" s="18">
        <v>9140.6260000000002</v>
      </c>
      <c r="G9" s="18">
        <v>6093.7506666666668</v>
      </c>
      <c r="H9" s="18">
        <f>(G9/6)/0.93</f>
        <v>1092.0700119474313</v>
      </c>
      <c r="I9" s="18">
        <f>(G9/6)/43.5</f>
        <v>23.347703703703704</v>
      </c>
      <c r="J9" s="18">
        <v>6093.7506666666668</v>
      </c>
      <c r="K9" s="18">
        <f>((J9)/6)/0.93</f>
        <v>1092.0700119474313</v>
      </c>
      <c r="L9" s="18">
        <f>(J9/6)/11.5</f>
        <v>88.315227053140092</v>
      </c>
      <c r="M9" s="18">
        <f>(F9*2)/3</f>
        <v>6093.7506666666668</v>
      </c>
      <c r="N9" s="18">
        <f>(M9/6)/0.91</f>
        <v>1116.0715506715505</v>
      </c>
      <c r="O9" s="18">
        <f>(M9/6)/8.6</f>
        <v>118.09594315245478</v>
      </c>
      <c r="P9" s="18">
        <v>142.614</v>
      </c>
      <c r="Q9" s="18">
        <v>154.36000000000001</v>
      </c>
      <c r="R9" s="18">
        <v>54.945999999999998</v>
      </c>
      <c r="S9" s="18">
        <f>MAX(A9:C9)+MAX(H9,I9,K9,L9,N9,O9)+MAX(P9:R9)</f>
        <v>3172.7715506715508</v>
      </c>
    </row>
    <row r="10" spans="1:19">
      <c r="A10" s="16">
        <v>1460.94</v>
      </c>
      <c r="B10" s="18">
        <v>1932.04</v>
      </c>
      <c r="C10" s="18">
        <v>1525.2760000000001</v>
      </c>
      <c r="D10" s="18">
        <v>9140.6260000000002</v>
      </c>
      <c r="E10" s="18">
        <v>9140.6260000000002</v>
      </c>
      <c r="F10" s="18">
        <v>9140.6260000000002</v>
      </c>
      <c r="G10" s="18">
        <v>6093.7506666666668</v>
      </c>
      <c r="H10" s="20">
        <f t="shared" ref="H10:H12" si="0">(G10/6)/0.93</f>
        <v>1092.0700119474313</v>
      </c>
      <c r="I10" s="20">
        <f t="shared" ref="I10:I12" si="1">(G10/6)/43.5</f>
        <v>23.347703703703704</v>
      </c>
      <c r="J10" s="18">
        <v>6093.7506666666668</v>
      </c>
      <c r="K10" s="20">
        <f t="shared" ref="K10:K12" si="2">((J10)/6)/0.93</f>
        <v>1092.0700119474313</v>
      </c>
      <c r="L10" s="20">
        <f t="shared" ref="L10:L12" si="3">(J10/6)/11.5</f>
        <v>88.315227053140092</v>
      </c>
      <c r="M10" s="18">
        <f t="shared" ref="M10:M12" si="4">(F10*2)/3</f>
        <v>6093.7506666666668</v>
      </c>
      <c r="N10" s="20">
        <f t="shared" ref="N10:N12" si="5">(M10/6)/0.91</f>
        <v>1116.0715506715505</v>
      </c>
      <c r="O10" s="20">
        <f t="shared" ref="O10:O12" si="6">(M10/6)/8.6</f>
        <v>118.09594315245478</v>
      </c>
      <c r="P10" s="18">
        <v>143.22999999999999</v>
      </c>
      <c r="Q10" s="18">
        <v>160.34899999999999</v>
      </c>
      <c r="R10" s="18">
        <v>56.898000000000003</v>
      </c>
      <c r="S10" s="18">
        <f>MAX(A10:C10)+MAX(H10,I10,K10,L10,N10,O10)+MAX(P10:R10)</f>
        <v>3208.4605506715507</v>
      </c>
    </row>
    <row r="11" spans="1:19">
      <c r="A11" s="16">
        <v>1465.73</v>
      </c>
      <c r="B11" s="18">
        <v>1841.2360000000001</v>
      </c>
      <c r="C11" s="18">
        <v>1250.6369999999999</v>
      </c>
      <c r="D11" s="18">
        <v>9140.6260000000002</v>
      </c>
      <c r="E11" s="18">
        <v>9140.6260000000002</v>
      </c>
      <c r="F11" s="18">
        <v>9140.6260000000002</v>
      </c>
      <c r="G11" s="18">
        <v>6093.7506666666668</v>
      </c>
      <c r="H11" s="20">
        <f t="shared" si="0"/>
        <v>1092.0700119474313</v>
      </c>
      <c r="I11" s="20">
        <f t="shared" si="1"/>
        <v>23.347703703703704</v>
      </c>
      <c r="J11" s="18">
        <v>6093.7506666666668</v>
      </c>
      <c r="K11" s="20">
        <f t="shared" si="2"/>
        <v>1092.0700119474313</v>
      </c>
      <c r="L11" s="20">
        <f t="shared" si="3"/>
        <v>88.315227053140092</v>
      </c>
      <c r="M11" s="18">
        <f t="shared" si="4"/>
        <v>6093.7506666666668</v>
      </c>
      <c r="N11" s="20">
        <f t="shared" si="5"/>
        <v>1116.0715506715505</v>
      </c>
      <c r="O11" s="20">
        <f t="shared" si="6"/>
        <v>118.09594315245478</v>
      </c>
      <c r="P11" s="18">
        <v>140.245</v>
      </c>
      <c r="Q11" s="18">
        <v>160.79</v>
      </c>
      <c r="R11" s="18">
        <v>57.058</v>
      </c>
      <c r="S11" s="18">
        <f>MAX(A11:C11)+MAX(H11,I11,K11,L11,N11,O11)+MAX(P11:R11)</f>
        <v>3118.0975506715504</v>
      </c>
    </row>
    <row r="12" spans="1:19">
      <c r="A12" s="16">
        <v>1480.98</v>
      </c>
      <c r="B12" s="18">
        <v>1910.2429999999999</v>
      </c>
      <c r="C12" s="18">
        <v>1258.771</v>
      </c>
      <c r="D12" s="18">
        <v>9140.6260000000002</v>
      </c>
      <c r="E12" s="18">
        <v>9140.6260000000002</v>
      </c>
      <c r="F12" s="18">
        <v>9140.6260000000002</v>
      </c>
      <c r="G12" s="18">
        <v>6093.7506666666668</v>
      </c>
      <c r="H12" s="20">
        <f t="shared" si="0"/>
        <v>1092.0700119474313</v>
      </c>
      <c r="I12" s="20">
        <f t="shared" si="1"/>
        <v>23.347703703703704</v>
      </c>
      <c r="J12" s="18">
        <v>6093.7506666666668</v>
      </c>
      <c r="K12" s="20">
        <f t="shared" si="2"/>
        <v>1092.0700119474313</v>
      </c>
      <c r="L12" s="20">
        <f t="shared" si="3"/>
        <v>88.315227053140092</v>
      </c>
      <c r="M12" s="18">
        <f t="shared" si="4"/>
        <v>6093.7506666666668</v>
      </c>
      <c r="N12" s="20">
        <f t="shared" si="5"/>
        <v>1116.0715506715505</v>
      </c>
      <c r="O12" s="20">
        <f t="shared" si="6"/>
        <v>118.09594315245478</v>
      </c>
      <c r="P12" s="18">
        <v>145.43</v>
      </c>
      <c r="Q12" s="18">
        <v>160.34299999999999</v>
      </c>
      <c r="R12" s="18">
        <v>56.893999999999998</v>
      </c>
      <c r="S12" s="18">
        <f>MAX(A12:C12)+MAX(H12,I12,K12,L12,N12,O12)+MAX(P12:R12)</f>
        <v>3186.6575506715503</v>
      </c>
    </row>
    <row r="14" spans="1:19">
      <c r="S14" t="s">
        <v>165</v>
      </c>
    </row>
    <row r="15" spans="1:19">
      <c r="S15" t="s">
        <v>201</v>
      </c>
    </row>
    <row r="17" spans="1:10">
      <c r="A17" t="s">
        <v>163</v>
      </c>
    </row>
    <row r="18" spans="1:10" s="3" customFormat="1" ht="65">
      <c r="A18" s="3" t="s">
        <v>231</v>
      </c>
      <c r="B18" s="3" t="s">
        <v>347</v>
      </c>
      <c r="C18" s="3" t="s">
        <v>308</v>
      </c>
      <c r="D18" s="19" t="s">
        <v>192</v>
      </c>
      <c r="E18" s="19" t="s">
        <v>193</v>
      </c>
      <c r="F18" s="3" t="s">
        <v>110</v>
      </c>
      <c r="G18" s="49" t="s">
        <v>175</v>
      </c>
      <c r="H18" s="48"/>
      <c r="I18" s="48"/>
      <c r="J18" s="48"/>
    </row>
    <row r="19" spans="1:10">
      <c r="A19" s="18">
        <v>1696.0322450000001</v>
      </c>
      <c r="B19" s="18">
        <v>2112.163</v>
      </c>
      <c r="C19" s="18">
        <v>1342.8240000000001</v>
      </c>
      <c r="D19" s="18">
        <f>3120/11.5</f>
        <v>271.30434782608694</v>
      </c>
      <c r="E19" s="18">
        <f>3120/43.5</f>
        <v>71.724137931034477</v>
      </c>
      <c r="F19">
        <v>1237.4250625</v>
      </c>
      <c r="G19" s="18">
        <f>MAX(A19:C19)+MAX(D19:E19)+F19</f>
        <v>3620.892410326087</v>
      </c>
      <c r="H19" s="21"/>
    </row>
    <row r="20" spans="1:10">
      <c r="A20" s="18">
        <v>1660.294715</v>
      </c>
      <c r="B20" s="18">
        <v>2230.741</v>
      </c>
      <c r="C20" s="18">
        <v>1613.597</v>
      </c>
      <c r="D20" s="20">
        <f t="shared" ref="D20:D22" si="7">3120/11.5</f>
        <v>271.30434782608694</v>
      </c>
      <c r="E20" s="20">
        <f t="shared" ref="E20:E22" si="8">3120/43.5</f>
        <v>71.724137931034477</v>
      </c>
      <c r="F20">
        <v>1249.3217421874999</v>
      </c>
      <c r="G20" s="18">
        <f t="shared" ref="G20:G22" si="9">MAX(A20:C20)+MAX(D20:E20)+F20</f>
        <v>3751.3670900135867</v>
      </c>
      <c r="H20" s="21"/>
    </row>
    <row r="21" spans="1:10">
      <c r="A21" s="18">
        <v>1675.3710450000001</v>
      </c>
      <c r="B21" s="18">
        <v>2124.692</v>
      </c>
      <c r="C21" s="18">
        <v>1338.2349999999999</v>
      </c>
      <c r="D21" s="20">
        <f t="shared" si="7"/>
        <v>271.30434782608694</v>
      </c>
      <c r="E21" s="20">
        <f t="shared" si="8"/>
        <v>71.724137931034477</v>
      </c>
      <c r="F21">
        <v>1223.2304296875</v>
      </c>
      <c r="G21" s="18">
        <f t="shared" si="9"/>
        <v>3619.226777513587</v>
      </c>
      <c r="H21" s="21"/>
    </row>
    <row r="22" spans="1:10">
      <c r="A22" s="18">
        <v>1690.3228349999999</v>
      </c>
      <c r="B22" s="18">
        <v>2193.2759999999998</v>
      </c>
      <c r="C22" s="18">
        <v>1344.8989999999999</v>
      </c>
      <c r="D22" s="20">
        <f t="shared" si="7"/>
        <v>271.30434782608694</v>
      </c>
      <c r="E22" s="20">
        <f t="shared" si="8"/>
        <v>71.724137931034477</v>
      </c>
      <c r="F22">
        <v>1474.9285078124999</v>
      </c>
      <c r="G22" s="18">
        <f t="shared" si="9"/>
        <v>3939.5088556385867</v>
      </c>
      <c r="H22" s="21"/>
    </row>
    <row r="23" spans="1:10">
      <c r="B23" s="17"/>
    </row>
    <row r="24" spans="1:10">
      <c r="B24" s="17"/>
      <c r="G24" s="18">
        <f>AVERAGE(G19:G22)</f>
        <v>3732.748783372962</v>
      </c>
      <c r="I24" s="18">
        <f>AVERAGE(S9:S12)</f>
        <v>3171.4968006715503</v>
      </c>
    </row>
    <row r="25" spans="1:10">
      <c r="G25">
        <f>STDEV(G19:G22)/SQRT(4)</f>
        <v>75.551010819943755</v>
      </c>
      <c r="I25">
        <f>STDEV(S9:S12)/SQRT(4)</f>
        <v>19.255458193179305</v>
      </c>
    </row>
    <row r="30" spans="1:10">
      <c r="F30" t="s">
        <v>122</v>
      </c>
    </row>
    <row r="31" spans="1:10">
      <c r="F31" t="s">
        <v>123</v>
      </c>
    </row>
    <row r="33" spans="1:18">
      <c r="F33" t="s">
        <v>124</v>
      </c>
    </row>
    <row r="37" spans="1:18" s="24" customFormat="1" ht="65" customHeight="1">
      <c r="C37" s="25" t="s">
        <v>216</v>
      </c>
      <c r="H37" s="24" t="s">
        <v>248</v>
      </c>
      <c r="N37" s="25" t="s">
        <v>217</v>
      </c>
    </row>
    <row r="38" spans="1:18" s="26" customFormat="1" ht="78">
      <c r="A38" s="3" t="s">
        <v>159</v>
      </c>
      <c r="B38" s="3" t="s">
        <v>160</v>
      </c>
      <c r="C38" s="3" t="s">
        <v>161</v>
      </c>
      <c r="D38" s="3" t="s">
        <v>162</v>
      </c>
      <c r="E38" s="48" t="s">
        <v>257</v>
      </c>
      <c r="F38" s="48"/>
      <c r="G38" s="48"/>
      <c r="J38" s="3" t="s">
        <v>174</v>
      </c>
      <c r="K38" s="26" t="s">
        <v>249</v>
      </c>
      <c r="L38" s="3" t="s">
        <v>245</v>
      </c>
      <c r="M38" s="3" t="s">
        <v>246</v>
      </c>
      <c r="N38" s="3" t="s">
        <v>247</v>
      </c>
      <c r="O38" s="3" t="s">
        <v>264</v>
      </c>
      <c r="P38" s="48" t="s">
        <v>250</v>
      </c>
      <c r="Q38" s="48"/>
      <c r="R38" s="48"/>
    </row>
    <row r="39" spans="1:18">
      <c r="A39" s="18">
        <v>2112.163</v>
      </c>
      <c r="B39" s="18">
        <v>1342.8240000000001</v>
      </c>
      <c r="C39" s="18">
        <f>3120/11.5</f>
        <v>271.30434782608694</v>
      </c>
      <c r="D39" s="18">
        <v>843.63</v>
      </c>
      <c r="E39" s="18">
        <f>MAX(A39:B39)+C39+D39</f>
        <v>3227.0973478260871</v>
      </c>
      <c r="J39" s="18">
        <v>1902.34</v>
      </c>
      <c r="K39" s="18">
        <v>1257.211</v>
      </c>
      <c r="L39" s="18">
        <f>4750/11.5</f>
        <v>413.04347826086956</v>
      </c>
      <c r="M39" s="18">
        <f>4570/0.91</f>
        <v>5021.9780219780214</v>
      </c>
      <c r="N39" s="18">
        <v>154.36000000000001</v>
      </c>
      <c r="O39" s="18">
        <v>54.945999999999998</v>
      </c>
      <c r="P39" s="18">
        <f>MAX(J39:K39)+MAX(L39:M39)+MAX(N39:O39)</f>
        <v>7078.6780219780212</v>
      </c>
    </row>
    <row r="40" spans="1:18">
      <c r="A40" s="18">
        <v>2230.741</v>
      </c>
      <c r="B40" s="18">
        <v>1613.597</v>
      </c>
      <c r="C40" s="18">
        <f t="shared" ref="C40:C42" si="10">3120/11.5</f>
        <v>271.30434782608694</v>
      </c>
      <c r="D40" s="18">
        <v>751.34500000000003</v>
      </c>
      <c r="E40" s="18">
        <f t="shared" ref="E40:E42" si="11">MAX(A40:B40)+C40+D40</f>
        <v>3253.3903478260872</v>
      </c>
      <c r="J40" s="18">
        <v>1932.04</v>
      </c>
      <c r="K40" s="18">
        <v>1525.2760000000001</v>
      </c>
      <c r="L40" s="18">
        <f t="shared" ref="L40:L42" si="12">4750/11.5</f>
        <v>413.04347826086956</v>
      </c>
      <c r="M40" s="18">
        <f t="shared" ref="M40:M42" si="13">4570/0.91</f>
        <v>5021.9780219780214</v>
      </c>
      <c r="N40" s="18">
        <v>160.34899999999999</v>
      </c>
      <c r="O40" s="18">
        <v>56.898000000000003</v>
      </c>
      <c r="P40" s="18">
        <f t="shared" ref="P40:P42" si="14">MAX(J40:K40)+MAX(L40:M40)+MAX(N40:O40)</f>
        <v>7114.3670219780215</v>
      </c>
    </row>
    <row r="41" spans="1:18" ht="15" customHeight="1">
      <c r="A41" s="18">
        <v>2124.692</v>
      </c>
      <c r="B41" s="18">
        <v>1338.2349999999999</v>
      </c>
      <c r="C41" s="18">
        <f t="shared" si="10"/>
        <v>271.30434782608694</v>
      </c>
      <c r="D41" s="18">
        <v>798.9</v>
      </c>
      <c r="E41" s="18">
        <f t="shared" si="11"/>
        <v>3194.8963478260871</v>
      </c>
      <c r="J41" s="18">
        <v>1841.2360000000001</v>
      </c>
      <c r="K41" s="18">
        <v>1250.6369999999999</v>
      </c>
      <c r="L41" s="18">
        <f t="shared" si="12"/>
        <v>413.04347826086956</v>
      </c>
      <c r="M41" s="18">
        <f t="shared" si="13"/>
        <v>5021.9780219780214</v>
      </c>
      <c r="N41" s="18">
        <v>160.79</v>
      </c>
      <c r="O41" s="18">
        <v>57.058</v>
      </c>
      <c r="P41" s="18">
        <f t="shared" si="14"/>
        <v>7024.0040219780212</v>
      </c>
    </row>
    <row r="42" spans="1:18">
      <c r="A42" s="18">
        <v>2193.2759999999998</v>
      </c>
      <c r="B42" s="18">
        <v>1344.8989999999999</v>
      </c>
      <c r="C42" s="18">
        <f t="shared" si="10"/>
        <v>271.30434782608694</v>
      </c>
      <c r="D42" s="18">
        <v>815.34</v>
      </c>
      <c r="E42" s="18">
        <f t="shared" si="11"/>
        <v>3279.920347826087</v>
      </c>
      <c r="J42" s="18">
        <v>1910.2429999999999</v>
      </c>
      <c r="K42" s="18">
        <v>1258.771</v>
      </c>
      <c r="L42" s="18">
        <f t="shared" si="12"/>
        <v>413.04347826086956</v>
      </c>
      <c r="M42" s="18">
        <f t="shared" si="13"/>
        <v>5021.9780219780214</v>
      </c>
      <c r="N42" s="18">
        <v>160.34299999999999</v>
      </c>
      <c r="O42" s="18">
        <v>56.893999999999998</v>
      </c>
      <c r="P42" s="18">
        <f t="shared" si="14"/>
        <v>7092.5640219780207</v>
      </c>
    </row>
    <row r="43" spans="1:18">
      <c r="D43" t="s">
        <v>254</v>
      </c>
      <c r="E43" s="18">
        <f>AVERAGE(E39:E42)</f>
        <v>3238.8260978260869</v>
      </c>
      <c r="O43" t="s">
        <v>213</v>
      </c>
      <c r="P43" s="18">
        <f>AVERAGE(P39:P42)</f>
        <v>7077.4032719780216</v>
      </c>
    </row>
    <row r="44" spans="1:18">
      <c r="D44" t="s">
        <v>255</v>
      </c>
      <c r="E44" s="18">
        <f>STDEV(E39:E42)/SQRT(4)</f>
        <v>18.184795097249783</v>
      </c>
      <c r="O44" t="s">
        <v>211</v>
      </c>
      <c r="P44" s="18">
        <f>STDEV(P39:P42)/SQRT(4)</f>
        <v>19.255458193114816</v>
      </c>
    </row>
    <row r="47" spans="1:18" ht="13" customHeight="1"/>
    <row r="48" spans="1:18" ht="13" customHeight="1"/>
    <row r="49" spans="2:6" s="3" customFormat="1" ht="16" customHeight="1"/>
    <row r="50" spans="2:6">
      <c r="B50" t="s">
        <v>163</v>
      </c>
    </row>
    <row r="51" spans="2:6">
      <c r="B51" t="s">
        <v>215</v>
      </c>
      <c r="E51" t="s">
        <v>188</v>
      </c>
      <c r="F51" s="38">
        <f>A39-(J39+N39)+D39</f>
        <v>899.09300000000019</v>
      </c>
    </row>
    <row r="52" spans="2:6">
      <c r="E52" t="s">
        <v>189</v>
      </c>
      <c r="F52" s="34">
        <f>M39-C39</f>
        <v>4750.6736741519344</v>
      </c>
    </row>
    <row r="58" spans="2:6">
      <c r="C58" t="s">
        <v>203</v>
      </c>
    </row>
    <row r="60" spans="2:6">
      <c r="C60" t="s">
        <v>205</v>
      </c>
    </row>
    <row r="69" spans="1:18" ht="83" customHeight="1">
      <c r="A69" t="s">
        <v>231</v>
      </c>
      <c r="B69" t="s">
        <v>308</v>
      </c>
      <c r="C69" s="3" t="s">
        <v>258</v>
      </c>
      <c r="D69" t="s">
        <v>111</v>
      </c>
      <c r="E69" s="48" t="s">
        <v>259</v>
      </c>
      <c r="F69" s="48"/>
      <c r="G69" s="48"/>
      <c r="J69" s="3" t="s">
        <v>260</v>
      </c>
      <c r="K69" s="3" t="s">
        <v>261</v>
      </c>
      <c r="L69" s="3" t="s">
        <v>262</v>
      </c>
      <c r="M69" s="3" t="s">
        <v>262</v>
      </c>
      <c r="N69" s="3" t="s">
        <v>263</v>
      </c>
      <c r="O69" s="3" t="s">
        <v>264</v>
      </c>
      <c r="P69" s="48" t="s">
        <v>171</v>
      </c>
      <c r="Q69" s="48"/>
      <c r="R69" s="48"/>
    </row>
    <row r="70" spans="1:18">
      <c r="A70" s="18">
        <v>1696.0322450000001</v>
      </c>
      <c r="B70" s="18">
        <v>1342.8240000000001</v>
      </c>
      <c r="C70" s="18">
        <f>3120/43.5</f>
        <v>71.724137931034477</v>
      </c>
      <c r="D70" s="18">
        <v>843.63</v>
      </c>
      <c r="E70" s="18">
        <f>MAX(A70:B70)+C70+D70</f>
        <v>2611.3863829310344</v>
      </c>
      <c r="J70" s="18">
        <v>1497.34</v>
      </c>
      <c r="K70" s="18">
        <v>1257.211</v>
      </c>
      <c r="L70" s="18">
        <f>4570/43.5</f>
        <v>105.05747126436782</v>
      </c>
      <c r="M70" s="18">
        <f>4750/8.4</f>
        <v>565.47619047619048</v>
      </c>
      <c r="N70" s="18">
        <v>142.614</v>
      </c>
      <c r="O70" s="18">
        <v>54.945999999999998</v>
      </c>
      <c r="P70" s="18">
        <f>MAX(J70:K70)+MAX(L70:M70)+MAX(N70:O70)</f>
        <v>2205.4301904761905</v>
      </c>
    </row>
    <row r="71" spans="1:18">
      <c r="A71" s="18">
        <v>1660.294715</v>
      </c>
      <c r="B71" s="18">
        <v>1613.597</v>
      </c>
      <c r="C71" s="18">
        <f t="shared" ref="C71:C73" si="15">3120/43.5</f>
        <v>71.724137931034477</v>
      </c>
      <c r="D71" s="18">
        <v>751.34500000000003</v>
      </c>
      <c r="E71" s="18">
        <f t="shared" ref="E71:E73" si="16">MAX(A71:B71)+C71+D71</f>
        <v>2483.3638529310347</v>
      </c>
      <c r="J71" s="18">
        <v>1460.94</v>
      </c>
      <c r="K71" s="18">
        <v>1525.2760000000001</v>
      </c>
      <c r="L71" s="18">
        <f t="shared" ref="L71:L73" si="17">4570/43.5</f>
        <v>105.05747126436782</v>
      </c>
      <c r="M71" s="18">
        <f t="shared" ref="M71:M73" si="18">4750/8.4</f>
        <v>565.47619047619048</v>
      </c>
      <c r="N71" s="18">
        <v>143.22999999999999</v>
      </c>
      <c r="O71" s="18">
        <v>56.898000000000003</v>
      </c>
      <c r="P71" s="18">
        <f t="shared" ref="P71:P73" si="19">MAX(J71:K71)+MAX(L71:M71)+MAX(N71:O71)</f>
        <v>2233.9821904761907</v>
      </c>
    </row>
    <row r="72" spans="1:18">
      <c r="A72" s="18">
        <v>1675.3710450000001</v>
      </c>
      <c r="B72" s="18">
        <v>1338.2349999999999</v>
      </c>
      <c r="C72" s="18">
        <f t="shared" si="15"/>
        <v>71.724137931034477</v>
      </c>
      <c r="D72" s="18">
        <v>798.9</v>
      </c>
      <c r="E72" s="18">
        <f t="shared" si="16"/>
        <v>2545.9951829310344</v>
      </c>
      <c r="J72" s="18">
        <v>1465.73</v>
      </c>
      <c r="K72" s="18">
        <v>1250.6369999999999</v>
      </c>
      <c r="L72" s="18">
        <f t="shared" si="17"/>
        <v>105.05747126436782</v>
      </c>
      <c r="M72" s="18">
        <f t="shared" si="18"/>
        <v>565.47619047619048</v>
      </c>
      <c r="N72" s="18">
        <v>140.245</v>
      </c>
      <c r="O72" s="18">
        <v>57.058</v>
      </c>
      <c r="P72" s="18">
        <f t="shared" si="19"/>
        <v>2171.4511904761903</v>
      </c>
    </row>
    <row r="73" spans="1:18">
      <c r="A73" s="18">
        <v>1690.3228349999999</v>
      </c>
      <c r="B73" s="18">
        <v>1344.8989999999999</v>
      </c>
      <c r="C73" s="18">
        <f t="shared" si="15"/>
        <v>71.724137931034477</v>
      </c>
      <c r="D73" s="18">
        <v>815.34</v>
      </c>
      <c r="E73" s="18">
        <f t="shared" si="16"/>
        <v>2577.3869729310345</v>
      </c>
      <c r="J73" s="18">
        <v>1480.98</v>
      </c>
      <c r="K73" s="18">
        <v>1258.771</v>
      </c>
      <c r="L73" s="18">
        <f t="shared" si="17"/>
        <v>105.05747126436782</v>
      </c>
      <c r="M73" s="18">
        <f t="shared" si="18"/>
        <v>565.47619047619048</v>
      </c>
      <c r="N73" s="18">
        <v>145.43</v>
      </c>
      <c r="O73" s="18">
        <v>56.893999999999998</v>
      </c>
      <c r="P73" s="18">
        <f t="shared" si="19"/>
        <v>2191.8861904761902</v>
      </c>
    </row>
    <row r="74" spans="1:18">
      <c r="D74" t="s">
        <v>172</v>
      </c>
      <c r="E74" s="18">
        <f>AVERAGE(E70:E73)</f>
        <v>2554.5330979310347</v>
      </c>
      <c r="O74" t="s">
        <v>212</v>
      </c>
      <c r="P74" s="18">
        <f>AVERAGE(P70:P73)</f>
        <v>2200.6874404761902</v>
      </c>
    </row>
    <row r="75" spans="1:18">
      <c r="D75" t="s">
        <v>173</v>
      </c>
      <c r="E75" s="18">
        <f>STDEV(E70:E73)/SQRT(4)</f>
        <v>27.222161688935078</v>
      </c>
      <c r="O75" t="s">
        <v>211</v>
      </c>
      <c r="P75" s="18">
        <f>STDEV(P70:P73)/SQRT(4)</f>
        <v>13.112507930575047</v>
      </c>
    </row>
    <row r="78" spans="1:18" ht="15" customHeight="1">
      <c r="G78" s="30">
        <f>E70-D70+(M70-C70)</f>
        <v>2261.5084354761902</v>
      </c>
    </row>
    <row r="79" spans="1:18">
      <c r="G79" s="30">
        <f t="shared" ref="G79:G82" si="20">E71-D71+(M71-C71)</f>
        <v>2225.7709054761908</v>
      </c>
    </row>
    <row r="80" spans="1:18">
      <c r="C80">
        <f>142.61+843.63+71.72</f>
        <v>1057.96</v>
      </c>
      <c r="G80" s="30">
        <f t="shared" si="20"/>
        <v>2240.8472354761902</v>
      </c>
    </row>
    <row r="81" spans="4:7">
      <c r="G81" s="30">
        <f t="shared" si="20"/>
        <v>2255.7990254761903</v>
      </c>
    </row>
    <row r="82" spans="4:7">
      <c r="G82" s="30" t="e">
        <f t="shared" si="20"/>
        <v>#VALUE!</v>
      </c>
    </row>
    <row r="85" spans="4:7">
      <c r="E85" t="s">
        <v>204</v>
      </c>
    </row>
    <row r="86" spans="4:7">
      <c r="E86" t="s">
        <v>280</v>
      </c>
    </row>
    <row r="88" spans="4:7">
      <c r="G88" t="s">
        <v>164</v>
      </c>
    </row>
    <row r="91" spans="4:7">
      <c r="D91" t="s">
        <v>186</v>
      </c>
      <c r="E91" s="36">
        <f>A70-(J70+N70)+D70</f>
        <v>899.70824500000015</v>
      </c>
    </row>
    <row r="92" spans="4:7">
      <c r="D92" t="s">
        <v>187</v>
      </c>
      <c r="E92" s="37">
        <f>M70-C70</f>
        <v>493.752052545156</v>
      </c>
    </row>
    <row r="103" spans="1:18" ht="83" customHeight="1">
      <c r="A103" t="s">
        <v>231</v>
      </c>
      <c r="B103" t="s">
        <v>347</v>
      </c>
      <c r="C103" s="3" t="s">
        <v>256</v>
      </c>
      <c r="D103" t="s">
        <v>231</v>
      </c>
      <c r="E103" s="48" t="s">
        <v>209</v>
      </c>
      <c r="F103" s="48"/>
      <c r="G103" s="48"/>
      <c r="J103" s="3" t="s">
        <v>260</v>
      </c>
      <c r="K103" s="3" t="s">
        <v>174</v>
      </c>
      <c r="L103" s="3" t="s">
        <v>251</v>
      </c>
      <c r="M103" s="3" t="s">
        <v>252</v>
      </c>
      <c r="N103" s="3" t="s">
        <v>263</v>
      </c>
      <c r="O103" s="3" t="s">
        <v>253</v>
      </c>
      <c r="P103" s="48" t="s">
        <v>214</v>
      </c>
      <c r="Q103" s="48"/>
      <c r="R103" s="48"/>
    </row>
    <row r="104" spans="1:18">
      <c r="A104" s="18">
        <v>1696.0322450000001</v>
      </c>
      <c r="B104" s="18">
        <v>2112.163</v>
      </c>
      <c r="C104" s="18">
        <f>3120/0.93</f>
        <v>3354.838709677419</v>
      </c>
      <c r="D104" s="18">
        <v>1123.45</v>
      </c>
      <c r="E104" s="18">
        <f>MAX(A104:B104)+C104+D104</f>
        <v>6590.4517096774189</v>
      </c>
      <c r="F104" s="3"/>
      <c r="G104" s="3"/>
      <c r="H104" s="3"/>
      <c r="I104" s="3"/>
      <c r="J104" s="16">
        <v>1497.34</v>
      </c>
      <c r="K104" s="18">
        <v>1902.34</v>
      </c>
      <c r="L104">
        <f>4570*0.93</f>
        <v>4250.1000000000004</v>
      </c>
      <c r="M104">
        <f>4570*0.93</f>
        <v>4250.1000000000004</v>
      </c>
      <c r="N104" s="18">
        <v>142.614</v>
      </c>
      <c r="O104" s="18">
        <v>154.36000000000001</v>
      </c>
      <c r="P104" s="22">
        <f>MAX(J104:K104)+MAX(L104:M104)+MAX(N104:O104)</f>
        <v>6306.8</v>
      </c>
    </row>
    <row r="105" spans="1:18">
      <c r="A105" s="18">
        <v>1660.294715</v>
      </c>
      <c r="B105" s="18">
        <v>2230.741</v>
      </c>
      <c r="C105" s="18">
        <f t="shared" ref="C105:C107" si="21">3120/0.93</f>
        <v>3354.838709677419</v>
      </c>
      <c r="D105" s="18">
        <f>(6240/10240)*1680.51</f>
        <v>1024.06078125</v>
      </c>
      <c r="E105" s="18">
        <f t="shared" ref="E105:E107" si="22">MAX(A105:B105)+C105+D105</f>
        <v>6609.6404909274188</v>
      </c>
      <c r="J105" s="16">
        <v>1460.94</v>
      </c>
      <c r="K105" s="18">
        <v>1932.04</v>
      </c>
      <c r="L105">
        <f t="shared" ref="L105:M107" si="23">4570*0.93</f>
        <v>4250.1000000000004</v>
      </c>
      <c r="M105">
        <f t="shared" si="23"/>
        <v>4250.1000000000004</v>
      </c>
      <c r="N105" s="18">
        <v>143.22999999999999</v>
      </c>
      <c r="O105" s="18">
        <v>160.34899999999999</v>
      </c>
      <c r="P105" s="22">
        <f t="shared" ref="P105:P107" si="24">MAX(J105:K105)+MAX(L105:M105)+MAX(N105:O105)</f>
        <v>6342.4890000000005</v>
      </c>
    </row>
    <row r="106" spans="1:18">
      <c r="A106" s="18">
        <v>1675.3710450000001</v>
      </c>
      <c r="B106" s="18">
        <v>2124.692</v>
      </c>
      <c r="C106" s="18">
        <f t="shared" si="21"/>
        <v>3354.838709677419</v>
      </c>
      <c r="D106" s="18">
        <v>1121.67</v>
      </c>
      <c r="E106" s="18">
        <f t="shared" si="22"/>
        <v>6601.2007096774196</v>
      </c>
      <c r="J106" s="16">
        <v>1465.73</v>
      </c>
      <c r="K106" s="18">
        <v>1841.2360000000001</v>
      </c>
      <c r="L106">
        <f t="shared" si="23"/>
        <v>4250.1000000000004</v>
      </c>
      <c r="M106">
        <f t="shared" si="23"/>
        <v>4250.1000000000004</v>
      </c>
      <c r="N106" s="18">
        <v>140.245</v>
      </c>
      <c r="O106" s="18">
        <v>160.79</v>
      </c>
      <c r="P106" s="22">
        <f t="shared" si="24"/>
        <v>6252.1260000000002</v>
      </c>
    </row>
    <row r="107" spans="1:18">
      <c r="A107" s="18">
        <v>1690.3228349999999</v>
      </c>
      <c r="B107" s="18">
        <v>2193.2759999999998</v>
      </c>
      <c r="C107" s="18">
        <f t="shared" si="21"/>
        <v>3354.838709677419</v>
      </c>
      <c r="D107" s="18">
        <v>990.67</v>
      </c>
      <c r="E107" s="18">
        <f t="shared" si="22"/>
        <v>6538.7847096774185</v>
      </c>
      <c r="J107" s="16">
        <v>1480.98</v>
      </c>
      <c r="K107" s="18">
        <v>1910.2429999999999</v>
      </c>
      <c r="L107">
        <f t="shared" si="23"/>
        <v>4250.1000000000004</v>
      </c>
      <c r="M107">
        <f t="shared" si="23"/>
        <v>4250.1000000000004</v>
      </c>
      <c r="N107" s="18">
        <v>145.43</v>
      </c>
      <c r="O107" s="18">
        <v>160.34299999999999</v>
      </c>
      <c r="P107" s="22">
        <f t="shared" si="24"/>
        <v>6320.6860000000006</v>
      </c>
    </row>
    <row r="108" spans="1:18">
      <c r="D108" t="s">
        <v>210</v>
      </c>
      <c r="E108" s="18">
        <f>AVERAGE(E104:E107)</f>
        <v>6585.0194049899201</v>
      </c>
      <c r="O108" t="s">
        <v>212</v>
      </c>
      <c r="P108" s="22">
        <f>AVERAGE(P104:P107)</f>
        <v>6305.5252500000006</v>
      </c>
    </row>
    <row r="109" spans="1:18">
      <c r="D109" t="s">
        <v>211</v>
      </c>
      <c r="E109" s="18">
        <f>STDEV(E104:E107)/SQRT(4)</f>
        <v>15.903850369574583</v>
      </c>
      <c r="O109" t="s">
        <v>211</v>
      </c>
      <c r="P109" s="22">
        <f>STDEV(P104:P107)/SQRT(4)</f>
        <v>19.255458193179305</v>
      </c>
    </row>
    <row r="110" spans="1:18">
      <c r="C110" s="18"/>
    </row>
    <row r="114" spans="4:11">
      <c r="F114" s="27"/>
    </row>
    <row r="115" spans="4:11">
      <c r="D115" t="s">
        <v>208</v>
      </c>
      <c r="K115" s="31">
        <f>K104+N104</f>
        <v>2044.954</v>
      </c>
    </row>
    <row r="116" spans="4:11">
      <c r="G116" s="29">
        <f>L104-C104-O104-D104</f>
        <v>-382.54870967741874</v>
      </c>
    </row>
    <row r="117" spans="4:11">
      <c r="D117" s="28">
        <f>O104+D104+C104</f>
        <v>4632.648709677419</v>
      </c>
      <c r="E117" s="28">
        <f>D117-M104</f>
        <v>382.54870967741863</v>
      </c>
    </row>
    <row r="119" spans="4:11">
      <c r="G119" s="29">
        <f>E104-P104</f>
        <v>283.65170967741869</v>
      </c>
    </row>
    <row r="122" spans="4:11">
      <c r="G122" s="29">
        <f>L104-(C104+D104)</f>
        <v>-228.18870967741896</v>
      </c>
    </row>
    <row r="126" spans="4:11">
      <c r="D126" t="s">
        <v>281</v>
      </c>
      <c r="E126" s="33">
        <f>K104+N104</f>
        <v>2044.954</v>
      </c>
    </row>
    <row r="128" spans="4:11">
      <c r="D128" t="s">
        <v>281</v>
      </c>
      <c r="E128">
        <v>2112.16</v>
      </c>
      <c r="F128" t="s">
        <v>267</v>
      </c>
      <c r="H128" s="33">
        <f>E128-E126</f>
        <v>67.205999999999904</v>
      </c>
      <c r="I128" t="s">
        <v>281</v>
      </c>
    </row>
    <row r="130" spans="4:6">
      <c r="D130" t="s">
        <v>268</v>
      </c>
      <c r="E130" s="20">
        <f>L104-C104</f>
        <v>895.26129032258132</v>
      </c>
      <c r="F130" t="s">
        <v>269</v>
      </c>
    </row>
    <row r="133" spans="4:6">
      <c r="D133" t="s">
        <v>281</v>
      </c>
      <c r="E133" s="20">
        <v>1123.45</v>
      </c>
    </row>
    <row r="139" spans="4:6">
      <c r="D139" t="s">
        <v>270</v>
      </c>
      <c r="E139" s="35">
        <f>H128+E133</f>
        <v>1190.6559999999999</v>
      </c>
      <c r="F139" t="s">
        <v>272</v>
      </c>
    </row>
    <row r="141" spans="4:6">
      <c r="D141" t="s">
        <v>271</v>
      </c>
      <c r="E141">
        <v>895.26</v>
      </c>
      <c r="F141" s="20" t="s">
        <v>185</v>
      </c>
    </row>
  </sheetData>
  <sheetCalcPr fullCalcOnLoad="1"/>
  <mergeCells count="7">
    <mergeCell ref="E69:G69"/>
    <mergeCell ref="P69:R69"/>
    <mergeCell ref="E103:G103"/>
    <mergeCell ref="P103:R103"/>
    <mergeCell ref="G18:J18"/>
    <mergeCell ref="E38:G38"/>
    <mergeCell ref="P38:R38"/>
  </mergeCells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4:L41"/>
  <sheetViews>
    <sheetView topLeftCell="A14" workbookViewId="0">
      <selection activeCell="C25" sqref="C25"/>
    </sheetView>
  </sheetViews>
  <sheetFormatPr baseColWidth="10" defaultRowHeight="13"/>
  <sheetData>
    <row r="4" spans="1:12">
      <c r="A4" t="s">
        <v>200</v>
      </c>
      <c r="D4" s="20"/>
    </row>
    <row r="5" spans="1:12">
      <c r="A5" t="s">
        <v>181</v>
      </c>
      <c r="C5" t="s">
        <v>180</v>
      </c>
      <c r="D5" s="20"/>
      <c r="E5" t="s">
        <v>177</v>
      </c>
      <c r="F5" s="20">
        <f>AVERAGE(E6:E12)</f>
        <v>11.528571428571428</v>
      </c>
      <c r="G5" t="s">
        <v>176</v>
      </c>
      <c r="I5" t="s">
        <v>178</v>
      </c>
      <c r="K5" t="s">
        <v>179</v>
      </c>
    </row>
    <row r="6" spans="1:12">
      <c r="A6" s="20">
        <f>849.7/1000</f>
        <v>0.84970000000000001</v>
      </c>
      <c r="B6" s="20">
        <f>AVERAGE(A6:A12)</f>
        <v>0.9010285714285714</v>
      </c>
      <c r="C6" s="20">
        <v>8.1999999999999993</v>
      </c>
      <c r="D6" s="20">
        <f>AVERAGE(C6:C10)</f>
        <v>8.4</v>
      </c>
      <c r="E6" s="20">
        <v>10.9</v>
      </c>
      <c r="F6" s="20">
        <f>STDEV(E6:E12)/SQRT(7)</f>
        <v>0.10848367380851087</v>
      </c>
      <c r="G6" s="20">
        <f>969.6/1000</f>
        <v>0.96960000000000002</v>
      </c>
      <c r="H6" s="20">
        <f>AVERAGE(G6:G11)</f>
        <v>0.92636666666666656</v>
      </c>
      <c r="I6" s="20">
        <v>47.7</v>
      </c>
      <c r="J6" s="20">
        <f>AVERAGE(I6:I12)</f>
        <v>42.371428571428574</v>
      </c>
      <c r="K6" s="20">
        <v>1000</v>
      </c>
      <c r="L6" s="20">
        <f>AVERAGE(K6:K11)/1000</f>
        <v>0.93188333333333329</v>
      </c>
    </row>
    <row r="7" spans="1:12">
      <c r="A7" s="20">
        <f>870.6/1000</f>
        <v>0.87060000000000004</v>
      </c>
      <c r="B7" s="20">
        <f>STDEV(A6:A12)/SQRT(7)</f>
        <v>1.1545411669240571E-2</v>
      </c>
      <c r="C7" s="20">
        <v>8.3000000000000007</v>
      </c>
      <c r="D7" s="20">
        <f>STDEV(C6:C10)/SQRT(5)</f>
        <v>7.0710678118642692E-2</v>
      </c>
      <c r="E7" s="20">
        <v>11.5</v>
      </c>
      <c r="F7" s="20"/>
      <c r="G7" s="20">
        <f>872.6/1000</f>
        <v>0.87260000000000004</v>
      </c>
      <c r="H7" s="20">
        <f>STDEV(G6:G11)/SQRT(6)</f>
        <v>2.0588065582868843E-2</v>
      </c>
      <c r="I7" s="20">
        <v>49.1</v>
      </c>
      <c r="J7" s="20">
        <f>STDEV(I6:I12)/SQRT(12)</f>
        <v>2.0632844828435206</v>
      </c>
      <c r="K7" s="20">
        <v>941.1</v>
      </c>
      <c r="L7" s="20">
        <f>(STDEV(K6:K11)/SQRT(6))/1000</f>
        <v>2.2408724739360873E-2</v>
      </c>
    </row>
    <row r="8" spans="1:12">
      <c r="A8" s="20">
        <f>923.3/1000</f>
        <v>0.92330000000000001</v>
      </c>
      <c r="B8" s="20"/>
      <c r="C8" s="20">
        <v>8.4</v>
      </c>
      <c r="D8" s="20"/>
      <c r="E8" s="20">
        <v>11.6</v>
      </c>
      <c r="F8" s="20"/>
      <c r="G8" s="20">
        <f>877.7/1000</f>
        <v>0.87770000000000004</v>
      </c>
      <c r="H8" s="20"/>
      <c r="I8" s="20">
        <v>38.4</v>
      </c>
      <c r="J8" s="20"/>
      <c r="K8" s="20">
        <v>969.6</v>
      </c>
      <c r="L8" s="20"/>
    </row>
    <row r="9" spans="1:12">
      <c r="A9" s="20">
        <f>909.1/1000</f>
        <v>0.90910000000000002</v>
      </c>
      <c r="B9" s="20"/>
      <c r="C9" s="20">
        <v>8.5</v>
      </c>
      <c r="D9" s="20"/>
      <c r="E9" s="20">
        <v>11.6</v>
      </c>
      <c r="F9" s="20"/>
      <c r="G9" s="20">
        <f>913.6/1000</f>
        <v>0.91359999999999997</v>
      </c>
      <c r="H9" s="20"/>
      <c r="I9" s="20">
        <v>31.4</v>
      </c>
      <c r="J9" s="20"/>
      <c r="K9" s="20">
        <v>849.2</v>
      </c>
      <c r="L9" s="20"/>
    </row>
    <row r="10" spans="1:12">
      <c r="A10" s="20">
        <f>910.7/1000</f>
        <v>0.91070000000000007</v>
      </c>
      <c r="B10" s="20"/>
      <c r="C10" s="20">
        <v>8.6</v>
      </c>
      <c r="D10" s="20"/>
      <c r="E10" s="20">
        <v>11.7</v>
      </c>
      <c r="F10" s="20"/>
      <c r="G10" s="20">
        <v>1</v>
      </c>
      <c r="H10" s="20"/>
      <c r="I10" s="20">
        <v>36.6</v>
      </c>
      <c r="J10" s="20"/>
      <c r="K10" s="20">
        <v>943.6</v>
      </c>
      <c r="L10" s="20"/>
    </row>
    <row r="11" spans="1:12">
      <c r="A11" s="20">
        <f>905.9/1000</f>
        <v>0.90589999999999993</v>
      </c>
      <c r="B11" s="20"/>
      <c r="C11" s="20"/>
      <c r="D11" s="20"/>
      <c r="E11" s="20">
        <v>11.7</v>
      </c>
      <c r="F11" s="20"/>
      <c r="G11" s="20">
        <f>924.7/1000</f>
        <v>0.92470000000000008</v>
      </c>
      <c r="H11" s="20"/>
      <c r="I11" s="20">
        <v>43.1</v>
      </c>
      <c r="J11" s="20"/>
      <c r="K11" s="20">
        <v>887.8</v>
      </c>
      <c r="L11" s="20"/>
    </row>
    <row r="12" spans="1:12">
      <c r="A12" s="20">
        <f>937.9/1000</f>
        <v>0.93789999999999996</v>
      </c>
      <c r="B12" s="20"/>
      <c r="C12" s="20"/>
      <c r="D12" s="20"/>
      <c r="E12" s="20">
        <v>11.7</v>
      </c>
      <c r="F12" s="20"/>
      <c r="G12" s="20"/>
      <c r="H12" s="20"/>
      <c r="I12" s="20">
        <v>50.3</v>
      </c>
      <c r="J12" s="20"/>
      <c r="K12" s="20"/>
      <c r="L12" s="20"/>
    </row>
    <row r="21" spans="1:4">
      <c r="A21" t="s">
        <v>312</v>
      </c>
      <c r="B21" t="s">
        <v>313</v>
      </c>
      <c r="C21" t="s">
        <v>309</v>
      </c>
    </row>
    <row r="22" spans="1:4">
      <c r="A22" t="s">
        <v>314</v>
      </c>
      <c r="B22" t="s">
        <v>315</v>
      </c>
      <c r="C22">
        <v>43.5</v>
      </c>
      <c r="D22">
        <v>1.9568837317004719</v>
      </c>
    </row>
    <row r="23" spans="1:4">
      <c r="A23" t="s">
        <v>310</v>
      </c>
      <c r="B23" t="s">
        <v>311</v>
      </c>
      <c r="C23">
        <v>0.93</v>
      </c>
      <c r="D23">
        <v>0.02</v>
      </c>
    </row>
    <row r="24" spans="1:4">
      <c r="A24" t="s">
        <v>229</v>
      </c>
      <c r="B24" t="s">
        <v>310</v>
      </c>
      <c r="C24">
        <v>0.93</v>
      </c>
      <c r="D24">
        <v>0.02</v>
      </c>
    </row>
    <row r="25" spans="1:4">
      <c r="A25" t="s">
        <v>228</v>
      </c>
      <c r="B25" t="s">
        <v>227</v>
      </c>
      <c r="C25">
        <v>11.5</v>
      </c>
      <c r="D25">
        <v>0.01</v>
      </c>
    </row>
    <row r="26" spans="1:4">
      <c r="A26" t="s">
        <v>227</v>
      </c>
      <c r="B26" t="s">
        <v>311</v>
      </c>
      <c r="C26">
        <v>0.91</v>
      </c>
      <c r="D26">
        <v>0.01</v>
      </c>
    </row>
    <row r="27" spans="1:4">
      <c r="A27" t="s">
        <v>227</v>
      </c>
      <c r="B27" t="s">
        <v>230</v>
      </c>
      <c r="C27">
        <v>8.4</v>
      </c>
      <c r="D27">
        <v>0.1</v>
      </c>
    </row>
    <row r="35" spans="1:11">
      <c r="C35" t="s">
        <v>180</v>
      </c>
      <c r="D35" s="20"/>
      <c r="E35" t="s">
        <v>177</v>
      </c>
      <c r="F35" s="20" t="e">
        <f>AVERAGE(E39:E45)</f>
        <v>#DIV/0!</v>
      </c>
      <c r="G35" t="s">
        <v>176</v>
      </c>
      <c r="I35" t="s">
        <v>178</v>
      </c>
      <c r="K35" t="s">
        <v>179</v>
      </c>
    </row>
    <row r="39" spans="1:11">
      <c r="A39" t="s">
        <v>283</v>
      </c>
    </row>
    <row r="41" spans="1:11">
      <c r="A41">
        <v>2</v>
      </c>
      <c r="B41">
        <v>3</v>
      </c>
      <c r="C41">
        <v>4</v>
      </c>
      <c r="D41">
        <v>8</v>
      </c>
    </row>
  </sheetData>
  <sheetCalcPr fullCalcOnLoad="1"/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S26"/>
  <sheetViews>
    <sheetView topLeftCell="E1" workbookViewId="0">
      <selection activeCell="A22" sqref="A22:J26"/>
    </sheetView>
  </sheetViews>
  <sheetFormatPr baseColWidth="10" defaultRowHeight="13"/>
  <cols>
    <col min="19" max="19" width="18.42578125" customWidth="1"/>
  </cols>
  <sheetData>
    <row r="1" spans="1:19">
      <c r="A1" t="s">
        <v>239</v>
      </c>
    </row>
    <row r="3" spans="1:19">
      <c r="H3" s="23" t="s">
        <v>206</v>
      </c>
      <c r="I3" s="23"/>
    </row>
    <row r="4" spans="1:19">
      <c r="H4" s="23" t="s">
        <v>207</v>
      </c>
      <c r="I4" s="23"/>
    </row>
    <row r="5" spans="1:19">
      <c r="H5" t="s">
        <v>163</v>
      </c>
      <c r="I5" t="s">
        <v>215</v>
      </c>
      <c r="J5" t="s">
        <v>290</v>
      </c>
    </row>
    <row r="7" spans="1:19">
      <c r="A7" t="s">
        <v>215</v>
      </c>
    </row>
    <row r="8" spans="1:19" ht="65">
      <c r="A8" s="3" t="s">
        <v>166</v>
      </c>
      <c r="B8" s="3" t="s">
        <v>167</v>
      </c>
      <c r="C8" s="3" t="s">
        <v>168</v>
      </c>
      <c r="D8" s="3" t="s">
        <v>343</v>
      </c>
      <c r="E8" s="3" t="s">
        <v>344</v>
      </c>
      <c r="F8" s="3" t="s">
        <v>232</v>
      </c>
      <c r="G8" s="3" t="s">
        <v>234</v>
      </c>
      <c r="H8" s="3" t="s">
        <v>323</v>
      </c>
      <c r="I8" s="3" t="s">
        <v>322</v>
      </c>
      <c r="J8" s="3" t="s">
        <v>235</v>
      </c>
      <c r="K8" s="3" t="s">
        <v>339</v>
      </c>
      <c r="L8" s="3" t="s">
        <v>340</v>
      </c>
      <c r="M8" s="3" t="s">
        <v>341</v>
      </c>
      <c r="N8" s="3" t="s">
        <v>307</v>
      </c>
      <c r="O8" s="3" t="s">
        <v>220</v>
      </c>
      <c r="P8" s="3" t="s">
        <v>221</v>
      </c>
      <c r="Q8" s="3" t="s">
        <v>410</v>
      </c>
      <c r="R8" s="3" t="s">
        <v>411</v>
      </c>
      <c r="S8" s="3" t="s">
        <v>412</v>
      </c>
    </row>
    <row r="9" spans="1:19">
      <c r="A9">
        <v>2049.0070000000001</v>
      </c>
      <c r="B9">
        <v>3524.9589999999998</v>
      </c>
      <c r="C9">
        <v>2309.0479999999998</v>
      </c>
      <c r="D9">
        <v>18227.145</v>
      </c>
      <c r="E9">
        <v>18227.145</v>
      </c>
      <c r="F9">
        <v>18227.145</v>
      </c>
      <c r="G9">
        <v>6075.7150000000001</v>
      </c>
      <c r="H9">
        <f>G9/0.93</f>
        <v>6533.0268817204296</v>
      </c>
      <c r="I9">
        <f>G9/43.5</f>
        <v>139.67160919540231</v>
      </c>
      <c r="J9">
        <f>E9/3</f>
        <v>6075.7150000000001</v>
      </c>
      <c r="K9">
        <f>J9/0.93</f>
        <v>6533.0268817204296</v>
      </c>
      <c r="L9">
        <f>J9/11.5</f>
        <v>528.32304347826084</v>
      </c>
      <c r="M9">
        <v>6075.7150000000001</v>
      </c>
      <c r="N9">
        <f>M9/0.91</f>
        <v>6676.6098901098903</v>
      </c>
      <c r="O9">
        <f>M9/8.4</f>
        <v>723.29940476190473</v>
      </c>
      <c r="P9">
        <v>293.45299999999997</v>
      </c>
      <c r="Q9">
        <v>330.54399999999998</v>
      </c>
      <c r="R9">
        <v>111.181</v>
      </c>
      <c r="S9" s="32">
        <f>MAX(A9:C9)+MAX(P9:R9)+MAX(H9,I9,K9,L9,N9,O9)</f>
        <v>10532.112890109889</v>
      </c>
    </row>
    <row r="10" spans="1:19">
      <c r="A10">
        <v>2146.2249999999999</v>
      </c>
      <c r="B10">
        <v>3593.6219999999998</v>
      </c>
      <c r="C10">
        <v>2293.9580000000001</v>
      </c>
      <c r="D10">
        <v>18227.145</v>
      </c>
      <c r="E10">
        <v>18227.145</v>
      </c>
      <c r="F10">
        <v>18227.145</v>
      </c>
      <c r="G10">
        <v>6075.7150000000001</v>
      </c>
      <c r="H10">
        <f t="shared" ref="H10:H12" si="0">G10/0.93</f>
        <v>6533.0268817204296</v>
      </c>
      <c r="I10">
        <f t="shared" ref="I10:I12" si="1">G10/43.5</f>
        <v>139.67160919540231</v>
      </c>
      <c r="J10">
        <f t="shared" ref="J10:J12" si="2">E10/3</f>
        <v>6075.7150000000001</v>
      </c>
      <c r="K10">
        <f t="shared" ref="K10:K12" si="3">J10/0.93</f>
        <v>6533.0268817204296</v>
      </c>
      <c r="L10">
        <f t="shared" ref="L10:L12" si="4">J10/11.5</f>
        <v>528.32304347826084</v>
      </c>
      <c r="M10">
        <v>6075.7150000000001</v>
      </c>
      <c r="N10">
        <f t="shared" ref="N10:N12" si="5">M10/0.91</f>
        <v>6676.6098901098903</v>
      </c>
      <c r="O10">
        <f t="shared" ref="O10:O12" si="6">M10/8.4</f>
        <v>723.29940476190473</v>
      </c>
      <c r="P10">
        <v>374.47300000000001</v>
      </c>
      <c r="Q10">
        <v>322.57900000000001</v>
      </c>
      <c r="R10">
        <v>113.401</v>
      </c>
      <c r="S10" s="32">
        <f t="shared" ref="S10:S12" si="7">MAX(A10:C10)+MAX(P10:R10)+MAX(H10,I10,K10,L10,N10,O10)</f>
        <v>10644.70489010989</v>
      </c>
    </row>
    <row r="11" spans="1:19">
      <c r="A11">
        <v>2188.1370000000002</v>
      </c>
      <c r="B11">
        <v>3780.3229999999999</v>
      </c>
      <c r="C11">
        <v>2290.8389999999999</v>
      </c>
      <c r="D11">
        <v>18227.145</v>
      </c>
      <c r="E11">
        <v>18227.145</v>
      </c>
      <c r="F11">
        <v>18227.145</v>
      </c>
      <c r="G11">
        <v>6075.7150000000001</v>
      </c>
      <c r="H11">
        <f t="shared" si="0"/>
        <v>6533.0268817204296</v>
      </c>
      <c r="I11">
        <f t="shared" si="1"/>
        <v>139.67160919540231</v>
      </c>
      <c r="J11">
        <f t="shared" si="2"/>
        <v>6075.7150000000001</v>
      </c>
      <c r="K11">
        <f t="shared" si="3"/>
        <v>6533.0268817204296</v>
      </c>
      <c r="L11">
        <f t="shared" si="4"/>
        <v>528.32304347826084</v>
      </c>
      <c r="M11">
        <v>6075.7150000000001</v>
      </c>
      <c r="N11">
        <f t="shared" si="5"/>
        <v>6676.6098901098903</v>
      </c>
      <c r="O11">
        <f t="shared" si="6"/>
        <v>723.29940476190473</v>
      </c>
      <c r="P11">
        <v>365.25599999999997</v>
      </c>
      <c r="Q11">
        <v>325.23200000000003</v>
      </c>
      <c r="R11">
        <v>109.197</v>
      </c>
      <c r="S11" s="32">
        <f t="shared" si="7"/>
        <v>10822.18889010989</v>
      </c>
    </row>
    <row r="12" spans="1:19">
      <c r="A12">
        <v>2128.4659999999999</v>
      </c>
      <c r="B12">
        <v>3535.3946999999998</v>
      </c>
      <c r="C12">
        <v>2302.9340000000002</v>
      </c>
      <c r="D12">
        <v>18227.145</v>
      </c>
      <c r="E12">
        <v>18227.145</v>
      </c>
      <c r="F12">
        <v>18227.145</v>
      </c>
      <c r="G12">
        <v>6075.7150000000001</v>
      </c>
      <c r="H12">
        <f t="shared" si="0"/>
        <v>6533.0268817204296</v>
      </c>
      <c r="I12">
        <f t="shared" si="1"/>
        <v>139.67160919540231</v>
      </c>
      <c r="J12">
        <f t="shared" si="2"/>
        <v>6075.7150000000001</v>
      </c>
      <c r="K12">
        <f t="shared" si="3"/>
        <v>6533.0268817204296</v>
      </c>
      <c r="L12">
        <f t="shared" si="4"/>
        <v>528.32304347826084</v>
      </c>
      <c r="M12">
        <v>6075.7150000000001</v>
      </c>
      <c r="N12">
        <f t="shared" si="5"/>
        <v>6676.6098901098903</v>
      </c>
      <c r="O12">
        <f t="shared" si="6"/>
        <v>723.29940476190473</v>
      </c>
      <c r="P12">
        <v>390.23599999999999</v>
      </c>
      <c r="Q12">
        <v>330.45299999999997</v>
      </c>
      <c r="R12">
        <v>110.95099999999999</v>
      </c>
      <c r="S12" s="32">
        <f t="shared" si="7"/>
        <v>10602.24059010989</v>
      </c>
    </row>
    <row r="22" spans="1:10" s="3" customFormat="1" ht="104">
      <c r="A22" s="3" t="s">
        <v>231</v>
      </c>
      <c r="B22" s="3" t="s">
        <v>347</v>
      </c>
      <c r="C22" s="3" t="s">
        <v>308</v>
      </c>
      <c r="D22" s="19" t="s">
        <v>190</v>
      </c>
      <c r="E22" s="19" t="s">
        <v>191</v>
      </c>
      <c r="F22" s="3" t="s">
        <v>110</v>
      </c>
      <c r="G22" s="49" t="s">
        <v>175</v>
      </c>
      <c r="H22" s="48"/>
      <c r="I22" s="48"/>
      <c r="J22" s="48"/>
    </row>
    <row r="23" spans="1:10">
      <c r="A23">
        <v>2974.0509999999999</v>
      </c>
      <c r="B23">
        <v>4280.701</v>
      </c>
      <c r="C23">
        <v>2479.7370000000001</v>
      </c>
    </row>
    <row r="24" spans="1:10">
      <c r="A24">
        <v>3255.24</v>
      </c>
      <c r="B24">
        <v>4333.0770000000002</v>
      </c>
      <c r="C24">
        <v>2461.779</v>
      </c>
    </row>
    <row r="25" spans="1:10">
      <c r="A25">
        <v>3378.21</v>
      </c>
      <c r="B25">
        <f>4105.55+325</f>
        <v>4430.55</v>
      </c>
      <c r="C25">
        <v>2470.4319999999998</v>
      </c>
    </row>
    <row r="26" spans="1:10">
      <c r="A26">
        <v>3022.0169999999998</v>
      </c>
      <c r="B26">
        <f>3865.8477+355.23</f>
        <v>4221.0776999999998</v>
      </c>
      <c r="C26">
        <v>2485.3420000000001</v>
      </c>
    </row>
  </sheetData>
  <sheetCalcPr fullCalcOnLoad="1"/>
  <mergeCells count="1">
    <mergeCell ref="G22:J22"/>
  </mergeCells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 hdata sheet</vt:lpstr>
      <vt:lpstr>Hadoop data</vt:lpstr>
      <vt:lpstr>pdata sheet</vt:lpstr>
      <vt:lpstr>Local PMR data</vt:lpstr>
      <vt:lpstr>comparision</vt:lpstr>
      <vt:lpstr>Sheet1</vt:lpstr>
      <vt:lpstr>10GB</vt:lpstr>
      <vt:lpstr>data transfers information</vt:lpstr>
      <vt:lpstr>20GB</vt:lpstr>
      <vt:lpstr>40GB</vt:lpstr>
      <vt:lpstr>latest comp results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Pradeep Mantha</cp:lastModifiedBy>
  <dcterms:created xsi:type="dcterms:W3CDTF">2012-01-26T16:48:14Z</dcterms:created>
  <dcterms:modified xsi:type="dcterms:W3CDTF">2012-02-20T19:28:22Z</dcterms:modified>
</cp:coreProperties>
</file>