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xr:revisionPtr revIDLastSave="0" documentId="13_ncr:1_{1142D382-4D9E-4A70-B4FC-2A85EF90DC4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DE RESULTS" sheetId="2" r:id="rId1"/>
    <sheet name="CHARACTERISTICS" sheetId="1" r:id="rId2"/>
    <sheet name="OPTIMAL PORTFOLIO" sheetId="4" r:id="rId3"/>
    <sheet name="EFFICIENT FRONTIER" sheetId="5" r:id="rId4"/>
    <sheet name="STOCK ANALYSIS" sheetId="9" r:id="rId5"/>
  </sheets>
  <definedNames>
    <definedName name="_xlnm._FilterDatabase" localSheetId="0" hidden="1">'CODE RESULTS'!$B$1:$I$1</definedName>
    <definedName name="_xlnm._FilterDatabase" localSheetId="3" hidden="1">'EFFICIENT FRONTIER'!$B$62:$F$82</definedName>
    <definedName name="solver_adj" localSheetId="3" hidden="1">'EFFICIENT FRONTIER'!$E$14:$E$16</definedName>
    <definedName name="solver_adj" localSheetId="2" hidden="1">'OPTIMAL PORTFOLIO'!$C$20:$C$21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'EFFICIENT FRONTIER'!$E$14:$E$16</definedName>
    <definedName name="solver_lhs1" localSheetId="2" hidden="1">'OPTIMAL PORTFOLIO'!$C$22</definedName>
    <definedName name="solver_lhs2" localSheetId="3" hidden="1">'EFFICIENT FRONTIER'!$E$14:$E$16</definedName>
    <definedName name="solver_lhs2" localSheetId="2" hidden="1">'OPTIMAL PORTFOLIO'!$C$13:$C$15</definedName>
    <definedName name="solver_lhs3" localSheetId="3" hidden="1">'EFFICIENT FRONTIER'!$E$17</definedName>
    <definedName name="solver_lhs3" localSheetId="2" hidden="1">'OPTIMAL PORTFOLIO'!$C$13:$C$15</definedName>
    <definedName name="solver_lhs4" localSheetId="3" hidden="1">'EFFICIENT FRONTIER'!$H$19</definedName>
    <definedName name="solver_lhs4" localSheetId="2" hidden="1">'OPTIMAL PORTFOLIO'!$C$14</definedName>
    <definedName name="solver_lhs5" localSheetId="3" hidden="1">'EFFICIENT FRONTIER'!$E$50</definedName>
    <definedName name="solver_lhs5" localSheetId="2" hidden="1">'OPTIMAL PORTFOLIO'!$C$15</definedName>
    <definedName name="solver_lhs6" localSheetId="2" hidden="1">'OPTIMAL PORTFOLIO'!$C$16</definedName>
    <definedName name="solver_lhs7" localSheetId="2" hidden="1">'OPTIMAL PORTFOLIO'!$F$15</definedName>
    <definedName name="solver_lhs8" localSheetId="2" hidden="1">'OPTIMAL PORTFOLIO'!$F$13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1" hidden="1">0</definedName>
    <definedName name="solver_num" localSheetId="3" hidden="1">4</definedName>
    <definedName name="solver_num" localSheetId="2" hidden="1">1</definedName>
    <definedName name="solver_nwt" localSheetId="3" hidden="1">1</definedName>
    <definedName name="solver_nwt" localSheetId="2" hidden="1">1</definedName>
    <definedName name="solver_opt" localSheetId="1" hidden="1">CHARACTERISTICS!$R$18</definedName>
    <definedName name="solver_opt" localSheetId="3" hidden="1">'EFFICIENT FRONTIER'!$H$21</definedName>
    <definedName name="solver_opt" localSheetId="2" hidden="1">'OPTIMAL PORTFOLIO'!$F$23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1</definedName>
    <definedName name="solver_rel1" localSheetId="2" hidden="1">2</definedName>
    <definedName name="solver_rel2" localSheetId="3" hidden="1">3</definedName>
    <definedName name="solver_rel2" localSheetId="2" hidden="1">1</definedName>
    <definedName name="solver_rel3" localSheetId="3" hidden="1">2</definedName>
    <definedName name="solver_rel3" localSheetId="2" hidden="1">3</definedName>
    <definedName name="solver_rel4" localSheetId="3" hidden="1">2</definedName>
    <definedName name="solver_rel4" localSheetId="2" hidden="1">3</definedName>
    <definedName name="solver_rel5" localSheetId="3" hidden="1">2</definedName>
    <definedName name="solver_rel5" localSheetId="2" hidden="1">3</definedName>
    <definedName name="solver_rel6" localSheetId="2" hidden="1">2</definedName>
    <definedName name="solver_rel7" localSheetId="2" hidden="1">2</definedName>
    <definedName name="solver_rel8" localSheetId="2" hidden="1">2</definedName>
    <definedName name="solver_rhs1" localSheetId="3" hidden="1">1</definedName>
    <definedName name="solver_rhs1" localSheetId="2" hidden="1">1</definedName>
    <definedName name="solver_rhs2" localSheetId="3" hidden="1">0</definedName>
    <definedName name="solver_rhs2" localSheetId="2" hidden="1">1</definedName>
    <definedName name="solver_rhs3" localSheetId="3" hidden="1">1</definedName>
    <definedName name="solver_rhs3" localSheetId="2" hidden="1">0</definedName>
    <definedName name="solver_rhs4" localSheetId="3" hidden="1">0.0321428580094645</definedName>
    <definedName name="solver_rhs4" localSheetId="2" hidden="1">0.1</definedName>
    <definedName name="solver_rhs5" localSheetId="3" hidden="1">1</definedName>
    <definedName name="solver_rhs5" localSheetId="2" hidden="1">0.1</definedName>
    <definedName name="solver_rhs6" localSheetId="2" hidden="1">1</definedName>
    <definedName name="solver_rhs7" localSheetId="2" hidden="1">0.230002</definedName>
    <definedName name="solver_rhs8" localSheetId="2" hidden="1">0.080023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1" hidden="1">1</definedName>
    <definedName name="solver_typ" localSheetId="3" hidden="1">1</definedName>
    <definedName name="solver_typ" localSheetId="2" hidden="1">1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er" localSheetId="1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LỌC CP_b68341a7-a5be-4433-97da-1914b9645c62" name="LỌC CP" connection="Query - LỌC C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5" l="1"/>
  <c r="H33" i="5"/>
  <c r="H34" i="5"/>
  <c r="H35" i="5"/>
  <c r="H36" i="5"/>
  <c r="H37" i="5"/>
  <c r="H38" i="5"/>
  <c r="H39" i="5"/>
  <c r="H40" i="5"/>
  <c r="H41" i="5"/>
  <c r="H42" i="5"/>
  <c r="H43" i="5"/>
  <c r="H44" i="5"/>
  <c r="H46" i="5"/>
  <c r="H47" i="5"/>
  <c r="H48" i="5"/>
  <c r="H49" i="5"/>
  <c r="H50" i="5"/>
  <c r="H32" i="5"/>
  <c r="F34" i="4"/>
  <c r="F33" i="4"/>
  <c r="F29" i="4"/>
  <c r="F31" i="4"/>
  <c r="F32" i="4"/>
  <c r="F30" i="4"/>
  <c r="F21" i="4"/>
  <c r="F20" i="4"/>
  <c r="G41" i="5"/>
  <c r="F41" i="5" a="1"/>
  <c r="F41" i="5" s="1"/>
  <c r="D78" i="5"/>
  <c r="D79" i="5"/>
  <c r="D80" i="5"/>
  <c r="D81" i="5"/>
  <c r="D82" i="5"/>
  <c r="F33" i="5" a="1"/>
  <c r="F33" i="5" s="1"/>
  <c r="G33" i="5"/>
  <c r="H20" i="5"/>
  <c r="F13" i="4"/>
  <c r="F14" i="4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C58" i="5"/>
  <c r="G36" i="5"/>
  <c r="D63" i="5"/>
  <c r="S9" i="1"/>
  <c r="C22" i="4"/>
  <c r="F23" i="4" l="1"/>
  <c r="H21" i="5"/>
  <c r="F15" i="4"/>
  <c r="G49" i="5" l="1"/>
  <c r="E41" i="5"/>
  <c r="E42" i="5"/>
  <c r="G42" i="5"/>
  <c r="E43" i="5"/>
  <c r="G43" i="5"/>
  <c r="E44" i="5"/>
  <c r="G44" i="5"/>
  <c r="E45" i="5"/>
  <c r="G45" i="5"/>
  <c r="E46" i="5"/>
  <c r="G46" i="5"/>
  <c r="E47" i="5"/>
  <c r="G47" i="5"/>
  <c r="E48" i="5"/>
  <c r="G48" i="5"/>
  <c r="E49" i="5"/>
  <c r="E50" i="5"/>
  <c r="G50" i="5"/>
  <c r="E32" i="5"/>
  <c r="G32" i="5"/>
  <c r="E36" i="5"/>
  <c r="G34" i="5"/>
  <c r="E40" i="5"/>
  <c r="G40" i="5"/>
  <c r="E38" i="5"/>
  <c r="G38" i="5"/>
  <c r="C57" i="5" l="1"/>
  <c r="G35" i="5"/>
  <c r="G37" i="5"/>
  <c r="G39" i="5"/>
  <c r="E34" i="5"/>
  <c r="E35" i="5"/>
  <c r="E37" i="5"/>
  <c r="E39" i="5"/>
  <c r="E33" i="5"/>
  <c r="F81" i="5" l="1"/>
  <c r="F79" i="5"/>
  <c r="F78" i="5"/>
  <c r="F82" i="5"/>
  <c r="F63" i="5"/>
  <c r="F80" i="5"/>
  <c r="F71" i="5"/>
  <c r="F74" i="5"/>
  <c r="F65" i="5"/>
  <c r="F67" i="5"/>
  <c r="F75" i="5"/>
  <c r="F77" i="5"/>
  <c r="F73" i="5"/>
  <c r="F69" i="5"/>
  <c r="F72" i="5"/>
  <c r="F68" i="5"/>
  <c r="F70" i="5"/>
  <c r="F76" i="5"/>
  <c r="F66" i="5"/>
  <c r="F64" i="5"/>
  <c r="F126" i="9"/>
  <c r="F138" i="9"/>
  <c r="E138" i="9"/>
  <c r="D138" i="9"/>
  <c r="C138" i="9"/>
  <c r="B138" i="9"/>
  <c r="F137" i="9"/>
  <c r="E137" i="9"/>
  <c r="D137" i="9"/>
  <c r="C137" i="9"/>
  <c r="B137" i="9"/>
  <c r="F136" i="9"/>
  <c r="E136" i="9"/>
  <c r="D136" i="9"/>
  <c r="C136" i="9"/>
  <c r="B136" i="9"/>
  <c r="F135" i="9"/>
  <c r="E135" i="9"/>
  <c r="D135" i="9"/>
  <c r="C135" i="9"/>
  <c r="B135" i="9"/>
  <c r="E126" i="9"/>
  <c r="D126" i="9"/>
  <c r="C126" i="9"/>
  <c r="F125" i="9"/>
  <c r="E125" i="9"/>
  <c r="D125" i="9"/>
  <c r="C125" i="9"/>
  <c r="F124" i="9"/>
  <c r="E124" i="9"/>
  <c r="D124" i="9"/>
  <c r="C124" i="9"/>
  <c r="F110" i="9"/>
  <c r="C109" i="9"/>
  <c r="D109" i="9"/>
  <c r="E109" i="9"/>
  <c r="F109" i="9"/>
  <c r="C110" i="9"/>
  <c r="D110" i="9"/>
  <c r="E110" i="9"/>
  <c r="B110" i="9"/>
  <c r="C80" i="9"/>
  <c r="D80" i="9"/>
  <c r="E80" i="9"/>
  <c r="F80" i="9"/>
  <c r="C51" i="9"/>
  <c r="D51" i="9"/>
  <c r="E51" i="9"/>
  <c r="F51" i="9"/>
  <c r="C52" i="9"/>
  <c r="D52" i="9"/>
  <c r="E52" i="9"/>
  <c r="F52" i="9"/>
  <c r="B52" i="9"/>
  <c r="F23" i="9"/>
  <c r="C23" i="9"/>
  <c r="D23" i="9"/>
  <c r="E23" i="9"/>
  <c r="B23" i="9"/>
  <c r="F98" i="9"/>
  <c r="C96" i="9"/>
  <c r="B109" i="9"/>
  <c r="F108" i="9"/>
  <c r="E108" i="9"/>
  <c r="D108" i="9"/>
  <c r="C108" i="9"/>
  <c r="B108" i="9"/>
  <c r="F107" i="9"/>
  <c r="E107" i="9"/>
  <c r="D107" i="9"/>
  <c r="C107" i="9"/>
  <c r="B107" i="9"/>
  <c r="E98" i="9"/>
  <c r="D98" i="9"/>
  <c r="C98" i="9"/>
  <c r="F97" i="9"/>
  <c r="E97" i="9"/>
  <c r="D97" i="9"/>
  <c r="C97" i="9"/>
  <c r="F96" i="9"/>
  <c r="E96" i="9"/>
  <c r="D96" i="9"/>
  <c r="B80" i="9"/>
  <c r="F79" i="9"/>
  <c r="E79" i="9"/>
  <c r="D79" i="9"/>
  <c r="C79" i="9"/>
  <c r="B79" i="9"/>
  <c r="F78" i="9"/>
  <c r="E78" i="9"/>
  <c r="D78" i="9"/>
  <c r="C78" i="9"/>
  <c r="B78" i="9"/>
  <c r="F70" i="9"/>
  <c r="E70" i="9"/>
  <c r="D70" i="9"/>
  <c r="C70" i="9"/>
  <c r="F69" i="9"/>
  <c r="E69" i="9"/>
  <c r="D69" i="9"/>
  <c r="C69" i="9"/>
  <c r="F68" i="9"/>
  <c r="E68" i="9"/>
  <c r="D68" i="9"/>
  <c r="C68" i="9"/>
  <c r="F49" i="9"/>
  <c r="F40" i="9"/>
  <c r="C38" i="9"/>
  <c r="B51" i="9"/>
  <c r="F50" i="9"/>
  <c r="E50" i="9"/>
  <c r="D50" i="9"/>
  <c r="C50" i="9"/>
  <c r="B50" i="9"/>
  <c r="E49" i="9"/>
  <c r="D49" i="9"/>
  <c r="C49" i="9"/>
  <c r="B49" i="9"/>
  <c r="E40" i="9"/>
  <c r="D40" i="9"/>
  <c r="C40" i="9"/>
  <c r="F39" i="9"/>
  <c r="E39" i="9"/>
  <c r="D39" i="9"/>
  <c r="C39" i="9"/>
  <c r="F38" i="9"/>
  <c r="E38" i="9"/>
  <c r="D38" i="9"/>
  <c r="E22" i="9" l="1"/>
  <c r="C22" i="9"/>
  <c r="D22" i="9"/>
  <c r="F22" i="9"/>
  <c r="C21" i="9"/>
  <c r="D21" i="9"/>
  <c r="E21" i="9"/>
  <c r="F21" i="9"/>
  <c r="B22" i="9"/>
  <c r="B21" i="9"/>
  <c r="F20" i="9"/>
  <c r="B20" i="9"/>
  <c r="C20" i="9"/>
  <c r="D20" i="9"/>
  <c r="E20" i="9"/>
  <c r="F11" i="9"/>
  <c r="E11" i="9"/>
  <c r="E10" i="9"/>
  <c r="D10" i="9"/>
  <c r="D11" i="9"/>
  <c r="D9" i="9"/>
  <c r="E9" i="9"/>
  <c r="F9" i="9"/>
  <c r="C9" i="9"/>
  <c r="C11" i="9"/>
  <c r="F10" i="9"/>
  <c r="C10" i="9"/>
  <c r="S8" i="1"/>
  <c r="S6" i="1"/>
  <c r="H4" i="1" l="1"/>
  <c r="E4" i="1"/>
  <c r="E27" i="5" l="1"/>
  <c r="D26" i="5"/>
  <c r="C25" i="5"/>
  <c r="E17" i="5"/>
  <c r="F50" i="5" l="1" a="1"/>
  <c r="F50" i="5" s="1"/>
  <c r="F46" i="5" a="1"/>
  <c r="F46" i="5" s="1"/>
  <c r="F45" i="5" a="1"/>
  <c r="F45" i="5" s="1"/>
  <c r="F48" i="5" a="1"/>
  <c r="F48" i="5" s="1"/>
  <c r="F43" i="5" a="1"/>
  <c r="F43" i="5" s="1"/>
  <c r="F47" i="5" a="1"/>
  <c r="F47" i="5" s="1"/>
  <c r="F32" i="5" a="1"/>
  <c r="F32" i="5" s="1"/>
  <c r="F44" i="5" a="1"/>
  <c r="F44" i="5" s="1"/>
  <c r="F49" i="5" a="1"/>
  <c r="F49" i="5" s="1"/>
  <c r="F36" i="5" a="1"/>
  <c r="F36" i="5" s="1"/>
  <c r="F42" i="5" a="1"/>
  <c r="F42" i="5" s="1"/>
  <c r="F38" i="5" a="1"/>
  <c r="F38" i="5" s="1"/>
  <c r="F40" i="5" a="1"/>
  <c r="F40" i="5" s="1"/>
  <c r="F39" i="5" a="1"/>
  <c r="F39" i="5" s="1"/>
  <c r="F37" i="5" a="1"/>
  <c r="F37" i="5" s="1"/>
  <c r="F34" i="5" a="1"/>
  <c r="F34" i="5" s="1"/>
  <c r="F35" i="5" a="1"/>
  <c r="F35" i="5" s="1"/>
  <c r="D57" i="5" l="1"/>
  <c r="E74" i="5" s="1"/>
  <c r="H45" i="5"/>
  <c r="E69" i="5"/>
  <c r="E77" i="5"/>
  <c r="E76" i="5"/>
  <c r="E71" i="5"/>
  <c r="E64" i="5"/>
  <c r="E72" i="5"/>
  <c r="E70" i="5"/>
  <c r="E67" i="5"/>
  <c r="E75" i="5"/>
  <c r="E68" i="5"/>
  <c r="E65" i="5"/>
  <c r="E73" i="5"/>
  <c r="E6" i="5"/>
  <c r="U21" i="1"/>
  <c r="T20" i="1"/>
  <c r="S19" i="1"/>
  <c r="E78" i="5" l="1"/>
  <c r="E80" i="5"/>
  <c r="E79" i="5"/>
  <c r="E82" i="5"/>
  <c r="E81" i="5"/>
  <c r="E63" i="5"/>
  <c r="E66" i="5"/>
  <c r="S11" i="1"/>
  <c r="S10" i="1"/>
  <c r="T8" i="1"/>
  <c r="U8" i="1"/>
  <c r="C16" i="4"/>
  <c r="F12" i="4"/>
  <c r="O11" i="1"/>
  <c r="O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O5" i="1"/>
  <c r="O6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P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4" i="1"/>
  <c r="K57" i="1"/>
  <c r="I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H5" i="1"/>
  <c r="L5" i="1" s="1"/>
  <c r="H6" i="1"/>
  <c r="K6" i="1" s="1"/>
  <c r="H7" i="1"/>
  <c r="L7" i="1" s="1"/>
  <c r="H8" i="1"/>
  <c r="L8" i="1" s="1"/>
  <c r="H9" i="1"/>
  <c r="L9" i="1" s="1"/>
  <c r="H10" i="1"/>
  <c r="K10" i="1" s="1"/>
  <c r="H11" i="1"/>
  <c r="N11" i="1" s="1"/>
  <c r="H12" i="1"/>
  <c r="N12" i="1" s="1"/>
  <c r="H13" i="1"/>
  <c r="H14" i="1"/>
  <c r="H15" i="1"/>
  <c r="L15" i="1" s="1"/>
  <c r="H16" i="1"/>
  <c r="L16" i="1" s="1"/>
  <c r="H17" i="1"/>
  <c r="L17" i="1" s="1"/>
  <c r="H18" i="1"/>
  <c r="K18" i="1" s="1"/>
  <c r="H19" i="1"/>
  <c r="N19" i="1" s="1"/>
  <c r="H20" i="1"/>
  <c r="N20" i="1" s="1"/>
  <c r="H21" i="1"/>
  <c r="H22" i="1"/>
  <c r="H23" i="1"/>
  <c r="L23" i="1" s="1"/>
  <c r="H24" i="1"/>
  <c r="L24" i="1" s="1"/>
  <c r="H25" i="1"/>
  <c r="L25" i="1" s="1"/>
  <c r="H26" i="1"/>
  <c r="K26" i="1" s="1"/>
  <c r="H27" i="1"/>
  <c r="N27" i="1" s="1"/>
  <c r="H28" i="1"/>
  <c r="N28" i="1" s="1"/>
  <c r="H29" i="1"/>
  <c r="H30" i="1"/>
  <c r="H31" i="1"/>
  <c r="L31" i="1" s="1"/>
  <c r="H32" i="1"/>
  <c r="L32" i="1" s="1"/>
  <c r="H33" i="1"/>
  <c r="L33" i="1" s="1"/>
  <c r="H34" i="1"/>
  <c r="K34" i="1" s="1"/>
  <c r="H35" i="1"/>
  <c r="N35" i="1" s="1"/>
  <c r="H36" i="1"/>
  <c r="N36" i="1" s="1"/>
  <c r="H37" i="1"/>
  <c r="N37" i="1" s="1"/>
  <c r="H38" i="1"/>
  <c r="K38" i="1" s="1"/>
  <c r="H39" i="1"/>
  <c r="L39" i="1" s="1"/>
  <c r="H40" i="1"/>
  <c r="L40" i="1" s="1"/>
  <c r="H41" i="1"/>
  <c r="L41" i="1" s="1"/>
  <c r="H42" i="1"/>
  <c r="K42" i="1" s="1"/>
  <c r="H43" i="1"/>
  <c r="N43" i="1" s="1"/>
  <c r="H44" i="1"/>
  <c r="N44" i="1" s="1"/>
  <c r="H45" i="1"/>
  <c r="N45" i="1" s="1"/>
  <c r="H46" i="1"/>
  <c r="H47" i="1"/>
  <c r="L47" i="1" s="1"/>
  <c r="H48" i="1"/>
  <c r="L48" i="1" s="1"/>
  <c r="H49" i="1"/>
  <c r="L49" i="1" s="1"/>
  <c r="H50" i="1"/>
  <c r="K50" i="1" s="1"/>
  <c r="H51" i="1"/>
  <c r="N51" i="1" s="1"/>
  <c r="H52" i="1"/>
  <c r="N52" i="1" s="1"/>
  <c r="H53" i="1"/>
  <c r="N53" i="1" s="1"/>
  <c r="H54" i="1"/>
  <c r="K54" i="1" s="1"/>
  <c r="H55" i="1"/>
  <c r="L55" i="1" s="1"/>
  <c r="H56" i="1"/>
  <c r="L56" i="1" s="1"/>
  <c r="H57" i="1"/>
  <c r="L57" i="1" s="1"/>
  <c r="H58" i="1"/>
  <c r="K58" i="1" s="1"/>
  <c r="H59" i="1"/>
  <c r="N59" i="1" s="1"/>
  <c r="H60" i="1"/>
  <c r="N60" i="1" s="1"/>
  <c r="H61" i="1"/>
  <c r="N61" i="1" s="1"/>
  <c r="H62" i="1"/>
  <c r="H63" i="1"/>
  <c r="L63" i="1" s="1"/>
  <c r="H64" i="1"/>
  <c r="L64" i="1" s="1"/>
  <c r="N4" i="1"/>
  <c r="N26" i="1" l="1"/>
  <c r="K17" i="1"/>
  <c r="K16" i="1"/>
  <c r="N64" i="1"/>
  <c r="L44" i="1"/>
  <c r="L28" i="1"/>
  <c r="N16" i="1"/>
  <c r="K37" i="1"/>
  <c r="L12" i="1"/>
  <c r="N32" i="1"/>
  <c r="L60" i="1"/>
  <c r="N10" i="1"/>
  <c r="L52" i="1"/>
  <c r="L20" i="1"/>
  <c r="N48" i="1"/>
  <c r="L58" i="1"/>
  <c r="L34" i="1"/>
  <c r="L11" i="1"/>
  <c r="N58" i="1"/>
  <c r="K33" i="1"/>
  <c r="L51" i="1"/>
  <c r="L10" i="1"/>
  <c r="N57" i="1"/>
  <c r="N25" i="1"/>
  <c r="K32" i="1"/>
  <c r="L50" i="1"/>
  <c r="L27" i="1"/>
  <c r="N50" i="1"/>
  <c r="N18" i="1"/>
  <c r="L26" i="1"/>
  <c r="L43" i="1"/>
  <c r="N42" i="1"/>
  <c r="K49" i="1"/>
  <c r="L42" i="1"/>
  <c r="L19" i="1"/>
  <c r="N41" i="1"/>
  <c r="N9" i="1"/>
  <c r="K48" i="1"/>
  <c r="L59" i="1"/>
  <c r="L36" i="1"/>
  <c r="L18" i="1"/>
  <c r="N34" i="1"/>
  <c r="L35" i="1"/>
  <c r="K63" i="1"/>
  <c r="K7" i="1"/>
  <c r="L62" i="1"/>
  <c r="N62" i="1"/>
  <c r="L30" i="1"/>
  <c r="N30" i="1"/>
  <c r="N63" i="1"/>
  <c r="N31" i="1"/>
  <c r="N21" i="1"/>
  <c r="K21" i="1"/>
  <c r="K47" i="1"/>
  <c r="L45" i="1"/>
  <c r="K56" i="1"/>
  <c r="K31" i="1"/>
  <c r="K15" i="1"/>
  <c r="N56" i="1"/>
  <c r="N40" i="1"/>
  <c r="N24" i="1"/>
  <c r="N8" i="1"/>
  <c r="K23" i="1"/>
  <c r="L38" i="1"/>
  <c r="N38" i="1"/>
  <c r="L14" i="1"/>
  <c r="N14" i="1"/>
  <c r="N13" i="1"/>
  <c r="K13" i="1"/>
  <c r="L13" i="1"/>
  <c r="K45" i="1"/>
  <c r="K55" i="1"/>
  <c r="K41" i="1"/>
  <c r="K30" i="1"/>
  <c r="K14" i="1"/>
  <c r="N55" i="1"/>
  <c r="N39" i="1"/>
  <c r="N23" i="1"/>
  <c r="N7" i="1"/>
  <c r="L46" i="1"/>
  <c r="N46" i="1"/>
  <c r="L6" i="1"/>
  <c r="N6" i="1"/>
  <c r="N15" i="1"/>
  <c r="N29" i="1"/>
  <c r="K29" i="1"/>
  <c r="K61" i="1"/>
  <c r="L61" i="1"/>
  <c r="K46" i="1"/>
  <c r="K4" i="1"/>
  <c r="K40" i="1"/>
  <c r="K25" i="1"/>
  <c r="K9" i="1"/>
  <c r="L53" i="1"/>
  <c r="L37" i="1"/>
  <c r="L21" i="1"/>
  <c r="L54" i="1"/>
  <c r="N54" i="1"/>
  <c r="L22" i="1"/>
  <c r="N22" i="1"/>
  <c r="K62" i="1"/>
  <c r="K22" i="1"/>
  <c r="N47" i="1"/>
  <c r="N5" i="1"/>
  <c r="K5" i="1"/>
  <c r="L29" i="1"/>
  <c r="K64" i="1"/>
  <c r="K53" i="1"/>
  <c r="K39" i="1"/>
  <c r="K24" i="1"/>
  <c r="K8" i="1"/>
  <c r="L4" i="1"/>
  <c r="N49" i="1"/>
  <c r="N33" i="1"/>
  <c r="N17" i="1"/>
  <c r="K60" i="1"/>
  <c r="K52" i="1"/>
  <c r="K44" i="1"/>
  <c r="K36" i="1"/>
  <c r="K28" i="1"/>
  <c r="K20" i="1"/>
  <c r="K12" i="1"/>
  <c r="K59" i="1"/>
  <c r="K51" i="1"/>
  <c r="K43" i="1"/>
  <c r="K35" i="1"/>
  <c r="K27" i="1"/>
  <c r="K19" i="1"/>
  <c r="K11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4" i="1"/>
  <c r="G4" i="1"/>
  <c r="U6" i="1" s="1"/>
  <c r="E5" i="1"/>
  <c r="S7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T7" i="1" l="1"/>
  <c r="T6" i="1"/>
  <c r="U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CCDFF-418D-4E01-8298-D4034EB1DD54}" name="Query - LỌC CP" description="Connection to the 'LỌC CP' query in the workbook." type="100" refreshedVersion="8" minRefreshableVersion="5">
    <extLst>
      <ext xmlns:x15="http://schemas.microsoft.com/office/spreadsheetml/2010/11/main" uri="{DE250136-89BD-433C-8126-D09CA5730AF9}">
        <x15:connection id="ce168a1b-4a53-4831-b2a8-23400e41269b"/>
      </ext>
    </extLst>
  </connection>
  <connection id="2" xr16:uid="{C0EB2F3C-056D-4E60-8748-66E29BD6225D}" keepAlive="1" name="Query - LỌC CP (2)" description="Connection to the 'LỌC CP (2)' query in the workbook." type="5" refreshedVersion="8" background="1" saveData="1">
    <dbPr connection="Provider=Microsoft.Mashup.OleDb.1;Data Source=$Workbook$;Location=&quot;LỌC CP (2)&quot;;Extended Properties=&quot;&quot;" command="SELECT * FROM [LỌC CP (2)]"/>
  </connection>
  <connection id="3" xr16:uid="{57449878-8B64-45E7-9076-D3D21E57BAC5}" keepAlive="1" name="Query - LỌC CP (3)" description="Connection to the 'LỌC CP (3)' query in the workbook." type="5" refreshedVersion="0" background="1">
    <dbPr connection="Provider=Microsoft.Mashup.OleDb.1;Data Source=$Workbook$;Location=&quot;LỌC CP (3)&quot;;Extended Properties=&quot;&quot;" command="SELECT * FROM [LỌC CP (3)]"/>
  </connection>
  <connection id="4" xr16:uid="{A369361C-2704-49AC-BD33-00B794AF5B4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<sst xmlns="http://schemas.openxmlformats.org/spreadsheetml/2006/main" count="324" uniqueCount="131">
  <si>
    <t>Date</t>
  </si>
  <si>
    <t>KBC</t>
  </si>
  <si>
    <t>REE</t>
  </si>
  <si>
    <t>FPT</t>
  </si>
  <si>
    <t>Return</t>
  </si>
  <si>
    <t>(Ri - mean)</t>
  </si>
  <si>
    <t>(Ri - mean)^2</t>
  </si>
  <si>
    <t>Combination</t>
  </si>
  <si>
    <t>Weights</t>
  </si>
  <si>
    <t>E(R) Portfolio</t>
  </si>
  <si>
    <t>Std Portfolio</t>
  </si>
  <si>
    <t>Sharpe Ratio</t>
  </si>
  <si>
    <t>Open Price</t>
  </si>
  <si>
    <t>KBC_REE</t>
  </si>
  <si>
    <t>KBC_FPT</t>
  </si>
  <si>
    <t>REE_FPT</t>
  </si>
  <si>
    <t>CHARACTERISTICS</t>
  </si>
  <si>
    <t>MEAN</t>
  </si>
  <si>
    <t>Var</t>
  </si>
  <si>
    <t>S.D</t>
  </si>
  <si>
    <t>Cov(KBC_REE)</t>
  </si>
  <si>
    <t>Cov(KBC_FPT)</t>
  </si>
  <si>
    <t>Cov(REE_FPT)</t>
  </si>
  <si>
    <t>E(r )</t>
  </si>
  <si>
    <t>σ</t>
  </si>
  <si>
    <t>Correlation</t>
  </si>
  <si>
    <t>Order</t>
  </si>
  <si>
    <t>rf</t>
  </si>
  <si>
    <t>The Optimal Risky Portfolio</t>
  </si>
  <si>
    <t>Weight</t>
  </si>
  <si>
    <t>Total</t>
  </si>
  <si>
    <t>E(rp)</t>
  </si>
  <si>
    <t>σp</t>
  </si>
  <si>
    <t>Sharpe ratio</t>
  </si>
  <si>
    <t>The Optimal Complete Portfolio</t>
  </si>
  <si>
    <t>y</t>
  </si>
  <si>
    <t>1-y</t>
  </si>
  <si>
    <t>(KBC, REE, FPT)</t>
  </si>
  <si>
    <t>(KBC, MBB, FPT)</t>
  </si>
  <si>
    <t>(KBC, KDH, FPT)</t>
  </si>
  <si>
    <t>(REE, KDH, FPT)</t>
  </si>
  <si>
    <t>(REE, MBB, FPT)</t>
  </si>
  <si>
    <t>(MBB, KDH, FPT)</t>
  </si>
  <si>
    <t>(KBC, REE, MBB)</t>
  </si>
  <si>
    <t>(KBC, MBB, KDH)</t>
  </si>
  <si>
    <t>(KBC, REE, KDH)</t>
  </si>
  <si>
    <t>(REE, MBB, KDH)</t>
  </si>
  <si>
    <t>[0.100000, 0.100000, 0.800000]</t>
  </si>
  <si>
    <t>[0.100005, 0.100000, 0.800003]</t>
  </si>
  <si>
    <t>[0.108373, 0.100000, 0.791626]</t>
  </si>
  <si>
    <t>[0.103581, 0.100000, 0.796418]</t>
  </si>
  <si>
    <t>[0.100000, 0.100002, 0.799999]</t>
  </si>
  <si>
    <t>[0.100017, 0.100003, 0.799999]</t>
  </si>
  <si>
    <t>[0.515772, 0.204252, 0.279974]</t>
  </si>
  <si>
    <t>[0.577481, 0.322518, 0.100000]</t>
  </si>
  <si>
    <t>[0.592808, 0.307191, 0.100000]</t>
  </si>
  <si>
    <t>[0.352687, 0.547312, 0.100000]</t>
  </si>
  <si>
    <t>E(rc)</t>
  </si>
  <si>
    <t>σc</t>
  </si>
  <si>
    <t>A</t>
  </si>
  <si>
    <t>Covariance</t>
  </si>
  <si>
    <t>The Optimal Risky Portfolio (1)</t>
  </si>
  <si>
    <t>U</t>
  </si>
  <si>
    <t>Cash Allocation</t>
  </si>
  <si>
    <t>Capital</t>
  </si>
  <si>
    <t>The risk portfolio</t>
  </si>
  <si>
    <t>BCM</t>
  </si>
  <si>
    <t>VCB</t>
  </si>
  <si>
    <t>The risk-free portfolio</t>
  </si>
  <si>
    <t>Bonds</t>
  </si>
  <si>
    <t>Unit price: Million VND</t>
  </si>
  <si>
    <t>Minimum Variance Portfolio (2)</t>
  </si>
  <si>
    <t>E(R)_mean</t>
  </si>
  <si>
    <t>std_dev</t>
  </si>
  <si>
    <t>[0.026862,0.013467,0.028229]</t>
  </si>
  <si>
    <t>[0.026862,0.017536,0.028229]</t>
  </si>
  <si>
    <t>[0.013467,0.017536,0.028229]</t>
  </si>
  <si>
    <t>[0.026862,0.013313,0.028229]</t>
  </si>
  <si>
    <t>[0.013467,0.013313,0.028229]</t>
  </si>
  <si>
    <t>[0.017536,0.013313,0.028229]</t>
  </si>
  <si>
    <t>[0.026862,0.013467,0.013313]</t>
  </si>
  <si>
    <t>[0.026862,0.017536,0.013313]</t>
  </si>
  <si>
    <t>[0.026862,0.013467,0.017536]</t>
  </si>
  <si>
    <t>[0.013467,0.017536,0.013313]</t>
  </si>
  <si>
    <t>[0.004094,0.004998,0.003923]</t>
  </si>
  <si>
    <t>[0.007678,0.004998,0.006816]</t>
  </si>
  <si>
    <t>[0.009013,0.004998,0.005045]</t>
  </si>
  <si>
    <t>[0.002023,0.003923,0.005045]</t>
  </si>
  <si>
    <t>[0.004094,0.009013,0.002023]</t>
  </si>
  <si>
    <t>[0.003973,0.003923,0.006816]</t>
  </si>
  <si>
    <t>[0.004094,0.007678,0.003973]</t>
  </si>
  <si>
    <t>[0.006603,0.006816,0.005045]</t>
  </si>
  <si>
    <t>[0.007678,0.009013,0.006603]</t>
  </si>
  <si>
    <t>[0.003973,0.002023,0.006603]</t>
  </si>
  <si>
    <t>[0.158277,0.089036,0.097076]</t>
  </si>
  <si>
    <t>[0.158277,0.110531,0.097076]</t>
  </si>
  <si>
    <t>[0.158277,0.089036,0.092174]</t>
  </si>
  <si>
    <t>[0.158277,0.110531,0.092174]</t>
  </si>
  <si>
    <t>[0.158277,0.097076,0.092174]</t>
  </si>
  <si>
    <t>[0.089036,0.097076,0.092174]</t>
  </si>
  <si>
    <t>[0.089036,0.110531,0.092174]</t>
  </si>
  <si>
    <t>[0.110531,0.097076,0.092174]</t>
  </si>
  <si>
    <t>[0.158277,0.089036,0.110531]</t>
  </si>
  <si>
    <t>[0.089036,0.110531,0.097076]</t>
  </si>
  <si>
    <t>P/E</t>
  </si>
  <si>
    <t>KDH</t>
  </si>
  <si>
    <t>MBB</t>
  </si>
  <si>
    <t>Year</t>
  </si>
  <si>
    <t>Industry</t>
  </si>
  <si>
    <t>𝛽</t>
  </si>
  <si>
    <t>Compare KBC to Industry</t>
  </si>
  <si>
    <t>ROE (%)</t>
  </si>
  <si>
    <t>D/A  (%)</t>
  </si>
  <si>
    <t>Market Cap (Million VND)</t>
  </si>
  <si>
    <t>EPS (VND per share)</t>
  </si>
  <si>
    <t>± ROE</t>
  </si>
  <si>
    <t>± EPS</t>
  </si>
  <si>
    <t>± P/E</t>
  </si>
  <si>
    <t>−</t>
  </si>
  <si>
    <t>Compare KDH to Industry</t>
  </si>
  <si>
    <t>NIM  (%)</t>
  </si>
  <si>
    <t>Compare REE to Industry</t>
  </si>
  <si>
    <t>Compare FPT to Industry</t>
  </si>
  <si>
    <t>Compare MBB to Industry</t>
  </si>
  <si>
    <t>SUM</t>
  </si>
  <si>
    <t>ROA (%)</t>
  </si>
  <si>
    <t>The Optimal Complete Portfolio (3)</t>
  </si>
  <si>
    <t>Risky asset</t>
  </si>
  <si>
    <t>Risk-Free Rate</t>
  </si>
  <si>
    <t>E(Rc )</t>
  </si>
  <si>
    <t>E(r)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</si>
</sst>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164" formatCode="yyyy\-mm\-dd\ hh:mm:ss"/>
    <numFmt numFmtId="165" formatCode="0.000%"/>
    <numFmt numFmtId="166" formatCode="0.000000"/>
    <numFmt numFmtId="167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b/>
      <sz val="20"/>
      <color theme="0"/>
      <name val="Times New Roman"/>
      <family val="1"/>
    </font>
    <font>
      <b/>
      <i/>
      <sz val="13"/>
      <color theme="1"/>
      <name val="Times New Roman"/>
      <family val="1"/>
    </font>
    <font>
      <b/>
      <sz val="15"/>
      <color theme="0"/>
      <name val="Times New Roman"/>
      <family val="1"/>
    </font>
    <font>
      <sz val="13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1" fontId="2" fillId="0" borderId="1" xfId="1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165" fontId="0" fillId="0" borderId="0" xfId="2" applyNumberFormat="1" applyFont="1"/>
    <xf numFmtId="10" fontId="2" fillId="5" borderId="1" xfId="2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0" fontId="2" fillId="0" borderId="1" xfId="2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2" fillId="0" borderId="0" xfId="0" applyFont="1"/>
    <xf numFmtId="165" fontId="4" fillId="2" borderId="1" xfId="2" applyNumberFormat="1" applyFont="1" applyFill="1" applyBorder="1" applyAlignment="1">
      <alignment horizontal="center" vertical="center"/>
    </xf>
    <xf numFmtId="165" fontId="2" fillId="5" borderId="1" xfId="2" applyNumberFormat="1" applyFont="1" applyFill="1" applyBorder="1" applyAlignment="1">
      <alignment horizontal="center" vertical="center"/>
    </xf>
    <xf numFmtId="165" fontId="2" fillId="0" borderId="1" xfId="2" applyNumberFormat="1" applyFont="1" applyFill="1" applyBorder="1" applyAlignment="1">
      <alignment horizontal="center" vertical="center"/>
    </xf>
    <xf numFmtId="166" fontId="6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7" fontId="2" fillId="5" borderId="1" xfId="2" applyNumberFormat="1" applyFont="1" applyFill="1" applyBorder="1" applyAlignment="1">
      <alignment horizontal="center"/>
    </xf>
    <xf numFmtId="10" fontId="3" fillId="3" borderId="1" xfId="2" applyNumberFormat="1" applyFont="1" applyFill="1" applyBorder="1" applyAlignment="1">
      <alignment horizontal="center"/>
    </xf>
    <xf numFmtId="9" fontId="2" fillId="5" borderId="1" xfId="2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2" fontId="4" fillId="2" borderId="1" xfId="2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0" fontId="2" fillId="5" borderId="1" xfId="0" applyNumberFormat="1" applyFont="1" applyFill="1" applyBorder="1" applyAlignment="1">
      <alignment horizontal="center"/>
    </xf>
    <xf numFmtId="2" fontId="0" fillId="0" borderId="0" xfId="0" applyNumberFormat="1"/>
    <xf numFmtId="9" fontId="0" fillId="0" borderId="0" xfId="2" applyFont="1"/>
    <xf numFmtId="1" fontId="2" fillId="5" borderId="1" xfId="2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2" fillId="5" borderId="1" xfId="0" applyNumberFormat="1" applyFont="1" applyFill="1" applyBorder="1" applyAlignment="1">
      <alignment horizontal="center"/>
    </xf>
    <xf numFmtId="167" fontId="3" fillId="3" borderId="1" xfId="0" applyNumberFormat="1" applyFont="1" applyFill="1" applyBorder="1" applyAlignment="1">
      <alignment horizontal="center"/>
    </xf>
    <xf numFmtId="165" fontId="2" fillId="5" borderId="2" xfId="2" applyNumberFormat="1" applyFont="1" applyFill="1" applyBorder="1" applyAlignment="1">
      <alignment horizontal="center"/>
    </xf>
    <xf numFmtId="165" fontId="2" fillId="5" borderId="4" xfId="2" applyNumberFormat="1" applyFont="1" applyFill="1" applyBorder="1" applyAlignment="1">
      <alignment horizontal="center"/>
    </xf>
    <xf numFmtId="165" fontId="2" fillId="5" borderId="3" xfId="2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6" borderId="0" xfId="0" applyFont="1" applyFill="1" applyAlignment="1">
      <alignment horizontal="center" vertical="center"/>
    </xf>
    <xf numFmtId="167" fontId="2" fillId="5" borderId="2" xfId="2" applyNumberFormat="1" applyFont="1" applyFill="1" applyBorder="1" applyAlignment="1">
      <alignment horizontal="center"/>
    </xf>
    <xf numFmtId="167" fontId="2" fillId="5" borderId="3" xfId="2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3" fontId="2" fillId="7" borderId="2" xfId="0" applyNumberFormat="1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3" fontId="2" fillId="7" borderId="3" xfId="0" applyNumberFormat="1" applyFont="1" applyFill="1" applyBorder="1" applyAlignment="1">
      <alignment horizontal="center"/>
    </xf>
    <xf numFmtId="3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The Optimal Risky 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tint val="6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2BA-4EEE-8665-C93DEF720789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2BA-4EEE-8665-C93DEF720789}"/>
              </c:ext>
            </c:extLst>
          </c:dPt>
          <c:dPt>
            <c:idx val="2"/>
            <c:bubble3D val="0"/>
            <c:spPr>
              <a:solidFill>
                <a:schemeClr val="accent6">
                  <a:shade val="6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2BA-4EEE-8665-C93DEF7207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'OPTIMAL PORTFOLIO'!$B$13:$B$15</c:f>
              <c:strCache>
                <c:ptCount val="3"/>
                <c:pt idx="0">
                  <c:v>KBC</c:v>
                </c:pt>
                <c:pt idx="1">
                  <c:v>REE</c:v>
                </c:pt>
                <c:pt idx="2">
                  <c:v>FPT</c:v>
                </c:pt>
              </c:strCache>
            </c:strRef>
          </c:cat>
          <c:val>
            <c:numRef>
              <c:f>'OPTIMAL PORTFOLIO'!$C$13:$C$15</c:f>
              <c:numCache>
                <c:formatCode>0.00%</c:formatCode>
                <c:ptCount val="3"/>
                <c:pt idx="0">
                  <c:v>0.108373540021046</c:v>
                </c:pt>
                <c:pt idx="1">
                  <c:v>0.1</c:v>
                </c:pt>
                <c:pt idx="2">
                  <c:v>0.79162645997895298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1-4C84-AB63-3A07F052895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Cash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58000"/>
                      <a:shade val="51000"/>
                      <a:satMod val="130000"/>
                    </a:schemeClr>
                  </a:gs>
                  <a:gs pos="80000">
                    <a:schemeClr val="accent6">
                      <a:tint val="58000"/>
                      <a:shade val="93000"/>
                      <a:satMod val="130000"/>
                    </a:schemeClr>
                  </a:gs>
                  <a:gs pos="100000">
                    <a:schemeClr val="accent6">
                      <a:tint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B405-4D4A-A87E-4642FA3683F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tint val="86000"/>
                      <a:shade val="51000"/>
                      <a:satMod val="130000"/>
                    </a:schemeClr>
                  </a:gs>
                  <a:gs pos="80000">
                    <a:schemeClr val="accent6">
                      <a:tint val="86000"/>
                      <a:shade val="93000"/>
                      <a:satMod val="130000"/>
                    </a:schemeClr>
                  </a:gs>
                  <a:gs pos="100000">
                    <a:schemeClr val="accent6">
                      <a:tint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B405-4D4A-A87E-4642FA3683F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86000"/>
                      <a:shade val="51000"/>
                      <a:satMod val="130000"/>
                    </a:schemeClr>
                  </a:gs>
                  <a:gs pos="80000">
                    <a:schemeClr val="accent6">
                      <a:shade val="86000"/>
                      <a:shade val="93000"/>
                      <a:satMod val="130000"/>
                    </a:schemeClr>
                  </a:gs>
                  <a:gs pos="100000">
                    <a:schemeClr val="accent6">
                      <a:shade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8896-41C0-8DF0-204B97AE85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shade val="58000"/>
                      <a:shade val="51000"/>
                      <a:satMod val="130000"/>
                    </a:schemeClr>
                  </a:gs>
                  <a:gs pos="80000">
                    <a:schemeClr val="accent6">
                      <a:shade val="58000"/>
                      <a:shade val="93000"/>
                      <a:satMod val="130000"/>
                    </a:schemeClr>
                  </a:gs>
                  <a:gs pos="100000">
                    <a:schemeClr val="accent6">
                      <a:shade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896-41C0-8DF0-204B97AE85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('OPTIMAL PORTFOLIO'!$B$30:$B$32,'OPTIMAL PORTFOLIO'!$B$34)</c:f>
              <c:strCache>
                <c:ptCount val="4"/>
                <c:pt idx="0">
                  <c:v>BCM</c:v>
                </c:pt>
                <c:pt idx="1">
                  <c:v>VCB</c:v>
                </c:pt>
                <c:pt idx="2">
                  <c:v>FPT</c:v>
                </c:pt>
                <c:pt idx="3">
                  <c:v>Bonds</c:v>
                </c:pt>
              </c:strCache>
            </c:strRef>
          </c:cat>
          <c:val>
            <c:numRef>
              <c:f>('OPTIMAL PORTFOLIO'!$E$30:$E$32,'OPTIMAL PORTFOLIO'!$E$34)</c:f>
              <c:numCache>
                <c:formatCode>0.00%</c:formatCode>
                <c:ptCount val="4"/>
                <c:pt idx="0">
                  <c:v>9.4972652446356207E-2</c:v>
                </c:pt>
                <c:pt idx="1">
                  <c:v>8.7634539231543601E-2</c:v>
                </c:pt>
                <c:pt idx="2">
                  <c:v>0.693738200637535</c:v>
                </c:pt>
                <c:pt idx="3">
                  <c:v>0.123654599195631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96-41C0-8DF0-204B97AE855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Capital Allocation Line and 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'EFFICIENT FRONTIER'!$F$32:$F$50</c:f>
              <c:numCache>
                <c:formatCode>0.00%</c:formatCode>
                <c:ptCount val="19"/>
                <c:pt idx="0">
                  <c:v>8.8303350306217041E-2</c:v>
                </c:pt>
                <c:pt idx="1">
                  <c:v>8.6727831415667742E-2</c:v>
                </c:pt>
                <c:pt idx="2">
                  <c:v>7.9779201998332105E-2</c:v>
                </c:pt>
                <c:pt idx="3">
                  <c:v>7.7238168545608776E-2</c:v>
                </c:pt>
                <c:pt idx="4">
                  <c:v>7.6558289401505358E-2</c:v>
                </c:pt>
                <c:pt idx="5">
                  <c:v>7.6584054550887612E-2</c:v>
                </c:pt>
                <c:pt idx="6">
                  <c:v>7.6985046876707805E-2</c:v>
                </c:pt>
                <c:pt idx="7">
                  <c:v>7.7864433189999874E-2</c:v>
                </c:pt>
                <c:pt idx="8">
                  <c:v>7.9206277875960962E-2</c:v>
                </c:pt>
                <c:pt idx="9">
                  <c:v>8.3525154948802999E-2</c:v>
                </c:pt>
                <c:pt idx="10">
                  <c:v>8.7591211700003516E-2</c:v>
                </c:pt>
                <c:pt idx="11">
                  <c:v>9.238951252548612E-2</c:v>
                </c:pt>
                <c:pt idx="12">
                  <c:v>9.7812353422703571E-2</c:v>
                </c:pt>
                <c:pt idx="13">
                  <c:v>0.1037618607160057</c:v>
                </c:pt>
                <c:pt idx="14">
                  <c:v>0.11015272940865536</c:v>
                </c:pt>
                <c:pt idx="15">
                  <c:v>0.11691260262638091</c:v>
                </c:pt>
                <c:pt idx="16">
                  <c:v>0.12398113690937214</c:v>
                </c:pt>
                <c:pt idx="17">
                  <c:v>0.13130849464362826</c:v>
                </c:pt>
                <c:pt idx="18">
                  <c:v>0.13885370726624441</c:v>
                </c:pt>
              </c:numCache>
            </c:numRef>
          </c:xVal>
          <c:yVal>
            <c:numRef>
              <c:f>'EFFICIENT FRONTIER'!$G$32:$G$50</c:f>
              <c:numCache>
                <c:formatCode>0.00%</c:formatCode>
                <c:ptCount val="19"/>
                <c:pt idx="0">
                  <c:v>1.3467420000000001E-2</c:v>
                </c:pt>
                <c:pt idx="1">
                  <c:v>1.4000000010395135E-2</c:v>
                </c:pt>
                <c:pt idx="2">
                  <c:v>1.7000000236169273E-2</c:v>
                </c:pt>
                <c:pt idx="3">
                  <c:v>1.8999999920267706E-2</c:v>
                </c:pt>
                <c:pt idx="4">
                  <c:v>2.0688103331275638E-2</c:v>
                </c:pt>
                <c:pt idx="5">
                  <c:v>2.0999999982809645E-2</c:v>
                </c:pt>
                <c:pt idx="6">
                  <c:v>2.2000000696591915E-2</c:v>
                </c:pt>
                <c:pt idx="7">
                  <c:v>2.3000000722847726E-2</c:v>
                </c:pt>
                <c:pt idx="8">
                  <c:v>2.400000014411344E-2</c:v>
                </c:pt>
                <c:pt idx="9">
                  <c:v>2.6142857697797835E-2</c:v>
                </c:pt>
                <c:pt idx="10">
                  <c:v>2.7642857775714524E-2</c:v>
                </c:pt>
                <c:pt idx="11">
                  <c:v>2.9142857853631188E-2</c:v>
                </c:pt>
                <c:pt idx="12">
                  <c:v>3.0642857931547741E-2</c:v>
                </c:pt>
                <c:pt idx="13">
                  <c:v>3.2142858009464523E-2</c:v>
                </c:pt>
                <c:pt idx="14">
                  <c:v>3.3642858087381156E-2</c:v>
                </c:pt>
                <c:pt idx="15">
                  <c:v>3.5142858165297948E-2</c:v>
                </c:pt>
                <c:pt idx="16">
                  <c:v>3.6642858243214706E-2</c:v>
                </c:pt>
                <c:pt idx="17">
                  <c:v>3.8142858321131345E-2</c:v>
                </c:pt>
                <c:pt idx="18">
                  <c:v>3.9642858399048117E-2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65-4C5E-BDBD-0D9E14EF5682}"/>
            </c:ext>
          </c:extLst>
        </c:ser>
        <c:ser>
          <c:idx val="1"/>
          <c:order val="1"/>
          <c:tx>
            <c:v>Capital Allocation Line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'EFFICIENT FRONTIER'!$E$63:$E$82</c:f>
              <c:numCache>
                <c:formatCode>0.00%</c:formatCode>
                <c:ptCount val="20"/>
                <c:pt idx="0">
                  <c:v>0</c:v>
                </c:pt>
                <c:pt idx="1">
                  <c:v>1.0376186071600567E-2</c:v>
                </c:pt>
                <c:pt idx="2">
                  <c:v>2.0752372143201133E-2</c:v>
                </c:pt>
                <c:pt idx="3">
                  <c:v>3.1128558214801701E-2</c:v>
                </c:pt>
                <c:pt idx="4">
                  <c:v>4.1504744286402266E-2</c:v>
                </c:pt>
                <c:pt idx="5">
                  <c:v>5.1880930358002834E-2</c:v>
                </c:pt>
                <c:pt idx="6">
                  <c:v>6.2257116429603403E-2</c:v>
                </c:pt>
                <c:pt idx="7">
                  <c:v>7.2633302501203978E-2</c:v>
                </c:pt>
                <c:pt idx="8">
                  <c:v>8.3009488572804532E-2</c:v>
                </c:pt>
                <c:pt idx="9">
                  <c:v>9.3385674644405114E-2</c:v>
                </c:pt>
                <c:pt idx="10">
                  <c:v>0.10376186071600568</c:v>
                </c:pt>
                <c:pt idx="11">
                  <c:v>0.11413804678760625</c:v>
                </c:pt>
                <c:pt idx="12">
                  <c:v>0.12451423285920683</c:v>
                </c:pt>
                <c:pt idx="13">
                  <c:v>0.13489041893080739</c:v>
                </c:pt>
                <c:pt idx="14">
                  <c:v>0.14526660500240796</c:v>
                </c:pt>
                <c:pt idx="15">
                  <c:v>0.15564279107400855</c:v>
                </c:pt>
                <c:pt idx="16">
                  <c:v>0.16601897714560912</c:v>
                </c:pt>
                <c:pt idx="17">
                  <c:v>0.17639516321720969</c:v>
                </c:pt>
                <c:pt idx="18">
                  <c:v>0.18677134928881026</c:v>
                </c:pt>
                <c:pt idx="19">
                  <c:v>0.19714753536041082</c:v>
                </c:pt>
              </c:numCache>
            </c:numRef>
          </c:xVal>
          <c:yVal>
            <c:numRef>
              <c:f>'EFFICIENT FRONTIER'!$F$63:$F$82</c:f>
              <c:numCache>
                <c:formatCode>0.00%</c:formatCode>
                <c:ptCount val="20"/>
                <c:pt idx="0">
                  <c:v>7.4999999999999997E-3</c:v>
                </c:pt>
                <c:pt idx="1">
                  <c:v>9.9642858009464513E-3</c:v>
                </c:pt>
                <c:pt idx="2">
                  <c:v>1.2428571601892903E-2</c:v>
                </c:pt>
                <c:pt idx="3">
                  <c:v>1.4892857402839355E-2</c:v>
                </c:pt>
                <c:pt idx="4">
                  <c:v>1.7357143203785806E-2</c:v>
                </c:pt>
                <c:pt idx="5">
                  <c:v>1.9821429004732258E-2</c:v>
                </c:pt>
                <c:pt idx="6">
                  <c:v>2.2285714805678709E-2</c:v>
                </c:pt>
                <c:pt idx="7">
                  <c:v>2.4750000606625164E-2</c:v>
                </c:pt>
                <c:pt idx="8">
                  <c:v>2.7214286407571613E-2</c:v>
                </c:pt>
                <c:pt idx="9">
                  <c:v>2.9678572208518068E-2</c:v>
                </c:pt>
                <c:pt idx="10">
                  <c:v>3.2142858009464516E-2</c:v>
                </c:pt>
                <c:pt idx="11">
                  <c:v>3.4607143810410967E-2</c:v>
                </c:pt>
                <c:pt idx="12">
                  <c:v>3.7071429611357426E-2</c:v>
                </c:pt>
                <c:pt idx="13">
                  <c:v>3.9535715412303871E-2</c:v>
                </c:pt>
                <c:pt idx="14">
                  <c:v>4.2000001213250329E-2</c:v>
                </c:pt>
                <c:pt idx="15">
                  <c:v>4.4464287014196788E-2</c:v>
                </c:pt>
                <c:pt idx="16">
                  <c:v>4.6928572815143239E-2</c:v>
                </c:pt>
                <c:pt idx="17">
                  <c:v>4.9392858616089691E-2</c:v>
                </c:pt>
                <c:pt idx="18">
                  <c:v>5.1857144417036143E-2</c:v>
                </c:pt>
                <c:pt idx="19">
                  <c:v>5.4321430217982594E-2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65-4C5E-BDBD-0D9E14EF5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897920"/>
        <c:axId val="1049896840"/>
      </c:scatterChart>
      <c:valAx>
        <c:axId val="10498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896840"/>
        <c:crosses val="autoZero"/>
        <c:crossBetween val="midCat"/>
      </c:valAx>
      <c:valAx>
        <c:axId val="104989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89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en-US" sz="1300"/>
              <a:t>P/E - Price-to-Earnings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P/E KBC</c:v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ANALYSIS'!$B$4:$F$4</c:f>
              <c:numCache>
                <c:formatCode>General</c:formatCode>
                <c:ptCount val="5"/>
                <c:pt idx="0">
                  <c:v>51.18</c:v>
                </c:pt>
                <c:pt idx="1">
                  <c:v>38.44</c:v>
                </c:pt>
                <c:pt idx="2">
                  <c:v>10.72</c:v>
                </c:pt>
                <c:pt idx="3">
                  <c:v>12</c:v>
                </c:pt>
                <c:pt idx="4">
                  <c:v>48.99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8-4ED6-81C0-D2D7436F9B10}"/>
            </c:ext>
          </c:extLst>
        </c:ser>
        <c:ser>
          <c:idx val="1"/>
          <c:order val="1"/>
          <c:tx>
            <c:v>P/E Industry</c:v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ANALYSIS'!$B$14:$F$14</c:f>
              <c:numCache>
                <c:formatCode>General</c:formatCode>
                <c:ptCount val="5"/>
                <c:pt idx="0">
                  <c:v>19.45</c:v>
                </c:pt>
                <c:pt idx="1">
                  <c:v>23.34</c:v>
                </c:pt>
                <c:pt idx="2">
                  <c:v>13.93</c:v>
                </c:pt>
                <c:pt idx="3">
                  <c:v>14.79</c:v>
                </c:pt>
                <c:pt idx="4">
                  <c:v>14.16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8-4ED6-81C0-D2D7436F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68556600"/>
        <c:axId val="1768553720"/>
        <c:axId val="0"/>
      </c:bar3DChart>
      <c:catAx>
        <c:axId val="176855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3720"/>
        <c:crosses val="autoZero"/>
        <c:auto val="1"/>
        <c:lblAlgn val="ctr"/>
        <c:lblOffset val="100"/>
        <c:noMultiLvlLbl val="0"/>
      </c:catAx>
      <c:valAx>
        <c:axId val="176855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EPS - Earnings Per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EPS KBC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ANALYSIS'!$B$5:$F$5</c:f>
              <c:numCache>
                <c:formatCode>General</c:formatCode>
                <c:ptCount val="5"/>
                <c:pt idx="0">
                  <c:v>0.48</c:v>
                </c:pt>
                <c:pt idx="1">
                  <c:v>1.59</c:v>
                </c:pt>
                <c:pt idx="2">
                  <c:v>2.2559999999999998</c:v>
                </c:pt>
                <c:pt idx="3">
                  <c:v>2.65</c:v>
                </c:pt>
                <c:pt idx="4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4-4212-8770-4F55613A4896}"/>
            </c:ext>
          </c:extLst>
        </c:ser>
        <c:ser>
          <c:idx val="1"/>
          <c:order val="1"/>
          <c:tx>
            <c:v>EPS Industry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ANALYSIS'!$B$15:$F$15</c:f>
              <c:numCache>
                <c:formatCode>General</c:formatCode>
                <c:ptCount val="5"/>
                <c:pt idx="0">
                  <c:v>2.488</c:v>
                </c:pt>
                <c:pt idx="1">
                  <c:v>2.5150000000000001</c:v>
                </c:pt>
                <c:pt idx="2">
                  <c:v>2.093</c:v>
                </c:pt>
                <c:pt idx="3">
                  <c:v>1.9019999999999999</c:v>
                </c:pt>
                <c:pt idx="4">
                  <c:v>1.843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4-4212-8770-4F55613A4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70394728"/>
        <c:axId val="1770396168"/>
        <c:axId val="0"/>
      </c:bar3DChart>
      <c:catAx>
        <c:axId val="177039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6168"/>
        <c:crosses val="autoZero"/>
        <c:auto val="1"/>
        <c:lblAlgn val="ctr"/>
        <c:lblOffset val="100"/>
        <c:noMultiLvlLbl val="0"/>
      </c:catAx>
      <c:valAx>
        <c:axId val="177039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- 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ROE KBC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ANALYSIS'!$B$13:$F$13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ANALYSIS'!$B$6:$F$6</c:f>
              <c:numCache>
                <c:formatCode>General</c:formatCode>
                <c:ptCount val="5"/>
                <c:pt idx="0">
                  <c:v>2.1</c:v>
                </c:pt>
                <c:pt idx="1">
                  <c:v>5.83</c:v>
                </c:pt>
                <c:pt idx="2">
                  <c:v>8.9700000000000006</c:v>
                </c:pt>
                <c:pt idx="3">
                  <c:v>10.67</c:v>
                </c:pt>
                <c:pt idx="4">
                  <c:v>2.08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3-47A2-AA20-74F35638E087}"/>
            </c:ext>
          </c:extLst>
        </c:ser>
        <c:ser>
          <c:idx val="1"/>
          <c:order val="1"/>
          <c:tx>
            <c:v>ROE Industry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ANALYSIS'!$B$13:$F$13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ANALYSIS'!$B$16:$F$16</c:f>
              <c:numCache>
                <c:formatCode>General</c:formatCode>
                <c:ptCount val="5"/>
                <c:pt idx="0">
                  <c:v>12.83</c:v>
                </c:pt>
                <c:pt idx="1">
                  <c:v>10.87</c:v>
                </c:pt>
                <c:pt idx="2">
                  <c:v>9.0299999999999994</c:v>
                </c:pt>
                <c:pt idx="3">
                  <c:v>8.83</c:v>
                </c:pt>
                <c:pt idx="4">
                  <c:v>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3-47A2-AA20-74F35638E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138311"/>
        <c:axId val="189137591"/>
        <c:axId val="0"/>
      </c:bar3DChart>
      <c:catAx>
        <c:axId val="18913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7591"/>
        <c:crosses val="autoZero"/>
        <c:auto val="1"/>
        <c:lblAlgn val="ctr"/>
        <c:lblOffset val="100"/>
        <c:noMultiLvlLbl val="0"/>
      </c:catAx>
      <c:valAx>
        <c:axId val="18913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D/A - Debt-to-Assets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D/A KBC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ANALYSIS'!$B$13:$F$13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ANALYSIS'!$B$7:$F$7</c:f>
              <c:numCache>
                <c:formatCode>General</c:formatCode>
                <c:ptCount val="5"/>
                <c:pt idx="0">
                  <c:v>55.21</c:v>
                </c:pt>
                <c:pt idx="1">
                  <c:v>47.16</c:v>
                </c:pt>
                <c:pt idx="2">
                  <c:v>48.88</c:v>
                </c:pt>
                <c:pt idx="3">
                  <c:v>39.520000000000003</c:v>
                </c:pt>
                <c:pt idx="4">
                  <c:v>53.8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F-41D1-920F-FE2D585E38A2}"/>
            </c:ext>
          </c:extLst>
        </c:ser>
        <c:ser>
          <c:idx val="1"/>
          <c:order val="1"/>
          <c:tx>
            <c:v>D/A Industry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ANALYSIS'!$B$13:$F$13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ANALYSIS'!$B$17:$F$17</c:f>
              <c:numCache>
                <c:formatCode>General</c:formatCode>
                <c:ptCount val="5"/>
                <c:pt idx="0">
                  <c:v>63.29</c:v>
                </c:pt>
                <c:pt idx="1">
                  <c:v>58.43</c:v>
                </c:pt>
                <c:pt idx="2">
                  <c:v>65.650000000000006</c:v>
                </c:pt>
                <c:pt idx="3">
                  <c:v>65.27</c:v>
                </c:pt>
                <c:pt idx="4">
                  <c:v>67.62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F-41D1-920F-FE2D585E3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8683359"/>
        <c:axId val="318683719"/>
        <c:axId val="0"/>
      </c:bar3DChart>
      <c:catAx>
        <c:axId val="31868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83719"/>
        <c:crosses val="autoZero"/>
        <c:auto val="1"/>
        <c:lblAlgn val="ctr"/>
        <c:lblOffset val="100"/>
        <c:noMultiLvlLbl val="0"/>
      </c:catAx>
      <c:valAx>
        <c:axId val="318683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8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en-US" sz="1300"/>
              <a:t>P/E - Price-to-Earnings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P/E KDH</c:v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ANALYSIS'!$B$33:$F$33</c:f>
              <c:numCache>
                <c:formatCode>General</c:formatCode>
                <c:ptCount val="5"/>
                <c:pt idx="0">
                  <c:v>13.83</c:v>
                </c:pt>
                <c:pt idx="1">
                  <c:v>25.43</c:v>
                </c:pt>
                <c:pt idx="2">
                  <c:v>16.28</c:v>
                </c:pt>
                <c:pt idx="3">
                  <c:v>32.28</c:v>
                </c:pt>
                <c:pt idx="4">
                  <c:v>38.590000000000003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E-491F-84C7-8512EAB9E61F}"/>
            </c:ext>
          </c:extLst>
        </c:ser>
        <c:ser>
          <c:idx val="1"/>
          <c:order val="1"/>
          <c:tx>
            <c:v>P/E Industry</c:v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ANALYSIS'!$B$43:$F$43</c:f>
              <c:numCache>
                <c:formatCode>General</c:formatCode>
                <c:ptCount val="5"/>
                <c:pt idx="0">
                  <c:v>19.45</c:v>
                </c:pt>
                <c:pt idx="1">
                  <c:v>23.34</c:v>
                </c:pt>
                <c:pt idx="2">
                  <c:v>13.93</c:v>
                </c:pt>
                <c:pt idx="3">
                  <c:v>14.79</c:v>
                </c:pt>
                <c:pt idx="4">
                  <c:v>14.16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1E-491F-84C7-8512EAB9E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68556600"/>
        <c:axId val="1768553720"/>
        <c:axId val="0"/>
      </c:bar3DChart>
      <c:catAx>
        <c:axId val="176855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3720"/>
        <c:crosses val="autoZero"/>
        <c:auto val="1"/>
        <c:lblAlgn val="ctr"/>
        <c:lblOffset val="100"/>
        <c:noMultiLvlLbl val="0"/>
      </c:catAx>
      <c:valAx>
        <c:axId val="176855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EPS - Earnings Per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EPS KDH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ANALYSIS'!$B$34:$F$34</c:f>
              <c:numCache>
                <c:formatCode>General</c:formatCode>
                <c:ptCount val="5"/>
                <c:pt idx="0">
                  <c:v>2.12</c:v>
                </c:pt>
                <c:pt idx="1">
                  <c:v>2.0059999999999998</c:v>
                </c:pt>
                <c:pt idx="2">
                  <c:v>1.627</c:v>
                </c:pt>
                <c:pt idx="3">
                  <c:v>0.97199999999999998</c:v>
                </c:pt>
                <c:pt idx="4">
                  <c:v>0.93500000000000005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4-4133-893F-16F9A0E2DBA2}"/>
            </c:ext>
          </c:extLst>
        </c:ser>
        <c:ser>
          <c:idx val="1"/>
          <c:order val="1"/>
          <c:tx>
            <c:v>EPS Industry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ANALYSIS'!$B$44:$F$44</c:f>
              <c:numCache>
                <c:formatCode>General</c:formatCode>
                <c:ptCount val="5"/>
                <c:pt idx="0">
                  <c:v>2.488</c:v>
                </c:pt>
                <c:pt idx="1">
                  <c:v>2.5150000000000001</c:v>
                </c:pt>
                <c:pt idx="2">
                  <c:v>2.093</c:v>
                </c:pt>
                <c:pt idx="3">
                  <c:v>1.9019999999999999</c:v>
                </c:pt>
                <c:pt idx="4">
                  <c:v>1.843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54-4133-893F-16F9A0E2D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70394728"/>
        <c:axId val="1770396168"/>
        <c:axId val="0"/>
      </c:bar3DChart>
      <c:catAx>
        <c:axId val="177039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6168"/>
        <c:crosses val="autoZero"/>
        <c:auto val="1"/>
        <c:lblAlgn val="ctr"/>
        <c:lblOffset val="100"/>
        <c:noMultiLvlLbl val="0"/>
      </c:catAx>
      <c:valAx>
        <c:axId val="177039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- 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ROE KDH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ANALYSIS'!$B$35:$F$35</c:f>
              <c:numCache>
                <c:formatCode>General</c:formatCode>
                <c:ptCount val="5"/>
                <c:pt idx="0">
                  <c:v>14.57</c:v>
                </c:pt>
                <c:pt idx="1">
                  <c:v>13.09</c:v>
                </c:pt>
                <c:pt idx="2">
                  <c:v>10.02</c:v>
                </c:pt>
                <c:pt idx="3">
                  <c:v>5.24</c:v>
                </c:pt>
                <c:pt idx="4">
                  <c:v>4.63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3-4FBD-AF71-633F4C4C9A9A}"/>
            </c:ext>
          </c:extLst>
        </c:ser>
        <c:ser>
          <c:idx val="1"/>
          <c:order val="1"/>
          <c:tx>
            <c:v>ROE Industry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ANALYSIS'!$B$45:$F$45</c:f>
              <c:numCache>
                <c:formatCode>General</c:formatCode>
                <c:ptCount val="5"/>
                <c:pt idx="0">
                  <c:v>12.83</c:v>
                </c:pt>
                <c:pt idx="1">
                  <c:v>10.87</c:v>
                </c:pt>
                <c:pt idx="2">
                  <c:v>9.0299999999999994</c:v>
                </c:pt>
                <c:pt idx="3">
                  <c:v>8.83</c:v>
                </c:pt>
                <c:pt idx="4">
                  <c:v>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3-4FBD-AF71-633F4C4C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138311"/>
        <c:axId val="189137591"/>
        <c:axId val="0"/>
      </c:bar3DChart>
      <c:catAx>
        <c:axId val="18913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7591"/>
        <c:crosses val="autoZero"/>
        <c:auto val="1"/>
        <c:lblAlgn val="ctr"/>
        <c:lblOffset val="100"/>
        <c:noMultiLvlLbl val="0"/>
      </c:catAx>
      <c:valAx>
        <c:axId val="18913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D/A - Debt-to-Assets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D/A KDH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ANALYSIS'!$B$36:$F$36</c:f>
              <c:numCache>
                <c:formatCode>General</c:formatCode>
                <c:ptCount val="5"/>
                <c:pt idx="0">
                  <c:v>41.45</c:v>
                </c:pt>
                <c:pt idx="1">
                  <c:v>28.88</c:v>
                </c:pt>
                <c:pt idx="2">
                  <c:v>45.24</c:v>
                </c:pt>
                <c:pt idx="3">
                  <c:v>41.38</c:v>
                </c:pt>
                <c:pt idx="4">
                  <c:v>36.75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0-4800-AD58-B19DF086CA39}"/>
            </c:ext>
          </c:extLst>
        </c:ser>
        <c:ser>
          <c:idx val="1"/>
          <c:order val="1"/>
          <c:tx>
            <c:v>D/A Industry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ANALYSIS'!$B$46:$F$46</c:f>
              <c:numCache>
                <c:formatCode>General</c:formatCode>
                <c:ptCount val="5"/>
                <c:pt idx="0">
                  <c:v>63.29</c:v>
                </c:pt>
                <c:pt idx="1">
                  <c:v>58.43</c:v>
                </c:pt>
                <c:pt idx="2">
                  <c:v>65.650000000000006</c:v>
                </c:pt>
                <c:pt idx="3">
                  <c:v>65.27</c:v>
                </c:pt>
                <c:pt idx="4">
                  <c:v>67.62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B0-4800-AD58-B19DF086C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8683359"/>
        <c:axId val="318683719"/>
        <c:axId val="0"/>
      </c:bar3DChart>
      <c:catAx>
        <c:axId val="31868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83719"/>
        <c:crosses val="autoZero"/>
        <c:auto val="1"/>
        <c:lblAlgn val="ctr"/>
        <c:lblOffset val="100"/>
        <c:noMultiLvlLbl val="0"/>
      </c:catAx>
      <c:valAx>
        <c:axId val="318683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8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en-US" sz="1300"/>
              <a:t>P/E - Price-to-Earnings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P/E FPT</c:v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ANALYSIS'!$B$100:$F$100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ANALYSIS'!$B$91:$F$91</c:f>
              <c:numCache>
                <c:formatCode>General</c:formatCode>
                <c:ptCount val="5"/>
                <c:pt idx="0">
                  <c:v>12.44</c:v>
                </c:pt>
                <c:pt idx="1">
                  <c:v>18.36</c:v>
                </c:pt>
                <c:pt idx="2">
                  <c:v>14.64</c:v>
                </c:pt>
                <c:pt idx="3">
                  <c:v>17.559999999999999</c:v>
                </c:pt>
                <c:pt idx="4">
                  <c:v>26.74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F-4DCE-ABC0-F5846AD9639F}"/>
            </c:ext>
          </c:extLst>
        </c:ser>
        <c:ser>
          <c:idx val="1"/>
          <c:order val="1"/>
          <c:tx>
            <c:v>P/E Industry</c:v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ANALYSIS'!$B$100:$F$100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ANALYSIS'!$B$101:$F$101</c:f>
              <c:numCache>
                <c:formatCode>General</c:formatCode>
                <c:ptCount val="5"/>
                <c:pt idx="0">
                  <c:v>17.48</c:v>
                </c:pt>
                <c:pt idx="1">
                  <c:v>19.170000000000002</c:v>
                </c:pt>
                <c:pt idx="2">
                  <c:v>18.600000000000001</c:v>
                </c:pt>
                <c:pt idx="3">
                  <c:v>19.53</c:v>
                </c:pt>
                <c:pt idx="4">
                  <c:v>26.09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4F-4DCE-ABC0-F5846AD96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68556600"/>
        <c:axId val="1768553720"/>
        <c:axId val="0"/>
      </c:bar3DChart>
      <c:catAx>
        <c:axId val="176855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3720"/>
        <c:crosses val="autoZero"/>
        <c:auto val="1"/>
        <c:lblAlgn val="ctr"/>
        <c:lblOffset val="100"/>
        <c:noMultiLvlLbl val="0"/>
      </c:catAx>
      <c:valAx>
        <c:axId val="176855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EPS - Earnings Per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EPS FPT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ANALYSIS'!$B$89:$F$89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ANALYSIS'!$B$92:$F$92</c:f>
              <c:numCache>
                <c:formatCode>General</c:formatCode>
                <c:ptCount val="5"/>
                <c:pt idx="0">
                  <c:v>4.7439999999999998</c:v>
                </c:pt>
                <c:pt idx="1">
                  <c:v>5.0650000000000004</c:v>
                </c:pt>
                <c:pt idx="2">
                  <c:v>5.2510000000000003</c:v>
                </c:pt>
                <c:pt idx="3">
                  <c:v>5.4710000000000001</c:v>
                </c:pt>
                <c:pt idx="4">
                  <c:v>5.7030000000000003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5-42D6-BC41-841D4BE63004}"/>
            </c:ext>
          </c:extLst>
        </c:ser>
        <c:ser>
          <c:idx val="1"/>
          <c:order val="1"/>
          <c:tx>
            <c:v>EPS Industry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ANALYSIS'!$B$89:$F$89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ANALYSIS'!$B$102:$F$102</c:f>
              <c:numCache>
                <c:formatCode>General</c:formatCode>
                <c:ptCount val="5"/>
                <c:pt idx="0">
                  <c:v>2.177</c:v>
                </c:pt>
                <c:pt idx="1">
                  <c:v>3.339</c:v>
                </c:pt>
                <c:pt idx="2">
                  <c:v>2.8460000000000001</c:v>
                </c:pt>
                <c:pt idx="3">
                  <c:v>3.4670000000000001</c:v>
                </c:pt>
                <c:pt idx="4">
                  <c:v>4.516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5-42D6-BC41-841D4BE63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70394728"/>
        <c:axId val="1770396168"/>
        <c:axId val="0"/>
      </c:bar3DChart>
      <c:catAx>
        <c:axId val="177039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6168"/>
        <c:crosses val="autoZero"/>
        <c:auto val="1"/>
        <c:lblAlgn val="ctr"/>
        <c:lblOffset val="100"/>
        <c:noMultiLvlLbl val="0"/>
      </c:catAx>
      <c:valAx>
        <c:axId val="177039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- 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ROE FPT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ANALYSIS'!$B$89:$F$89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ANALYSIS'!$B$93:$F$93</c:f>
              <c:numCache>
                <c:formatCode>General</c:formatCode>
                <c:ptCount val="5"/>
                <c:pt idx="0">
                  <c:v>19.989999999999998</c:v>
                </c:pt>
                <c:pt idx="1">
                  <c:v>21.67</c:v>
                </c:pt>
                <c:pt idx="2">
                  <c:v>22.71</c:v>
                </c:pt>
                <c:pt idx="3">
                  <c:v>23.39</c:v>
                </c:pt>
                <c:pt idx="4">
                  <c:v>23.93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D-4013-9452-2BA5EA9F7F91}"/>
            </c:ext>
          </c:extLst>
        </c:ser>
        <c:ser>
          <c:idx val="1"/>
          <c:order val="1"/>
          <c:tx>
            <c:v>ROE Industry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ANALYSIS'!$B$89:$F$89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ANALYSIS'!$B$103:$F$103</c:f>
              <c:numCache>
                <c:formatCode>General</c:formatCode>
                <c:ptCount val="5"/>
                <c:pt idx="0">
                  <c:v>15.3</c:v>
                </c:pt>
                <c:pt idx="1">
                  <c:v>21.28</c:v>
                </c:pt>
                <c:pt idx="2">
                  <c:v>18.899999999999999</c:v>
                </c:pt>
                <c:pt idx="3">
                  <c:v>22.3</c:v>
                </c:pt>
                <c:pt idx="4">
                  <c:v>25.97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D-4013-9452-2BA5EA9F7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138311"/>
        <c:axId val="189137591"/>
        <c:axId val="0"/>
      </c:bar3DChart>
      <c:catAx>
        <c:axId val="18913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7591"/>
        <c:crosses val="autoZero"/>
        <c:auto val="1"/>
        <c:lblAlgn val="ctr"/>
        <c:lblOffset val="100"/>
        <c:noMultiLvlLbl val="0"/>
      </c:catAx>
      <c:valAx>
        <c:axId val="18913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D/A - Debt-to-Assets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D/A FPT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ANALYSIS'!$B$89:$F$89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ANALYSIS'!$B$94:$F$94</c:f>
              <c:numCache>
                <c:formatCode>General</c:formatCode>
                <c:ptCount val="5"/>
                <c:pt idx="0">
                  <c:v>55.42</c:v>
                </c:pt>
                <c:pt idx="1">
                  <c:v>60.11</c:v>
                </c:pt>
                <c:pt idx="2">
                  <c:v>50.91</c:v>
                </c:pt>
                <c:pt idx="3">
                  <c:v>50.35</c:v>
                </c:pt>
                <c:pt idx="4">
                  <c:v>50.38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6-4DDD-A543-275D9853966D}"/>
            </c:ext>
          </c:extLst>
        </c:ser>
        <c:ser>
          <c:idx val="1"/>
          <c:order val="1"/>
          <c:tx>
            <c:v>D/A Industry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ANALYSIS'!$B$89:$F$89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ANALYSIS'!$B$104:$F$104</c:f>
              <c:numCache>
                <c:formatCode>General</c:formatCode>
                <c:ptCount val="5"/>
                <c:pt idx="0">
                  <c:v>57.88</c:v>
                </c:pt>
                <c:pt idx="1">
                  <c:v>60.62</c:v>
                </c:pt>
                <c:pt idx="2">
                  <c:v>54.43</c:v>
                </c:pt>
                <c:pt idx="3">
                  <c:v>53.65</c:v>
                </c:pt>
                <c:pt idx="4">
                  <c:v>52.83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76-4DDD-A543-275D98539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8683359"/>
        <c:axId val="318683719"/>
        <c:axId val="0"/>
      </c:bar3DChart>
      <c:catAx>
        <c:axId val="31868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83719"/>
        <c:crosses val="autoZero"/>
        <c:auto val="1"/>
        <c:lblAlgn val="ctr"/>
        <c:lblOffset val="100"/>
        <c:noMultiLvlLbl val="0"/>
      </c:catAx>
      <c:valAx>
        <c:axId val="318683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8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en-US" sz="1300"/>
              <a:t>P/E - Price-to-Earnings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P/E REE</c:v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ANALYSIS'!$B$117:$F$117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ANALYSIS'!$B$119:$F$119</c:f>
              <c:numCache>
                <c:formatCode>General</c:formatCode>
                <c:ptCount val="5"/>
                <c:pt idx="0">
                  <c:v>9.32</c:v>
                </c:pt>
                <c:pt idx="1">
                  <c:v>11.51</c:v>
                </c:pt>
                <c:pt idx="2">
                  <c:v>8.9700000000000006</c:v>
                </c:pt>
                <c:pt idx="3">
                  <c:v>10.07</c:v>
                </c:pt>
                <c:pt idx="4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E8F-BCFE-EBF677584615}"/>
            </c:ext>
          </c:extLst>
        </c:ser>
        <c:ser>
          <c:idx val="1"/>
          <c:order val="1"/>
          <c:tx>
            <c:v>P/E Industry</c:v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ANALYSIS'!$B$117:$F$117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ANALYSIS'!$B$129:$F$129</c:f>
              <c:numCache>
                <c:formatCode>General</c:formatCode>
                <c:ptCount val="5"/>
                <c:pt idx="0">
                  <c:v>14.3</c:v>
                </c:pt>
                <c:pt idx="1">
                  <c:v>16.399999999999999</c:v>
                </c:pt>
                <c:pt idx="2">
                  <c:v>10.78</c:v>
                </c:pt>
                <c:pt idx="3">
                  <c:v>14.02</c:v>
                </c:pt>
                <c:pt idx="4">
                  <c:v>16.53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71-4E8F-BCFE-EBF677584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68556600"/>
        <c:axId val="1768553720"/>
        <c:axId val="0"/>
      </c:bar3DChart>
      <c:catAx>
        <c:axId val="176855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3720"/>
        <c:crosses val="autoZero"/>
        <c:auto val="1"/>
        <c:lblAlgn val="ctr"/>
        <c:lblOffset val="100"/>
        <c:noMultiLvlLbl val="0"/>
      </c:catAx>
      <c:valAx>
        <c:axId val="176855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EPS - Earnings Per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EPS REE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ANALYSIS'!$B$117:$F$117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ANALYSIS'!$B$120:$F$120</c:f>
              <c:numCache>
                <c:formatCode>General</c:formatCode>
                <c:ptCount val="5"/>
                <c:pt idx="0">
                  <c:v>5.2510000000000003</c:v>
                </c:pt>
                <c:pt idx="1">
                  <c:v>6.0019999999999998</c:v>
                </c:pt>
                <c:pt idx="2">
                  <c:v>7.9720000000000004</c:v>
                </c:pt>
                <c:pt idx="3">
                  <c:v>5.64</c:v>
                </c:pt>
                <c:pt idx="4">
                  <c:v>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5-4114-8AAF-32F17941052F}"/>
            </c:ext>
          </c:extLst>
        </c:ser>
        <c:ser>
          <c:idx val="1"/>
          <c:order val="1"/>
          <c:tx>
            <c:v>EPS Industry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ANALYSIS'!$B$117:$F$117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ANALYSIS'!$B$130:$F$130</c:f>
              <c:numCache>
                <c:formatCode>General</c:formatCode>
                <c:ptCount val="5"/>
                <c:pt idx="0">
                  <c:v>2.016</c:v>
                </c:pt>
                <c:pt idx="1">
                  <c:v>2.1320000000000001</c:v>
                </c:pt>
                <c:pt idx="2">
                  <c:v>2.8159999999999998</c:v>
                </c:pt>
                <c:pt idx="3">
                  <c:v>1.97</c:v>
                </c:pt>
                <c:pt idx="4">
                  <c:v>1.74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85-4114-8AAF-32F179410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70394728"/>
        <c:axId val="1770396168"/>
        <c:axId val="0"/>
      </c:bar3DChart>
      <c:catAx>
        <c:axId val="177039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6168"/>
        <c:crosses val="autoZero"/>
        <c:auto val="1"/>
        <c:lblAlgn val="ctr"/>
        <c:lblOffset val="100"/>
        <c:noMultiLvlLbl val="0"/>
      </c:catAx>
      <c:valAx>
        <c:axId val="177039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- 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ROE REE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ANALYSIS'!$B$117:$F$117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ANALYSIS'!$B$121:$F$121</c:f>
              <c:numCache>
                <c:formatCode>General</c:formatCode>
                <c:ptCount val="5"/>
                <c:pt idx="0">
                  <c:v>13.97</c:v>
                </c:pt>
                <c:pt idx="1">
                  <c:v>12.99</c:v>
                </c:pt>
                <c:pt idx="2">
                  <c:v>15.14</c:v>
                </c:pt>
                <c:pt idx="3">
                  <c:v>10.95</c:v>
                </c:pt>
                <c:pt idx="4">
                  <c:v>9.2200000000000006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C-4B04-9973-333E3C931524}"/>
            </c:ext>
          </c:extLst>
        </c:ser>
        <c:ser>
          <c:idx val="1"/>
          <c:order val="1"/>
          <c:tx>
            <c:v>ROE Industry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ANALYSIS'!$B$117:$F$117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ANALYSIS'!$B$131:$F$131</c:f>
              <c:numCache>
                <c:formatCode>General</c:formatCode>
                <c:ptCount val="5"/>
                <c:pt idx="0">
                  <c:v>13.06</c:v>
                </c:pt>
                <c:pt idx="1">
                  <c:v>13.29</c:v>
                </c:pt>
                <c:pt idx="2">
                  <c:v>17.010000000000002</c:v>
                </c:pt>
                <c:pt idx="3">
                  <c:v>11.41</c:v>
                </c:pt>
                <c:pt idx="4">
                  <c:v>10.25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3C-4B04-9973-333E3C931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138311"/>
        <c:axId val="189137591"/>
        <c:axId val="0"/>
      </c:bar3DChart>
      <c:catAx>
        <c:axId val="18913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7591"/>
        <c:crosses val="autoZero"/>
        <c:auto val="1"/>
        <c:lblAlgn val="ctr"/>
        <c:lblOffset val="100"/>
        <c:noMultiLvlLbl val="0"/>
      </c:catAx>
      <c:valAx>
        <c:axId val="18913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D/A - Debt-to-Assets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D/A REE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ANALYSIS'!$B$117:$F$117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ANALYSIS'!$B$122:$F$122</c:f>
              <c:numCache>
                <c:formatCode>General</c:formatCode>
                <c:ptCount val="5"/>
                <c:pt idx="0">
                  <c:v>40.51</c:v>
                </c:pt>
                <c:pt idx="1">
                  <c:v>48.6</c:v>
                </c:pt>
                <c:pt idx="2">
                  <c:v>43.38</c:v>
                </c:pt>
                <c:pt idx="3">
                  <c:v>40.51</c:v>
                </c:pt>
                <c:pt idx="4">
                  <c:v>38.25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8-4659-AC5D-37939C625D30}"/>
            </c:ext>
          </c:extLst>
        </c:ser>
        <c:ser>
          <c:idx val="1"/>
          <c:order val="1"/>
          <c:tx>
            <c:v>D/A Industry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ANALYSIS'!$B$117:$F$117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ANALYSIS'!$B$132:$F$132</c:f>
              <c:numCache>
                <c:formatCode>General</c:formatCode>
                <c:ptCount val="5"/>
                <c:pt idx="0">
                  <c:v>49.33</c:v>
                </c:pt>
                <c:pt idx="1">
                  <c:v>49.09</c:v>
                </c:pt>
                <c:pt idx="2">
                  <c:v>46.41</c:v>
                </c:pt>
                <c:pt idx="3">
                  <c:v>46.27</c:v>
                </c:pt>
                <c:pt idx="4">
                  <c:v>46.31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08-4659-AC5D-37939C625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8683359"/>
        <c:axId val="318683719"/>
        <c:axId val="0"/>
      </c:bar3DChart>
      <c:catAx>
        <c:axId val="31868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83719"/>
        <c:crosses val="autoZero"/>
        <c:auto val="1"/>
        <c:lblAlgn val="ctr"/>
        <c:lblOffset val="100"/>
        <c:noMultiLvlLbl val="0"/>
      </c:catAx>
      <c:valAx>
        <c:axId val="318683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8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en-US" sz="1300"/>
              <a:t>P/E - Price-to-Earnings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P/E MBB</c:v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ANALYSIS'!$B$61:$F$61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ANALYSIS'!$B$63:$F$63</c:f>
              <c:numCache>
                <c:formatCode>General</c:formatCode>
                <c:ptCount val="5"/>
                <c:pt idx="0">
                  <c:v>6.91</c:v>
                </c:pt>
                <c:pt idx="1">
                  <c:v>7.39</c:v>
                </c:pt>
                <c:pt idx="2">
                  <c:v>3.95</c:v>
                </c:pt>
                <c:pt idx="3">
                  <c:v>4.37</c:v>
                </c:pt>
                <c:pt idx="4">
                  <c:v>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9-4D15-A48F-D644D316B8CF}"/>
            </c:ext>
          </c:extLst>
        </c:ser>
        <c:ser>
          <c:idx val="1"/>
          <c:order val="1"/>
          <c:tx>
            <c:v>P/E Industry</c:v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ANALYSIS'!$B$61:$F$61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ANALYSIS'!$B$73:$F$73</c:f>
              <c:numCache>
                <c:formatCode>General</c:formatCode>
                <c:ptCount val="5"/>
                <c:pt idx="0">
                  <c:v>11.88</c:v>
                </c:pt>
                <c:pt idx="1">
                  <c:v>11.01</c:v>
                </c:pt>
                <c:pt idx="2">
                  <c:v>7.17</c:v>
                </c:pt>
                <c:pt idx="3">
                  <c:v>8.07</c:v>
                </c:pt>
                <c:pt idx="4">
                  <c:v>8.51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9-4D15-A48F-D644D316B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68556600"/>
        <c:axId val="1768553720"/>
        <c:axId val="0"/>
      </c:bar3DChart>
      <c:catAx>
        <c:axId val="176855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3720"/>
        <c:crosses val="autoZero"/>
        <c:auto val="1"/>
        <c:lblAlgn val="ctr"/>
        <c:lblOffset val="100"/>
        <c:noMultiLvlLbl val="0"/>
      </c:catAx>
      <c:valAx>
        <c:axId val="176855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85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EPS - Earnings Per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EPS MBB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ANALYSIS'!$B$61:$F$61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ANALYSIS'!$B$64:$F$64</c:f>
              <c:numCache>
                <c:formatCode>General</c:formatCode>
                <c:ptCount val="5"/>
                <c:pt idx="0">
                  <c:v>3.3290000000000002</c:v>
                </c:pt>
                <c:pt idx="1">
                  <c:v>3.903</c:v>
                </c:pt>
                <c:pt idx="2">
                  <c:v>4.3280000000000003</c:v>
                </c:pt>
                <c:pt idx="3">
                  <c:v>4.2640000000000002</c:v>
                </c:pt>
                <c:pt idx="4">
                  <c:v>4.2830000000000004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1-489D-99B7-91697E3571A8}"/>
            </c:ext>
          </c:extLst>
        </c:ser>
        <c:ser>
          <c:idx val="1"/>
          <c:order val="1"/>
          <c:tx>
            <c:v>EPS Industry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ANALYSIS'!$B$61:$F$61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ANALYSIS'!$B$74:$F$74</c:f>
              <c:numCache>
                <c:formatCode>General</c:formatCode>
                <c:ptCount val="5"/>
                <c:pt idx="0">
                  <c:v>2.8650000000000002</c:v>
                </c:pt>
                <c:pt idx="1">
                  <c:v>3.4129999999999998</c:v>
                </c:pt>
                <c:pt idx="2">
                  <c:v>3.6890000000000001</c:v>
                </c:pt>
                <c:pt idx="3">
                  <c:v>3.2970000000000002</c:v>
                </c:pt>
                <c:pt idx="4">
                  <c:v>3.3159999999999998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71-489D-99B7-91697E357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770394728"/>
        <c:axId val="1770396168"/>
        <c:axId val="0"/>
      </c:bar3DChart>
      <c:catAx>
        <c:axId val="177039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6168"/>
        <c:crosses val="autoZero"/>
        <c:auto val="1"/>
        <c:lblAlgn val="ctr"/>
        <c:lblOffset val="100"/>
        <c:noMultiLvlLbl val="0"/>
      </c:catAx>
      <c:valAx>
        <c:axId val="177039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- 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ROE MBB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ANALYSIS'!$B$61:$F$61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ANALYSIS'!$B$65:$F$65</c:f>
              <c:numCache>
                <c:formatCode>General</c:formatCode>
                <c:ptCount val="5"/>
                <c:pt idx="0">
                  <c:v>1.82</c:v>
                </c:pt>
                <c:pt idx="1">
                  <c:v>2.2999999999999998</c:v>
                </c:pt>
                <c:pt idx="2">
                  <c:v>2.62</c:v>
                </c:pt>
                <c:pt idx="3">
                  <c:v>2.4700000000000002</c:v>
                </c:pt>
                <c:pt idx="4">
                  <c:v>2.1800000000000002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2-4753-B724-7F34DBC000F1}"/>
            </c:ext>
          </c:extLst>
        </c:ser>
        <c:ser>
          <c:idx val="1"/>
          <c:order val="1"/>
          <c:tx>
            <c:v>ROE Industry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numRef>
              <c:f>'STOCK ANALYSIS'!$B$61:$F$61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'STOCK ANALYSIS'!$B$75:$F$75</c:f>
              <c:numCache>
                <c:formatCode>General</c:formatCode>
                <c:ptCount val="5"/>
                <c:pt idx="0">
                  <c:v>1.23</c:v>
                </c:pt>
                <c:pt idx="1">
                  <c:v>1.43</c:v>
                </c:pt>
                <c:pt idx="2">
                  <c:v>1.65</c:v>
                </c:pt>
                <c:pt idx="3">
                  <c:v>1.47</c:v>
                </c:pt>
                <c:pt idx="4">
                  <c:v>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F2-4753-B724-7F34DBC00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138311"/>
        <c:axId val="189137591"/>
        <c:axId val="0"/>
      </c:bar3DChart>
      <c:catAx>
        <c:axId val="18913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7591"/>
        <c:crosses val="autoZero"/>
        <c:auto val="1"/>
        <c:lblAlgn val="ctr"/>
        <c:lblOffset val="100"/>
        <c:noMultiLvlLbl val="0"/>
      </c:catAx>
      <c:valAx>
        <c:axId val="18913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593513</xdr:colOff>
      <xdr:row>8</xdr:row>
      <xdr:rowOff>179070</xdr:rowOff>
    </xdr:from>
    <xdr:to>
      <xdr:col>16</xdr:col>
      <xdr:colOff>288713</xdr:colOff>
      <xdr:row>21</xdr:row>
      <xdr:rowOff>162136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8A9B08-F0A9-8EF3-2C53-649D48693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</xdr:colOff>
      <xdr:row>24</xdr:row>
      <xdr:rowOff>313265</xdr:rowOff>
    </xdr:from>
    <xdr:to>
      <xdr:col>16</xdr:col>
      <xdr:colOff>330200</xdr:colOff>
      <xdr:row>38</xdr:row>
      <xdr:rowOff>101598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370C66-A621-42A5-855C-204B08771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566570</xdr:colOff>
      <xdr:row>0</xdr:row>
      <xdr:rowOff>240701</xdr:rowOff>
    </xdr:from>
    <xdr:to>
      <xdr:col>21</xdr:col>
      <xdr:colOff>439271</xdr:colOff>
      <xdr:row>34</xdr:row>
      <xdr:rowOff>206187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3EA0E-4601-EC9D-3977-62B50F172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563880</xdr:colOff>
      <xdr:row>12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98A02D-4E00-79AE-E69D-63FD9B62BC53}"/>
            </a:ext>
          </a:extLst>
        </xdr:cNvPr>
        <xdr:cNvSpPr txBox="1"/>
      </xdr:nvSpPr>
      <xdr:spPr>
        <a:xfrm>
          <a:off x="6629400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403860</xdr:colOff>
      <xdr:row>0</xdr:row>
      <xdr:rowOff>148590</xdr:rowOff>
    </xdr:from>
    <xdr:to>
      <xdr:col>13</xdr:col>
      <xdr:colOff>510540</xdr:colOff>
      <xdr:row>11</xdr:row>
      <xdr:rowOff>228600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F13580-9F3D-CB9A-2BE0-A02269C8D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403860</xdr:colOff>
      <xdr:row>0</xdr:row>
      <xdr:rowOff>140970</xdr:rowOff>
    </xdr:from>
    <xdr:to>
      <xdr:col>21</xdr:col>
      <xdr:colOff>259080</xdr:colOff>
      <xdr:row>12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29E355-F6D9-56E9-E309-F69738CE2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411480</xdr:colOff>
      <xdr:row>12</xdr:row>
      <xdr:rowOff>186690</xdr:rowOff>
    </xdr:from>
    <xdr:to>
      <xdr:col>13</xdr:col>
      <xdr:colOff>533400</xdr:colOff>
      <xdr:row>26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A946CF-E495-B66F-9387-1C6C04E60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472440</xdr:colOff>
      <xdr:row>12</xdr:row>
      <xdr:rowOff>186690</xdr:rowOff>
    </xdr:from>
    <xdr:to>
      <xdr:col>21</xdr:col>
      <xdr:colOff>251460</xdr:colOff>
      <xdr:row>25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9EB442-B61E-B65A-E6FB-1C1863CF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495300</xdr:colOff>
      <xdr:row>29</xdr:row>
      <xdr:rowOff>30480</xdr:rowOff>
    </xdr:from>
    <xdr:to>
      <xdr:col>13</xdr:col>
      <xdr:colOff>601980</xdr:colOff>
      <xdr:row>40</xdr:row>
      <xdr:rowOff>110490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5112DC-B2A6-45ED-97E2-C29B719D1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7620</xdr:colOff>
      <xdr:row>29</xdr:row>
      <xdr:rowOff>15240</xdr:rowOff>
    </xdr:from>
    <xdr:to>
      <xdr:col>21</xdr:col>
      <xdr:colOff>472440</xdr:colOff>
      <xdr:row>40</xdr:row>
      <xdr:rowOff>125730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0594561-1D1B-405B-B711-F4E3D93EC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480060</xdr:colOff>
      <xdr:row>41</xdr:row>
      <xdr:rowOff>0</xdr:rowOff>
    </xdr:from>
    <xdr:to>
      <xdr:col>13</xdr:col>
      <xdr:colOff>601980</xdr:colOff>
      <xdr:row>53</xdr:row>
      <xdr:rowOff>179070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FBB9A8C-4AB4-4B7E-8733-AD79BFBFE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41</xdr:row>
      <xdr:rowOff>0</xdr:rowOff>
    </xdr:from>
    <xdr:to>
      <xdr:col>21</xdr:col>
      <xdr:colOff>514350</xdr:colOff>
      <xdr:row>54</xdr:row>
      <xdr:rowOff>9525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37EE726-D9FB-4AB8-85FD-815B44094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87</xdr:row>
      <xdr:rowOff>0</xdr:rowOff>
    </xdr:from>
    <xdr:to>
      <xdr:col>14</xdr:col>
      <xdr:colOff>106680</xdr:colOff>
      <xdr:row>98</xdr:row>
      <xdr:rowOff>80010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848F62D-412A-46E2-8F7B-34CFC7215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87</xdr:row>
      <xdr:rowOff>0</xdr:rowOff>
    </xdr:from>
    <xdr:to>
      <xdr:col>21</xdr:col>
      <xdr:colOff>464820</xdr:colOff>
      <xdr:row>98</xdr:row>
      <xdr:rowOff>110490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44091DC-183E-4729-B9D9-950FE5CB5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581025</xdr:colOff>
      <xdr:row>98</xdr:row>
      <xdr:rowOff>228600</xdr:rowOff>
    </xdr:from>
    <xdr:to>
      <xdr:col>14</xdr:col>
      <xdr:colOff>93345</xdr:colOff>
      <xdr:row>111</xdr:row>
      <xdr:rowOff>169545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0761D07-7AFA-474B-880E-FAFD83360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99</xdr:row>
      <xdr:rowOff>0</xdr:rowOff>
    </xdr:from>
    <xdr:to>
      <xdr:col>21</xdr:col>
      <xdr:colOff>388620</xdr:colOff>
      <xdr:row>111</xdr:row>
      <xdr:rowOff>148590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C3F6A28-5B53-446F-83BE-666E890B5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428625</xdr:colOff>
      <xdr:row>116</xdr:row>
      <xdr:rowOff>0</xdr:rowOff>
    </xdr:from>
    <xdr:to>
      <xdr:col>14</xdr:col>
      <xdr:colOff>106680</xdr:colOff>
      <xdr:row>128</xdr:row>
      <xdr:rowOff>38100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976B404-73BF-4CE8-A883-D5ADD2CE7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523875</xdr:colOff>
      <xdr:row>115</xdr:row>
      <xdr:rowOff>238124</xdr:rowOff>
    </xdr:from>
    <xdr:to>
      <xdr:col>21</xdr:col>
      <xdr:colOff>464820</xdr:colOff>
      <xdr:row>128</xdr:row>
      <xdr:rowOff>47624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4550D34-01D8-4057-B49A-C2BB54A73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419100</xdr:colOff>
      <xdr:row>129</xdr:row>
      <xdr:rowOff>0</xdr:rowOff>
    </xdr:from>
    <xdr:to>
      <xdr:col>14</xdr:col>
      <xdr:colOff>121920</xdr:colOff>
      <xdr:row>143</xdr:row>
      <xdr:rowOff>152400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48299F3-2690-48FD-9847-9E2B1016A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523875</xdr:colOff>
      <xdr:row>128</xdr:row>
      <xdr:rowOff>209549</xdr:rowOff>
    </xdr:from>
    <xdr:to>
      <xdr:col>21</xdr:col>
      <xdr:colOff>485775</xdr:colOff>
      <xdr:row>143</xdr:row>
      <xdr:rowOff>152400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DAD9A20-43CB-4FA8-A986-11C48D536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571500</xdr:colOff>
      <xdr:row>57</xdr:row>
      <xdr:rowOff>152399</xdr:rowOff>
    </xdr:from>
    <xdr:to>
      <xdr:col>13</xdr:col>
      <xdr:colOff>590550</xdr:colOff>
      <xdr:row>70</xdr:row>
      <xdr:rowOff>28575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E6D81ED-019C-4CF8-9CC8-009E0F497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590550</xdr:colOff>
      <xdr:row>57</xdr:row>
      <xdr:rowOff>85725</xdr:rowOff>
    </xdr:from>
    <xdr:to>
      <xdr:col>22</xdr:col>
      <xdr:colOff>9524</xdr:colOff>
      <xdr:row>70</xdr:row>
      <xdr:rowOff>9525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2B100B1-E0F9-43E5-879E-F9E139E8B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61595</xdr:colOff>
      <xdr:row>70</xdr:row>
      <xdr:rowOff>104139</xdr:rowOff>
    </xdr:from>
    <xdr:to>
      <xdr:col>18</xdr:col>
      <xdr:colOff>80645</xdr:colOff>
      <xdr:row>82</xdr:row>
      <xdr:rowOff>159384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DD7C11A4-D22A-4B1D-9238-5CE8DA50E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B3CE-8D47-462E-95D0-A0F135C6D19A}">
  <dimension ref="A1:I11"/>
  <sheetViews>
    <sheetView showGridLines="0" topLeftCell="B1" zoomScaleNormal="100" workbookViewId="0">
      <selection activeCell="D18" sqref="D18"/>
    </sheetView>
  </sheetViews>
  <sheetFormatPr defaultRowHeight="14.4" x14ac:dyDescent="0.3"/>
  <cols>
    <col min="1" max="1" width="7.33203125" bestFit="1" customWidth="1"/>
    <col min="2" max="2" width="20.44140625" bestFit="1" customWidth="1"/>
    <col min="3" max="3" width="36" customWidth="1"/>
    <col min="4" max="4" width="34" customWidth="1"/>
    <col min="5" max="5" width="32.109375" bestFit="1" customWidth="1"/>
    <col min="6" max="6" width="20.21875" bestFit="1" customWidth="1"/>
    <col min="7" max="7" width="18.77734375" bestFit="1" customWidth="1"/>
    <col min="8" max="8" width="33.33203125" customWidth="1"/>
    <col min="9" max="9" width="19.109375" bestFit="1" customWidth="1"/>
  </cols>
  <sheetData>
    <row r="1" spans="1:9" ht="16.8" x14ac:dyDescent="0.3">
      <c r="A1" s="7" t="s">
        <v>26</v>
      </c>
      <c r="B1" s="15" t="s">
        <v>7</v>
      </c>
      <c r="C1" s="15" t="s">
        <v>8</v>
      </c>
      <c r="D1" s="15" t="s">
        <v>72</v>
      </c>
      <c r="E1" s="15" t="s">
        <v>73</v>
      </c>
      <c r="F1" s="15" t="s">
        <v>9</v>
      </c>
      <c r="G1" s="15" t="s">
        <v>10</v>
      </c>
      <c r="H1" s="15" t="s">
        <v>60</v>
      </c>
      <c r="I1" s="15" t="s">
        <v>11</v>
      </c>
    </row>
    <row r="2" spans="1:9" ht="16.8" x14ac:dyDescent="0.3">
      <c r="A2" s="14">
        <v>1</v>
      </c>
      <c r="B2" s="14" t="s">
        <v>37</v>
      </c>
      <c r="C2" s="14" t="s">
        <v>49</v>
      </c>
      <c r="D2" s="14" t="s">
        <v>74</v>
      </c>
      <c r="E2" s="14" t="s">
        <v>96</v>
      </c>
      <c r="F2" s="14">
        <v>2.6605E-2</v>
      </c>
      <c r="G2" s="22">
        <v>8.5389000000000007E-2</v>
      </c>
      <c r="H2" s="14" t="s">
        <v>84</v>
      </c>
      <c r="I2" s="22">
        <v>0.223744</v>
      </c>
    </row>
    <row r="3" spans="1:9" ht="16.8" x14ac:dyDescent="0.3">
      <c r="A3" s="14">
        <v>2</v>
      </c>
      <c r="B3" s="14" t="s">
        <v>38</v>
      </c>
      <c r="C3" s="14" t="s">
        <v>50</v>
      </c>
      <c r="D3" s="14" t="s">
        <v>75</v>
      </c>
      <c r="E3" s="14" t="s">
        <v>97</v>
      </c>
      <c r="F3" s="14">
        <v>2.7019000000000001E-2</v>
      </c>
      <c r="G3" s="22">
        <v>8.8789999999999994E-2</v>
      </c>
      <c r="H3" s="14" t="s">
        <v>85</v>
      </c>
      <c r="I3" s="22">
        <v>0.219828</v>
      </c>
    </row>
    <row r="4" spans="1:9" ht="16.8" x14ac:dyDescent="0.3">
      <c r="A4" s="14">
        <v>3</v>
      </c>
      <c r="B4" s="14" t="s">
        <v>39</v>
      </c>
      <c r="C4" s="14" t="s">
        <v>51</v>
      </c>
      <c r="D4" s="14" t="s">
        <v>77</v>
      </c>
      <c r="E4" s="14" t="s">
        <v>98</v>
      </c>
      <c r="F4" s="14">
        <v>2.6601E-2</v>
      </c>
      <c r="G4" s="22">
        <v>8.7173E-2</v>
      </c>
      <c r="H4" s="14" t="s">
        <v>86</v>
      </c>
      <c r="I4" s="22">
        <v>0.21912000000000001</v>
      </c>
    </row>
    <row r="5" spans="1:9" ht="16.8" x14ac:dyDescent="0.3">
      <c r="A5" s="14">
        <v>4</v>
      </c>
      <c r="B5" s="14" t="s">
        <v>40</v>
      </c>
      <c r="C5" s="14" t="s">
        <v>47</v>
      </c>
      <c r="D5" s="14" t="s">
        <v>78</v>
      </c>
      <c r="E5" s="14" t="s">
        <v>99</v>
      </c>
      <c r="F5" s="14">
        <v>2.5262E-2</v>
      </c>
      <c r="G5" s="22">
        <v>8.4325999999999998E-2</v>
      </c>
      <c r="H5" s="14" t="s">
        <v>87</v>
      </c>
      <c r="I5" s="22">
        <v>0.21063299999999999</v>
      </c>
    </row>
    <row r="6" spans="1:9" ht="16.8" x14ac:dyDescent="0.3">
      <c r="A6" s="14">
        <v>5</v>
      </c>
      <c r="B6" s="14" t="s">
        <v>41</v>
      </c>
      <c r="C6" s="14" t="s">
        <v>48</v>
      </c>
      <c r="D6" s="14" t="s">
        <v>76</v>
      </c>
      <c r="E6" s="14" t="s">
        <v>100</v>
      </c>
      <c r="F6" s="14">
        <v>2.5683999999999998E-2</v>
      </c>
      <c r="G6" s="22">
        <v>8.6410000000000001E-2</v>
      </c>
      <c r="H6" s="14" t="s">
        <v>89</v>
      </c>
      <c r="I6" s="22">
        <v>0.21043899999999999</v>
      </c>
    </row>
    <row r="7" spans="1:9" ht="16.8" x14ac:dyDescent="0.3">
      <c r="A7" s="14">
        <v>6</v>
      </c>
      <c r="B7" s="14" t="s">
        <v>42</v>
      </c>
      <c r="C7" s="14" t="s">
        <v>52</v>
      </c>
      <c r="D7" s="14" t="s">
        <v>79</v>
      </c>
      <c r="E7" s="14" t="s">
        <v>101</v>
      </c>
      <c r="F7" s="14">
        <v>2.5669000000000001E-2</v>
      </c>
      <c r="G7" s="22">
        <v>8.7849999999999998E-2</v>
      </c>
      <c r="H7" s="14" t="s">
        <v>91</v>
      </c>
      <c r="I7" s="22">
        <v>0.206816</v>
      </c>
    </row>
    <row r="8" spans="1:9" ht="16.8" x14ac:dyDescent="0.3">
      <c r="A8" s="14">
        <v>7</v>
      </c>
      <c r="B8" s="14" t="s">
        <v>43</v>
      </c>
      <c r="C8" s="14" t="s">
        <v>53</v>
      </c>
      <c r="D8" s="14" t="s">
        <v>82</v>
      </c>
      <c r="E8" s="14" t="s">
        <v>102</v>
      </c>
      <c r="F8" s="14">
        <v>2.1514999999999999E-2</v>
      </c>
      <c r="G8" s="22">
        <v>0.10745300000000001</v>
      </c>
      <c r="H8" s="14" t="s">
        <v>90</v>
      </c>
      <c r="I8" s="22">
        <v>0.13043299999999999</v>
      </c>
    </row>
    <row r="9" spans="1:9" ht="16.8" x14ac:dyDescent="0.3">
      <c r="A9" s="14">
        <v>8</v>
      </c>
      <c r="B9" s="14" t="s">
        <v>44</v>
      </c>
      <c r="C9" s="14" t="s">
        <v>54</v>
      </c>
      <c r="D9" s="14" t="s">
        <v>81</v>
      </c>
      <c r="E9" s="14" t="s">
        <v>95</v>
      </c>
      <c r="F9" s="22">
        <v>2.2499999999999999E-2</v>
      </c>
      <c r="G9" s="22">
        <v>0.118821</v>
      </c>
      <c r="H9" s="14" t="s">
        <v>92</v>
      </c>
      <c r="I9" s="22">
        <v>0.12623699999999999</v>
      </c>
    </row>
    <row r="10" spans="1:9" ht="16.8" x14ac:dyDescent="0.3">
      <c r="A10" s="14">
        <v>9</v>
      </c>
      <c r="B10" s="14" t="s">
        <v>45</v>
      </c>
      <c r="C10" s="14" t="s">
        <v>55</v>
      </c>
      <c r="D10" s="14" t="s">
        <v>80</v>
      </c>
      <c r="E10" s="14" t="s">
        <v>94</v>
      </c>
      <c r="F10" s="14">
        <v>2.1392999999999999E-2</v>
      </c>
      <c r="G10" s="22">
        <v>0.11124100000000001</v>
      </c>
      <c r="H10" s="14" t="s">
        <v>88</v>
      </c>
      <c r="I10" s="22">
        <v>0.124889</v>
      </c>
    </row>
    <row r="11" spans="1:9" ht="16.8" x14ac:dyDescent="0.3">
      <c r="A11" s="14">
        <v>10</v>
      </c>
      <c r="B11" s="14" t="s">
        <v>46</v>
      </c>
      <c r="C11" s="14" t="s">
        <v>56</v>
      </c>
      <c r="D11" s="14" t="s">
        <v>83</v>
      </c>
      <c r="E11" s="14" t="s">
        <v>103</v>
      </c>
      <c r="F11" s="14">
        <v>1.5678999999999998E-2</v>
      </c>
      <c r="G11" s="22">
        <v>8.473E-2</v>
      </c>
      <c r="H11" s="14" t="s">
        <v>93</v>
      </c>
      <c r="I11" s="22">
        <v>9.6529000000000004E-2</v>
      </c>
    </row>
  </sheetData>
  <autoFilter ref="B1:I1" xr:uid="{723FB3CE-8D47-462E-95D0-A0F135C6D19A}">
    <sortState xmlns:xlrd2="http://schemas.microsoft.com/office/spreadsheetml/2017/richdata2" ref="B2:I11">
      <sortCondition descending="1"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showGridLines="0" topLeftCell="D1" workbookViewId="0">
      <selection activeCell="R23" sqref="R23"/>
    </sheetView>
  </sheetViews>
  <sheetFormatPr defaultRowHeight="16.8" x14ac:dyDescent="0.3"/>
  <cols>
    <col min="1" max="1" width="22" style="1" bestFit="1" customWidth="1"/>
    <col min="2" max="3" width="9.21875" style="1" bestFit="1" customWidth="1"/>
    <col min="4" max="4" width="10.44140625" style="1" bestFit="1" customWidth="1"/>
    <col min="5" max="7" width="9.33203125" style="1" bestFit="1" customWidth="1"/>
    <col min="8" max="9" width="11.77734375" style="1" customWidth="1"/>
    <col min="10" max="10" width="11.6640625" style="1" customWidth="1"/>
    <col min="11" max="11" width="12.6640625" style="1" bestFit="1" customWidth="1"/>
    <col min="12" max="12" width="12.44140625" style="1" bestFit="1" customWidth="1"/>
    <col min="13" max="13" width="12" style="1" bestFit="1" customWidth="1"/>
    <col min="14" max="16" width="11.77734375" style="1" customWidth="1"/>
    <col min="17" max="17" width="8.88671875" style="1"/>
    <col min="18" max="18" width="17.44140625" style="1" bestFit="1" customWidth="1"/>
    <col min="19" max="21" width="10.77734375" style="1" customWidth="1"/>
    <col min="22" max="16384" width="8.88671875" style="1"/>
  </cols>
  <sheetData>
    <row r="1" spans="1:21" x14ac:dyDescent="0.3">
      <c r="A1" s="7" t="s">
        <v>0</v>
      </c>
      <c r="B1" s="50" t="s">
        <v>12</v>
      </c>
      <c r="C1" s="50"/>
      <c r="D1" s="50"/>
      <c r="E1" s="50" t="s">
        <v>4</v>
      </c>
      <c r="F1" s="50"/>
      <c r="G1" s="50"/>
      <c r="H1" s="50" t="s">
        <v>5</v>
      </c>
      <c r="I1" s="50"/>
      <c r="J1" s="50"/>
      <c r="K1" s="50"/>
      <c r="L1" s="50"/>
      <c r="M1" s="50"/>
      <c r="N1" s="50" t="s">
        <v>6</v>
      </c>
      <c r="O1" s="50"/>
      <c r="P1" s="50"/>
    </row>
    <row r="2" spans="1:21" x14ac:dyDescent="0.3">
      <c r="A2" s="5"/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  <c r="G2" s="5" t="s">
        <v>3</v>
      </c>
      <c r="H2" s="5" t="s">
        <v>1</v>
      </c>
      <c r="I2" s="5" t="s">
        <v>2</v>
      </c>
      <c r="J2" s="5" t="s">
        <v>3</v>
      </c>
      <c r="K2" s="6" t="s">
        <v>13</v>
      </c>
      <c r="L2" s="6" t="s">
        <v>14</v>
      </c>
      <c r="M2" s="6" t="s">
        <v>15</v>
      </c>
      <c r="N2" s="5" t="s">
        <v>1</v>
      </c>
      <c r="O2" s="5" t="s">
        <v>2</v>
      </c>
      <c r="P2" s="5" t="s">
        <v>3</v>
      </c>
    </row>
    <row r="3" spans="1:21" x14ac:dyDescent="0.3">
      <c r="A3" s="2">
        <v>43832</v>
      </c>
      <c r="B3" s="3">
        <v>11475</v>
      </c>
      <c r="C3" s="3">
        <v>36300</v>
      </c>
      <c r="D3" s="3">
        <v>34708.9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49" t="s">
        <v>16</v>
      </c>
      <c r="S3" s="49"/>
      <c r="T3" s="49"/>
      <c r="U3" s="49"/>
    </row>
    <row r="4" spans="1:21" x14ac:dyDescent="0.3">
      <c r="A4" s="2">
        <v>43864</v>
      </c>
      <c r="B4" s="3">
        <v>10725</v>
      </c>
      <c r="C4" s="3">
        <v>33100</v>
      </c>
      <c r="D4" s="3">
        <v>29529.3</v>
      </c>
      <c r="E4" s="4">
        <f>(B4-B3)/B3</f>
        <v>-6.535947712418301E-2</v>
      </c>
      <c r="F4" s="4">
        <f>(C4-C3)/C3</f>
        <v>-8.8154269972451793E-2</v>
      </c>
      <c r="G4" s="4">
        <f t="shared" ref="G4:G19" si="0">(D4-D3)/D3</f>
        <v>-0.14922973646528706</v>
      </c>
      <c r="H4" s="4">
        <f>E4-$S$6</f>
        <v>-9.2222003687890089E-2</v>
      </c>
      <c r="I4" s="4">
        <f>F4-$T$6</f>
        <v>-0.10162168773004994</v>
      </c>
      <c r="J4" s="4">
        <f>G4-$U$6</f>
        <v>-0.17745930734712584</v>
      </c>
      <c r="K4" s="4">
        <f>H4*I4</f>
        <v>9.3717556606102807E-3</v>
      </c>
      <c r="L4" s="4">
        <f>H4*J4</f>
        <v>1.636565289661706E-2</v>
      </c>
      <c r="M4" s="4">
        <f>I4*J4</f>
        <v>1.8033714316020581E-2</v>
      </c>
      <c r="N4" s="4">
        <f>H4^2</f>
        <v>8.5048979642092133E-3</v>
      </c>
      <c r="O4" s="4">
        <f>I4^2</f>
        <v>1.0326967417103783E-2</v>
      </c>
      <c r="P4" s="4">
        <f t="shared" ref="O4:P19" si="1">J4^2</f>
        <v>3.1491805764121673E-2</v>
      </c>
    </row>
    <row r="5" spans="1:21" x14ac:dyDescent="0.3">
      <c r="A5" s="2">
        <v>43892</v>
      </c>
      <c r="B5" s="3">
        <v>10687.5</v>
      </c>
      <c r="C5" s="3">
        <v>33000</v>
      </c>
      <c r="D5" s="3">
        <v>32803.699999999997</v>
      </c>
      <c r="E5" s="4">
        <f t="shared" ref="E5:E64" si="2">(B5-B4)/B4</f>
        <v>-3.4965034965034965E-3</v>
      </c>
      <c r="F5" s="4">
        <f t="shared" ref="F5:G64" si="3">(C5-C4)/C4</f>
        <v>-3.0211480362537764E-3</v>
      </c>
      <c r="G5" s="4">
        <f t="shared" si="0"/>
        <v>0.11088647546673974</v>
      </c>
      <c r="H5" s="4">
        <f t="shared" ref="H5:H64" si="4">E5-$S$6</f>
        <v>-3.0359030060210575E-2</v>
      </c>
      <c r="I5" s="4">
        <f t="shared" ref="I5:I64" si="5">F5-$T$6</f>
        <v>-1.6488565793851918E-2</v>
      </c>
      <c r="J5" s="4">
        <f t="shared" ref="J5:J64" si="6">G5-$U$6</f>
        <v>8.2656904584900964E-2</v>
      </c>
      <c r="K5" s="4">
        <f>H5*I5</f>
        <v>5.0057686458531022E-4</v>
      </c>
      <c r="L5" s="4">
        <f t="shared" ref="L5:L64" si="7">H5*J5</f>
        <v>-2.5093834509769659E-3</v>
      </c>
      <c r="M5" s="4">
        <f t="shared" ref="M5:M64" si="8">I5*J5</f>
        <v>-1.3628938095642798E-3</v>
      </c>
      <c r="N5" s="4">
        <f t="shared" ref="N5:P64" si="9">H5^2</f>
        <v>9.2167070619676933E-4</v>
      </c>
      <c r="O5" s="4">
        <f t="shared" si="1"/>
        <v>2.7187280193818354E-4</v>
      </c>
      <c r="P5" s="4">
        <f t="shared" si="1"/>
        <v>6.8321638755574222E-3</v>
      </c>
      <c r="R5" s="7"/>
      <c r="S5" s="7" t="s">
        <v>1</v>
      </c>
      <c r="T5" s="7" t="s">
        <v>2</v>
      </c>
      <c r="U5" s="7" t="s">
        <v>3</v>
      </c>
    </row>
    <row r="6" spans="1:21" x14ac:dyDescent="0.3">
      <c r="A6" s="2">
        <v>43922</v>
      </c>
      <c r="B6" s="3">
        <v>7987.5</v>
      </c>
      <c r="C6" s="3">
        <v>27800</v>
      </c>
      <c r="D6" s="3">
        <v>24290.3</v>
      </c>
      <c r="E6" s="4">
        <f t="shared" si="2"/>
        <v>-0.25263157894736843</v>
      </c>
      <c r="F6" s="4">
        <f t="shared" si="3"/>
        <v>-0.15757575757575756</v>
      </c>
      <c r="G6" s="4">
        <f t="shared" si="0"/>
        <v>-0.25952560229486304</v>
      </c>
      <c r="H6" s="4">
        <f t="shared" si="4"/>
        <v>-0.27949410551107551</v>
      </c>
      <c r="I6" s="4">
        <f t="shared" si="5"/>
        <v>-0.1710431753333557</v>
      </c>
      <c r="J6" s="4">
        <f t="shared" si="6"/>
        <v>-0.2877551731767018</v>
      </c>
      <c r="K6" s="4">
        <f t="shared" ref="K6:K64" si="10">H6*I6</f>
        <v>4.7805559293570304E-2</v>
      </c>
      <c r="L6" s="4">
        <f t="shared" si="7"/>
        <v>8.0425874733206892E-2</v>
      </c>
      <c r="M6" s="4">
        <f t="shared" si="8"/>
        <v>4.921855853874274E-2</v>
      </c>
      <c r="N6" s="4">
        <f t="shared" si="9"/>
        <v>7.811695501543621E-2</v>
      </c>
      <c r="O6" s="4">
        <f t="shared" si="1"/>
        <v>2.925576782811706E-2</v>
      </c>
      <c r="P6" s="4">
        <f t="shared" si="1"/>
        <v>8.2803039689953645E-2</v>
      </c>
      <c r="R6" s="7" t="s">
        <v>17</v>
      </c>
      <c r="S6" s="12">
        <f>AVERAGE(E4:E64)</f>
        <v>2.6862526563707079E-2</v>
      </c>
      <c r="T6" s="12">
        <f>AVERAGE(F4:F64)</f>
        <v>1.3467417757598141E-2</v>
      </c>
      <c r="U6" s="12">
        <f t="shared" ref="U6" si="11">AVERAGE(G4:G64)</f>
        <v>2.8229570881838771E-2</v>
      </c>
    </row>
    <row r="7" spans="1:21" x14ac:dyDescent="0.3">
      <c r="A7" s="2">
        <v>43955</v>
      </c>
      <c r="B7" s="3">
        <v>9337.5</v>
      </c>
      <c r="C7" s="3">
        <v>25406</v>
      </c>
      <c r="D7" s="3">
        <v>29886.5</v>
      </c>
      <c r="E7" s="4">
        <f t="shared" si="2"/>
        <v>0.16901408450704225</v>
      </c>
      <c r="F7" s="4">
        <f t="shared" si="3"/>
        <v>-8.6115107913669067E-2</v>
      </c>
      <c r="G7" s="4">
        <f t="shared" si="0"/>
        <v>0.23038826198112008</v>
      </c>
      <c r="H7" s="4">
        <f t="shared" si="4"/>
        <v>0.14215155794333517</v>
      </c>
      <c r="I7" s="4">
        <f t="shared" si="5"/>
        <v>-9.9582525671267214E-2</v>
      </c>
      <c r="J7" s="4">
        <f t="shared" si="6"/>
        <v>0.20215869109928131</v>
      </c>
      <c r="K7" s="4">
        <f t="shared" si="10"/>
        <v>-1.4155811168102803E-2</v>
      </c>
      <c r="L7" s="4">
        <f t="shared" si="7"/>
        <v>2.8737172891548281E-2</v>
      </c>
      <c r="M7" s="4">
        <f t="shared" si="8"/>
        <v>-2.0131473046063959E-2</v>
      </c>
      <c r="N7" s="4">
        <f t="shared" si="9"/>
        <v>2.0207065425717378E-2</v>
      </c>
      <c r="O7" s="4">
        <f t="shared" si="1"/>
        <v>9.9166794190685935E-3</v>
      </c>
      <c r="P7" s="4">
        <f t="shared" si="1"/>
        <v>4.0868136386974639E-2</v>
      </c>
      <c r="R7" s="7" t="s">
        <v>18</v>
      </c>
      <c r="S7" s="12">
        <f>_xlfn.VAR.P(E4:E64)</f>
        <v>2.4640800165251244E-2</v>
      </c>
      <c r="T7" s="12">
        <f t="shared" ref="T7:U7" si="12">_xlfn.VAR.P(F4:F64)</f>
        <v>7.7974816753024808E-3</v>
      </c>
      <c r="U7" s="12">
        <f t="shared" si="12"/>
        <v>8.3568277249282917E-3</v>
      </c>
    </row>
    <row r="8" spans="1:21" x14ac:dyDescent="0.3">
      <c r="A8" s="2">
        <v>43983</v>
      </c>
      <c r="B8" s="3">
        <v>10575</v>
      </c>
      <c r="C8" s="3">
        <v>26910</v>
      </c>
      <c r="D8" s="3">
        <v>33397.1</v>
      </c>
      <c r="E8" s="4">
        <f t="shared" si="2"/>
        <v>0.13253012048192772</v>
      </c>
      <c r="F8" s="4">
        <f t="shared" si="3"/>
        <v>5.9198614500511691E-2</v>
      </c>
      <c r="G8" s="4">
        <f t="shared" si="0"/>
        <v>0.11746440700650791</v>
      </c>
      <c r="H8" s="4">
        <f t="shared" si="4"/>
        <v>0.10566759391822064</v>
      </c>
      <c r="I8" s="4">
        <f t="shared" si="5"/>
        <v>4.5731196742913552E-2</v>
      </c>
      <c r="J8" s="4">
        <f t="shared" si="6"/>
        <v>8.9234836124669148E-2</v>
      </c>
      <c r="K8" s="4">
        <f t="shared" si="10"/>
        <v>4.8323055268244437E-3</v>
      </c>
      <c r="L8" s="4">
        <f>H8*J8</f>
        <v>9.429230426980505E-3</v>
      </c>
      <c r="M8" s="4">
        <f t="shared" si="8"/>
        <v>4.0808158471388944E-3</v>
      </c>
      <c r="N8" s="4">
        <f t="shared" si="9"/>
        <v>1.1165640404465981E-2</v>
      </c>
      <c r="O8" s="4">
        <f t="shared" si="1"/>
        <v>2.0913423555390669E-3</v>
      </c>
      <c r="P8" s="4">
        <f t="shared" si="1"/>
        <v>7.9628559781965581E-3</v>
      </c>
      <c r="R8" s="7" t="s">
        <v>19</v>
      </c>
      <c r="S8" s="12">
        <f>_xlfn.STDEV.S(E4:E64)</f>
        <v>0.15827659387289528</v>
      </c>
      <c r="T8" s="12">
        <f t="shared" ref="T8:U8" si="13">_xlfn.STDEV.S(F4:F64)</f>
        <v>8.903617075786778E-2</v>
      </c>
      <c r="U8" s="12">
        <f t="shared" si="13"/>
        <v>9.2174335837099622E-2</v>
      </c>
    </row>
    <row r="9" spans="1:21" x14ac:dyDescent="0.3">
      <c r="A9" s="2">
        <v>44013</v>
      </c>
      <c r="B9" s="3">
        <v>10162.5</v>
      </c>
      <c r="C9" s="3">
        <v>26351</v>
      </c>
      <c r="D9" s="3">
        <v>32005.599999999999</v>
      </c>
      <c r="E9" s="4">
        <f t="shared" si="2"/>
        <v>-3.9007092198581561E-2</v>
      </c>
      <c r="F9" s="4">
        <f t="shared" si="3"/>
        <v>-2.0772946859903382E-2</v>
      </c>
      <c r="G9" s="4">
        <f t="shared" si="0"/>
        <v>-4.1665294292019366E-2</v>
      </c>
      <c r="H9" s="4">
        <f t="shared" si="4"/>
        <v>-6.586961876228864E-2</v>
      </c>
      <c r="I9" s="4">
        <f t="shared" si="5"/>
        <v>-3.4240364617501524E-2</v>
      </c>
      <c r="J9" s="4">
        <f t="shared" si="6"/>
        <v>-6.9894865173858137E-2</v>
      </c>
      <c r="K9" s="4">
        <f t="shared" si="10"/>
        <v>2.2553997636365823E-3</v>
      </c>
      <c r="L9" s="4">
        <f t="shared" si="7"/>
        <v>4.6039481224436005E-3</v>
      </c>
      <c r="M9" s="4">
        <f t="shared" si="8"/>
        <v>2.3932256684440116E-3</v>
      </c>
      <c r="N9" s="4">
        <f t="shared" si="9"/>
        <v>4.338806675889248E-3</v>
      </c>
      <c r="O9" s="4">
        <f t="shared" si="1"/>
        <v>1.1724025691394503E-3</v>
      </c>
      <c r="P9" s="4">
        <f t="shared" si="1"/>
        <v>4.8852921776718072E-3</v>
      </c>
      <c r="R9" s="7" t="s">
        <v>20</v>
      </c>
      <c r="S9" s="46">
        <f>_xlfn.COVARIANCE.S(E4:E64,F4:F64)</f>
        <v>4.1621481968340439E-3</v>
      </c>
      <c r="T9" s="47"/>
      <c r="U9" s="48"/>
    </row>
    <row r="10" spans="1:21" x14ac:dyDescent="0.3">
      <c r="A10" s="2">
        <v>44046</v>
      </c>
      <c r="B10" s="3">
        <v>9450</v>
      </c>
      <c r="C10" s="3">
        <v>27856</v>
      </c>
      <c r="D10" s="3">
        <v>30606.1</v>
      </c>
      <c r="E10" s="4">
        <f t="shared" si="2"/>
        <v>-7.0110701107011064E-2</v>
      </c>
      <c r="F10" s="4">
        <f t="shared" si="3"/>
        <v>5.7113582027247541E-2</v>
      </c>
      <c r="G10" s="4">
        <f t="shared" si="0"/>
        <v>-4.3726722823505891E-2</v>
      </c>
      <c r="H10" s="4">
        <f t="shared" si="4"/>
        <v>-9.6973227670718143E-2</v>
      </c>
      <c r="I10" s="4">
        <f t="shared" si="5"/>
        <v>4.3646164269649401E-2</v>
      </c>
      <c r="J10" s="4">
        <f t="shared" si="6"/>
        <v>-7.1956293705344662E-2</v>
      </c>
      <c r="K10" s="4">
        <f t="shared" si="10"/>
        <v>-4.2325094246742747E-3</v>
      </c>
      <c r="L10" s="4">
        <f t="shared" si="7"/>
        <v>6.9778340518294509E-3</v>
      </c>
      <c r="M10" s="4">
        <f t="shared" si="8"/>
        <v>-3.1406162152986124E-3</v>
      </c>
      <c r="N10" s="4">
        <f t="shared" si="9"/>
        <v>9.4038068848769345E-3</v>
      </c>
      <c r="O10" s="4">
        <f t="shared" si="1"/>
        <v>1.90498765545322E-3</v>
      </c>
      <c r="P10" s="4">
        <f t="shared" si="1"/>
        <v>5.1777082038098237E-3</v>
      </c>
      <c r="R10" s="7" t="s">
        <v>21</v>
      </c>
      <c r="S10" s="46">
        <f>_xlfn.COVARIANCE.S(E4:E64,G4:G64)</f>
        <v>5.0810575766921133E-3</v>
      </c>
      <c r="T10" s="47"/>
      <c r="U10" s="48"/>
    </row>
    <row r="11" spans="1:21" x14ac:dyDescent="0.3">
      <c r="A11" s="2">
        <v>44075</v>
      </c>
      <c r="B11" s="3">
        <v>10275</v>
      </c>
      <c r="C11" s="3">
        <v>30306</v>
      </c>
      <c r="D11" s="3">
        <v>34772.400000000001</v>
      </c>
      <c r="E11" s="4">
        <f t="shared" si="2"/>
        <v>8.7301587301587297E-2</v>
      </c>
      <c r="F11" s="4">
        <f t="shared" si="3"/>
        <v>8.7952326249282023E-2</v>
      </c>
      <c r="G11" s="4">
        <f t="shared" si="0"/>
        <v>0.1361264584510932</v>
      </c>
      <c r="H11" s="4">
        <f t="shared" si="4"/>
        <v>6.0439060737880218E-2</v>
      </c>
      <c r="I11" s="4">
        <f t="shared" si="5"/>
        <v>7.4484908491683877E-2</v>
      </c>
      <c r="J11" s="4">
        <f t="shared" si="6"/>
        <v>0.10789688756925442</v>
      </c>
      <c r="K11" s="4">
        <f t="shared" si="10"/>
        <v>4.5017979083843323E-3</v>
      </c>
      <c r="L11" s="4">
        <f t="shared" si="7"/>
        <v>6.5211865412264005E-3</v>
      </c>
      <c r="M11" s="4">
        <f t="shared" si="8"/>
        <v>8.0366897971334197E-3</v>
      </c>
      <c r="N11" s="4">
        <f t="shared" si="9"/>
        <v>3.6528800628771742E-3</v>
      </c>
      <c r="O11" s="4">
        <f>I11^2</f>
        <v>5.5480015930145206E-3</v>
      </c>
      <c r="P11" s="4">
        <f t="shared" si="1"/>
        <v>1.1641738347132329E-2</v>
      </c>
      <c r="R11" s="7" t="s">
        <v>22</v>
      </c>
      <c r="S11" s="46">
        <f>_xlfn.COVARIANCE.S(G6:G66,F6:F66)</f>
        <v>3.8350607619681014E-3</v>
      </c>
      <c r="T11" s="47"/>
      <c r="U11" s="48"/>
    </row>
    <row r="12" spans="1:21" x14ac:dyDescent="0.3">
      <c r="A12" s="2">
        <v>44105</v>
      </c>
      <c r="B12" s="3">
        <v>10725</v>
      </c>
      <c r="C12" s="3">
        <v>34562</v>
      </c>
      <c r="D12" s="3">
        <v>35264.1</v>
      </c>
      <c r="E12" s="4">
        <f t="shared" si="2"/>
        <v>4.3795620437956206E-2</v>
      </c>
      <c r="F12" s="4">
        <f t="shared" si="3"/>
        <v>0.14043423744473041</v>
      </c>
      <c r="G12" s="4">
        <f t="shared" si="0"/>
        <v>1.4140525244159076E-2</v>
      </c>
      <c r="H12" s="4">
        <f t="shared" si="4"/>
        <v>1.6933093874249128E-2</v>
      </c>
      <c r="I12" s="4">
        <f t="shared" si="5"/>
        <v>0.12696681968713228</v>
      </c>
      <c r="J12" s="4">
        <f t="shared" si="6"/>
        <v>-1.4089045637679695E-2</v>
      </c>
      <c r="K12" s="4">
        <f t="shared" si="10"/>
        <v>2.1499410766770729E-3</v>
      </c>
      <c r="L12" s="4">
        <f t="shared" si="7"/>
        <v>-2.3857113238141044E-4</v>
      </c>
      <c r="M12" s="4">
        <f t="shared" si="8"/>
        <v>-1.7888413170430554E-3</v>
      </c>
      <c r="N12" s="4">
        <f t="shared" si="9"/>
        <v>2.8672966815413331E-4</v>
      </c>
      <c r="O12" s="4">
        <f t="shared" si="1"/>
        <v>1.6120573301464759E-2</v>
      </c>
      <c r="P12" s="4">
        <f t="shared" si="1"/>
        <v>1.9850120698062124E-4</v>
      </c>
    </row>
    <row r="13" spans="1:21" x14ac:dyDescent="0.3">
      <c r="A13" s="2">
        <v>44137</v>
      </c>
      <c r="B13" s="3">
        <v>10162.5</v>
      </c>
      <c r="C13" s="3">
        <v>35551</v>
      </c>
      <c r="D13" s="3">
        <v>36177.4</v>
      </c>
      <c r="E13" s="4">
        <f t="shared" si="2"/>
        <v>-5.2447552447552448E-2</v>
      </c>
      <c r="F13" s="4">
        <f t="shared" si="3"/>
        <v>2.8615242173485329E-2</v>
      </c>
      <c r="G13" s="4">
        <f t="shared" si="0"/>
        <v>2.5898860314030499E-2</v>
      </c>
      <c r="H13" s="4">
        <f t="shared" si="4"/>
        <v>-7.9310079011259527E-2</v>
      </c>
      <c r="I13" s="4">
        <f t="shared" si="5"/>
        <v>1.5147824415887188E-2</v>
      </c>
      <c r="J13" s="4">
        <f t="shared" si="6"/>
        <v>-2.3307105678082723E-3</v>
      </c>
      <c r="K13" s="4">
        <f t="shared" si="10"/>
        <v>-1.201375151272699E-3</v>
      </c>
      <c r="L13" s="4">
        <f t="shared" si="7"/>
        <v>1.8484883928525164E-4</v>
      </c>
      <c r="M13" s="4">
        <f t="shared" si="8"/>
        <v>-3.5305194445412437E-5</v>
      </c>
      <c r="N13" s="4">
        <f t="shared" si="9"/>
        <v>6.2900886327722288E-3</v>
      </c>
      <c r="O13" s="4">
        <f t="shared" si="1"/>
        <v>2.2945658453454802E-4</v>
      </c>
      <c r="P13" s="4">
        <f t="shared" si="1"/>
        <v>5.4322117508931589E-6</v>
      </c>
      <c r="R13" s="7" t="s">
        <v>25</v>
      </c>
      <c r="S13" s="7" t="s">
        <v>1</v>
      </c>
      <c r="T13" s="7" t="s">
        <v>2</v>
      </c>
      <c r="U13" s="7" t="s">
        <v>3</v>
      </c>
    </row>
    <row r="14" spans="1:21" x14ac:dyDescent="0.3">
      <c r="A14" s="2">
        <v>44166</v>
      </c>
      <c r="B14" s="3">
        <v>11475</v>
      </c>
      <c r="C14" s="3">
        <v>41655</v>
      </c>
      <c r="D14" s="3">
        <v>38636</v>
      </c>
      <c r="E14" s="4">
        <f t="shared" si="2"/>
        <v>0.12915129151291513</v>
      </c>
      <c r="F14" s="4">
        <f t="shared" si="3"/>
        <v>0.17169699867795563</v>
      </c>
      <c r="G14" s="4">
        <f t="shared" si="0"/>
        <v>6.7959554860216556E-2</v>
      </c>
      <c r="H14" s="4">
        <f t="shared" si="4"/>
        <v>0.10228876494920805</v>
      </c>
      <c r="I14" s="4">
        <f t="shared" si="5"/>
        <v>0.15822958092035749</v>
      </c>
      <c r="J14" s="4">
        <f t="shared" si="6"/>
        <v>3.9729983978377785E-2</v>
      </c>
      <c r="K14" s="4">
        <f t="shared" si="10"/>
        <v>1.6185108410774144E-2</v>
      </c>
      <c r="L14" s="4">
        <f t="shared" si="7"/>
        <v>4.0639309926000866E-3</v>
      </c>
      <c r="M14" s="4">
        <f t="shared" si="8"/>
        <v>6.2864587148712342E-3</v>
      </c>
      <c r="N14" s="4">
        <f t="shared" si="9"/>
        <v>1.0462991434834333E-2</v>
      </c>
      <c r="O14" s="4">
        <f t="shared" si="1"/>
        <v>2.5036600278231961E-2</v>
      </c>
      <c r="P14" s="4">
        <f t="shared" si="1"/>
        <v>1.5784716269221556E-3</v>
      </c>
      <c r="R14" s="7" t="s">
        <v>1</v>
      </c>
      <c r="S14" s="11">
        <v>1</v>
      </c>
      <c r="T14" s="13">
        <v>0.29534822844727027</v>
      </c>
      <c r="U14" s="13">
        <v>0.34827909204272478</v>
      </c>
    </row>
    <row r="15" spans="1:21" x14ac:dyDescent="0.3">
      <c r="A15" s="2">
        <v>44200</v>
      </c>
      <c r="B15" s="3">
        <v>19500</v>
      </c>
      <c r="C15" s="3">
        <v>42601</v>
      </c>
      <c r="D15" s="3">
        <v>41867.4</v>
      </c>
      <c r="E15" s="4">
        <f t="shared" si="2"/>
        <v>0.69934640522875813</v>
      </c>
      <c r="F15" s="4">
        <f t="shared" si="3"/>
        <v>2.2710358900492139E-2</v>
      </c>
      <c r="G15" s="4">
        <f t="shared" si="0"/>
        <v>8.3637022466093836E-2</v>
      </c>
      <c r="H15" s="4">
        <f t="shared" si="4"/>
        <v>0.6724838786650511</v>
      </c>
      <c r="I15" s="4">
        <f t="shared" si="5"/>
        <v>9.242941142893998E-3</v>
      </c>
      <c r="J15" s="4">
        <f t="shared" si="6"/>
        <v>5.5407451584255064E-2</v>
      </c>
      <c r="K15" s="4">
        <f t="shared" si="10"/>
        <v>6.2157289100461359E-3</v>
      </c>
      <c r="L15" s="4">
        <f t="shared" si="7"/>
        <v>3.7260617948325879E-2</v>
      </c>
      <c r="M15" s="4">
        <f t="shared" si="8"/>
        <v>5.1212781387101835E-4</v>
      </c>
      <c r="N15" s="4">
        <f t="shared" si="9"/>
        <v>0.45223456706439119</v>
      </c>
      <c r="O15" s="4">
        <f t="shared" si="1"/>
        <v>8.5431960971002604E-5</v>
      </c>
      <c r="P15" s="4">
        <f t="shared" si="1"/>
        <v>3.069985691061569E-3</v>
      </c>
      <c r="R15" s="7" t="s">
        <v>2</v>
      </c>
      <c r="S15" s="13">
        <v>0.29534822844727027</v>
      </c>
      <c r="T15" s="11">
        <v>1</v>
      </c>
      <c r="U15" s="13">
        <v>0.48596422385214072</v>
      </c>
    </row>
    <row r="16" spans="1:21" x14ac:dyDescent="0.3">
      <c r="A16" s="2">
        <v>44228</v>
      </c>
      <c r="B16" s="3">
        <v>25725</v>
      </c>
      <c r="C16" s="3">
        <v>43675</v>
      </c>
      <c r="D16" s="3">
        <v>45239.3</v>
      </c>
      <c r="E16" s="4">
        <f t="shared" si="2"/>
        <v>0.31923076923076921</v>
      </c>
      <c r="F16" s="4">
        <f t="shared" si="3"/>
        <v>2.5210675805732261E-2</v>
      </c>
      <c r="G16" s="4">
        <f t="shared" si="0"/>
        <v>8.0537602048371792E-2</v>
      </c>
      <c r="H16" s="4">
        <f t="shared" si="4"/>
        <v>0.29236824266706213</v>
      </c>
      <c r="I16" s="4">
        <f t="shared" si="5"/>
        <v>1.1743258048134119E-2</v>
      </c>
      <c r="J16" s="4">
        <f t="shared" si="6"/>
        <v>5.2308031166533021E-2</v>
      </c>
      <c r="K16" s="4">
        <f t="shared" si="10"/>
        <v>3.4333557187188066E-3</v>
      </c>
      <c r="L16" s="4">
        <f t="shared" si="7"/>
        <v>1.5293207149533175E-2</v>
      </c>
      <c r="M16" s="4">
        <f t="shared" si="8"/>
        <v>6.1426670797843925E-4</v>
      </c>
      <c r="N16" s="4">
        <f t="shared" si="9"/>
        <v>8.5479189320226134E-2</v>
      </c>
      <c r="O16" s="4">
        <f t="shared" si="1"/>
        <v>1.3790410958506677E-4</v>
      </c>
      <c r="P16" s="4">
        <f t="shared" si="1"/>
        <v>2.73613012451899E-3</v>
      </c>
      <c r="R16" s="7" t="s">
        <v>3</v>
      </c>
      <c r="S16" s="13">
        <v>0.34827909204272478</v>
      </c>
      <c r="T16" s="13">
        <v>0.48596422385214072</v>
      </c>
      <c r="U16" s="11">
        <v>1</v>
      </c>
    </row>
    <row r="17" spans="1:21" x14ac:dyDescent="0.3">
      <c r="A17" s="2">
        <v>44256</v>
      </c>
      <c r="B17" s="3">
        <v>29550</v>
      </c>
      <c r="C17" s="3">
        <v>48748</v>
      </c>
      <c r="D17" s="3">
        <v>53949.9</v>
      </c>
      <c r="E17" s="4">
        <f t="shared" si="2"/>
        <v>0.14868804664723032</v>
      </c>
      <c r="F17" s="4">
        <f t="shared" si="3"/>
        <v>0.11615340583858043</v>
      </c>
      <c r="G17" s="4">
        <f t="shared" si="0"/>
        <v>0.19254497748638899</v>
      </c>
      <c r="H17" s="4">
        <f t="shared" si="4"/>
        <v>0.12182552008352324</v>
      </c>
      <c r="I17" s="4">
        <f t="shared" si="5"/>
        <v>0.10268598808098228</v>
      </c>
      <c r="J17" s="4">
        <f t="shared" si="6"/>
        <v>0.16431540660455021</v>
      </c>
      <c r="K17" s="4">
        <f t="shared" si="10"/>
        <v>1.2509773903256135E-2</v>
      </c>
      <c r="L17" s="4">
        <f t="shared" si="7"/>
        <v>2.001780986733492E-2</v>
      </c>
      <c r="M17" s="4">
        <f t="shared" si="8"/>
        <v>1.6872889884116601E-2</v>
      </c>
      <c r="N17" s="4">
        <f t="shared" si="9"/>
        <v>1.4841457343620924E-2</v>
      </c>
      <c r="O17" s="4">
        <f t="shared" si="1"/>
        <v>1.0544412148167636E-2</v>
      </c>
      <c r="P17" s="4">
        <f t="shared" si="1"/>
        <v>2.6999552847618662E-2</v>
      </c>
    </row>
    <row r="18" spans="1:21" x14ac:dyDescent="0.3">
      <c r="A18" s="2">
        <v>44287</v>
      </c>
      <c r="B18" s="3">
        <v>28612.5</v>
      </c>
      <c r="C18" s="3">
        <v>45309</v>
      </c>
      <c r="D18" s="3">
        <v>54723</v>
      </c>
      <c r="E18" s="4">
        <f t="shared" si="2"/>
        <v>-3.1725888324873094E-2</v>
      </c>
      <c r="F18" s="4">
        <f t="shared" si="3"/>
        <v>-7.0546483958316239E-2</v>
      </c>
      <c r="G18" s="4">
        <f t="shared" si="0"/>
        <v>1.4329961686675944E-2</v>
      </c>
      <c r="H18" s="4">
        <f t="shared" si="4"/>
        <v>-5.8588414888580173E-2</v>
      </c>
      <c r="I18" s="4">
        <f t="shared" si="5"/>
        <v>-8.4013901715914385E-2</v>
      </c>
      <c r="J18" s="4">
        <f t="shared" si="6"/>
        <v>-1.3899609195162827E-2</v>
      </c>
      <c r="K18" s="4">
        <f t="shared" si="10"/>
        <v>4.9222413301403898E-3</v>
      </c>
      <c r="L18" s="4">
        <f t="shared" si="7"/>
        <v>8.1435607031532368E-4</v>
      </c>
      <c r="M18" s="4">
        <f t="shared" si="8"/>
        <v>1.1677604008120295E-3</v>
      </c>
      <c r="N18" s="4">
        <f t="shared" si="9"/>
        <v>3.4326023591564028E-3</v>
      </c>
      <c r="O18" s="4">
        <f t="shared" si="1"/>
        <v>7.0583356815313225E-3</v>
      </c>
      <c r="P18" s="4">
        <f t="shared" si="1"/>
        <v>1.93199135778255E-4</v>
      </c>
      <c r="R18" s="19" t="s">
        <v>60</v>
      </c>
      <c r="S18" s="19" t="s">
        <v>1</v>
      </c>
      <c r="T18" s="19" t="s">
        <v>2</v>
      </c>
      <c r="U18" s="19" t="s">
        <v>3</v>
      </c>
    </row>
    <row r="19" spans="1:21" x14ac:dyDescent="0.3">
      <c r="A19" s="2">
        <v>44320</v>
      </c>
      <c r="B19" s="3">
        <v>27675</v>
      </c>
      <c r="C19" s="3">
        <v>38676</v>
      </c>
      <c r="D19" s="3">
        <v>56198</v>
      </c>
      <c r="E19" s="4">
        <f t="shared" si="2"/>
        <v>-3.2765399737876802E-2</v>
      </c>
      <c r="F19" s="4">
        <f t="shared" si="3"/>
        <v>-0.14639475600874</v>
      </c>
      <c r="G19" s="4">
        <f t="shared" si="0"/>
        <v>2.6953931619246019E-2</v>
      </c>
      <c r="H19" s="4">
        <f t="shared" si="4"/>
        <v>-5.9627926301583881E-2</v>
      </c>
      <c r="I19" s="4">
        <f t="shared" si="5"/>
        <v>-0.15986217376633813</v>
      </c>
      <c r="J19" s="4">
        <f t="shared" si="6"/>
        <v>-1.2756392625927516E-3</v>
      </c>
      <c r="K19" s="4">
        <f t="shared" si="10"/>
        <v>9.5322499157502062E-3</v>
      </c>
      <c r="L19" s="4">
        <f t="shared" si="7"/>
        <v>7.6063723937287402E-5</v>
      </c>
      <c r="M19" s="4">
        <f t="shared" si="8"/>
        <v>2.0392646545976589E-4</v>
      </c>
      <c r="N19" s="4">
        <f t="shared" si="9"/>
        <v>3.5554895950271189E-3</v>
      </c>
      <c r="O19" s="4">
        <f t="shared" si="1"/>
        <v>2.5555914601298885E-2</v>
      </c>
      <c r="P19" s="4">
        <f t="shared" si="1"/>
        <v>1.6272555282681792E-6</v>
      </c>
      <c r="R19" s="19" t="s">
        <v>1</v>
      </c>
      <c r="S19" s="20">
        <f>VARP(CHARACTERISTICS!$E$3:$E$64)</f>
        <v>2.4640800165251244E-2</v>
      </c>
      <c r="T19" s="21">
        <v>4.1621481968340396E-3</v>
      </c>
      <c r="U19" s="21">
        <v>5.0810575766921098E-3</v>
      </c>
    </row>
    <row r="20" spans="1:21" x14ac:dyDescent="0.3">
      <c r="A20" s="2">
        <v>44348</v>
      </c>
      <c r="B20" s="3">
        <v>24825</v>
      </c>
      <c r="C20" s="3">
        <v>42876</v>
      </c>
      <c r="D20" s="3">
        <v>71646</v>
      </c>
      <c r="E20" s="4">
        <f t="shared" si="2"/>
        <v>-0.10298102981029811</v>
      </c>
      <c r="F20" s="4">
        <f t="shared" si="3"/>
        <v>0.10859447719515979</v>
      </c>
      <c r="G20" s="4">
        <f t="shared" si="3"/>
        <v>0.27488522723228587</v>
      </c>
      <c r="H20" s="4">
        <f t="shared" si="4"/>
        <v>-0.12984355637400519</v>
      </c>
      <c r="I20" s="4">
        <f t="shared" si="5"/>
        <v>9.512705943756164E-2</v>
      </c>
      <c r="J20" s="4">
        <f t="shared" si="6"/>
        <v>0.24665565635044709</v>
      </c>
      <c r="K20" s="4">
        <f t="shared" si="10"/>
        <v>-1.2351635704774377E-2</v>
      </c>
      <c r="L20" s="4">
        <f t="shared" si="7"/>
        <v>-3.2026647620306527E-2</v>
      </c>
      <c r="M20" s="4">
        <f t="shared" si="8"/>
        <v>2.3463627282259758E-2</v>
      </c>
      <c r="N20" s="4">
        <f t="shared" si="9"/>
        <v>1.6859349131849465E-2</v>
      </c>
      <c r="O20" s="4">
        <f t="shared" si="9"/>
        <v>9.0491574372373856E-3</v>
      </c>
      <c r="P20" s="4">
        <f t="shared" si="9"/>
        <v>6.083901280966985E-2</v>
      </c>
      <c r="R20" s="19" t="s">
        <v>2</v>
      </c>
      <c r="S20" s="21">
        <v>4.1621481968340396E-3</v>
      </c>
      <c r="T20" s="20">
        <f>VARP(CHARACTERISTICS!$F$3:$F$64)</f>
        <v>7.7974816753024808E-3</v>
      </c>
      <c r="U20" s="21">
        <v>3.8350607619681001E-3</v>
      </c>
    </row>
    <row r="21" spans="1:21" x14ac:dyDescent="0.3">
      <c r="A21" s="2">
        <v>44378</v>
      </c>
      <c r="B21" s="3">
        <v>28800</v>
      </c>
      <c r="C21" s="3">
        <v>42360</v>
      </c>
      <c r="D21" s="3">
        <v>71809</v>
      </c>
      <c r="E21" s="4">
        <f t="shared" si="2"/>
        <v>0.16012084592145015</v>
      </c>
      <c r="F21" s="4">
        <f t="shared" si="3"/>
        <v>-1.2034704729918836E-2</v>
      </c>
      <c r="G21" s="4">
        <f t="shared" si="3"/>
        <v>2.2750746726963125E-3</v>
      </c>
      <c r="H21" s="4">
        <f t="shared" si="4"/>
        <v>0.13325831935774307</v>
      </c>
      <c r="I21" s="4">
        <f t="shared" si="5"/>
        <v>-2.5502122487516977E-2</v>
      </c>
      <c r="J21" s="4">
        <f t="shared" si="6"/>
        <v>-2.5954496209142457E-2</v>
      </c>
      <c r="K21" s="4">
        <f t="shared" si="10"/>
        <v>-3.3983699827418185E-3</v>
      </c>
      <c r="L21" s="4">
        <f t="shared" si="7"/>
        <v>-3.4586525446072373E-3</v>
      </c>
      <c r="M21" s="4">
        <f t="shared" si="8"/>
        <v>6.6189474142734595E-4</v>
      </c>
      <c r="N21" s="4">
        <f t="shared" si="9"/>
        <v>1.7757779678050242E-2</v>
      </c>
      <c r="O21" s="4">
        <f t="shared" si="9"/>
        <v>6.5035825136831903E-4</v>
      </c>
      <c r="P21" s="4">
        <f t="shared" si="9"/>
        <v>6.7363587347039021E-4</v>
      </c>
      <c r="R21" s="19" t="s">
        <v>3</v>
      </c>
      <c r="S21" s="21">
        <v>5.0810575766921098E-3</v>
      </c>
      <c r="T21" s="21">
        <v>3.8350607619681001E-3</v>
      </c>
      <c r="U21" s="20">
        <f>VARP(CHARACTERISTICS!$G$3:$G$64)</f>
        <v>8.3568277249282917E-3</v>
      </c>
    </row>
    <row r="22" spans="1:21" x14ac:dyDescent="0.3">
      <c r="A22" s="2">
        <v>44410</v>
      </c>
      <c r="B22" s="3">
        <v>25500</v>
      </c>
      <c r="C22" s="3">
        <v>40076</v>
      </c>
      <c r="D22" s="3">
        <v>76618</v>
      </c>
      <c r="E22" s="4">
        <f t="shared" si="2"/>
        <v>-0.11458333333333333</v>
      </c>
      <c r="F22" s="4">
        <f t="shared" si="3"/>
        <v>-5.3918791312559021E-2</v>
      </c>
      <c r="G22" s="4">
        <f t="shared" si="3"/>
        <v>6.6969321394254197E-2</v>
      </c>
      <c r="H22" s="4">
        <f t="shared" si="4"/>
        <v>-0.14144585989704039</v>
      </c>
      <c r="I22" s="4">
        <f t="shared" si="5"/>
        <v>-6.738620907015716E-2</v>
      </c>
      <c r="J22" s="4">
        <f t="shared" si="6"/>
        <v>3.8739750512415426E-2</v>
      </c>
      <c r="K22" s="4">
        <f t="shared" si="10"/>
        <v>9.5315002871301218E-3</v>
      </c>
      <c r="L22" s="4">
        <f t="shared" si="7"/>
        <v>-5.4795773234254108E-3</v>
      </c>
      <c r="M22" s="4">
        <f t="shared" si="8"/>
        <v>-2.6105249273553539E-3</v>
      </c>
      <c r="N22" s="4">
        <f t="shared" si="9"/>
        <v>2.0006931282013179E-2</v>
      </c>
      <c r="O22" s="4">
        <f t="shared" si="9"/>
        <v>4.5409011728469312E-3</v>
      </c>
      <c r="P22" s="4">
        <f t="shared" si="9"/>
        <v>1.5007682697641912E-3</v>
      </c>
    </row>
    <row r="23" spans="1:21" x14ac:dyDescent="0.3">
      <c r="A23" s="2">
        <v>44440</v>
      </c>
      <c r="B23" s="3">
        <v>31425</v>
      </c>
      <c r="C23" s="3">
        <v>48106</v>
      </c>
      <c r="D23" s="3">
        <v>75868</v>
      </c>
      <c r="E23" s="4">
        <f t="shared" si="2"/>
        <v>0.2323529411764706</v>
      </c>
      <c r="F23" s="4">
        <f t="shared" si="3"/>
        <v>0.200369298333167</v>
      </c>
      <c r="G23" s="4">
        <f t="shared" si="3"/>
        <v>-9.7888224699156853E-3</v>
      </c>
      <c r="H23" s="4">
        <f t="shared" si="4"/>
        <v>0.20549041461276352</v>
      </c>
      <c r="I23" s="4">
        <f t="shared" si="5"/>
        <v>0.18690188057556886</v>
      </c>
      <c r="J23" s="4">
        <f t="shared" si="6"/>
        <v>-3.8018393351754456E-2</v>
      </c>
      <c r="K23" s="4">
        <f t="shared" si="10"/>
        <v>3.8406544931378857E-2</v>
      </c>
      <c r="L23" s="4">
        <f t="shared" si="7"/>
        <v>-7.8124154127631549E-3</v>
      </c>
      <c r="M23" s="4">
        <f t="shared" si="8"/>
        <v>-7.1057092139046128E-3</v>
      </c>
      <c r="N23" s="4">
        <f t="shared" si="9"/>
        <v>4.2226310497725454E-2</v>
      </c>
      <c r="O23" s="4">
        <f t="shared" si="9"/>
        <v>3.4932312962684203E-2</v>
      </c>
      <c r="P23" s="4">
        <f t="shared" si="9"/>
        <v>1.4453982330487275E-3</v>
      </c>
    </row>
    <row r="24" spans="1:21" x14ac:dyDescent="0.3">
      <c r="A24" s="2">
        <v>44470</v>
      </c>
      <c r="B24" s="3">
        <v>32325</v>
      </c>
      <c r="C24" s="3">
        <v>47959</v>
      </c>
      <c r="D24" s="3">
        <v>76527</v>
      </c>
      <c r="E24" s="4">
        <f t="shared" si="2"/>
        <v>2.8639618138424822E-2</v>
      </c>
      <c r="F24" s="4">
        <f t="shared" si="3"/>
        <v>-3.0557518812622127E-3</v>
      </c>
      <c r="G24" s="4">
        <f t="shared" si="3"/>
        <v>8.6861390836716398E-3</v>
      </c>
      <c r="H24" s="4">
        <f t="shared" si="4"/>
        <v>1.7770915747177436E-3</v>
      </c>
      <c r="I24" s="4">
        <f t="shared" si="5"/>
        <v>-1.6523169638860354E-2</v>
      </c>
      <c r="J24" s="4">
        <f t="shared" si="6"/>
        <v>-1.954343179816713E-2</v>
      </c>
      <c r="K24" s="4">
        <f t="shared" si="10"/>
        <v>-2.9363185552850757E-5</v>
      </c>
      <c r="L24" s="4">
        <f t="shared" si="7"/>
        <v>-3.4730467989593646E-5</v>
      </c>
      <c r="M24" s="4">
        <f t="shared" si="8"/>
        <v>3.2291943892661312E-4</v>
      </c>
      <c r="N24" s="4">
        <f t="shared" si="9"/>
        <v>3.1580544649327898E-6</v>
      </c>
      <c r="O24" s="4">
        <f t="shared" si="9"/>
        <v>2.7301513491455662E-4</v>
      </c>
      <c r="P24" s="4">
        <f t="shared" si="9"/>
        <v>3.8194572644961006E-4</v>
      </c>
    </row>
    <row r="25" spans="1:21" x14ac:dyDescent="0.3">
      <c r="A25" s="2">
        <v>44501</v>
      </c>
      <c r="B25" s="3">
        <v>36712.5</v>
      </c>
      <c r="C25" s="3">
        <v>54368</v>
      </c>
      <c r="D25" s="3">
        <v>80234</v>
      </c>
      <c r="E25" s="4">
        <f t="shared" si="2"/>
        <v>0.1357308584686775</v>
      </c>
      <c r="F25" s="4">
        <f t="shared" si="3"/>
        <v>0.13363497987864634</v>
      </c>
      <c r="G25" s="4">
        <f t="shared" si="3"/>
        <v>4.8440419721144171E-2</v>
      </c>
      <c r="H25" s="4">
        <f t="shared" si="4"/>
        <v>0.10886833190497042</v>
      </c>
      <c r="I25" s="4">
        <f t="shared" si="5"/>
        <v>0.12016756212104819</v>
      </c>
      <c r="J25" s="4">
        <f t="shared" si="6"/>
        <v>2.0210848839305399E-2</v>
      </c>
      <c r="K25" s="4">
        <f t="shared" si="10"/>
        <v>1.3082442037205426E-2</v>
      </c>
      <c r="L25" s="4">
        <f t="shared" si="7"/>
        <v>2.2003213995186862E-3</v>
      </c>
      <c r="M25" s="4">
        <f t="shared" si="8"/>
        <v>2.4286884334163462E-3</v>
      </c>
      <c r="N25" s="4">
        <f t="shared" si="9"/>
        <v>1.18523136917708E-2</v>
      </c>
      <c r="O25" s="4">
        <f t="shared" si="9"/>
        <v>1.4440242986115976E-2</v>
      </c>
      <c r="P25" s="4">
        <f t="shared" si="9"/>
        <v>4.0847841080525243E-4</v>
      </c>
    </row>
    <row r="26" spans="1:21" x14ac:dyDescent="0.3">
      <c r="A26" s="2">
        <v>44531</v>
      </c>
      <c r="B26" s="3">
        <v>37800</v>
      </c>
      <c r="C26" s="3">
        <v>52674</v>
      </c>
      <c r="D26" s="3">
        <v>80316</v>
      </c>
      <c r="E26" s="4">
        <f t="shared" si="2"/>
        <v>2.9622063329928498E-2</v>
      </c>
      <c r="F26" s="4">
        <f t="shared" si="3"/>
        <v>-3.1158034137728077E-2</v>
      </c>
      <c r="G26" s="4">
        <f t="shared" si="3"/>
        <v>1.0220106189396017E-3</v>
      </c>
      <c r="H26" s="4">
        <f t="shared" si="4"/>
        <v>2.7595367662214196E-3</v>
      </c>
      <c r="I26" s="4">
        <f t="shared" si="5"/>
        <v>-4.4625451895326219E-2</v>
      </c>
      <c r="J26" s="4">
        <f t="shared" si="6"/>
        <v>-2.720756026289917E-2</v>
      </c>
      <c r="K26" s="4">
        <f t="shared" si="10"/>
        <v>-1.2314557521439805E-4</v>
      </c>
      <c r="L26" s="4">
        <f t="shared" si="7"/>
        <v>-7.5080262864655166E-5</v>
      </c>
      <c r="M26" s="4">
        <f t="shared" si="8"/>
        <v>1.2141496717011961E-3</v>
      </c>
      <c r="N26" s="4">
        <f t="shared" si="9"/>
        <v>7.6150431641277701E-6</v>
      </c>
      <c r="O26" s="4">
        <f t="shared" si="9"/>
        <v>1.9914309568620746E-3</v>
      </c>
      <c r="P26" s="4">
        <f t="shared" si="9"/>
        <v>7.4025133545928994E-4</v>
      </c>
    </row>
    <row r="27" spans="1:21" x14ac:dyDescent="0.3">
      <c r="A27" s="2">
        <v>44565</v>
      </c>
      <c r="B27" s="3">
        <v>45450</v>
      </c>
      <c r="C27" s="3">
        <v>51421</v>
      </c>
      <c r="D27" s="3">
        <v>76939</v>
      </c>
      <c r="E27" s="4">
        <f t="shared" si="2"/>
        <v>0.20238095238095238</v>
      </c>
      <c r="F27" s="4">
        <f t="shared" si="3"/>
        <v>-2.3787827011428789E-2</v>
      </c>
      <c r="G27" s="4">
        <f t="shared" si="3"/>
        <v>-4.2046416654215844E-2</v>
      </c>
      <c r="H27" s="4">
        <f t="shared" si="4"/>
        <v>0.1755184258172453</v>
      </c>
      <c r="I27" s="4">
        <f t="shared" si="5"/>
        <v>-3.7255244769026932E-2</v>
      </c>
      <c r="J27" s="4">
        <f t="shared" si="6"/>
        <v>-7.0275987536054615E-2</v>
      </c>
      <c r="K27" s="4">
        <f t="shared" si="10"/>
        <v>-6.5389819152957699E-3</v>
      </c>
      <c r="L27" s="4">
        <f t="shared" si="7"/>
        <v>-1.2334730705080657E-2</v>
      </c>
      <c r="M27" s="4">
        <f t="shared" si="8"/>
        <v>2.6181491170408004E-3</v>
      </c>
      <c r="N27" s="4">
        <f t="shared" si="9"/>
        <v>3.0806717801363844E-2</v>
      </c>
      <c r="O27" s="4">
        <f t="shared" si="9"/>
        <v>1.3879532628001086E-3</v>
      </c>
      <c r="P27" s="4">
        <f t="shared" si="9"/>
        <v>4.9387144241677039E-3</v>
      </c>
    </row>
    <row r="28" spans="1:21" x14ac:dyDescent="0.3">
      <c r="A28" s="2">
        <v>44599</v>
      </c>
      <c r="B28" s="3">
        <v>40725</v>
      </c>
      <c r="C28" s="3">
        <v>51421</v>
      </c>
      <c r="D28" s="3">
        <v>74138</v>
      </c>
      <c r="E28" s="4">
        <f t="shared" si="2"/>
        <v>-0.10396039603960396</v>
      </c>
      <c r="F28" s="4">
        <f t="shared" si="3"/>
        <v>0</v>
      </c>
      <c r="G28" s="4">
        <f t="shared" si="3"/>
        <v>-3.6405464068937729E-2</v>
      </c>
      <c r="H28" s="4">
        <f t="shared" si="4"/>
        <v>-0.13082292260331102</v>
      </c>
      <c r="I28" s="4">
        <f t="shared" si="5"/>
        <v>-1.3467417757598141E-2</v>
      </c>
      <c r="J28" s="4">
        <f t="shared" si="6"/>
        <v>-6.4635034950776493E-2</v>
      </c>
      <c r="K28" s="4">
        <f t="shared" si="10"/>
        <v>1.7618469509687181E-3</v>
      </c>
      <c r="L28" s="4">
        <f t="shared" si="7"/>
        <v>8.455744174827735E-3</v>
      </c>
      <c r="M28" s="4">
        <f t="shared" si="8"/>
        <v>8.704670174590638E-4</v>
      </c>
      <c r="N28" s="4">
        <f t="shared" si="9"/>
        <v>1.7114637078471905E-2</v>
      </c>
      <c r="O28" s="4">
        <f t="shared" si="9"/>
        <v>1.8137134105766973E-4</v>
      </c>
      <c r="P28" s="4">
        <f t="shared" si="9"/>
        <v>4.1776877430880991E-3</v>
      </c>
    </row>
    <row r="29" spans="1:21" x14ac:dyDescent="0.3">
      <c r="A29" s="2">
        <v>44621</v>
      </c>
      <c r="B29" s="3">
        <v>43125</v>
      </c>
      <c r="C29" s="3">
        <v>55768</v>
      </c>
      <c r="D29" s="3">
        <v>77433</v>
      </c>
      <c r="E29" s="4">
        <f t="shared" si="2"/>
        <v>5.8931860036832415E-2</v>
      </c>
      <c r="F29" s="4">
        <f t="shared" si="3"/>
        <v>8.4537445790630286E-2</v>
      </c>
      <c r="G29" s="4">
        <f t="shared" si="3"/>
        <v>4.4444144703121205E-2</v>
      </c>
      <c r="H29" s="4">
        <f t="shared" si="4"/>
        <v>3.2069333473125336E-2</v>
      </c>
      <c r="I29" s="4">
        <f t="shared" si="5"/>
        <v>7.107002803303214E-2</v>
      </c>
      <c r="J29" s="4">
        <f t="shared" si="6"/>
        <v>1.6214573821282434E-2</v>
      </c>
      <c r="K29" s="4">
        <f t="shared" si="10"/>
        <v>2.2791684289356737E-3</v>
      </c>
      <c r="L29" s="4">
        <f t="shared" si="7"/>
        <v>5.1999057499931456E-4</v>
      </c>
      <c r="M29" s="4">
        <f t="shared" si="8"/>
        <v>1.1523702160222116E-3</v>
      </c>
      <c r="N29" s="4">
        <f t="shared" si="9"/>
        <v>1.0284421494105172E-3</v>
      </c>
      <c r="O29" s="4">
        <f t="shared" si="9"/>
        <v>5.0509488846159746E-3</v>
      </c>
      <c r="P29" s="4">
        <f t="shared" si="9"/>
        <v>2.6291240420581765E-4</v>
      </c>
    </row>
    <row r="30" spans="1:21" x14ac:dyDescent="0.3">
      <c r="A30" s="2">
        <v>44652</v>
      </c>
      <c r="B30" s="3">
        <v>39975</v>
      </c>
      <c r="C30" s="3">
        <v>60409</v>
      </c>
      <c r="D30" s="3">
        <v>88059</v>
      </c>
      <c r="E30" s="4">
        <f t="shared" si="2"/>
        <v>-7.3043478260869571E-2</v>
      </c>
      <c r="F30" s="4">
        <f t="shared" si="3"/>
        <v>8.3219767608664466E-2</v>
      </c>
      <c r="G30" s="4">
        <f t="shared" si="3"/>
        <v>0.1372283135097439</v>
      </c>
      <c r="H30" s="4">
        <f t="shared" si="4"/>
        <v>-9.990600482457665E-2</v>
      </c>
      <c r="I30" s="4">
        <f t="shared" si="5"/>
        <v>6.975234985106632E-2</v>
      </c>
      <c r="J30" s="4">
        <f t="shared" si="6"/>
        <v>0.10899874262790513</v>
      </c>
      <c r="K30" s="4">
        <f t="shared" si="10"/>
        <v>-6.9686786007461905E-3</v>
      </c>
      <c r="L30" s="4">
        <f t="shared" si="7"/>
        <v>-1.0889628906856278E-2</v>
      </c>
      <c r="M30" s="4">
        <f t="shared" si="8"/>
        <v>7.6029184291079742E-3</v>
      </c>
      <c r="N30" s="4">
        <f t="shared" si="9"/>
        <v>9.9812098000083335E-3</v>
      </c>
      <c r="O30" s="4">
        <f t="shared" si="9"/>
        <v>4.8653903097455519E-3</v>
      </c>
      <c r="P30" s="4">
        <f t="shared" si="9"/>
        <v>1.1880725894464303E-2</v>
      </c>
    </row>
    <row r="31" spans="1:21" x14ac:dyDescent="0.3">
      <c r="A31" s="2">
        <v>44685</v>
      </c>
      <c r="B31" s="3">
        <v>32437.5</v>
      </c>
      <c r="C31" s="3">
        <v>52922</v>
      </c>
      <c r="D31" s="3">
        <v>73530</v>
      </c>
      <c r="E31" s="4">
        <f t="shared" si="2"/>
        <v>-0.18855534709193245</v>
      </c>
      <c r="F31" s="4">
        <f t="shared" si="3"/>
        <v>-0.12393848598718733</v>
      </c>
      <c r="G31" s="4">
        <f t="shared" si="3"/>
        <v>-0.16499165332334004</v>
      </c>
      <c r="H31" s="4">
        <f t="shared" si="4"/>
        <v>-0.21541787365563952</v>
      </c>
      <c r="I31" s="4">
        <f t="shared" si="5"/>
        <v>-0.13740590374478548</v>
      </c>
      <c r="J31" s="4">
        <f t="shared" si="6"/>
        <v>-0.19322122420517882</v>
      </c>
      <c r="K31" s="4">
        <f t="shared" si="10"/>
        <v>2.9599687612433163E-2</v>
      </c>
      <c r="L31" s="4">
        <f t="shared" si="7"/>
        <v>4.1623305263419209E-2</v>
      </c>
      <c r="M31" s="4">
        <f t="shared" si="8"/>
        <v>2.6549736934586416E-2</v>
      </c>
      <c r="N31" s="4">
        <f t="shared" si="9"/>
        <v>4.6404860290317075E-2</v>
      </c>
      <c r="O31" s="4">
        <f t="shared" si="9"/>
        <v>1.8880382383921254E-2</v>
      </c>
      <c r="P31" s="4">
        <f t="shared" si="9"/>
        <v>3.7334441483347983E-2</v>
      </c>
    </row>
    <row r="32" spans="1:21" x14ac:dyDescent="0.3">
      <c r="A32" s="2">
        <v>44713</v>
      </c>
      <c r="B32" s="3">
        <v>33712.5</v>
      </c>
      <c r="C32" s="3">
        <v>66433</v>
      </c>
      <c r="D32" s="3">
        <v>77034</v>
      </c>
      <c r="E32" s="4">
        <f t="shared" si="2"/>
        <v>3.9306358381502891E-2</v>
      </c>
      <c r="F32" s="4">
        <f t="shared" si="3"/>
        <v>0.25530025320282679</v>
      </c>
      <c r="G32" s="4">
        <f t="shared" si="3"/>
        <v>4.7654018767849859E-2</v>
      </c>
      <c r="H32" s="4">
        <f t="shared" si="4"/>
        <v>1.2443831817795813E-2</v>
      </c>
      <c r="I32" s="4">
        <f t="shared" si="5"/>
        <v>0.24183283544522866</v>
      </c>
      <c r="J32" s="4">
        <f t="shared" si="6"/>
        <v>1.9424447886011088E-2</v>
      </c>
      <c r="K32" s="4">
        <f t="shared" si="10"/>
        <v>3.0093271323011154E-3</v>
      </c>
      <c r="L32" s="4">
        <f t="shared" si="7"/>
        <v>2.417145626470614E-4</v>
      </c>
      <c r="M32" s="4">
        <f t="shared" si="8"/>
        <v>4.6974693092321392E-3</v>
      </c>
      <c r="N32" s="4">
        <f t="shared" si="9"/>
        <v>1.5484895030958744E-4</v>
      </c>
      <c r="O32" s="4">
        <f t="shared" si="9"/>
        <v>5.8483120299479038E-2</v>
      </c>
      <c r="P32" s="4">
        <f t="shared" si="9"/>
        <v>3.7730917567636065E-4</v>
      </c>
    </row>
    <row r="33" spans="1:16" x14ac:dyDescent="0.3">
      <c r="A33" s="2">
        <v>44743</v>
      </c>
      <c r="B33" s="3">
        <v>32050</v>
      </c>
      <c r="C33" s="3">
        <v>63500</v>
      </c>
      <c r="D33" s="3">
        <v>73179</v>
      </c>
      <c r="E33" s="4">
        <f t="shared" si="2"/>
        <v>-4.9314052651093808E-2</v>
      </c>
      <c r="F33" s="4">
        <f t="shared" si="3"/>
        <v>-4.4149744855719299E-2</v>
      </c>
      <c r="G33" s="4">
        <f t="shared" si="3"/>
        <v>-5.0042838227276266E-2</v>
      </c>
      <c r="H33" s="4">
        <f t="shared" si="4"/>
        <v>-7.6176579214800894E-2</v>
      </c>
      <c r="I33" s="4">
        <f t="shared" si="5"/>
        <v>-5.7617162613317438E-2</v>
      </c>
      <c r="J33" s="4">
        <f t="shared" si="6"/>
        <v>-7.8272409109115038E-2</v>
      </c>
      <c r="K33" s="4">
        <f t="shared" si="10"/>
        <v>4.3890783519454401E-3</v>
      </c>
      <c r="L33" s="4">
        <f t="shared" si="7"/>
        <v>5.9625243728338049E-3</v>
      </c>
      <c r="M33" s="4">
        <f t="shared" si="8"/>
        <v>4.5098341237759902E-3</v>
      </c>
      <c r="N33" s="4">
        <f t="shared" si="9"/>
        <v>5.8028712208688356E-3</v>
      </c>
      <c r="O33" s="4">
        <f t="shared" si="9"/>
        <v>3.3197374276094649E-3</v>
      </c>
      <c r="P33" s="4">
        <f t="shared" si="9"/>
        <v>6.1265700277446751E-3</v>
      </c>
    </row>
    <row r="34" spans="1:16" x14ac:dyDescent="0.3">
      <c r="A34" s="2">
        <v>44774</v>
      </c>
      <c r="B34" s="3">
        <v>38200</v>
      </c>
      <c r="C34" s="3">
        <v>55728</v>
      </c>
      <c r="D34" s="3">
        <v>70656</v>
      </c>
      <c r="E34" s="4">
        <f t="shared" si="2"/>
        <v>0.19188767550702029</v>
      </c>
      <c r="F34" s="4">
        <f t="shared" si="3"/>
        <v>-0.12239370078740157</v>
      </c>
      <c r="G34" s="4">
        <f t="shared" si="3"/>
        <v>-3.4477104087238142E-2</v>
      </c>
      <c r="H34" s="4">
        <f t="shared" si="4"/>
        <v>0.16502514894331322</v>
      </c>
      <c r="I34" s="4">
        <f t="shared" si="5"/>
        <v>-0.13586111854499971</v>
      </c>
      <c r="J34" s="4">
        <f t="shared" si="6"/>
        <v>-6.270667496907692E-2</v>
      </c>
      <c r="K34" s="4">
        <f t="shared" si="10"/>
        <v>-2.242050132349371E-2</v>
      </c>
      <c r="L34" s="4">
        <f t="shared" si="7"/>
        <v>-1.0348178376511849E-2</v>
      </c>
      <c r="M34" s="4">
        <f t="shared" si="8"/>
        <v>8.5193990015365265E-3</v>
      </c>
      <c r="N34" s="4">
        <f t="shared" si="9"/>
        <v>2.723329978376271E-2</v>
      </c>
      <c r="O34" s="4">
        <f t="shared" si="9"/>
        <v>1.8458243532298465E-2</v>
      </c>
      <c r="P34" s="4">
        <f t="shared" si="9"/>
        <v>3.9321270856774579E-3</v>
      </c>
    </row>
    <row r="35" spans="1:16" x14ac:dyDescent="0.3">
      <c r="A35" s="2">
        <v>44809</v>
      </c>
      <c r="B35" s="3">
        <v>34700</v>
      </c>
      <c r="C35" s="3">
        <v>63207</v>
      </c>
      <c r="D35" s="3">
        <v>73605</v>
      </c>
      <c r="E35" s="4">
        <f t="shared" si="2"/>
        <v>-9.1623036649214659E-2</v>
      </c>
      <c r="F35" s="4">
        <f t="shared" si="3"/>
        <v>0.13420542635658914</v>
      </c>
      <c r="G35" s="4">
        <f t="shared" si="3"/>
        <v>4.1737432065217392E-2</v>
      </c>
      <c r="H35" s="4">
        <f t="shared" si="4"/>
        <v>-0.11848556321292174</v>
      </c>
      <c r="I35" s="4">
        <f t="shared" si="5"/>
        <v>0.12073800859899099</v>
      </c>
      <c r="J35" s="4">
        <f t="shared" si="6"/>
        <v>1.3507861183378621E-2</v>
      </c>
      <c r="K35" s="4">
        <f t="shared" si="10"/>
        <v>-1.4305710950058035E-2</v>
      </c>
      <c r="L35" s="4">
        <f t="shared" si="7"/>
        <v>-1.6004865401145795E-3</v>
      </c>
      <c r="M35" s="4">
        <f t="shared" si="8"/>
        <v>1.6309122597127446E-3</v>
      </c>
      <c r="N35" s="4">
        <f t="shared" si="9"/>
        <v>1.4038828689883273E-2</v>
      </c>
      <c r="O35" s="4">
        <f t="shared" si="9"/>
        <v>1.4577666720450022E-2</v>
      </c>
      <c r="P35" s="4">
        <f t="shared" si="9"/>
        <v>1.8246231374942687E-4</v>
      </c>
    </row>
    <row r="36" spans="1:16" x14ac:dyDescent="0.3">
      <c r="A36" s="2">
        <v>44837</v>
      </c>
      <c r="B36" s="3">
        <v>28750</v>
      </c>
      <c r="C36" s="3">
        <v>56388</v>
      </c>
      <c r="D36" s="3">
        <v>67733</v>
      </c>
      <c r="E36" s="4">
        <f t="shared" si="2"/>
        <v>-0.17146974063400577</v>
      </c>
      <c r="F36" s="4">
        <f t="shared" si="3"/>
        <v>-0.10788362048507286</v>
      </c>
      <c r="G36" s="4">
        <f t="shared" si="3"/>
        <v>-7.9777189049656957E-2</v>
      </c>
      <c r="H36" s="4">
        <f t="shared" si="4"/>
        <v>-0.19833226719771285</v>
      </c>
      <c r="I36" s="4">
        <f t="shared" si="5"/>
        <v>-0.121351038242671</v>
      </c>
      <c r="J36" s="4">
        <f t="shared" si="6"/>
        <v>-0.10800675993149572</v>
      </c>
      <c r="K36" s="4">
        <f t="shared" si="10"/>
        <v>2.4067826541465297E-2</v>
      </c>
      <c r="L36" s="4">
        <f t="shared" si="7"/>
        <v>2.1421225569892635E-2</v>
      </c>
      <c r="M36" s="4">
        <f t="shared" si="8"/>
        <v>1.3106732454913924E-2</v>
      </c>
      <c r="N36" s="4">
        <f t="shared" si="9"/>
        <v>3.9335688211784965E-2</v>
      </c>
      <c r="O36" s="4">
        <f t="shared" si="9"/>
        <v>1.47260744825742E-2</v>
      </c>
      <c r="P36" s="4">
        <f t="shared" si="9"/>
        <v>1.166546019089975E-2</v>
      </c>
    </row>
    <row r="37" spans="1:16" x14ac:dyDescent="0.3">
      <c r="A37" s="2">
        <v>44866</v>
      </c>
      <c r="B37" s="3">
        <v>18100</v>
      </c>
      <c r="C37" s="3">
        <v>58294</v>
      </c>
      <c r="D37" s="3">
        <v>64925</v>
      </c>
      <c r="E37" s="4">
        <f t="shared" si="2"/>
        <v>-0.37043478260869567</v>
      </c>
      <c r="F37" s="4">
        <f t="shared" si="3"/>
        <v>3.3801518053486558E-2</v>
      </c>
      <c r="G37" s="4">
        <f t="shared" si="3"/>
        <v>-4.1456896933547899E-2</v>
      </c>
      <c r="H37" s="4">
        <f t="shared" si="4"/>
        <v>-0.39729730917240275</v>
      </c>
      <c r="I37" s="4">
        <f t="shared" si="5"/>
        <v>2.0334100295888419E-2</v>
      </c>
      <c r="J37" s="4">
        <f t="shared" si="6"/>
        <v>-6.9686467815386677E-2</v>
      </c>
      <c r="K37" s="4">
        <f t="shared" si="10"/>
        <v>-8.0786833319982272E-3</v>
      </c>
      <c r="L37" s="4">
        <f t="shared" si="7"/>
        <v>2.7686246148782373E-2</v>
      </c>
      <c r="M37" s="4">
        <f t="shared" si="8"/>
        <v>-1.417011625824273E-3</v>
      </c>
      <c r="N37" s="4">
        <f t="shared" si="9"/>
        <v>0.15784515187563178</v>
      </c>
      <c r="O37" s="4">
        <f t="shared" si="9"/>
        <v>4.1347563484324948E-4</v>
      </c>
      <c r="P37" s="4">
        <f t="shared" si="9"/>
        <v>4.8562037965849229E-3</v>
      </c>
    </row>
    <row r="38" spans="1:16" x14ac:dyDescent="0.3">
      <c r="A38" s="2">
        <v>44896</v>
      </c>
      <c r="B38" s="3">
        <v>21350</v>
      </c>
      <c r="C38" s="3">
        <v>54628</v>
      </c>
      <c r="D38" s="3">
        <v>63904</v>
      </c>
      <c r="E38" s="4">
        <f t="shared" si="2"/>
        <v>0.17955801104972377</v>
      </c>
      <c r="F38" s="4">
        <f t="shared" si="3"/>
        <v>-6.2888118845850341E-2</v>
      </c>
      <c r="G38" s="4">
        <f t="shared" si="3"/>
        <v>-1.5725837504813246E-2</v>
      </c>
      <c r="H38" s="4">
        <f t="shared" si="4"/>
        <v>0.15269548448601669</v>
      </c>
      <c r="I38" s="4">
        <f t="shared" si="5"/>
        <v>-7.6355536603448487E-2</v>
      </c>
      <c r="J38" s="4">
        <f t="shared" si="6"/>
        <v>-4.3955408386652017E-2</v>
      </c>
      <c r="K38" s="4">
        <f t="shared" si="10"/>
        <v>-1.1659145654853348E-2</v>
      </c>
      <c r="L38" s="4">
        <f t="shared" si="7"/>
        <v>-6.7117923793805507E-3</v>
      </c>
      <c r="M38" s="4">
        <f t="shared" si="8"/>
        <v>3.3562387939865346E-3</v>
      </c>
      <c r="N38" s="4">
        <f t="shared" si="9"/>
        <v>2.3315910982419363E-2</v>
      </c>
      <c r="O38" s="4">
        <f t="shared" si="9"/>
        <v>5.8301679700005615E-3</v>
      </c>
      <c r="P38" s="4">
        <f t="shared" si="9"/>
        <v>1.9320779264373584E-3</v>
      </c>
    </row>
    <row r="39" spans="1:16" x14ac:dyDescent="0.3">
      <c r="A39" s="2">
        <v>44929</v>
      </c>
      <c r="B39" s="3">
        <v>24350</v>
      </c>
      <c r="C39" s="3">
        <v>52281</v>
      </c>
      <c r="D39" s="3">
        <v>56171</v>
      </c>
      <c r="E39" s="4">
        <f t="shared" si="2"/>
        <v>0.14051522248243559</v>
      </c>
      <c r="F39" s="4">
        <f t="shared" si="3"/>
        <v>-4.2963315515852675E-2</v>
      </c>
      <c r="G39" s="4">
        <f t="shared" si="3"/>
        <v>-0.12100963945918879</v>
      </c>
      <c r="H39" s="4">
        <f t="shared" si="4"/>
        <v>0.11365269591872851</v>
      </c>
      <c r="I39" s="4">
        <f t="shared" si="5"/>
        <v>-5.6430733273450814E-2</v>
      </c>
      <c r="J39" s="4">
        <f t="shared" si="6"/>
        <v>-0.14923921034102755</v>
      </c>
      <c r="K39" s="4">
        <f t="shared" si="10"/>
        <v>-6.41350496919838E-3</v>
      </c>
      <c r="L39" s="4">
        <f t="shared" si="7"/>
        <v>-1.6961438592039968E-2</v>
      </c>
      <c r="M39" s="4">
        <f t="shared" si="8"/>
        <v>8.4216780726949474E-3</v>
      </c>
      <c r="N39" s="4">
        <f t="shared" si="9"/>
        <v>1.2916935289594967E-2</v>
      </c>
      <c r="O39" s="4">
        <f t="shared" si="9"/>
        <v>3.1844276577793489E-3</v>
      </c>
      <c r="P39" s="4">
        <f t="shared" si="9"/>
        <v>2.2272341903213463E-2</v>
      </c>
    </row>
    <row r="40" spans="1:16" x14ac:dyDescent="0.3">
      <c r="A40" s="2">
        <v>44958</v>
      </c>
      <c r="B40" s="3">
        <v>26050</v>
      </c>
      <c r="C40" s="3">
        <v>54994</v>
      </c>
      <c r="D40" s="3">
        <v>61357</v>
      </c>
      <c r="E40" s="4">
        <f t="shared" si="2"/>
        <v>6.9815195071868577E-2</v>
      </c>
      <c r="F40" s="4">
        <f t="shared" si="3"/>
        <v>5.1892656988198387E-2</v>
      </c>
      <c r="G40" s="4">
        <f t="shared" si="3"/>
        <v>9.2325221199551374E-2</v>
      </c>
      <c r="H40" s="4">
        <f t="shared" si="4"/>
        <v>4.2952668508161498E-2</v>
      </c>
      <c r="I40" s="4">
        <f t="shared" si="5"/>
        <v>3.8425239230600247E-2</v>
      </c>
      <c r="J40" s="4">
        <f t="shared" si="6"/>
        <v>6.409565031771261E-2</v>
      </c>
      <c r="K40" s="4">
        <f t="shared" si="10"/>
        <v>1.650466563018775E-3</v>
      </c>
      <c r="L40" s="4">
        <f t="shared" si="7"/>
        <v>2.7530792209117458E-3</v>
      </c>
      <c r="M40" s="4">
        <f t="shared" si="8"/>
        <v>2.4628906970990058E-3</v>
      </c>
      <c r="N40" s="4">
        <f t="shared" si="9"/>
        <v>1.8449317319720086E-3</v>
      </c>
      <c r="O40" s="4">
        <f t="shared" si="9"/>
        <v>1.4764990099288603E-3</v>
      </c>
      <c r="P40" s="4">
        <f t="shared" si="9"/>
        <v>4.108252389650493E-3</v>
      </c>
    </row>
    <row r="41" spans="1:16" x14ac:dyDescent="0.3">
      <c r="A41" s="2">
        <v>44986</v>
      </c>
      <c r="B41" s="3">
        <v>21150</v>
      </c>
      <c r="C41" s="3">
        <v>49559</v>
      </c>
      <c r="D41" s="3">
        <v>58070</v>
      </c>
      <c r="E41" s="4">
        <f t="shared" si="2"/>
        <v>-0.18809980806142035</v>
      </c>
      <c r="F41" s="4">
        <f t="shared" si="3"/>
        <v>-9.8828963159617408E-2</v>
      </c>
      <c r="G41" s="4">
        <f t="shared" si="3"/>
        <v>-5.3571719608194665E-2</v>
      </c>
      <c r="H41" s="4">
        <f t="shared" si="4"/>
        <v>-0.21496233462512743</v>
      </c>
      <c r="I41" s="4">
        <f t="shared" si="5"/>
        <v>-0.11229638091721555</v>
      </c>
      <c r="J41" s="4">
        <f t="shared" si="6"/>
        <v>-8.1801290490033429E-2</v>
      </c>
      <c r="K41" s="4">
        <f t="shared" si="10"/>
        <v>2.4139492211917263E-2</v>
      </c>
      <c r="L41" s="4">
        <f t="shared" si="7"/>
        <v>1.7584196379085822E-2</v>
      </c>
      <c r="M41" s="4">
        <f t="shared" si="8"/>
        <v>9.1859888763885962E-3</v>
      </c>
      <c r="N41" s="4">
        <f t="shared" si="9"/>
        <v>4.6208805307485258E-2</v>
      </c>
      <c r="O41" s="4">
        <f t="shared" si="9"/>
        <v>1.2610477167104374E-2</v>
      </c>
      <c r="P41" s="4">
        <f t="shared" si="9"/>
        <v>6.6914511258348332E-3</v>
      </c>
    </row>
    <row r="42" spans="1:16" x14ac:dyDescent="0.3">
      <c r="A42" s="2">
        <v>45019</v>
      </c>
      <c r="B42" s="3">
        <v>25000</v>
      </c>
      <c r="C42" s="3">
        <v>50451</v>
      </c>
      <c r="D42" s="3">
        <v>57997</v>
      </c>
      <c r="E42" s="4">
        <f t="shared" si="2"/>
        <v>0.18203309692671396</v>
      </c>
      <c r="F42" s="4">
        <f t="shared" si="3"/>
        <v>1.7998748965879052E-2</v>
      </c>
      <c r="G42" s="4">
        <f t="shared" si="3"/>
        <v>-1.2571034957809539E-3</v>
      </c>
      <c r="H42" s="4">
        <f t="shared" si="4"/>
        <v>0.15517057036300688</v>
      </c>
      <c r="I42" s="4">
        <f t="shared" si="5"/>
        <v>4.5313312082809112E-3</v>
      </c>
      <c r="J42" s="4">
        <f t="shared" si="6"/>
        <v>-2.9486674377619725E-2</v>
      </c>
      <c r="K42" s="4">
        <f t="shared" si="10"/>
        <v>7.0312924809264217E-4</v>
      </c>
      <c r="L42" s="4">
        <f t="shared" si="7"/>
        <v>-4.5754640812835133E-3</v>
      </c>
      <c r="M42" s="4">
        <f t="shared" si="8"/>
        <v>-1.3361388783572536E-4</v>
      </c>
      <c r="N42" s="4">
        <f t="shared" si="9"/>
        <v>2.4077905906780869E-2</v>
      </c>
      <c r="O42" s="4">
        <f t="shared" si="9"/>
        <v>2.0532962519140541E-5</v>
      </c>
      <c r="P42" s="4">
        <f t="shared" si="9"/>
        <v>8.6946396585177563E-4</v>
      </c>
    </row>
    <row r="43" spans="1:16" x14ac:dyDescent="0.3">
      <c r="A43" s="2">
        <v>45050</v>
      </c>
      <c r="B43" s="3">
        <v>26400</v>
      </c>
      <c r="C43" s="3">
        <v>50079</v>
      </c>
      <c r="D43" s="3">
        <v>56828</v>
      </c>
      <c r="E43" s="4">
        <f t="shared" si="2"/>
        <v>5.6000000000000001E-2</v>
      </c>
      <c r="F43" s="4">
        <f t="shared" si="3"/>
        <v>-7.3734911101861209E-3</v>
      </c>
      <c r="G43" s="4">
        <f t="shared" si="3"/>
        <v>-2.0156214976636722E-2</v>
      </c>
      <c r="H43" s="4">
        <f t="shared" si="4"/>
        <v>2.9137473436292922E-2</v>
      </c>
      <c r="I43" s="4">
        <f t="shared" si="5"/>
        <v>-2.0840908867784263E-2</v>
      </c>
      <c r="J43" s="4">
        <f t="shared" si="6"/>
        <v>-4.8385785858475493E-2</v>
      </c>
      <c r="K43" s="4">
        <f t="shared" si="10"/>
        <v>-6.0725142852326554E-4</v>
      </c>
      <c r="L43" s="4">
        <f t="shared" si="7"/>
        <v>-1.4098395501454875E-3</v>
      </c>
      <c r="M43" s="4">
        <f t="shared" si="8"/>
        <v>1.0084037535726122E-3</v>
      </c>
      <c r="N43" s="4">
        <f t="shared" si="9"/>
        <v>8.4899235825067567E-4</v>
      </c>
      <c r="O43" s="4">
        <f t="shared" si="9"/>
        <v>4.3434348243528872E-4</v>
      </c>
      <c r="P43" s="4">
        <f t="shared" si="9"/>
        <v>2.3411842731422472E-3</v>
      </c>
    </row>
    <row r="44" spans="1:16" x14ac:dyDescent="0.3">
      <c r="A44" s="2">
        <v>45078</v>
      </c>
      <c r="B44" s="3">
        <v>28150</v>
      </c>
      <c r="C44" s="3">
        <v>52885</v>
      </c>
      <c r="D44" s="3">
        <v>61357</v>
      </c>
      <c r="E44" s="4">
        <f t="shared" si="2"/>
        <v>6.6287878787878785E-2</v>
      </c>
      <c r="F44" s="4">
        <f t="shared" si="3"/>
        <v>5.6031470276962397E-2</v>
      </c>
      <c r="G44" s="4">
        <f t="shared" si="3"/>
        <v>7.9696628422608579E-2</v>
      </c>
      <c r="H44" s="4">
        <f t="shared" si="4"/>
        <v>3.9425352224171706E-2</v>
      </c>
      <c r="I44" s="4">
        <f t="shared" si="5"/>
        <v>4.2564052519364258E-2</v>
      </c>
      <c r="J44" s="4">
        <f t="shared" si="6"/>
        <v>5.1467057540769807E-2</v>
      </c>
      <c r="K44" s="4">
        <f t="shared" si="10"/>
        <v>1.6781027626640789E-3</v>
      </c>
      <c r="L44" s="4">
        <f t="shared" si="7"/>
        <v>2.0291068714865623E-3</v>
      </c>
      <c r="M44" s="4">
        <f t="shared" si="8"/>
        <v>2.1906465401824683E-3</v>
      </c>
      <c r="N44" s="4">
        <f t="shared" si="9"/>
        <v>1.5543583980000008E-3</v>
      </c>
      <c r="O44" s="4">
        <f t="shared" si="9"/>
        <v>1.8116985668711989E-3</v>
      </c>
      <c r="P44" s="4">
        <f t="shared" si="9"/>
        <v>2.6488580119049102E-3</v>
      </c>
    </row>
    <row r="45" spans="1:16" x14ac:dyDescent="0.3">
      <c r="A45" s="2">
        <v>45110</v>
      </c>
      <c r="B45" s="3">
        <v>29550</v>
      </c>
      <c r="C45" s="3">
        <v>55880</v>
      </c>
      <c r="D45" s="3">
        <v>63183</v>
      </c>
      <c r="E45" s="4">
        <f t="shared" si="2"/>
        <v>4.9733570159857902E-2</v>
      </c>
      <c r="F45" s="4">
        <f t="shared" si="3"/>
        <v>5.6632315401342538E-2</v>
      </c>
      <c r="G45" s="4">
        <f t="shared" si="3"/>
        <v>2.9760255553563569E-2</v>
      </c>
      <c r="H45" s="4">
        <f t="shared" si="4"/>
        <v>2.2871043596150824E-2</v>
      </c>
      <c r="I45" s="4">
        <f t="shared" si="5"/>
        <v>4.3164897643744399E-2</v>
      </c>
      <c r="J45" s="4">
        <f t="shared" si="6"/>
        <v>1.5306846717247982E-3</v>
      </c>
      <c r="K45" s="4">
        <f t="shared" si="10"/>
        <v>9.8722625583346608E-4</v>
      </c>
      <c r="L45" s="4">
        <f t="shared" si="7"/>
        <v>3.5008355858977669E-5</v>
      </c>
      <c r="M45" s="4">
        <f t="shared" si="8"/>
        <v>6.607184717984941E-5</v>
      </c>
      <c r="N45" s="4">
        <f t="shared" si="9"/>
        <v>5.2308463517703157E-4</v>
      </c>
      <c r="O45" s="4">
        <f t="shared" si="9"/>
        <v>1.8632083885949309E-3</v>
      </c>
      <c r="P45" s="4">
        <f t="shared" si="9"/>
        <v>2.3429955642532534E-6</v>
      </c>
    </row>
    <row r="46" spans="1:16" x14ac:dyDescent="0.3">
      <c r="A46" s="2">
        <v>45139</v>
      </c>
      <c r="B46" s="3">
        <v>33100</v>
      </c>
      <c r="C46" s="3">
        <v>57506</v>
      </c>
      <c r="D46" s="3">
        <v>72631</v>
      </c>
      <c r="E46" s="4">
        <f t="shared" si="2"/>
        <v>0.12013536379018612</v>
      </c>
      <c r="F46" s="4">
        <f t="shared" si="3"/>
        <v>2.9098067287043665E-2</v>
      </c>
      <c r="G46" s="4">
        <f t="shared" si="3"/>
        <v>0.14953389361062311</v>
      </c>
      <c r="H46" s="4">
        <f t="shared" si="4"/>
        <v>9.3272837226479041E-2</v>
      </c>
      <c r="I46" s="4">
        <f t="shared" si="5"/>
        <v>1.5630649529445526E-2</v>
      </c>
      <c r="J46" s="4">
        <f t="shared" si="6"/>
        <v>0.12130432272878433</v>
      </c>
      <c r="K46" s="4">
        <f t="shared" si="10"/>
        <v>1.4579150293041138E-3</v>
      </c>
      <c r="L46" s="4">
        <f t="shared" si="7"/>
        <v>1.1314398348750183E-2</v>
      </c>
      <c r="M46" s="4">
        <f t="shared" si="8"/>
        <v>1.896065354980381E-3</v>
      </c>
      <c r="N46" s="4">
        <f t="shared" si="9"/>
        <v>8.6998221642772544E-3</v>
      </c>
      <c r="O46" s="4">
        <f t="shared" si="9"/>
        <v>2.4431720471235565E-4</v>
      </c>
      <c r="P46" s="4">
        <f t="shared" si="9"/>
        <v>1.4714738712689062E-2</v>
      </c>
    </row>
    <row r="47" spans="1:16" x14ac:dyDescent="0.3">
      <c r="A47" s="2">
        <v>45174</v>
      </c>
      <c r="B47" s="3">
        <v>34800</v>
      </c>
      <c r="C47" s="3">
        <v>54340</v>
      </c>
      <c r="D47" s="3">
        <v>83352</v>
      </c>
      <c r="E47" s="4">
        <f t="shared" si="2"/>
        <v>5.1359516616314202E-2</v>
      </c>
      <c r="F47" s="4">
        <f t="shared" si="3"/>
        <v>-5.5055124682641808E-2</v>
      </c>
      <c r="G47" s="4">
        <f t="shared" si="3"/>
        <v>0.14760914760914762</v>
      </c>
      <c r="H47" s="4">
        <f t="shared" si="4"/>
        <v>2.4496990052607123E-2</v>
      </c>
      <c r="I47" s="4">
        <f t="shared" si="5"/>
        <v>-6.8522542440239947E-2</v>
      </c>
      <c r="J47" s="4">
        <f t="shared" si="6"/>
        <v>0.11937957672730884</v>
      </c>
      <c r="K47" s="4">
        <f t="shared" si="10"/>
        <v>-1.6785960405379075E-3</v>
      </c>
      <c r="L47" s="4">
        <f t="shared" si="7"/>
        <v>2.9244403035733335E-3</v>
      </c>
      <c r="M47" s="4">
        <f t="shared" si="8"/>
        <v>-8.1801921127949012E-3</v>
      </c>
      <c r="N47" s="4">
        <f t="shared" si="9"/>
        <v>6.0010252163753236E-4</v>
      </c>
      <c r="O47" s="4">
        <f t="shared" si="9"/>
        <v>4.6953388224744846E-3</v>
      </c>
      <c r="P47" s="4">
        <f t="shared" si="9"/>
        <v>1.4251483339591418E-2</v>
      </c>
    </row>
    <row r="48" spans="1:16" x14ac:dyDescent="0.3">
      <c r="A48" s="2">
        <v>45201</v>
      </c>
      <c r="B48" s="3">
        <v>32400</v>
      </c>
      <c r="C48" s="3">
        <v>54425</v>
      </c>
      <c r="D48" s="3">
        <v>80176</v>
      </c>
      <c r="E48" s="4">
        <f t="shared" si="2"/>
        <v>-6.8965517241379309E-2</v>
      </c>
      <c r="F48" s="4">
        <f t="shared" si="3"/>
        <v>1.5642252484357748E-3</v>
      </c>
      <c r="G48" s="4">
        <f t="shared" si="3"/>
        <v>-3.8103464823879454E-2</v>
      </c>
      <c r="H48" s="4">
        <f t="shared" si="4"/>
        <v>-9.5828043805086388E-2</v>
      </c>
      <c r="I48" s="4">
        <f t="shared" si="5"/>
        <v>-1.1903192509162367E-2</v>
      </c>
      <c r="J48" s="4">
        <f t="shared" si="6"/>
        <v>-6.6333035705718218E-2</v>
      </c>
      <c r="K48" s="4">
        <f t="shared" si="10"/>
        <v>1.1406596531883875E-3</v>
      </c>
      <c r="L48" s="4">
        <f t="shared" si="7"/>
        <v>6.3565650513319246E-3</v>
      </c>
      <c r="M48" s="4">
        <f t="shared" si="8"/>
        <v>7.8957489372230496E-4</v>
      </c>
      <c r="N48" s="4">
        <f t="shared" si="9"/>
        <v>9.1830139795095553E-3</v>
      </c>
      <c r="O48" s="4">
        <f t="shared" si="9"/>
        <v>1.4168599191017908E-4</v>
      </c>
      <c r="P48" s="4">
        <f t="shared" si="9"/>
        <v>4.4000716259360879E-3</v>
      </c>
    </row>
    <row r="49" spans="1:16" x14ac:dyDescent="0.3">
      <c r="A49" s="2">
        <v>45231</v>
      </c>
      <c r="B49" s="3">
        <v>25550</v>
      </c>
      <c r="C49" s="3">
        <v>45354</v>
      </c>
      <c r="D49" s="3">
        <v>72364</v>
      </c>
      <c r="E49" s="4">
        <f t="shared" si="2"/>
        <v>-0.21141975308641975</v>
      </c>
      <c r="F49" s="4">
        <f t="shared" si="3"/>
        <v>-0.16666972898484153</v>
      </c>
      <c r="G49" s="4">
        <f t="shared" si="3"/>
        <v>-9.743564158850529E-2</v>
      </c>
      <c r="H49" s="4">
        <f t="shared" si="4"/>
        <v>-0.23828227965012683</v>
      </c>
      <c r="I49" s="4">
        <f t="shared" si="5"/>
        <v>-0.18013714674243966</v>
      </c>
      <c r="J49" s="4">
        <f t="shared" si="6"/>
        <v>-0.12566521247034407</v>
      </c>
      <c r="K49" s="4">
        <f t="shared" si="10"/>
        <v>4.2923489975457939E-2</v>
      </c>
      <c r="L49" s="4">
        <f t="shared" si="7"/>
        <v>2.9943793300151129E-2</v>
      </c>
      <c r="M49" s="4">
        <f t="shared" si="8"/>
        <v>2.2636972819190228E-2</v>
      </c>
      <c r="N49" s="4">
        <f t="shared" si="9"/>
        <v>5.6778444795261243E-2</v>
      </c>
      <c r="O49" s="4">
        <f t="shared" si="9"/>
        <v>3.2449391636507244E-2</v>
      </c>
      <c r="P49" s="4">
        <f t="shared" si="9"/>
        <v>1.5791745625216718E-2</v>
      </c>
    </row>
    <row r="50" spans="1:16" x14ac:dyDescent="0.3">
      <c r="A50" s="2">
        <v>45261</v>
      </c>
      <c r="B50" s="3">
        <v>31450</v>
      </c>
      <c r="C50" s="3">
        <v>49034</v>
      </c>
      <c r="D50" s="3">
        <v>79146</v>
      </c>
      <c r="E50" s="4">
        <f t="shared" si="2"/>
        <v>0.2309197651663405</v>
      </c>
      <c r="F50" s="4">
        <f t="shared" si="3"/>
        <v>8.1139480530934421E-2</v>
      </c>
      <c r="G50" s="4">
        <f t="shared" si="3"/>
        <v>9.3720634569675526E-2</v>
      </c>
      <c r="H50" s="4">
        <f t="shared" si="4"/>
        <v>0.20405723860263342</v>
      </c>
      <c r="I50" s="4">
        <f t="shared" si="5"/>
        <v>6.7672062773336275E-2</v>
      </c>
      <c r="J50" s="4">
        <f t="shared" si="6"/>
        <v>6.5491063687836748E-2</v>
      </c>
      <c r="K50" s="4">
        <f t="shared" si="10"/>
        <v>1.3808974260071067E-2</v>
      </c>
      <c r="L50" s="4">
        <f t="shared" si="7"/>
        <v>1.3363925609289165E-2</v>
      </c>
      <c r="M50" s="4">
        <f t="shared" si="8"/>
        <v>4.4319153729758523E-3</v>
      </c>
      <c r="N50" s="4">
        <f t="shared" si="9"/>
        <v>4.1639356626132065E-2</v>
      </c>
      <c r="O50" s="4">
        <f t="shared" si="9"/>
        <v>4.5795080799983651E-3</v>
      </c>
      <c r="P50" s="4">
        <f t="shared" si="9"/>
        <v>4.2890794229642889E-3</v>
      </c>
    </row>
    <row r="51" spans="1:16" x14ac:dyDescent="0.3">
      <c r="A51" s="2">
        <v>45293</v>
      </c>
      <c r="B51" s="3">
        <v>32000</v>
      </c>
      <c r="C51" s="3">
        <v>49205</v>
      </c>
      <c r="D51" s="3">
        <v>83180</v>
      </c>
      <c r="E51" s="4">
        <f t="shared" si="2"/>
        <v>1.7488076311605722E-2</v>
      </c>
      <c r="F51" s="4">
        <f t="shared" si="3"/>
        <v>3.4873761063751682E-3</v>
      </c>
      <c r="G51" s="4">
        <f t="shared" si="3"/>
        <v>5.0969095090086673E-2</v>
      </c>
      <c r="H51" s="4">
        <f t="shared" si="4"/>
        <v>-9.3744502521013566E-3</v>
      </c>
      <c r="I51" s="4">
        <f t="shared" si="5"/>
        <v>-9.9800416512229734E-3</v>
      </c>
      <c r="J51" s="4">
        <f t="shared" si="6"/>
        <v>2.2739524208247902E-2</v>
      </c>
      <c r="K51" s="4">
        <f t="shared" si="10"/>
        <v>9.355740397328924E-5</v>
      </c>
      <c r="L51" s="4">
        <f t="shared" si="7"/>
        <v>-2.1317053844667445E-4</v>
      </c>
      <c r="M51" s="4">
        <f t="shared" si="8"/>
        <v>-2.2694139872730717E-4</v>
      </c>
      <c r="N51" s="4">
        <f t="shared" si="9"/>
        <v>8.7880317529123186E-5</v>
      </c>
      <c r="O51" s="4">
        <f t="shared" si="9"/>
        <v>9.9601231360145367E-5</v>
      </c>
      <c r="P51" s="4">
        <f t="shared" si="9"/>
        <v>5.1708596121749235E-4</v>
      </c>
    </row>
    <row r="52" spans="1:16" x14ac:dyDescent="0.3">
      <c r="A52" s="2">
        <v>45323</v>
      </c>
      <c r="B52" s="3">
        <v>30300</v>
      </c>
      <c r="C52" s="3">
        <v>47921</v>
      </c>
      <c r="D52" s="3">
        <v>82322</v>
      </c>
      <c r="E52" s="4">
        <f t="shared" si="2"/>
        <v>-5.3124999999999999E-2</v>
      </c>
      <c r="F52" s="4">
        <f t="shared" si="3"/>
        <v>-2.6094909053957931E-2</v>
      </c>
      <c r="G52" s="4">
        <f t="shared" si="3"/>
        <v>-1.0314979562394806E-2</v>
      </c>
      <c r="H52" s="4">
        <f t="shared" si="4"/>
        <v>-7.9987526563707084E-2</v>
      </c>
      <c r="I52" s="4">
        <f t="shared" si="5"/>
        <v>-3.9562326811556074E-2</v>
      </c>
      <c r="J52" s="4">
        <f t="shared" si="6"/>
        <v>-3.8544550444233577E-2</v>
      </c>
      <c r="K52" s="4">
        <f t="shared" si="10"/>
        <v>3.1644926667614027E-3</v>
      </c>
      <c r="L52" s="4">
        <f t="shared" si="7"/>
        <v>3.083083252544281E-3</v>
      </c>
      <c r="M52" s="4">
        <f t="shared" si="8"/>
        <v>1.5249121014792777E-3</v>
      </c>
      <c r="N52" s="4">
        <f t="shared" si="9"/>
        <v>6.3980044057797463E-3</v>
      </c>
      <c r="O52" s="4">
        <f t="shared" si="9"/>
        <v>1.5651777027443686E-3</v>
      </c>
      <c r="P52" s="4">
        <f t="shared" si="9"/>
        <v>1.4856823689480669E-3</v>
      </c>
    </row>
    <row r="53" spans="1:16" x14ac:dyDescent="0.3">
      <c r="A53" s="2">
        <v>45352</v>
      </c>
      <c r="B53" s="3">
        <v>31200</v>
      </c>
      <c r="C53" s="3">
        <v>52371</v>
      </c>
      <c r="D53" s="3">
        <v>93739</v>
      </c>
      <c r="E53" s="4">
        <f t="shared" si="2"/>
        <v>2.9702970297029702E-2</v>
      </c>
      <c r="F53" s="4">
        <f t="shared" si="3"/>
        <v>9.2861167337910305E-2</v>
      </c>
      <c r="G53" s="4">
        <f t="shared" si="3"/>
        <v>0.1386871067272418</v>
      </c>
      <c r="H53" s="4">
        <f t="shared" si="4"/>
        <v>2.8404437333226229E-3</v>
      </c>
      <c r="I53" s="4">
        <f t="shared" si="5"/>
        <v>7.9393749580312159E-2</v>
      </c>
      <c r="J53" s="4">
        <f t="shared" si="6"/>
        <v>0.11045753584540302</v>
      </c>
      <c r="K53" s="4">
        <f t="shared" si="10"/>
        <v>2.2551347846038329E-4</v>
      </c>
      <c r="L53" s="4">
        <f t="shared" si="7"/>
        <v>3.1374841549033401E-4</v>
      </c>
      <c r="M53" s="4">
        <f t="shared" si="8"/>
        <v>8.769637940168282E-3</v>
      </c>
      <c r="N53" s="4">
        <f t="shared" si="9"/>
        <v>8.0681206021717595E-6</v>
      </c>
      <c r="O53" s="4">
        <f t="shared" si="9"/>
        <v>6.3033674724213172E-3</v>
      </c>
      <c r="P53" s="4">
        <f t="shared" si="9"/>
        <v>1.2200867225038494E-2</v>
      </c>
    </row>
    <row r="54" spans="1:16" x14ac:dyDescent="0.3">
      <c r="A54" s="2">
        <v>45383</v>
      </c>
      <c r="B54" s="3">
        <v>34850</v>
      </c>
      <c r="C54" s="3">
        <v>54596</v>
      </c>
      <c r="D54" s="3">
        <v>99576</v>
      </c>
      <c r="E54" s="4">
        <f t="shared" si="2"/>
        <v>0.11698717948717949</v>
      </c>
      <c r="F54" s="4">
        <f t="shared" si="3"/>
        <v>4.2485344942811865E-2</v>
      </c>
      <c r="G54" s="4">
        <f t="shared" si="3"/>
        <v>6.2268639520370393E-2</v>
      </c>
      <c r="H54" s="4">
        <f t="shared" si="4"/>
        <v>9.0124652923472409E-2</v>
      </c>
      <c r="I54" s="4">
        <f t="shared" si="5"/>
        <v>2.9017927185213725E-2</v>
      </c>
      <c r="J54" s="4">
        <f t="shared" si="6"/>
        <v>3.4039068638531622E-2</v>
      </c>
      <c r="K54" s="4">
        <f t="shared" si="10"/>
        <v>2.6152306161259815E-3</v>
      </c>
      <c r="L54" s="4">
        <f t="shared" si="7"/>
        <v>3.0677592468859169E-3</v>
      </c>
      <c r="M54" s="4">
        <f t="shared" si="8"/>
        <v>9.8774321520540267E-4</v>
      </c>
      <c r="N54" s="4">
        <f t="shared" si="9"/>
        <v>8.1224530645763633E-3</v>
      </c>
      <c r="O54" s="4">
        <f t="shared" si="9"/>
        <v>8.4204009812636571E-4</v>
      </c>
      <c r="P54" s="4">
        <f t="shared" si="9"/>
        <v>1.1586581937786671E-3</v>
      </c>
    </row>
    <row r="55" spans="1:16" x14ac:dyDescent="0.3">
      <c r="A55" s="2">
        <v>45414</v>
      </c>
      <c r="B55" s="3">
        <v>28650</v>
      </c>
      <c r="C55" s="3">
        <v>53217</v>
      </c>
      <c r="D55" s="3">
        <v>106272</v>
      </c>
      <c r="E55" s="4">
        <f t="shared" si="2"/>
        <v>-0.17790530846484937</v>
      </c>
      <c r="F55" s="4">
        <f t="shared" si="3"/>
        <v>-2.5258260678437981E-2</v>
      </c>
      <c r="G55" s="4">
        <f t="shared" si="3"/>
        <v>6.7245119305856832E-2</v>
      </c>
      <c r="H55" s="4">
        <f t="shared" si="4"/>
        <v>-0.20476783502855644</v>
      </c>
      <c r="I55" s="4">
        <f t="shared" si="5"/>
        <v>-3.8725678436036123E-2</v>
      </c>
      <c r="J55" s="4">
        <f t="shared" si="6"/>
        <v>3.9015548424018061E-2</v>
      </c>
      <c r="K55" s="4">
        <f t="shared" si="10"/>
        <v>7.9297733333591712E-3</v>
      </c>
      <c r="L55" s="4">
        <f t="shared" si="7"/>
        <v>-7.9891293832379858E-3</v>
      </c>
      <c r="M55" s="4">
        <f t="shared" si="8"/>
        <v>-1.5109035822741194E-3</v>
      </c>
      <c r="N55" s="4">
        <f t="shared" si="9"/>
        <v>4.1929866262282109E-2</v>
      </c>
      <c r="O55" s="4">
        <f t="shared" si="9"/>
        <v>1.4996781703312731E-3</v>
      </c>
      <c r="P55" s="4">
        <f t="shared" si="9"/>
        <v>1.5222130188268983E-3</v>
      </c>
    </row>
    <row r="56" spans="1:16" x14ac:dyDescent="0.3">
      <c r="A56" s="2">
        <v>45446</v>
      </c>
      <c r="B56" s="3">
        <v>31750</v>
      </c>
      <c r="C56" s="3">
        <v>62500</v>
      </c>
      <c r="D56" s="3">
        <v>115886</v>
      </c>
      <c r="E56" s="4">
        <f t="shared" si="2"/>
        <v>0.10820244328097731</v>
      </c>
      <c r="F56" s="4">
        <f t="shared" si="3"/>
        <v>0.17443674013942914</v>
      </c>
      <c r="G56" s="4">
        <f t="shared" si="3"/>
        <v>9.0465974104185484E-2</v>
      </c>
      <c r="H56" s="4">
        <f t="shared" si="4"/>
        <v>8.1339916717270228E-2</v>
      </c>
      <c r="I56" s="4">
        <f t="shared" si="5"/>
        <v>0.16096932238183101</v>
      </c>
      <c r="J56" s="4">
        <f t="shared" si="6"/>
        <v>6.2236403222346713E-2</v>
      </c>
      <c r="K56" s="4">
        <f t="shared" si="10"/>
        <v>1.3093231276573556E-2</v>
      </c>
      <c r="L56" s="4">
        <f t="shared" si="7"/>
        <v>5.0623038548881297E-3</v>
      </c>
      <c r="M56" s="4">
        <f t="shared" si="8"/>
        <v>1.0018151654183554E-2</v>
      </c>
      <c r="N56" s="4">
        <f t="shared" si="9"/>
        <v>6.6161820515724563E-3</v>
      </c>
      <c r="O56" s="4">
        <f t="shared" si="9"/>
        <v>2.591112274806584E-2</v>
      </c>
      <c r="P56" s="4">
        <f t="shared" si="9"/>
        <v>3.8733698860545281E-3</v>
      </c>
    </row>
    <row r="57" spans="1:16" x14ac:dyDescent="0.3">
      <c r="A57" s="2">
        <v>45474</v>
      </c>
      <c r="B57" s="3">
        <v>29000</v>
      </c>
      <c r="C57" s="3">
        <v>62600</v>
      </c>
      <c r="D57" s="3">
        <v>129496</v>
      </c>
      <c r="E57" s="4">
        <f t="shared" si="2"/>
        <v>-8.6614173228346455E-2</v>
      </c>
      <c r="F57" s="4">
        <f t="shared" si="3"/>
        <v>1.6000000000000001E-3</v>
      </c>
      <c r="G57" s="4">
        <f t="shared" si="3"/>
        <v>0.11744300433184336</v>
      </c>
      <c r="H57" s="4">
        <f t="shared" si="4"/>
        <v>-0.11347669979205353</v>
      </c>
      <c r="I57" s="4">
        <f t="shared" si="5"/>
        <v>-1.186741775759814E-2</v>
      </c>
      <c r="J57" s="4">
        <f t="shared" si="6"/>
        <v>8.9213433450004598E-2</v>
      </c>
      <c r="K57" s="4">
        <f t="shared" si="10"/>
        <v>1.3466754021858494E-3</v>
      </c>
      <c r="L57" s="4">
        <f t="shared" si="7"/>
        <v>-1.0123646005024519E-2</v>
      </c>
      <c r="M57" s="4">
        <f t="shared" si="8"/>
        <v>-1.0587330843408844E-3</v>
      </c>
      <c r="N57" s="4">
        <f t="shared" si="9"/>
        <v>1.2876961395695843E-2</v>
      </c>
      <c r="O57" s="4">
        <f t="shared" si="9"/>
        <v>1.4083560423335567E-4</v>
      </c>
      <c r="P57" s="4">
        <f t="shared" si="9"/>
        <v>7.9590367079383998E-3</v>
      </c>
    </row>
    <row r="58" spans="1:16" x14ac:dyDescent="0.3">
      <c r="A58" s="2">
        <v>45505</v>
      </c>
      <c r="B58" s="3">
        <v>27200</v>
      </c>
      <c r="C58" s="3">
        <v>69400</v>
      </c>
      <c r="D58" s="3">
        <v>128702</v>
      </c>
      <c r="E58" s="4">
        <f t="shared" si="2"/>
        <v>-6.2068965517241378E-2</v>
      </c>
      <c r="F58" s="4">
        <f t="shared" si="3"/>
        <v>0.10862619808306709</v>
      </c>
      <c r="G58" s="4">
        <f t="shared" si="3"/>
        <v>-6.1314635201087288E-3</v>
      </c>
      <c r="H58" s="4">
        <f t="shared" si="4"/>
        <v>-8.8931492080948457E-2</v>
      </c>
      <c r="I58" s="4">
        <f t="shared" si="5"/>
        <v>9.5158780325468942E-2</v>
      </c>
      <c r="J58" s="4">
        <f t="shared" si="6"/>
        <v>-3.4361034401947502E-2</v>
      </c>
      <c r="K58" s="4">
        <f t="shared" si="10"/>
        <v>-8.4626123189471547E-3</v>
      </c>
      <c r="L58" s="4">
        <f t="shared" si="7"/>
        <v>3.0557780588099919E-3</v>
      </c>
      <c r="M58" s="4">
        <f t="shared" si="8"/>
        <v>-3.2697541244108034E-3</v>
      </c>
      <c r="N58" s="4">
        <f t="shared" si="9"/>
        <v>7.908810283743798E-3</v>
      </c>
      <c r="O58" s="4">
        <f t="shared" si="9"/>
        <v>9.0551934730308554E-3</v>
      </c>
      <c r="P58" s="4">
        <f t="shared" si="9"/>
        <v>1.1806806851718198E-3</v>
      </c>
    </row>
    <row r="59" spans="1:16" x14ac:dyDescent="0.3">
      <c r="A59" s="2">
        <v>45539</v>
      </c>
      <c r="B59" s="3">
        <v>26350</v>
      </c>
      <c r="C59" s="3">
        <v>68000</v>
      </c>
      <c r="D59" s="3">
        <v>132078</v>
      </c>
      <c r="E59" s="4">
        <f t="shared" si="2"/>
        <v>-3.125E-2</v>
      </c>
      <c r="F59" s="4">
        <f t="shared" si="3"/>
        <v>-2.0172910662824207E-2</v>
      </c>
      <c r="G59" s="4">
        <f t="shared" si="3"/>
        <v>2.6231138599244766E-2</v>
      </c>
      <c r="H59" s="4">
        <f t="shared" si="4"/>
        <v>-5.8112526563707079E-2</v>
      </c>
      <c r="I59" s="4">
        <f t="shared" si="5"/>
        <v>-3.3640328420422347E-2</v>
      </c>
      <c r="J59" s="4">
        <f t="shared" si="6"/>
        <v>-1.9984322825940051E-3</v>
      </c>
      <c r="K59" s="4">
        <f t="shared" si="10"/>
        <v>1.9549244789436237E-3</v>
      </c>
      <c r="L59" s="4">
        <f t="shared" si="7"/>
        <v>1.161339491080139E-4</v>
      </c>
      <c r="M59" s="4">
        <f t="shared" si="8"/>
        <v>6.7227918312436617E-5</v>
      </c>
      <c r="N59" s="4">
        <f t="shared" si="9"/>
        <v>3.377065743617561E-3</v>
      </c>
      <c r="O59" s="4">
        <f t="shared" si="9"/>
        <v>1.1316716962338756E-3</v>
      </c>
      <c r="P59" s="4">
        <f t="shared" si="9"/>
        <v>3.9937315881138855E-6</v>
      </c>
    </row>
    <row r="60" spans="1:16" x14ac:dyDescent="0.3">
      <c r="A60" s="2">
        <v>45566</v>
      </c>
      <c r="B60" s="3">
        <v>28300</v>
      </c>
      <c r="C60" s="3">
        <v>66700</v>
      </c>
      <c r="D60" s="3">
        <v>133767</v>
      </c>
      <c r="E60" s="4">
        <f t="shared" si="2"/>
        <v>7.4003795066413663E-2</v>
      </c>
      <c r="F60" s="4">
        <f t="shared" si="3"/>
        <v>-1.9117647058823531E-2</v>
      </c>
      <c r="G60" s="4">
        <f t="shared" si="3"/>
        <v>1.2787898060237132E-2</v>
      </c>
      <c r="H60" s="4">
        <f t="shared" si="4"/>
        <v>4.7141268502706585E-2</v>
      </c>
      <c r="I60" s="4">
        <f t="shared" si="5"/>
        <v>-3.258506481642167E-2</v>
      </c>
      <c r="J60" s="4">
        <f t="shared" si="6"/>
        <v>-1.5441672821601639E-2</v>
      </c>
      <c r="K60" s="4">
        <f t="shared" si="10"/>
        <v>-1.5361012896890314E-3</v>
      </c>
      <c r="L60" s="4">
        <f t="shared" si="7"/>
        <v>-7.2794004461406965E-4</v>
      </c>
      <c r="M60" s="4">
        <f t="shared" si="8"/>
        <v>5.0316790976586627E-4</v>
      </c>
      <c r="N60" s="4">
        <f t="shared" si="9"/>
        <v>2.2222991960442759E-3</v>
      </c>
      <c r="O60" s="4">
        <f t="shared" si="9"/>
        <v>1.0617864490904015E-3</v>
      </c>
      <c r="P60" s="4">
        <f t="shared" si="9"/>
        <v>2.3844525952939073E-4</v>
      </c>
    </row>
    <row r="61" spans="1:16" x14ac:dyDescent="0.3">
      <c r="A61" s="2">
        <v>45597</v>
      </c>
      <c r="B61" s="3">
        <v>26300</v>
      </c>
      <c r="C61" s="3">
        <v>64000</v>
      </c>
      <c r="D61" s="3">
        <v>134064</v>
      </c>
      <c r="E61" s="4">
        <f t="shared" si="2"/>
        <v>-7.0671378091872794E-2</v>
      </c>
      <c r="F61" s="4">
        <f t="shared" si="3"/>
        <v>-4.0479760119940027E-2</v>
      </c>
      <c r="G61" s="4">
        <f t="shared" si="3"/>
        <v>2.2202785440355245E-3</v>
      </c>
      <c r="H61" s="4">
        <f t="shared" si="4"/>
        <v>-9.7533904655579873E-2</v>
      </c>
      <c r="I61" s="4">
        <f t="shared" si="5"/>
        <v>-5.3947177877538166E-2</v>
      </c>
      <c r="J61" s="4">
        <f t="shared" si="6"/>
        <v>-2.6009292337803247E-2</v>
      </c>
      <c r="K61" s="4">
        <f t="shared" si="10"/>
        <v>5.2616789035454152E-3</v>
      </c>
      <c r="L61" s="4">
        <f t="shared" si="7"/>
        <v>2.5367878390344062E-3</v>
      </c>
      <c r="M61" s="4">
        <f t="shared" si="8"/>
        <v>1.4031279202163622E-3</v>
      </c>
      <c r="N61" s="4">
        <f t="shared" si="9"/>
        <v>9.5128625573637458E-3</v>
      </c>
      <c r="O61" s="4">
        <f t="shared" si="9"/>
        <v>2.9102980009507434E-3</v>
      </c>
      <c r="P61" s="4">
        <f t="shared" si="9"/>
        <v>6.7648328791331067E-4</v>
      </c>
    </row>
    <row r="62" spans="1:16" x14ac:dyDescent="0.3">
      <c r="A62" s="2">
        <v>45628</v>
      </c>
      <c r="B62" s="3">
        <v>27800</v>
      </c>
      <c r="C62" s="3">
        <v>67300</v>
      </c>
      <c r="D62" s="3">
        <v>144300</v>
      </c>
      <c r="E62" s="4">
        <f t="shared" si="2"/>
        <v>5.7034220532319393E-2</v>
      </c>
      <c r="F62" s="4">
        <f t="shared" si="3"/>
        <v>5.1562499999999997E-2</v>
      </c>
      <c r="G62" s="4">
        <f t="shared" si="3"/>
        <v>7.6351593268886506E-2</v>
      </c>
      <c r="H62" s="4">
        <f t="shared" si="4"/>
        <v>3.0171693968612315E-2</v>
      </c>
      <c r="I62" s="4">
        <f t="shared" si="5"/>
        <v>3.8095082242401858E-2</v>
      </c>
      <c r="J62" s="4">
        <f t="shared" si="6"/>
        <v>4.8122022387047735E-2</v>
      </c>
      <c r="K62" s="4">
        <f t="shared" si="10"/>
        <v>1.1493931631268663E-3</v>
      </c>
      <c r="L62" s="4">
        <f t="shared" si="7"/>
        <v>1.4519229326127149E-3</v>
      </c>
      <c r="M62" s="4">
        <f t="shared" si="8"/>
        <v>1.8332124005052868E-3</v>
      </c>
      <c r="N62" s="4">
        <f t="shared" si="9"/>
        <v>9.1033111693559674E-4</v>
      </c>
      <c r="O62" s="4">
        <f t="shared" si="9"/>
        <v>1.4512352910553614E-3</v>
      </c>
      <c r="P62" s="4">
        <f t="shared" si="9"/>
        <v>2.3157290386195233E-3</v>
      </c>
    </row>
    <row r="63" spans="1:16" x14ac:dyDescent="0.3">
      <c r="A63" s="2">
        <v>45659</v>
      </c>
      <c r="B63" s="3">
        <v>27250</v>
      </c>
      <c r="C63" s="3">
        <v>67900</v>
      </c>
      <c r="D63" s="3">
        <v>152500</v>
      </c>
      <c r="E63" s="4">
        <f t="shared" si="2"/>
        <v>-1.9784172661870502E-2</v>
      </c>
      <c r="F63" s="4">
        <f t="shared" si="3"/>
        <v>8.9153046062407128E-3</v>
      </c>
      <c r="G63" s="4">
        <f t="shared" si="3"/>
        <v>5.6826056826056827E-2</v>
      </c>
      <c r="H63" s="4">
        <f t="shared" si="4"/>
        <v>-4.6646699225577584E-2</v>
      </c>
      <c r="I63" s="4">
        <f t="shared" si="5"/>
        <v>-4.5521131513574283E-3</v>
      </c>
      <c r="J63" s="4">
        <f t="shared" si="6"/>
        <v>2.8596485944218056E-2</v>
      </c>
      <c r="K63" s="4">
        <f t="shared" si="10"/>
        <v>2.1234105301216609E-4</v>
      </c>
      <c r="L63" s="4">
        <f t="shared" si="7"/>
        <v>-1.3339316787483967E-3</v>
      </c>
      <c r="M63" s="4">
        <f t="shared" si="8"/>
        <v>-1.3017443974928285E-4</v>
      </c>
      <c r="N63" s="4">
        <f t="shared" si="9"/>
        <v>2.1759145486415004E-3</v>
      </c>
      <c r="O63" s="4">
        <f t="shared" si="9"/>
        <v>2.0721734142761259E-5</v>
      </c>
      <c r="P63" s="4">
        <f t="shared" si="9"/>
        <v>8.1775900835786078E-4</v>
      </c>
    </row>
    <row r="64" spans="1:16" x14ac:dyDescent="0.3">
      <c r="A64" s="2">
        <v>45691</v>
      </c>
      <c r="B64" s="3">
        <v>29000</v>
      </c>
      <c r="C64" s="3">
        <v>65200</v>
      </c>
      <c r="D64" s="3">
        <v>148000</v>
      </c>
      <c r="E64" s="4">
        <f t="shared" si="2"/>
        <v>6.4220183486238536E-2</v>
      </c>
      <c r="F64" s="4">
        <f t="shared" si="3"/>
        <v>-3.9764359351988215E-2</v>
      </c>
      <c r="G64" s="4">
        <f t="shared" si="3"/>
        <v>-2.9508196721311476E-2</v>
      </c>
      <c r="H64" s="4">
        <f t="shared" si="4"/>
        <v>3.7357656922531457E-2</v>
      </c>
      <c r="I64" s="4">
        <f t="shared" si="5"/>
        <v>-5.3231777109586355E-2</v>
      </c>
      <c r="J64" s="4">
        <f t="shared" si="6"/>
        <v>-5.7737767603150247E-2</v>
      </c>
      <c r="K64" s="4">
        <f t="shared" si="10"/>
        <v>-1.9886144666365901E-3</v>
      </c>
      <c r="L64" s="4">
        <f t="shared" si="7"/>
        <v>-2.1569477135913381E-3</v>
      </c>
      <c r="M64" s="4">
        <f t="shared" si="8"/>
        <v>3.0734839758559899E-3</v>
      </c>
      <c r="N64" s="4">
        <f t="shared" si="9"/>
        <v>1.3955945307415625E-3</v>
      </c>
      <c r="O64" s="4">
        <f t="shared" si="9"/>
        <v>2.833622094244682E-3</v>
      </c>
      <c r="P64" s="4">
        <f t="shared" si="9"/>
        <v>3.3336498077953863E-3</v>
      </c>
    </row>
  </sheetData>
  <mergeCells count="8">
    <mergeCell ref="S11:U11"/>
    <mergeCell ref="R3:U3"/>
    <mergeCell ref="E1:G1"/>
    <mergeCell ref="B1:D1"/>
    <mergeCell ref="H1:M1"/>
    <mergeCell ref="N1:P1"/>
    <mergeCell ref="S9:U9"/>
    <mergeCell ref="S10:U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796B-3EB6-4BD7-A8A6-FDA318F9A684}">
  <dimension ref="A2:L35"/>
  <sheetViews>
    <sheetView zoomScale="90" zoomScaleNormal="90" workbookViewId="0">
      <selection activeCell="T23" sqref="T23"/>
    </sheetView>
  </sheetViews>
  <sheetFormatPr defaultRowHeight="14.4" x14ac:dyDescent="0.3"/>
  <cols>
    <col min="1" max="1" width="18.77734375" bestFit="1" customWidth="1"/>
    <col min="2" max="3" width="11.77734375" customWidth="1"/>
    <col min="4" max="4" width="11.5546875" customWidth="1"/>
    <col min="5" max="5" width="14" bestFit="1" customWidth="1"/>
    <col min="6" max="6" width="12.77734375" bestFit="1" customWidth="1"/>
  </cols>
  <sheetData>
    <row r="2" spans="1:8" ht="16.8" x14ac:dyDescent="0.3">
      <c r="A2" s="16"/>
      <c r="B2" s="15" t="s">
        <v>23</v>
      </c>
      <c r="C2" s="15" t="s">
        <v>24</v>
      </c>
    </row>
    <row r="3" spans="1:8" ht="16.8" x14ac:dyDescent="0.3">
      <c r="A3" s="7" t="s">
        <v>1</v>
      </c>
      <c r="B3" s="12">
        <v>2.6862529999999999E-2</v>
      </c>
      <c r="C3" s="12">
        <v>0.15827658999999999</v>
      </c>
    </row>
    <row r="4" spans="1:8" ht="16.8" x14ac:dyDescent="0.3">
      <c r="A4" s="7" t="s">
        <v>2</v>
      </c>
      <c r="B4" s="12">
        <v>1.3467420000000001E-2</v>
      </c>
      <c r="C4" s="12">
        <v>8.9036169999999998E-2</v>
      </c>
    </row>
    <row r="5" spans="1:8" ht="16.8" x14ac:dyDescent="0.3">
      <c r="A5" s="7" t="s">
        <v>3</v>
      </c>
      <c r="B5" s="12">
        <v>2.8229569999999999E-2</v>
      </c>
      <c r="C5" s="12">
        <v>9.2174339999999994E-2</v>
      </c>
    </row>
    <row r="6" spans="1:8" ht="16.8" x14ac:dyDescent="0.3">
      <c r="A6" s="7" t="s">
        <v>20</v>
      </c>
      <c r="B6" s="59">
        <v>4.1621481968340396E-3</v>
      </c>
      <c r="C6" s="60"/>
      <c r="E6" s="1"/>
    </row>
    <row r="7" spans="1:8" ht="16.8" x14ac:dyDescent="0.3">
      <c r="A7" s="7" t="s">
        <v>21</v>
      </c>
      <c r="B7" s="59">
        <v>5.0810575766921098E-3</v>
      </c>
      <c r="C7" s="60"/>
      <c r="E7" s="1"/>
    </row>
    <row r="8" spans="1:8" ht="16.8" x14ac:dyDescent="0.3">
      <c r="A8" s="7" t="s">
        <v>22</v>
      </c>
      <c r="B8" s="59">
        <v>3.8350607619681001E-3</v>
      </c>
      <c r="C8" s="60"/>
      <c r="E8" s="1"/>
    </row>
    <row r="10" spans="1:8" ht="24.6" x14ac:dyDescent="0.3">
      <c r="B10" s="58" t="s">
        <v>28</v>
      </c>
      <c r="C10" s="58"/>
      <c r="D10" s="58"/>
      <c r="E10" s="58"/>
      <c r="F10" s="58"/>
      <c r="G10" s="58"/>
    </row>
    <row r="12" spans="1:8" ht="16.8" x14ac:dyDescent="0.3">
      <c r="B12" s="17"/>
      <c r="C12" s="15" t="s">
        <v>29</v>
      </c>
      <c r="E12" s="7" t="s">
        <v>27</v>
      </c>
      <c r="F12" s="11">
        <f>9%/12</f>
        <v>7.4999999999999997E-3</v>
      </c>
      <c r="H12" s="10"/>
    </row>
    <row r="13" spans="1:8" ht="16.8" x14ac:dyDescent="0.3">
      <c r="B13" s="7" t="s">
        <v>1</v>
      </c>
      <c r="C13" s="11">
        <v>0.108373540021046</v>
      </c>
      <c r="E13" s="7" t="s">
        <v>31</v>
      </c>
      <c r="F13" s="33">
        <f>C13*'OPTIMAL PORTFOLIO'!B3+C14*'OPTIMAL PORTFOLIO'!B4+'OPTIMAL PORTFOLIO'!B5*C15</f>
        <v>2.6605204035849601E-2</v>
      </c>
      <c r="H13" s="10"/>
    </row>
    <row r="14" spans="1:8" ht="16.8" x14ac:dyDescent="0.3">
      <c r="B14" s="7" t="s">
        <v>2</v>
      </c>
      <c r="C14" s="11">
        <v>0.1</v>
      </c>
      <c r="E14" s="7" t="s">
        <v>32</v>
      </c>
      <c r="F14" s="33">
        <f>(C13^2*'OPTIMAL PORTFOLIO'!C3^2+C14^2*'OPTIMAL PORTFOLIO'!C4^2+C15^2*'OPTIMAL PORTFOLIO'!C5^2+2*C13*C14*B6+2*C14*C15*B8+2*C13*C15*B7)^0.5</f>
        <v>8.5246696143258194E-2</v>
      </c>
      <c r="H14" s="10"/>
    </row>
    <row r="15" spans="1:8" ht="16.8" x14ac:dyDescent="0.3">
      <c r="B15" s="7" t="s">
        <v>3</v>
      </c>
      <c r="C15" s="11">
        <v>0.79162645997895298</v>
      </c>
      <c r="E15" s="9" t="s">
        <v>33</v>
      </c>
      <c r="F15" s="33">
        <f>(F13-F12)/F14</f>
        <v>0.22411665085228705</v>
      </c>
    </row>
    <row r="16" spans="1:8" ht="16.8" x14ac:dyDescent="0.3">
      <c r="B16" s="9" t="s">
        <v>30</v>
      </c>
      <c r="C16" s="35">
        <f>SUM(C13:C15)</f>
        <v>0.999999999999999</v>
      </c>
    </row>
    <row r="18" spans="2:12" ht="24.6" x14ac:dyDescent="0.3">
      <c r="B18" s="58" t="s">
        <v>34</v>
      </c>
      <c r="C18" s="58"/>
      <c r="D18" s="58"/>
      <c r="E18" s="58"/>
      <c r="F18" s="58"/>
      <c r="G18" s="58"/>
    </row>
    <row r="20" spans="2:12" ht="16.8" x14ac:dyDescent="0.3">
      <c r="B20" s="7" t="s">
        <v>35</v>
      </c>
      <c r="C20" s="11">
        <v>0.87634539231543596</v>
      </c>
      <c r="E20" s="7" t="s">
        <v>57</v>
      </c>
      <c r="F20" s="12">
        <f>C20*F13+C21*F12</f>
        <v>2.424275746239607E-2</v>
      </c>
    </row>
    <row r="21" spans="2:12" ht="16.8" x14ac:dyDescent="0.3">
      <c r="B21" s="7" t="s">
        <v>36</v>
      </c>
      <c r="C21" s="11">
        <v>0.123654599195631</v>
      </c>
      <c r="E21" s="7" t="s">
        <v>58</v>
      </c>
      <c r="F21" s="12">
        <f>C20*F14</f>
        <v>7.4705549375258362E-2</v>
      </c>
    </row>
    <row r="22" spans="2:12" ht="16.8" x14ac:dyDescent="0.3">
      <c r="B22" s="9" t="s">
        <v>30</v>
      </c>
      <c r="C22" s="35">
        <f>SUM(C20:C21)</f>
        <v>0.999999991511067</v>
      </c>
      <c r="E22" s="7" t="s">
        <v>59</v>
      </c>
      <c r="F22" s="42">
        <v>3</v>
      </c>
    </row>
    <row r="23" spans="2:12" ht="16.8" x14ac:dyDescent="0.3">
      <c r="E23" s="9" t="s">
        <v>62</v>
      </c>
      <c r="F23" s="12">
        <f>F20-0.5*F22*F21^2</f>
        <v>1.5871378801207321E-2</v>
      </c>
    </row>
    <row r="25" spans="2:12" ht="24.6" x14ac:dyDescent="0.3">
      <c r="B25" s="58" t="s">
        <v>63</v>
      </c>
      <c r="C25" s="58"/>
      <c r="D25" s="58"/>
      <c r="E25" s="58"/>
      <c r="F25" s="58"/>
      <c r="G25" s="58"/>
    </row>
    <row r="27" spans="2:12" ht="18" customHeight="1" x14ac:dyDescent="0.3">
      <c r="B27" s="1"/>
      <c r="C27" s="1"/>
      <c r="D27" s="1"/>
      <c r="E27" s="54" t="s">
        <v>70</v>
      </c>
      <c r="F27" s="54"/>
      <c r="G27" s="18"/>
    </row>
    <row r="28" spans="2:12" ht="16.8" x14ac:dyDescent="0.3">
      <c r="B28" s="51" t="s">
        <v>64</v>
      </c>
      <c r="C28" s="52"/>
      <c r="D28" s="53"/>
      <c r="E28" s="35">
        <v>1</v>
      </c>
      <c r="F28" s="38">
        <v>1000</v>
      </c>
      <c r="G28" s="1"/>
    </row>
    <row r="29" spans="2:12" ht="16.8" x14ac:dyDescent="0.3">
      <c r="B29" s="55" t="s">
        <v>65</v>
      </c>
      <c r="C29" s="56"/>
      <c r="D29" s="57"/>
      <c r="E29" s="36">
        <v>0.87634539231543596</v>
      </c>
      <c r="F29" s="37">
        <f>E29*F28</f>
        <v>876.3453923154359</v>
      </c>
      <c r="G29" s="1"/>
      <c r="L29" s="41"/>
    </row>
    <row r="30" spans="2:12" ht="16.8" x14ac:dyDescent="0.3">
      <c r="B30" s="51" t="s">
        <v>66</v>
      </c>
      <c r="C30" s="52"/>
      <c r="D30" s="53"/>
      <c r="E30" s="39">
        <v>9.4972652446356207E-2</v>
      </c>
      <c r="F30" s="38">
        <f>E30*$F$29</f>
        <v>83.228846367339571</v>
      </c>
      <c r="G30" s="1"/>
      <c r="L30" s="41"/>
    </row>
    <row r="31" spans="2:12" ht="16.8" x14ac:dyDescent="0.3">
      <c r="B31" s="51" t="s">
        <v>67</v>
      </c>
      <c r="C31" s="52"/>
      <c r="D31" s="53"/>
      <c r="E31" s="39">
        <v>8.7634539231543601E-2</v>
      </c>
      <c r="F31" s="38">
        <f t="shared" ref="F31:F32" si="0">E31*$F$29</f>
        <v>76.798124663249538</v>
      </c>
      <c r="G31" s="1"/>
      <c r="L31" s="41"/>
    </row>
    <row r="32" spans="2:12" ht="16.8" x14ac:dyDescent="0.3">
      <c r="B32" s="51" t="s">
        <v>3</v>
      </c>
      <c r="C32" s="52"/>
      <c r="D32" s="53"/>
      <c r="E32" s="39">
        <v>0.693738200637535</v>
      </c>
      <c r="F32" s="38">
        <f t="shared" si="0"/>
        <v>607.95427560190524</v>
      </c>
      <c r="G32" s="1"/>
      <c r="L32" s="41"/>
    </row>
    <row r="33" spans="2:12" ht="16.8" x14ac:dyDescent="0.3">
      <c r="B33" s="55" t="s">
        <v>68</v>
      </c>
      <c r="C33" s="56"/>
      <c r="D33" s="57"/>
      <c r="E33" s="36">
        <v>0.123654599195631</v>
      </c>
      <c r="F33" s="37">
        <f>E33*F28</f>
        <v>123.65459919563101</v>
      </c>
      <c r="G33" s="1"/>
      <c r="L33" s="41"/>
    </row>
    <row r="34" spans="2:12" ht="16.8" x14ac:dyDescent="0.3">
      <c r="B34" s="51" t="s">
        <v>69</v>
      </c>
      <c r="C34" s="52"/>
      <c r="D34" s="53"/>
      <c r="E34" s="39">
        <v>0.123654599195631</v>
      </c>
      <c r="F34" s="38">
        <f>F33</f>
        <v>123.65459919563101</v>
      </c>
      <c r="G34" s="1"/>
    </row>
    <row r="35" spans="2:12" x14ac:dyDescent="0.3">
      <c r="F35" s="40"/>
    </row>
  </sheetData>
  <mergeCells count="14">
    <mergeCell ref="B18:G18"/>
    <mergeCell ref="B33:D33"/>
    <mergeCell ref="B6:C6"/>
    <mergeCell ref="B7:C7"/>
    <mergeCell ref="B8:C8"/>
    <mergeCell ref="B10:G10"/>
    <mergeCell ref="B25:G25"/>
    <mergeCell ref="B34:D34"/>
    <mergeCell ref="E27:F27"/>
    <mergeCell ref="B31:D31"/>
    <mergeCell ref="B32:D32"/>
    <mergeCell ref="B28:D28"/>
    <mergeCell ref="B29:D29"/>
    <mergeCell ref="B30:D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C5C8-60E6-452A-B574-58D2C965226B}">
  <dimension ref="B1:M82"/>
  <sheetViews>
    <sheetView zoomScale="70" zoomScaleNormal="70" workbookViewId="0">
      <selection activeCell="F26" sqref="F26"/>
    </sheetView>
  </sheetViews>
  <sheetFormatPr defaultRowHeight="14.4" x14ac:dyDescent="0.3"/>
  <cols>
    <col min="1" max="1" width="8.88671875" style="23"/>
    <col min="2" max="2" width="17.6640625" style="23" customWidth="1"/>
    <col min="3" max="3" width="16.77734375" style="23" bestFit="1" customWidth="1"/>
    <col min="4" max="6" width="15.77734375" style="23" customWidth="1"/>
    <col min="7" max="7" width="18.77734375" style="23" bestFit="1" customWidth="1"/>
    <col min="8" max="8" width="22.21875" style="23" bestFit="1" customWidth="1"/>
    <col min="9" max="12" width="8.88671875" style="23"/>
    <col min="13" max="13" width="9.6640625" style="23" bestFit="1" customWidth="1"/>
    <col min="14" max="16384" width="8.88671875" style="23"/>
  </cols>
  <sheetData>
    <row r="1" spans="2:8" ht="24.6" x14ac:dyDescent="0.3">
      <c r="B1" s="58" t="s">
        <v>61</v>
      </c>
      <c r="C1" s="58"/>
      <c r="D1" s="58"/>
      <c r="E1" s="58"/>
      <c r="F1" s="58"/>
      <c r="G1" s="58"/>
    </row>
    <row r="2" spans="2:8" ht="16.8" x14ac:dyDescent="0.3">
      <c r="B2" s="28"/>
      <c r="C2" s="15" t="s">
        <v>23</v>
      </c>
      <c r="D2" s="15" t="s">
        <v>24</v>
      </c>
      <c r="E2" s="15" t="s">
        <v>29</v>
      </c>
      <c r="G2" s="7" t="s">
        <v>20</v>
      </c>
      <c r="H2" s="12">
        <v>4.1619999999999999E-3</v>
      </c>
    </row>
    <row r="3" spans="2:8" ht="16.8" x14ac:dyDescent="0.3">
      <c r="B3" s="7" t="s">
        <v>1</v>
      </c>
      <c r="C3" s="12">
        <v>2.6862529999999999E-2</v>
      </c>
      <c r="D3" s="12">
        <v>0.15827658999999999</v>
      </c>
      <c r="E3" s="11">
        <v>0.108373540021046</v>
      </c>
      <c r="G3" s="7" t="s">
        <v>21</v>
      </c>
      <c r="H3" s="12">
        <v>5.0809999999999996E-3</v>
      </c>
    </row>
    <row r="4" spans="2:8" ht="16.8" x14ac:dyDescent="0.3">
      <c r="B4" s="7" t="s">
        <v>2</v>
      </c>
      <c r="C4" s="12">
        <v>1.3467420000000001E-2</v>
      </c>
      <c r="D4" s="12">
        <v>8.9036169999999998E-2</v>
      </c>
      <c r="E4" s="11">
        <v>0.1</v>
      </c>
      <c r="G4" s="7" t="s">
        <v>22</v>
      </c>
      <c r="H4" s="12">
        <v>3.9880000000000002E-3</v>
      </c>
    </row>
    <row r="5" spans="2:8" ht="16.8" x14ac:dyDescent="0.3">
      <c r="B5" s="7" t="s">
        <v>3</v>
      </c>
      <c r="C5" s="12">
        <v>2.8229569999999999E-2</v>
      </c>
      <c r="D5" s="12">
        <v>9.2174339999999994E-2</v>
      </c>
      <c r="E5" s="11">
        <v>0.79162645997895298</v>
      </c>
    </row>
    <row r="6" spans="2:8" ht="16.8" x14ac:dyDescent="0.3">
      <c r="E6" s="12">
        <f>SUM(E3:E5)</f>
        <v>0.999999999999999</v>
      </c>
      <c r="G6" s="7" t="s">
        <v>31</v>
      </c>
      <c r="H6" s="12">
        <v>2.6605204035849601E-2</v>
      </c>
    </row>
    <row r="7" spans="2:8" ht="16.8" x14ac:dyDescent="0.3">
      <c r="G7" s="7" t="s">
        <v>32</v>
      </c>
      <c r="H7" s="12">
        <v>8.5388525350724068E-2</v>
      </c>
    </row>
    <row r="8" spans="2:8" ht="16.8" x14ac:dyDescent="0.3">
      <c r="G8" s="9" t="s">
        <v>33</v>
      </c>
      <c r="H8" s="12">
        <v>0.22374439606934371</v>
      </c>
    </row>
    <row r="10" spans="2:8" ht="24.6" x14ac:dyDescent="0.3">
      <c r="B10" s="58" t="s">
        <v>71</v>
      </c>
      <c r="C10" s="58"/>
      <c r="D10" s="58"/>
      <c r="E10" s="58"/>
      <c r="F10" s="58"/>
      <c r="G10" s="58"/>
    </row>
    <row r="13" spans="2:8" ht="16.8" x14ac:dyDescent="0.3">
      <c r="B13" s="28"/>
      <c r="C13" s="15" t="s">
        <v>23</v>
      </c>
      <c r="D13" s="15" t="s">
        <v>24</v>
      </c>
      <c r="E13" s="15" t="s">
        <v>29</v>
      </c>
      <c r="G13" s="7" t="s">
        <v>20</v>
      </c>
      <c r="H13" s="12">
        <v>4.1621481968340396E-3</v>
      </c>
    </row>
    <row r="14" spans="2:8" ht="16.8" x14ac:dyDescent="0.3">
      <c r="B14" s="7" t="s">
        <v>1</v>
      </c>
      <c r="C14" s="12">
        <v>2.6862529999999999E-2</v>
      </c>
      <c r="D14" s="12">
        <v>0.15827658999999999</v>
      </c>
      <c r="E14" s="11">
        <v>0.164155740130246</v>
      </c>
      <c r="G14" s="7" t="s">
        <v>21</v>
      </c>
      <c r="H14" s="12">
        <v>5.0810575766921098E-3</v>
      </c>
    </row>
    <row r="15" spans="2:8" ht="16.8" x14ac:dyDescent="0.3">
      <c r="B15" s="7" t="s">
        <v>2</v>
      </c>
      <c r="C15" s="12">
        <v>1.3467420000000001E-2</v>
      </c>
      <c r="D15" s="12">
        <v>8.9036169999999998E-2</v>
      </c>
      <c r="E15" s="11">
        <v>-0.28029084561865297</v>
      </c>
      <c r="G15" s="7" t="s">
        <v>22</v>
      </c>
      <c r="H15" s="12">
        <v>3.8350607619681001E-3</v>
      </c>
    </row>
    <row r="16" spans="2:8" ht="16.8" x14ac:dyDescent="0.3">
      <c r="B16" s="7" t="s">
        <v>3</v>
      </c>
      <c r="C16" s="12">
        <v>2.8229569999999999E-2</v>
      </c>
      <c r="D16" s="12">
        <v>9.2174339999999994E-2</v>
      </c>
      <c r="E16" s="11">
        <v>1.11613510427701</v>
      </c>
    </row>
    <row r="17" spans="2:8" ht="16.8" x14ac:dyDescent="0.3">
      <c r="E17" s="12">
        <f>SUM(E14:E16)</f>
        <v>0.99999999878860302</v>
      </c>
    </row>
    <row r="18" spans="2:8" ht="16.8" x14ac:dyDescent="0.3">
      <c r="G18" s="7" t="s">
        <v>27</v>
      </c>
      <c r="H18" s="11">
        <v>7.4999999999999997E-3</v>
      </c>
    </row>
    <row r="19" spans="2:8" ht="16.8" x14ac:dyDescent="0.3">
      <c r="B19" s="9" t="s">
        <v>25</v>
      </c>
      <c r="C19" s="7" t="s">
        <v>1</v>
      </c>
      <c r="D19" s="7" t="s">
        <v>2</v>
      </c>
      <c r="E19" s="7" t="s">
        <v>3</v>
      </c>
      <c r="G19" s="7" t="s">
        <v>130</v>
      </c>
      <c r="H19" s="12">
        <f>E14*C14+E15*C15+E16*C16</f>
        <v>3.2142858009464523E-2</v>
      </c>
    </row>
    <row r="20" spans="2:8" ht="16.8" x14ac:dyDescent="0.3">
      <c r="B20" s="7" t="s">
        <v>1</v>
      </c>
      <c r="C20" s="11">
        <v>1</v>
      </c>
      <c r="D20" s="13">
        <v>0.29534822844727027</v>
      </c>
      <c r="E20" s="13">
        <v>0.34827909204272478</v>
      </c>
      <c r="G20" s="7" t="s">
        <v>24</v>
      </c>
      <c r="H20" s="12">
        <f>(D14^2*E14^2+D15^2*E15^2+D16^2*E16^2+2*E14*E15*H13+2*E14*E16*H14*2*E15*E16*H15)^0.5</f>
        <v>0.10721231369097892</v>
      </c>
    </row>
    <row r="21" spans="2:8" ht="16.8" x14ac:dyDescent="0.3">
      <c r="B21" s="7" t="s">
        <v>2</v>
      </c>
      <c r="C21" s="13">
        <v>0.29534822844727027</v>
      </c>
      <c r="D21" s="11">
        <v>1</v>
      </c>
      <c r="E21" s="13">
        <v>0.48596422385214072</v>
      </c>
      <c r="G21" s="9" t="s">
        <v>33</v>
      </c>
      <c r="H21" s="12">
        <f>(H19-H18)/H20</f>
        <v>0.22985100461961236</v>
      </c>
    </row>
    <row r="22" spans="2:8" ht="16.8" x14ac:dyDescent="0.3">
      <c r="B22" s="7" t="s">
        <v>3</v>
      </c>
      <c r="C22" s="13">
        <v>0.34827909204272478</v>
      </c>
      <c r="D22" s="13">
        <v>0.48596422385214072</v>
      </c>
      <c r="E22" s="11">
        <v>1</v>
      </c>
    </row>
    <row r="24" spans="2:8" ht="16.8" x14ac:dyDescent="0.3">
      <c r="B24" s="8" t="s">
        <v>60</v>
      </c>
      <c r="C24" s="15" t="s">
        <v>1</v>
      </c>
      <c r="D24" s="15" t="s">
        <v>2</v>
      </c>
      <c r="E24" s="15" t="s">
        <v>3</v>
      </c>
    </row>
    <row r="25" spans="2:8" ht="16.8" x14ac:dyDescent="0.3">
      <c r="B25" s="15" t="s">
        <v>1</v>
      </c>
      <c r="C25" s="20">
        <f>VARP(CHARACTERISTICS!$E$3:$E$64)</f>
        <v>2.4640800165251244E-2</v>
      </c>
      <c r="D25" s="21">
        <v>4.1621481968340396E-3</v>
      </c>
      <c r="E25" s="21">
        <v>5.0810575766921098E-3</v>
      </c>
    </row>
    <row r="26" spans="2:8" ht="16.8" x14ac:dyDescent="0.3">
      <c r="B26" s="15" t="s">
        <v>2</v>
      </c>
      <c r="C26" s="21">
        <v>4.1621481968340396E-3</v>
      </c>
      <c r="D26" s="20">
        <f>VARP(CHARACTERISTICS!$F$3:$F$64)</f>
        <v>7.7974816753024808E-3</v>
      </c>
      <c r="E26" s="21">
        <v>3.8350607619681001E-3</v>
      </c>
    </row>
    <row r="27" spans="2:8" ht="16.8" x14ac:dyDescent="0.3">
      <c r="B27" s="15" t="s">
        <v>3</v>
      </c>
      <c r="C27" s="21">
        <v>5.0810575766921098E-3</v>
      </c>
      <c r="D27" s="21">
        <v>3.8350607619681001E-3</v>
      </c>
      <c r="E27" s="20">
        <f>VARP(CHARACTERISTICS!$G$3:$G$64)</f>
        <v>8.3568277249282917E-3</v>
      </c>
    </row>
    <row r="31" spans="2:8" ht="16.8" x14ac:dyDescent="0.3">
      <c r="B31" s="15" t="s">
        <v>1</v>
      </c>
      <c r="C31" s="15" t="s">
        <v>2</v>
      </c>
      <c r="D31" s="15" t="s">
        <v>3</v>
      </c>
      <c r="E31" s="15" t="s">
        <v>124</v>
      </c>
      <c r="F31" s="15" t="s">
        <v>32</v>
      </c>
      <c r="G31" s="15" t="s">
        <v>31</v>
      </c>
      <c r="H31" s="15" t="s">
        <v>33</v>
      </c>
    </row>
    <row r="32" spans="2:8" ht="16.8" x14ac:dyDescent="0.3">
      <c r="B32" s="11">
        <v>0</v>
      </c>
      <c r="C32" s="11">
        <v>1</v>
      </c>
      <c r="D32" s="11">
        <v>0</v>
      </c>
      <c r="E32" s="11">
        <f t="shared" ref="E32:E50" si="0">SUM(B32:D32)</f>
        <v>1</v>
      </c>
      <c r="F32" s="11" cm="1">
        <f t="array" ref="F32">SQRT(SUMPRODUCT($C$25:$E$27*B32:D32*TRANSPOSE(B32:D32)))</f>
        <v>8.8303350306217041E-2</v>
      </c>
      <c r="G32" s="11">
        <f t="shared" ref="G32:G50" si="1">B32*$C$14+C32*$C$15+D32*$C$16</f>
        <v>1.3467420000000001E-2</v>
      </c>
      <c r="H32" s="44">
        <f>(G32-$H$18)/F32</f>
        <v>6.7578636363244099E-2</v>
      </c>
    </row>
    <row r="33" spans="2:13" ht="16.8" x14ac:dyDescent="0.3">
      <c r="B33" s="11">
        <v>6.361532953811107E-3</v>
      </c>
      <c r="C33" s="11">
        <v>0.96333349272265156</v>
      </c>
      <c r="D33" s="11">
        <v>3.0304974323537411E-2</v>
      </c>
      <c r="E33" s="11">
        <f t="shared" si="0"/>
        <v>1.0000000000000002</v>
      </c>
      <c r="F33" s="11" cm="1">
        <f t="array" ref="F33">SQRT(SUMPRODUCT($C$25:$E$27*B33:D33*TRANSPOSE(B33:D33)))</f>
        <v>8.6727831415667742E-2</v>
      </c>
      <c r="G33" s="11">
        <f t="shared" si="1"/>
        <v>1.4000000010395135E-2</v>
      </c>
      <c r="H33" s="44">
        <f t="shared" ref="H33:H50" si="2">(G33-$H$18)/F33</f>
        <v>7.4947106416647744E-2</v>
      </c>
    </row>
    <row r="34" spans="2:13" ht="16.8" x14ac:dyDescent="0.3">
      <c r="B34" s="11">
        <v>3.784127549981342E-2</v>
      </c>
      <c r="C34" s="11">
        <v>0.75719588451356534</v>
      </c>
      <c r="D34" s="11">
        <v>0.20496283998663778</v>
      </c>
      <c r="E34" s="11">
        <f t="shared" si="0"/>
        <v>1.0000000000000164</v>
      </c>
      <c r="F34" s="11" cm="1">
        <f t="array" ref="F34">SQRT(SUMPRODUCT($C$25:$E$27*B34:D34*TRANSPOSE(B34:D34)))</f>
        <v>7.9779201998332105E-2</v>
      </c>
      <c r="G34" s="11">
        <f t="shared" si="1"/>
        <v>1.7000000236169273E-2</v>
      </c>
      <c r="H34" s="44">
        <f t="shared" si="2"/>
        <v>0.11907865707114849</v>
      </c>
    </row>
    <row r="35" spans="2:13" ht="16.8" x14ac:dyDescent="0.3">
      <c r="B35" s="11">
        <v>5.4524330789310405E-2</v>
      </c>
      <c r="C35" s="11">
        <v>0.62016936719370241</v>
      </c>
      <c r="D35" s="11">
        <v>0.32530630504035729</v>
      </c>
      <c r="E35" s="11">
        <f t="shared" si="0"/>
        <v>1.00000000302337</v>
      </c>
      <c r="F35" s="11" cm="1">
        <f t="array" ref="F35">SQRT(SUMPRODUCT($C$25:$E$27*B35:D35*TRANSPOSE(B35:D35)))</f>
        <v>7.7238168545608776E-2</v>
      </c>
      <c r="G35" s="11">
        <f t="shared" si="1"/>
        <v>1.8999999920267706E-2</v>
      </c>
      <c r="H35" s="44">
        <f t="shared" si="2"/>
        <v>0.14889011659406462</v>
      </c>
    </row>
    <row r="36" spans="2:13" ht="16.8" x14ac:dyDescent="0.3">
      <c r="B36" s="11">
        <v>6.8605686001951799E-2</v>
      </c>
      <c r="C36" s="11">
        <v>0.50451188127462399</v>
      </c>
      <c r="D36" s="11">
        <v>0.42688243684767901</v>
      </c>
      <c r="E36" s="11">
        <f t="shared" si="0"/>
        <v>1.0000000041242547</v>
      </c>
      <c r="F36" s="11" cm="1">
        <f t="array" ref="F36">SQRT(SUMPRODUCT($C$25:$E$27*B36:D36*TRANSPOSE(B36:D36)))</f>
        <v>7.6558289401505358E-2</v>
      </c>
      <c r="G36" s="11">
        <f t="shared" si="1"/>
        <v>2.0688103331275638E-2</v>
      </c>
      <c r="H36" s="44">
        <f t="shared" si="2"/>
        <v>0.17226225186552199</v>
      </c>
    </row>
    <row r="37" spans="2:13" ht="17.399999999999999" customHeight="1" x14ac:dyDescent="0.3">
      <c r="B37" s="11">
        <v>7.120735661366108E-2</v>
      </c>
      <c r="C37" s="11">
        <v>0.48314280027794637</v>
      </c>
      <c r="D37" s="11">
        <v>0.4456498351988803</v>
      </c>
      <c r="E37" s="11">
        <f t="shared" si="0"/>
        <v>0.99999999209048784</v>
      </c>
      <c r="F37" s="11" cm="1">
        <f t="array" ref="F37">SQRT(SUMPRODUCT($C$25:$E$27*B37:D37*TRANSPOSE(B37:D37)))</f>
        <v>7.6584054550887612E-2</v>
      </c>
      <c r="G37" s="11">
        <f t="shared" si="1"/>
        <v>2.0999999982809645E-2</v>
      </c>
      <c r="H37" s="44">
        <f t="shared" si="2"/>
        <v>0.17627690335772617</v>
      </c>
    </row>
    <row r="38" spans="2:13" ht="16.8" x14ac:dyDescent="0.3">
      <c r="B38" s="11">
        <v>7.9548883506460513E-2</v>
      </c>
      <c r="C38" s="11">
        <v>0.41462947764145741</v>
      </c>
      <c r="D38" s="11">
        <v>0.50582162984257284</v>
      </c>
      <c r="E38" s="11">
        <f t="shared" si="0"/>
        <v>0.99999999099049075</v>
      </c>
      <c r="F38" s="11" cm="1">
        <f t="array" ref="F38">SQRT(SUMPRODUCT($C$25:$E$27*B38:D38*TRANSPOSE(B38:D38)))</f>
        <v>7.6985046876707805E-2</v>
      </c>
      <c r="G38" s="11">
        <f t="shared" si="1"/>
        <v>2.2000000696591915E-2</v>
      </c>
      <c r="H38" s="44">
        <f t="shared" si="2"/>
        <v>0.18834827391628126</v>
      </c>
    </row>
    <row r="39" spans="2:13" ht="16.8" x14ac:dyDescent="0.3">
      <c r="B39" s="11">
        <v>8.7890418270227352E-2</v>
      </c>
      <c r="C39" s="11">
        <v>0.34611623399292374</v>
      </c>
      <c r="D39" s="11">
        <v>0.56599335495900982</v>
      </c>
      <c r="E39" s="11">
        <f t="shared" si="0"/>
        <v>1.0000000072221609</v>
      </c>
      <c r="F39" s="11" cm="1">
        <f t="array" ref="F39">SQRT(SUMPRODUCT($C$25:$E$27*B39:D39*TRANSPOSE(B39:D39)))</f>
        <v>7.7864433189999874E-2</v>
      </c>
      <c r="G39" s="11">
        <f t="shared" si="1"/>
        <v>2.3000000722847726E-2</v>
      </c>
      <c r="H39" s="44">
        <f t="shared" si="2"/>
        <v>0.19906393828136656</v>
      </c>
    </row>
    <row r="40" spans="2:13" ht="16.8" x14ac:dyDescent="0.3">
      <c r="B40" s="11">
        <v>9.6231924835957716E-2</v>
      </c>
      <c r="C40" s="11">
        <v>0.27760298727657484</v>
      </c>
      <c r="D40" s="11">
        <v>0.62616508694044903</v>
      </c>
      <c r="E40" s="11">
        <f t="shared" si="0"/>
        <v>0.99999999905298154</v>
      </c>
      <c r="F40" s="11" cm="1">
        <f t="array" ref="F40">SQRT(SUMPRODUCT($C$25:$E$27*B40:D40*TRANSPOSE(B40:D40)))</f>
        <v>7.9206277875960962E-2</v>
      </c>
      <c r="G40" s="11">
        <f t="shared" si="1"/>
        <v>2.400000014411344E-2</v>
      </c>
      <c r="H40" s="44">
        <f t="shared" si="2"/>
        <v>0.2083168226886366</v>
      </c>
    </row>
    <row r="41" spans="2:13" ht="16.8" x14ac:dyDescent="0.3">
      <c r="B41" s="11">
        <v>0.114106615518159</v>
      </c>
      <c r="C41" s="11">
        <v>0.13078880529324499</v>
      </c>
      <c r="D41" s="11">
        <v>0.755104578038577</v>
      </c>
      <c r="E41" s="11">
        <f t="shared" si="0"/>
        <v>0.99999999884998103</v>
      </c>
      <c r="F41" s="11" cm="1">
        <f t="array" ref="F41">SQRT(SUMPRODUCT($C$25:$E$27*B41:D41*TRANSPOSE(B41:D41)))</f>
        <v>8.3525154948802999E-2</v>
      </c>
      <c r="G41" s="11">
        <f t="shared" si="1"/>
        <v>2.6142857697797835E-2</v>
      </c>
      <c r="H41" s="44">
        <f t="shared" si="2"/>
        <v>0.22320051617054806</v>
      </c>
    </row>
    <row r="42" spans="2:13" ht="16.8" x14ac:dyDescent="0.3">
      <c r="B42" s="11">
        <v>0.12661889667118101</v>
      </c>
      <c r="C42" s="11">
        <v>2.8018892565269501E-2</v>
      </c>
      <c r="D42" s="11">
        <v>0.84536220959818598</v>
      </c>
      <c r="E42" s="11">
        <f t="shared" si="0"/>
        <v>0.99999999883463642</v>
      </c>
      <c r="F42" s="11" cm="1">
        <f t="array" ref="F42">SQRT(SUMPRODUCT($C$25:$E$27*B42:D42*TRANSPOSE(B42:D42)))</f>
        <v>8.7591211700003516E-2</v>
      </c>
      <c r="G42" s="11">
        <f t="shared" si="1"/>
        <v>2.7642857775714524E-2</v>
      </c>
      <c r="H42" s="44">
        <f t="shared" si="2"/>
        <v>0.22996436953861338</v>
      </c>
    </row>
    <row r="43" spans="2:13" ht="16.8" x14ac:dyDescent="0.3">
      <c r="B43" s="11">
        <v>0.13913117782420301</v>
      </c>
      <c r="C43" s="11">
        <v>-7.4751020162705503E-2</v>
      </c>
      <c r="D43" s="11">
        <v>0.93561984115779395</v>
      </c>
      <c r="E43" s="11">
        <f t="shared" si="0"/>
        <v>0.99999999881929147</v>
      </c>
      <c r="F43" s="11" cm="1">
        <f t="array" ref="F43">SQRT(SUMPRODUCT($C$25:$E$27*B43:D43*TRANSPOSE(B43:D43)))</f>
        <v>9.238951252548612E-2</v>
      </c>
      <c r="G43" s="11">
        <f t="shared" si="1"/>
        <v>2.9142857853631188E-2</v>
      </c>
      <c r="H43" s="44">
        <f t="shared" si="2"/>
        <v>0.23425665166986237</v>
      </c>
    </row>
    <row r="44" spans="2:13" ht="16.8" x14ac:dyDescent="0.3">
      <c r="B44" s="11">
        <v>0.151643458977224</v>
      </c>
      <c r="C44" s="11">
        <v>-0.17752093289068299</v>
      </c>
      <c r="D44" s="11">
        <v>1.0258774727174</v>
      </c>
      <c r="E44" s="11">
        <f t="shared" si="0"/>
        <v>0.99999999880394108</v>
      </c>
      <c r="F44" s="11" cm="1">
        <f t="array" ref="F44">SQRT(SUMPRODUCT($C$25:$E$27*B44:D44*TRANSPOSE(B44:D44)))</f>
        <v>9.7812353422703571E-2</v>
      </c>
      <c r="G44" s="11">
        <f t="shared" si="1"/>
        <v>3.0642857931547741E-2</v>
      </c>
      <c r="H44" s="44">
        <f t="shared" si="2"/>
        <v>0.23660465290651078</v>
      </c>
    </row>
    <row r="45" spans="2:13" ht="16.8" x14ac:dyDescent="0.3">
      <c r="B45" s="34">
        <v>0.164155740130246</v>
      </c>
      <c r="C45" s="34">
        <v>-0.28029084561865297</v>
      </c>
      <c r="D45" s="34">
        <v>1.11613510427701</v>
      </c>
      <c r="E45" s="34">
        <f t="shared" si="0"/>
        <v>0.99999999878860302</v>
      </c>
      <c r="F45" s="34" cm="1">
        <f t="array" ref="F45">SQRT(SUMPRODUCT($C$25:$E$27*B45:D45*TRANSPOSE(B45:D45)))</f>
        <v>0.1037618607160057</v>
      </c>
      <c r="G45" s="34">
        <f t="shared" si="1"/>
        <v>3.2142858009464523E-2</v>
      </c>
      <c r="H45" s="45">
        <f t="shared" si="2"/>
        <v>0.23749437258947748</v>
      </c>
      <c r="M45" s="43"/>
    </row>
    <row r="46" spans="2:13" ht="16.8" x14ac:dyDescent="0.3">
      <c r="B46" s="11">
        <v>0.176668021283267</v>
      </c>
      <c r="C46" s="11">
        <v>-0.383060758346633</v>
      </c>
      <c r="D46" s="11">
        <v>1.20639273583662</v>
      </c>
      <c r="E46" s="11">
        <f t="shared" si="0"/>
        <v>0.99999999877325396</v>
      </c>
      <c r="F46" s="11" cm="1">
        <f t="array" ref="F46">SQRT(SUMPRODUCT($C$25:$E$27*B46:D46*TRANSPOSE(B46:D46)))</f>
        <v>0.11015272940865536</v>
      </c>
      <c r="G46" s="11">
        <f t="shared" si="1"/>
        <v>3.3642858087381156E-2</v>
      </c>
      <c r="H46" s="44">
        <f t="shared" si="2"/>
        <v>0.23733282168972705</v>
      </c>
    </row>
    <row r="47" spans="2:13" ht="16.8" x14ac:dyDescent="0.3">
      <c r="B47" s="11">
        <v>0.189180302436289</v>
      </c>
      <c r="C47" s="11">
        <v>-0.48583067107460298</v>
      </c>
      <c r="D47" s="11">
        <v>1.29665036739623</v>
      </c>
      <c r="E47" s="11">
        <f t="shared" si="0"/>
        <v>0.99999999875791601</v>
      </c>
      <c r="F47" s="11" cm="1">
        <f t="array" ref="F47">SQRT(SUMPRODUCT($C$25:$E$27*B47:D47*TRANSPOSE(B47:D47)))</f>
        <v>0.11691260262638091</v>
      </c>
      <c r="G47" s="11">
        <f t="shared" si="1"/>
        <v>3.5142858165297948E-2</v>
      </c>
      <c r="H47" s="44">
        <f t="shared" si="2"/>
        <v>0.2364403626667741</v>
      </c>
    </row>
    <row r="48" spans="2:13" ht="16.8" x14ac:dyDescent="0.3">
      <c r="B48" s="11">
        <v>0.20169258358931</v>
      </c>
      <c r="C48" s="11">
        <v>-0.58860058380257296</v>
      </c>
      <c r="D48" s="11">
        <v>1.3869079989558399</v>
      </c>
      <c r="E48" s="11">
        <f t="shared" si="0"/>
        <v>0.99999999874257695</v>
      </c>
      <c r="F48" s="11" cm="1">
        <f t="array" ref="F48">SQRT(SUMPRODUCT($C$25:$E$27*B48:D48*TRANSPOSE(B48:D48)))</f>
        <v>0.12398113690937214</v>
      </c>
      <c r="G48" s="11">
        <f t="shared" si="1"/>
        <v>3.6642858243214706E-2</v>
      </c>
      <c r="H48" s="44">
        <f t="shared" si="2"/>
        <v>0.23505880789363615</v>
      </c>
    </row>
    <row r="49" spans="2:8" ht="16.8" x14ac:dyDescent="0.3">
      <c r="B49" s="11">
        <v>0.214204864742332</v>
      </c>
      <c r="C49" s="11">
        <v>-0.69137049653055405</v>
      </c>
      <c r="D49" s="11">
        <v>1.4771656305154499</v>
      </c>
      <c r="E49" s="11">
        <f t="shared" si="0"/>
        <v>0.99999999872722789</v>
      </c>
      <c r="F49" s="11" cm="1">
        <f t="array" ref="F49">SQRT(SUMPRODUCT($C$25:$E$27*B49:D49*TRANSPOSE(B49:D49)))</f>
        <v>0.13130849464362826</v>
      </c>
      <c r="G49" s="11">
        <f t="shared" si="1"/>
        <v>3.8142858321131345E-2</v>
      </c>
      <c r="H49" s="44">
        <f t="shared" si="2"/>
        <v>0.2333653919671852</v>
      </c>
    </row>
    <row r="50" spans="2:8" ht="16.8" x14ac:dyDescent="0.3">
      <c r="B50" s="11">
        <v>0.22671714589535299</v>
      </c>
      <c r="C50" s="11">
        <v>-0.79414040925852403</v>
      </c>
      <c r="D50" s="11">
        <v>1.5674232620750601</v>
      </c>
      <c r="E50" s="11">
        <f t="shared" si="0"/>
        <v>0.99999999871188905</v>
      </c>
      <c r="F50" s="11" cm="1">
        <f t="array" ref="F50">SQRT(SUMPRODUCT($C$25:$E$27*B50:D50*TRANSPOSE(B50:D50)))</f>
        <v>0.13885370726624441</v>
      </c>
      <c r="G50" s="11">
        <f t="shared" si="1"/>
        <v>3.9642858399048117E-2</v>
      </c>
      <c r="H50" s="44">
        <f t="shared" si="2"/>
        <v>0.23148721796398233</v>
      </c>
    </row>
    <row r="53" spans="2:8" ht="24.6" x14ac:dyDescent="0.3">
      <c r="B53" s="58" t="s">
        <v>126</v>
      </c>
      <c r="C53" s="58"/>
      <c r="D53" s="58"/>
      <c r="E53" s="58"/>
      <c r="F53" s="58"/>
      <c r="G53" s="58"/>
    </row>
    <row r="56" spans="2:8" ht="16.8" x14ac:dyDescent="0.3">
      <c r="B56" s="28"/>
      <c r="C56" s="15" t="s">
        <v>23</v>
      </c>
      <c r="D56" s="15" t="s">
        <v>24</v>
      </c>
    </row>
    <row r="57" spans="2:8" ht="16.8" x14ac:dyDescent="0.3">
      <c r="B57" s="7" t="s">
        <v>127</v>
      </c>
      <c r="C57" s="12">
        <f>G45</f>
        <v>3.2142858009464523E-2</v>
      </c>
      <c r="D57" s="12">
        <f>F45</f>
        <v>0.1037618607160057</v>
      </c>
    </row>
    <row r="58" spans="2:8" ht="16.8" x14ac:dyDescent="0.3">
      <c r="B58" s="7" t="s">
        <v>128</v>
      </c>
      <c r="C58" s="12">
        <f>9%/12</f>
        <v>7.4999999999999997E-3</v>
      </c>
      <c r="D58" s="12">
        <v>0</v>
      </c>
    </row>
    <row r="62" spans="2:8" ht="16.8" x14ac:dyDescent="0.3">
      <c r="B62" s="15" t="s">
        <v>127</v>
      </c>
      <c r="C62" s="15" t="s">
        <v>128</v>
      </c>
      <c r="D62" s="15" t="s">
        <v>124</v>
      </c>
      <c r="E62" s="15" t="s">
        <v>58</v>
      </c>
      <c r="F62" s="15" t="s">
        <v>129</v>
      </c>
    </row>
    <row r="63" spans="2:8" ht="16.8" x14ac:dyDescent="0.3">
      <c r="B63" s="4">
        <v>0</v>
      </c>
      <c r="C63" s="4">
        <v>1</v>
      </c>
      <c r="D63" s="4">
        <f t="shared" ref="D63:D82" si="3">SUM(B63:C63)</f>
        <v>1</v>
      </c>
      <c r="E63" s="4">
        <f t="shared" ref="E63:E82" si="4">$D$57*B63</f>
        <v>0</v>
      </c>
      <c r="F63" s="4">
        <f t="shared" ref="F63:F82" si="5">B63*$C$57+C63*$C$58</f>
        <v>7.4999999999999997E-3</v>
      </c>
    </row>
    <row r="64" spans="2:8" ht="16.8" x14ac:dyDescent="0.3">
      <c r="B64" s="4">
        <v>9.9999999999999978E-2</v>
      </c>
      <c r="C64" s="4">
        <v>0.9</v>
      </c>
      <c r="D64" s="4">
        <f t="shared" si="3"/>
        <v>1</v>
      </c>
      <c r="E64" s="4">
        <f t="shared" si="4"/>
        <v>1.0376186071600567E-2</v>
      </c>
      <c r="F64" s="4">
        <f t="shared" si="5"/>
        <v>9.9642858009464513E-3</v>
      </c>
    </row>
    <row r="65" spans="2:6" ht="16.8" x14ac:dyDescent="0.3">
      <c r="B65" s="4">
        <v>0.19999999999999996</v>
      </c>
      <c r="C65" s="4">
        <v>0.8</v>
      </c>
      <c r="D65" s="4">
        <f t="shared" si="3"/>
        <v>1</v>
      </c>
      <c r="E65" s="4">
        <f t="shared" si="4"/>
        <v>2.0752372143201133E-2</v>
      </c>
      <c r="F65" s="4">
        <f t="shared" si="5"/>
        <v>1.2428571601892903E-2</v>
      </c>
    </row>
    <row r="66" spans="2:6" ht="16.8" x14ac:dyDescent="0.3">
      <c r="B66" s="4">
        <v>0.29999999999999993</v>
      </c>
      <c r="C66" s="4">
        <v>0.70000000000000007</v>
      </c>
      <c r="D66" s="4">
        <f t="shared" si="3"/>
        <v>1</v>
      </c>
      <c r="E66" s="4">
        <f t="shared" si="4"/>
        <v>3.1128558214801701E-2</v>
      </c>
      <c r="F66" s="4">
        <f t="shared" si="5"/>
        <v>1.4892857402839355E-2</v>
      </c>
    </row>
    <row r="67" spans="2:6" ht="16.8" x14ac:dyDescent="0.3">
      <c r="B67" s="4">
        <v>0.39999999999999991</v>
      </c>
      <c r="C67" s="4">
        <v>0.60000000000000009</v>
      </c>
      <c r="D67" s="4">
        <f t="shared" si="3"/>
        <v>1</v>
      </c>
      <c r="E67" s="4">
        <f t="shared" si="4"/>
        <v>4.1504744286402266E-2</v>
      </c>
      <c r="F67" s="4">
        <f t="shared" si="5"/>
        <v>1.7357143203785806E-2</v>
      </c>
    </row>
    <row r="68" spans="2:6" ht="16.8" x14ac:dyDescent="0.3">
      <c r="B68" s="4">
        <v>0.49999999999999989</v>
      </c>
      <c r="C68" s="4">
        <v>0.50000000000000011</v>
      </c>
      <c r="D68" s="4">
        <f t="shared" si="3"/>
        <v>1</v>
      </c>
      <c r="E68" s="4">
        <f t="shared" si="4"/>
        <v>5.1880930358002834E-2</v>
      </c>
      <c r="F68" s="4">
        <f t="shared" si="5"/>
        <v>1.9821429004732258E-2</v>
      </c>
    </row>
    <row r="69" spans="2:6" ht="16.8" x14ac:dyDescent="0.3">
      <c r="B69" s="4">
        <v>0.59999999999999987</v>
      </c>
      <c r="C69" s="4">
        <v>0.40000000000000013</v>
      </c>
      <c r="D69" s="4">
        <f t="shared" si="3"/>
        <v>1</v>
      </c>
      <c r="E69" s="4">
        <f t="shared" si="4"/>
        <v>6.2257116429603403E-2</v>
      </c>
      <c r="F69" s="4">
        <f t="shared" si="5"/>
        <v>2.2285714805678709E-2</v>
      </c>
    </row>
    <row r="70" spans="2:6" ht="16.8" x14ac:dyDescent="0.3">
      <c r="B70" s="4">
        <v>0.69999999999999984</v>
      </c>
      <c r="C70" s="4">
        <v>0.30000000000000016</v>
      </c>
      <c r="D70" s="4">
        <f t="shared" si="3"/>
        <v>1</v>
      </c>
      <c r="E70" s="4">
        <f t="shared" si="4"/>
        <v>7.2633302501203978E-2</v>
      </c>
      <c r="F70" s="4">
        <f t="shared" si="5"/>
        <v>2.4750000606625164E-2</v>
      </c>
    </row>
    <row r="71" spans="2:6" ht="16.8" x14ac:dyDescent="0.3">
      <c r="B71" s="4">
        <v>0.79999999999999982</v>
      </c>
      <c r="C71" s="4">
        <v>0.20000000000000015</v>
      </c>
      <c r="D71" s="4">
        <f t="shared" si="3"/>
        <v>1</v>
      </c>
      <c r="E71" s="4">
        <f t="shared" si="4"/>
        <v>8.3009488572804532E-2</v>
      </c>
      <c r="F71" s="4">
        <f t="shared" si="5"/>
        <v>2.7214286407571613E-2</v>
      </c>
    </row>
    <row r="72" spans="2:6" ht="16.8" x14ac:dyDescent="0.3">
      <c r="B72" s="4">
        <v>0.89999999999999991</v>
      </c>
      <c r="C72" s="4">
        <v>0.10000000000000014</v>
      </c>
      <c r="D72" s="4">
        <f t="shared" si="3"/>
        <v>1</v>
      </c>
      <c r="E72" s="4">
        <f t="shared" si="4"/>
        <v>9.3385674644405114E-2</v>
      </c>
      <c r="F72" s="4">
        <f t="shared" si="5"/>
        <v>2.9678572208518068E-2</v>
      </c>
    </row>
    <row r="73" spans="2:6" ht="16.8" x14ac:dyDescent="0.3">
      <c r="B73" s="4">
        <v>0.99999999999999989</v>
      </c>
      <c r="C73" s="4">
        <v>1.3877787807814457E-16</v>
      </c>
      <c r="D73" s="4">
        <f t="shared" si="3"/>
        <v>1</v>
      </c>
      <c r="E73" s="4">
        <f t="shared" si="4"/>
        <v>0.10376186071600568</v>
      </c>
      <c r="F73" s="4">
        <f t="shared" si="5"/>
        <v>3.2142858009464516E-2</v>
      </c>
    </row>
    <row r="74" spans="2:6" ht="16.8" x14ac:dyDescent="0.3">
      <c r="B74" s="4">
        <v>1.0999999999999999</v>
      </c>
      <c r="C74" s="4">
        <v>-9.9999999999999867E-2</v>
      </c>
      <c r="D74" s="4">
        <f t="shared" si="3"/>
        <v>1</v>
      </c>
      <c r="E74" s="4">
        <f t="shared" si="4"/>
        <v>0.11413804678760625</v>
      </c>
      <c r="F74" s="4">
        <f t="shared" si="5"/>
        <v>3.4607143810410967E-2</v>
      </c>
    </row>
    <row r="75" spans="2:6" ht="16.8" x14ac:dyDescent="0.3">
      <c r="B75" s="4">
        <v>1.2</v>
      </c>
      <c r="C75" s="4">
        <v>-0.19999999999999987</v>
      </c>
      <c r="D75" s="4">
        <f t="shared" si="3"/>
        <v>1</v>
      </c>
      <c r="E75" s="4">
        <f t="shared" si="4"/>
        <v>0.12451423285920683</v>
      </c>
      <c r="F75" s="4">
        <f t="shared" si="5"/>
        <v>3.7071429611357426E-2</v>
      </c>
    </row>
    <row r="76" spans="2:6" ht="16.8" x14ac:dyDescent="0.3">
      <c r="B76" s="4">
        <v>1.2999999999999998</v>
      </c>
      <c r="C76" s="4">
        <v>-0.29999999999999988</v>
      </c>
      <c r="D76" s="4">
        <f t="shared" si="3"/>
        <v>1</v>
      </c>
      <c r="E76" s="4">
        <f t="shared" si="4"/>
        <v>0.13489041893080739</v>
      </c>
      <c r="F76" s="4">
        <f t="shared" si="5"/>
        <v>3.9535715412303871E-2</v>
      </c>
    </row>
    <row r="77" spans="2:6" ht="16.8" x14ac:dyDescent="0.3">
      <c r="B77" s="4">
        <v>1.4</v>
      </c>
      <c r="C77" s="4">
        <v>-0.39999999999999991</v>
      </c>
      <c r="D77" s="4">
        <f t="shared" si="3"/>
        <v>1</v>
      </c>
      <c r="E77" s="4">
        <f t="shared" si="4"/>
        <v>0.14526660500240796</v>
      </c>
      <c r="F77" s="4">
        <f t="shared" si="5"/>
        <v>4.2000001213250329E-2</v>
      </c>
    </row>
    <row r="78" spans="2:6" ht="16.8" x14ac:dyDescent="0.3">
      <c r="B78" s="4">
        <v>1.5</v>
      </c>
      <c r="C78" s="4">
        <v>-0.5</v>
      </c>
      <c r="D78" s="4">
        <f t="shared" si="3"/>
        <v>1</v>
      </c>
      <c r="E78" s="4">
        <f t="shared" si="4"/>
        <v>0.15564279107400855</v>
      </c>
      <c r="F78" s="4">
        <f t="shared" si="5"/>
        <v>4.4464287014196788E-2</v>
      </c>
    </row>
    <row r="79" spans="2:6" ht="16.8" x14ac:dyDescent="0.3">
      <c r="B79" s="4">
        <v>1.6</v>
      </c>
      <c r="C79" s="4">
        <v>-0.6</v>
      </c>
      <c r="D79" s="4">
        <f t="shared" si="3"/>
        <v>1</v>
      </c>
      <c r="E79" s="4">
        <f t="shared" si="4"/>
        <v>0.16601897714560912</v>
      </c>
      <c r="F79" s="4">
        <f t="shared" si="5"/>
        <v>4.6928572815143239E-2</v>
      </c>
    </row>
    <row r="80" spans="2:6" ht="16.8" x14ac:dyDescent="0.3">
      <c r="B80" s="4">
        <v>1.7</v>
      </c>
      <c r="C80" s="4">
        <v>-0.7</v>
      </c>
      <c r="D80" s="4">
        <f t="shared" si="3"/>
        <v>1</v>
      </c>
      <c r="E80" s="4">
        <f t="shared" si="4"/>
        <v>0.17639516321720969</v>
      </c>
      <c r="F80" s="4">
        <f t="shared" si="5"/>
        <v>4.9392858616089691E-2</v>
      </c>
    </row>
    <row r="81" spans="2:6" ht="16.8" x14ac:dyDescent="0.3">
      <c r="B81" s="4">
        <v>1.8</v>
      </c>
      <c r="C81" s="4">
        <v>-0.8</v>
      </c>
      <c r="D81" s="4">
        <f t="shared" si="3"/>
        <v>1</v>
      </c>
      <c r="E81" s="4">
        <f t="shared" si="4"/>
        <v>0.18677134928881026</v>
      </c>
      <c r="F81" s="4">
        <f t="shared" si="5"/>
        <v>5.1857144417036143E-2</v>
      </c>
    </row>
    <row r="82" spans="2:6" ht="16.8" x14ac:dyDescent="0.3">
      <c r="B82" s="4">
        <v>1.9</v>
      </c>
      <c r="C82" s="4">
        <v>-0.9</v>
      </c>
      <c r="D82" s="4">
        <f t="shared" si="3"/>
        <v>0.99999999999999989</v>
      </c>
      <c r="E82" s="4">
        <f t="shared" si="4"/>
        <v>0.19714753536041082</v>
      </c>
      <c r="F82" s="4">
        <f t="shared" si="5"/>
        <v>5.4321430217982594E-2</v>
      </c>
    </row>
  </sheetData>
  <autoFilter ref="B62:F82" xr:uid="{63A2C5C8-60E6-452A-B574-58D2C965226B}">
    <sortState xmlns:xlrd2="http://schemas.microsoft.com/office/spreadsheetml/2017/richdata2" ref="B63:F82">
      <sortCondition ref="F62:F82"/>
    </sortState>
  </autoFilter>
  <mergeCells count="3">
    <mergeCell ref="B1:G1"/>
    <mergeCell ref="B10:G10"/>
    <mergeCell ref="B53:G5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EB22-1F24-4F96-ABBF-F387B3B602FB}">
  <dimension ref="A1:V138"/>
  <sheetViews>
    <sheetView showGridLines="0" tabSelected="1" topLeftCell="A47" zoomScale="75" zoomScaleNormal="75" workbookViewId="0">
      <selection activeCell="Y14" sqref="Y14"/>
    </sheetView>
  </sheetViews>
  <sheetFormatPr defaultRowHeight="14.4" x14ac:dyDescent="0.3"/>
  <cols>
    <col min="1" max="1" width="28.33203125" bestFit="1" customWidth="1"/>
    <col min="2" max="5" width="9" bestFit="1" customWidth="1"/>
    <col min="6" max="6" width="9.5546875" bestFit="1" customWidth="1"/>
  </cols>
  <sheetData>
    <row r="1" spans="1:6" ht="18.600000000000001" x14ac:dyDescent="0.3">
      <c r="A1" s="26" t="s">
        <v>1</v>
      </c>
      <c r="B1" s="1"/>
      <c r="C1" s="1"/>
      <c r="D1" s="1"/>
      <c r="E1" s="1"/>
      <c r="F1" s="1"/>
    </row>
    <row r="2" spans="1:6" ht="16.8" x14ac:dyDescent="0.3">
      <c r="A2" s="25" t="s">
        <v>107</v>
      </c>
      <c r="B2" s="25">
        <v>2020</v>
      </c>
      <c r="C2" s="25">
        <v>2021</v>
      </c>
      <c r="D2" s="25">
        <v>2022</v>
      </c>
      <c r="E2" s="25">
        <v>2023</v>
      </c>
      <c r="F2" s="25">
        <v>2024</v>
      </c>
    </row>
    <row r="3" spans="1:6" ht="16.8" x14ac:dyDescent="0.3">
      <c r="A3" s="29" t="s">
        <v>109</v>
      </c>
      <c r="B3" s="30">
        <v>0.99</v>
      </c>
      <c r="C3" s="30">
        <v>1.28</v>
      </c>
      <c r="D3" s="30">
        <v>1.69</v>
      </c>
      <c r="E3" s="30">
        <v>1.72</v>
      </c>
      <c r="F3" s="30">
        <v>1.61</v>
      </c>
    </row>
    <row r="4" spans="1:6" ht="16.8" x14ac:dyDescent="0.3">
      <c r="A4" s="29" t="s">
        <v>104</v>
      </c>
      <c r="B4" s="30">
        <v>51.18</v>
      </c>
      <c r="C4" s="30">
        <v>38.44</v>
      </c>
      <c r="D4" s="30">
        <v>10.72</v>
      </c>
      <c r="E4" s="30">
        <v>12</v>
      </c>
      <c r="F4" s="30">
        <v>48.99</v>
      </c>
    </row>
    <row r="5" spans="1:6" ht="16.8" x14ac:dyDescent="0.3">
      <c r="A5" s="29" t="s">
        <v>114</v>
      </c>
      <c r="B5" s="30">
        <v>0.48</v>
      </c>
      <c r="C5" s="30">
        <v>1.59</v>
      </c>
      <c r="D5" s="30">
        <v>2.2559999999999998</v>
      </c>
      <c r="E5" s="30">
        <v>2.65</v>
      </c>
      <c r="F5" s="30">
        <v>0.56000000000000005</v>
      </c>
    </row>
    <row r="6" spans="1:6" ht="16.8" x14ac:dyDescent="0.3">
      <c r="A6" s="29" t="s">
        <v>111</v>
      </c>
      <c r="B6" s="30">
        <v>2.1</v>
      </c>
      <c r="C6" s="30">
        <v>5.83</v>
      </c>
      <c r="D6" s="30">
        <v>8.9700000000000006</v>
      </c>
      <c r="E6" s="30">
        <v>10.67</v>
      </c>
      <c r="F6" s="30">
        <v>2.08</v>
      </c>
    </row>
    <row r="7" spans="1:6" ht="16.8" x14ac:dyDescent="0.3">
      <c r="A7" s="29" t="s">
        <v>112</v>
      </c>
      <c r="B7" s="30">
        <v>55.21</v>
      </c>
      <c r="C7" s="30">
        <v>47.16</v>
      </c>
      <c r="D7" s="30">
        <v>48.88</v>
      </c>
      <c r="E7" s="30">
        <v>39.520000000000003</v>
      </c>
      <c r="F7" s="30">
        <v>53.8</v>
      </c>
    </row>
    <row r="8" spans="1:6" ht="16.8" x14ac:dyDescent="0.3">
      <c r="A8" s="29" t="s">
        <v>113</v>
      </c>
      <c r="B8" s="63">
        <v>22874.62</v>
      </c>
      <c r="C8" s="64"/>
      <c r="D8" s="64"/>
      <c r="E8" s="64"/>
      <c r="F8" s="65"/>
    </row>
    <row r="9" spans="1:6" ht="17.399999999999999" x14ac:dyDescent="0.35">
      <c r="A9" s="29" t="s">
        <v>117</v>
      </c>
      <c r="B9" s="31" t="s">
        <v>118</v>
      </c>
      <c r="C9" s="30">
        <f>C4-B4</f>
        <v>-12.740000000000002</v>
      </c>
      <c r="D9" s="30">
        <f t="shared" ref="D9:F10" si="0">D4-C4</f>
        <v>-27.72</v>
      </c>
      <c r="E9" s="30">
        <f t="shared" si="0"/>
        <v>1.2799999999999994</v>
      </c>
      <c r="F9" s="30">
        <f t="shared" si="0"/>
        <v>36.99</v>
      </c>
    </row>
    <row r="10" spans="1:6" ht="17.399999999999999" x14ac:dyDescent="0.35">
      <c r="A10" s="29" t="s">
        <v>116</v>
      </c>
      <c r="B10" s="31" t="s">
        <v>118</v>
      </c>
      <c r="C10" s="30">
        <f>C5-B5</f>
        <v>1.1100000000000001</v>
      </c>
      <c r="D10" s="30">
        <f t="shared" ref="D10" si="1">D5-C5</f>
        <v>0.6659999999999997</v>
      </c>
      <c r="E10" s="30">
        <f t="shared" si="0"/>
        <v>0.39400000000000013</v>
      </c>
      <c r="F10" s="30">
        <f>F5-E5</f>
        <v>-2.09</v>
      </c>
    </row>
    <row r="11" spans="1:6" ht="17.399999999999999" x14ac:dyDescent="0.35">
      <c r="A11" s="29" t="s">
        <v>115</v>
      </c>
      <c r="B11" s="31" t="s">
        <v>118</v>
      </c>
      <c r="C11" s="30">
        <f>C6-B6</f>
        <v>3.73</v>
      </c>
      <c r="D11" s="30">
        <f>D6-C6</f>
        <v>3.1400000000000006</v>
      </c>
      <c r="E11" s="30">
        <f>E6-D6</f>
        <v>1.6999999999999993</v>
      </c>
      <c r="F11" s="30">
        <f>F6-E6</f>
        <v>-8.59</v>
      </c>
    </row>
    <row r="12" spans="1:6" ht="18.600000000000001" x14ac:dyDescent="0.3">
      <c r="A12" s="27" t="s">
        <v>108</v>
      </c>
      <c r="B12" s="1"/>
      <c r="C12" s="1"/>
      <c r="D12" s="1"/>
      <c r="E12" s="1"/>
      <c r="F12" s="1"/>
    </row>
    <row r="13" spans="1:6" ht="16.8" x14ac:dyDescent="0.3">
      <c r="A13" s="25" t="s">
        <v>107</v>
      </c>
      <c r="B13" s="25">
        <v>2020</v>
      </c>
      <c r="C13" s="25">
        <v>2021</v>
      </c>
      <c r="D13" s="25">
        <v>2022</v>
      </c>
      <c r="E13" s="25">
        <v>2023</v>
      </c>
      <c r="F13" s="25">
        <v>2024</v>
      </c>
    </row>
    <row r="14" spans="1:6" ht="16.8" x14ac:dyDescent="0.3">
      <c r="A14" s="29" t="s">
        <v>104</v>
      </c>
      <c r="B14" s="30">
        <v>19.45</v>
      </c>
      <c r="C14" s="30">
        <v>23.34</v>
      </c>
      <c r="D14" s="30">
        <v>13.93</v>
      </c>
      <c r="E14" s="30">
        <v>14.79</v>
      </c>
      <c r="F14" s="30">
        <v>14.16</v>
      </c>
    </row>
    <row r="15" spans="1:6" ht="16.8" x14ac:dyDescent="0.3">
      <c r="A15" s="29" t="s">
        <v>114</v>
      </c>
      <c r="B15" s="30">
        <v>2.488</v>
      </c>
      <c r="C15" s="30">
        <v>2.5150000000000001</v>
      </c>
      <c r="D15" s="30">
        <v>2.093</v>
      </c>
      <c r="E15" s="30">
        <v>1.9019999999999999</v>
      </c>
      <c r="F15" s="30">
        <v>1.843</v>
      </c>
    </row>
    <row r="16" spans="1:6" ht="16.8" x14ac:dyDescent="0.3">
      <c r="A16" s="29" t="s">
        <v>111</v>
      </c>
      <c r="B16" s="30">
        <v>12.83</v>
      </c>
      <c r="C16" s="30">
        <v>10.87</v>
      </c>
      <c r="D16" s="30">
        <v>9.0299999999999994</v>
      </c>
      <c r="E16" s="30">
        <v>8.83</v>
      </c>
      <c r="F16" s="30">
        <v>7.85</v>
      </c>
    </row>
    <row r="17" spans="1:22" ht="16.8" x14ac:dyDescent="0.3">
      <c r="A17" s="29" t="s">
        <v>112</v>
      </c>
      <c r="B17" s="30">
        <v>63.29</v>
      </c>
      <c r="C17" s="30">
        <v>58.43</v>
      </c>
      <c r="D17" s="30">
        <v>65.650000000000006</v>
      </c>
      <c r="E17" s="30">
        <v>65.27</v>
      </c>
      <c r="F17" s="30">
        <v>67.62</v>
      </c>
    </row>
    <row r="18" spans="1:22" ht="18.600000000000001" x14ac:dyDescent="0.3">
      <c r="A18" s="61" t="s">
        <v>110</v>
      </c>
      <c r="B18" s="61"/>
      <c r="C18" s="1"/>
      <c r="D18" s="1"/>
      <c r="E18" s="1"/>
      <c r="F18" s="1"/>
    </row>
    <row r="19" spans="1:22" ht="16.8" x14ac:dyDescent="0.3">
      <c r="A19" s="25" t="s">
        <v>107</v>
      </c>
      <c r="B19" s="25">
        <v>2020</v>
      </c>
      <c r="C19" s="25">
        <v>2021</v>
      </c>
      <c r="D19" s="25">
        <v>2022</v>
      </c>
      <c r="E19" s="25">
        <v>2023</v>
      </c>
      <c r="F19" s="25">
        <v>2024</v>
      </c>
    </row>
    <row r="20" spans="1:22" ht="16.8" x14ac:dyDescent="0.3">
      <c r="A20" s="29" t="s">
        <v>104</v>
      </c>
      <c r="B20" s="30">
        <f t="shared" ref="B20:F22" si="2">B4-B14</f>
        <v>31.73</v>
      </c>
      <c r="C20" s="30">
        <f t="shared" si="2"/>
        <v>15.099999999999998</v>
      </c>
      <c r="D20" s="30">
        <f t="shared" si="2"/>
        <v>-3.2099999999999991</v>
      </c>
      <c r="E20" s="30">
        <f t="shared" si="2"/>
        <v>-2.7899999999999991</v>
      </c>
      <c r="F20" s="30">
        <f t="shared" si="2"/>
        <v>34.83</v>
      </c>
    </row>
    <row r="21" spans="1:22" ht="16.8" x14ac:dyDescent="0.3">
      <c r="A21" s="29" t="s">
        <v>114</v>
      </c>
      <c r="B21" s="30">
        <f t="shared" si="2"/>
        <v>-2.008</v>
      </c>
      <c r="C21" s="30">
        <f t="shared" si="2"/>
        <v>-0.92500000000000004</v>
      </c>
      <c r="D21" s="30">
        <f t="shared" si="2"/>
        <v>0.16299999999999981</v>
      </c>
      <c r="E21" s="30">
        <f t="shared" si="2"/>
        <v>0.748</v>
      </c>
      <c r="F21" s="30">
        <f t="shared" si="2"/>
        <v>-1.2829999999999999</v>
      </c>
    </row>
    <row r="22" spans="1:22" ht="16.8" x14ac:dyDescent="0.3">
      <c r="A22" s="29" t="s">
        <v>111</v>
      </c>
      <c r="B22" s="30">
        <f t="shared" si="2"/>
        <v>-10.73</v>
      </c>
      <c r="C22" s="30">
        <f t="shared" si="2"/>
        <v>-5.0399999999999991</v>
      </c>
      <c r="D22" s="30">
        <f t="shared" si="2"/>
        <v>-5.9999999999998721E-2</v>
      </c>
      <c r="E22" s="30">
        <f t="shared" si="2"/>
        <v>1.8399999999999999</v>
      </c>
      <c r="F22" s="30">
        <f t="shared" si="2"/>
        <v>-5.77</v>
      </c>
    </row>
    <row r="23" spans="1:22" ht="16.8" x14ac:dyDescent="0.3">
      <c r="A23" s="29" t="s">
        <v>112</v>
      </c>
      <c r="B23" s="30">
        <f>B7-B17</f>
        <v>-8.0799999999999983</v>
      </c>
      <c r="C23" s="30">
        <f t="shared" ref="C23:E23" si="3">C7-C17</f>
        <v>-11.270000000000003</v>
      </c>
      <c r="D23" s="30">
        <f t="shared" si="3"/>
        <v>-16.770000000000003</v>
      </c>
      <c r="E23" s="30">
        <f t="shared" si="3"/>
        <v>-25.749999999999993</v>
      </c>
      <c r="F23" s="30">
        <f>F7-F17</f>
        <v>-13.820000000000007</v>
      </c>
    </row>
    <row r="28" spans="1:22" x14ac:dyDescent="0.3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</row>
    <row r="30" spans="1:22" ht="18.600000000000001" x14ac:dyDescent="0.3">
      <c r="A30" s="26" t="s">
        <v>105</v>
      </c>
      <c r="B30" s="1"/>
      <c r="C30" s="1"/>
      <c r="D30" s="1"/>
      <c r="E30" s="1"/>
      <c r="F30" s="1"/>
    </row>
    <row r="31" spans="1:22" ht="16.8" x14ac:dyDescent="0.3">
      <c r="A31" s="25" t="s">
        <v>107</v>
      </c>
      <c r="B31" s="25">
        <v>2020</v>
      </c>
      <c r="C31" s="25">
        <v>2021</v>
      </c>
      <c r="D31" s="25">
        <v>2022</v>
      </c>
      <c r="E31" s="25">
        <v>2023</v>
      </c>
      <c r="F31" s="25">
        <v>2024</v>
      </c>
    </row>
    <row r="32" spans="1:22" ht="16.8" x14ac:dyDescent="0.3">
      <c r="A32" s="29" t="s">
        <v>109</v>
      </c>
      <c r="B32" s="30">
        <v>0.75</v>
      </c>
      <c r="C32" s="30">
        <v>0.84</v>
      </c>
      <c r="D32" s="30">
        <v>1.35</v>
      </c>
      <c r="E32" s="30">
        <v>1.53</v>
      </c>
      <c r="F32" s="30">
        <v>1.2</v>
      </c>
    </row>
    <row r="33" spans="1:6" ht="16.8" x14ac:dyDescent="0.3">
      <c r="A33" s="29" t="s">
        <v>104</v>
      </c>
      <c r="B33" s="32">
        <v>13.83</v>
      </c>
      <c r="C33" s="32">
        <v>25.43</v>
      </c>
      <c r="D33" s="32">
        <v>16.28</v>
      </c>
      <c r="E33" s="32">
        <v>32.28</v>
      </c>
      <c r="F33" s="32">
        <v>38.590000000000003</v>
      </c>
    </row>
    <row r="34" spans="1:6" ht="16.8" x14ac:dyDescent="0.3">
      <c r="A34" s="29" t="s">
        <v>114</v>
      </c>
      <c r="B34" s="30">
        <v>2.12</v>
      </c>
      <c r="C34" s="30">
        <v>2.0059999999999998</v>
      </c>
      <c r="D34" s="30">
        <v>1.627</v>
      </c>
      <c r="E34" s="30">
        <v>0.97199999999999998</v>
      </c>
      <c r="F34" s="30">
        <v>0.93500000000000005</v>
      </c>
    </row>
    <row r="35" spans="1:6" ht="16.8" x14ac:dyDescent="0.3">
      <c r="A35" s="29" t="s">
        <v>111</v>
      </c>
      <c r="B35" s="32">
        <v>14.57</v>
      </c>
      <c r="C35" s="32">
        <v>13.09</v>
      </c>
      <c r="D35" s="32">
        <v>10.02</v>
      </c>
      <c r="E35" s="32">
        <v>5.24</v>
      </c>
      <c r="F35" s="32">
        <v>4.63</v>
      </c>
    </row>
    <row r="36" spans="1:6" ht="16.8" x14ac:dyDescent="0.3">
      <c r="A36" s="29" t="s">
        <v>112</v>
      </c>
      <c r="B36" s="30">
        <v>41.45</v>
      </c>
      <c r="C36" s="30">
        <v>28.88</v>
      </c>
      <c r="D36" s="30">
        <v>45.24</v>
      </c>
      <c r="E36" s="30">
        <v>41.38</v>
      </c>
      <c r="F36" s="30">
        <v>36.75</v>
      </c>
    </row>
    <row r="37" spans="1:6" ht="16.8" x14ac:dyDescent="0.3">
      <c r="A37" s="29" t="s">
        <v>113</v>
      </c>
      <c r="B37" s="66">
        <v>32761.02</v>
      </c>
      <c r="C37" s="67"/>
      <c r="D37" s="67"/>
      <c r="E37" s="67"/>
      <c r="F37" s="68"/>
    </row>
    <row r="38" spans="1:6" ht="17.399999999999999" x14ac:dyDescent="0.35">
      <c r="A38" s="29" t="s">
        <v>117</v>
      </c>
      <c r="B38" s="31" t="s">
        <v>118</v>
      </c>
      <c r="C38" s="30">
        <f>C33-B33</f>
        <v>11.6</v>
      </c>
      <c r="D38" s="30">
        <f t="shared" ref="D38:F39" si="4">D33-C33</f>
        <v>-9.1499999999999986</v>
      </c>
      <c r="E38" s="30">
        <f t="shared" si="4"/>
        <v>16</v>
      </c>
      <c r="F38" s="30">
        <f t="shared" si="4"/>
        <v>6.3100000000000023</v>
      </c>
    </row>
    <row r="39" spans="1:6" ht="17.399999999999999" x14ac:dyDescent="0.35">
      <c r="A39" s="29" t="s">
        <v>116</v>
      </c>
      <c r="B39" s="31" t="s">
        <v>118</v>
      </c>
      <c r="C39" s="30">
        <f>C34-B34</f>
        <v>-0.11400000000000032</v>
      </c>
      <c r="D39" s="30">
        <f t="shared" si="4"/>
        <v>-0.37899999999999978</v>
      </c>
      <c r="E39" s="30">
        <f t="shared" si="4"/>
        <v>-0.65500000000000003</v>
      </c>
      <c r="F39" s="30">
        <f>F34-E34</f>
        <v>-3.6999999999999922E-2</v>
      </c>
    </row>
    <row r="40" spans="1:6" ht="17.399999999999999" x14ac:dyDescent="0.35">
      <c r="A40" s="29" t="s">
        <v>115</v>
      </c>
      <c r="B40" s="31" t="s">
        <v>118</v>
      </c>
      <c r="C40" s="30">
        <f>C35-B35</f>
        <v>-1.4800000000000004</v>
      </c>
      <c r="D40" s="30">
        <f>D35-C35</f>
        <v>-3.0700000000000003</v>
      </c>
      <c r="E40" s="30">
        <f>E35-D35</f>
        <v>-4.7799999999999994</v>
      </c>
      <c r="F40" s="30">
        <f>F35-E35</f>
        <v>-0.61000000000000032</v>
      </c>
    </row>
    <row r="41" spans="1:6" ht="18.600000000000001" x14ac:dyDescent="0.3">
      <c r="A41" s="27" t="s">
        <v>108</v>
      </c>
      <c r="B41" s="1"/>
      <c r="C41" s="1"/>
      <c r="D41" s="1"/>
      <c r="E41" s="1"/>
      <c r="F41" s="1"/>
    </row>
    <row r="42" spans="1:6" ht="16.8" x14ac:dyDescent="0.3">
      <c r="A42" s="25" t="s">
        <v>107</v>
      </c>
      <c r="B42" s="25">
        <v>2020</v>
      </c>
      <c r="C42" s="25">
        <v>2021</v>
      </c>
      <c r="D42" s="25">
        <v>2022</v>
      </c>
      <c r="E42" s="25">
        <v>2023</v>
      </c>
      <c r="F42" s="25">
        <v>2024</v>
      </c>
    </row>
    <row r="43" spans="1:6" ht="16.8" x14ac:dyDescent="0.3">
      <c r="A43" s="29" t="s">
        <v>104</v>
      </c>
      <c r="B43" s="30">
        <v>19.45</v>
      </c>
      <c r="C43" s="30">
        <v>23.34</v>
      </c>
      <c r="D43" s="30">
        <v>13.93</v>
      </c>
      <c r="E43" s="30">
        <v>14.79</v>
      </c>
      <c r="F43" s="30">
        <v>14.16</v>
      </c>
    </row>
    <row r="44" spans="1:6" ht="16.8" x14ac:dyDescent="0.3">
      <c r="A44" s="29" t="s">
        <v>114</v>
      </c>
      <c r="B44" s="30">
        <v>2.488</v>
      </c>
      <c r="C44" s="30">
        <v>2.5150000000000001</v>
      </c>
      <c r="D44" s="30">
        <v>2.093</v>
      </c>
      <c r="E44" s="30">
        <v>1.9019999999999999</v>
      </c>
      <c r="F44" s="30">
        <v>1.843</v>
      </c>
    </row>
    <row r="45" spans="1:6" ht="16.8" x14ac:dyDescent="0.3">
      <c r="A45" s="29" t="s">
        <v>111</v>
      </c>
      <c r="B45" s="30">
        <v>12.83</v>
      </c>
      <c r="C45" s="30">
        <v>10.87</v>
      </c>
      <c r="D45" s="30">
        <v>9.0299999999999994</v>
      </c>
      <c r="E45" s="30">
        <v>8.83</v>
      </c>
      <c r="F45" s="30">
        <v>7.85</v>
      </c>
    </row>
    <row r="46" spans="1:6" ht="16.8" x14ac:dyDescent="0.3">
      <c r="A46" s="29" t="s">
        <v>112</v>
      </c>
      <c r="B46" s="30">
        <v>63.29</v>
      </c>
      <c r="C46" s="30">
        <v>58.43</v>
      </c>
      <c r="D46" s="30">
        <v>65.650000000000006</v>
      </c>
      <c r="E46" s="30">
        <v>65.27</v>
      </c>
      <c r="F46" s="30">
        <v>67.62</v>
      </c>
    </row>
    <row r="47" spans="1:6" ht="18.600000000000001" x14ac:dyDescent="0.3">
      <c r="A47" s="61" t="s">
        <v>119</v>
      </c>
      <c r="B47" s="61"/>
      <c r="C47" s="1"/>
      <c r="D47" s="1"/>
      <c r="E47" s="1"/>
      <c r="F47" s="1"/>
    </row>
    <row r="48" spans="1:6" ht="16.8" x14ac:dyDescent="0.3">
      <c r="A48" s="25" t="s">
        <v>107</v>
      </c>
      <c r="B48" s="25">
        <v>2020</v>
      </c>
      <c r="C48" s="25">
        <v>2021</v>
      </c>
      <c r="D48" s="25">
        <v>2022</v>
      </c>
      <c r="E48" s="25">
        <v>2023</v>
      </c>
      <c r="F48" s="25">
        <v>2024</v>
      </c>
    </row>
    <row r="49" spans="1:22" ht="16.8" x14ac:dyDescent="0.3">
      <c r="A49" s="29" t="s">
        <v>104</v>
      </c>
      <c r="B49" s="30">
        <f t="shared" ref="B49:F50" si="5">B33-B43</f>
        <v>-5.6199999999999992</v>
      </c>
      <c r="C49" s="30">
        <f t="shared" si="5"/>
        <v>2.09</v>
      </c>
      <c r="D49" s="30">
        <f t="shared" si="5"/>
        <v>2.3500000000000014</v>
      </c>
      <c r="E49" s="30">
        <f t="shared" si="5"/>
        <v>17.490000000000002</v>
      </c>
      <c r="F49" s="30">
        <f t="shared" si="5"/>
        <v>24.430000000000003</v>
      </c>
    </row>
    <row r="50" spans="1:22" ht="16.8" x14ac:dyDescent="0.3">
      <c r="A50" s="29" t="s">
        <v>114</v>
      </c>
      <c r="B50" s="30">
        <f t="shared" si="5"/>
        <v>-0.36799999999999988</v>
      </c>
      <c r="C50" s="30">
        <f t="shared" si="5"/>
        <v>-0.50900000000000034</v>
      </c>
      <c r="D50" s="30">
        <f t="shared" si="5"/>
        <v>-0.46599999999999997</v>
      </c>
      <c r="E50" s="30">
        <f t="shared" si="5"/>
        <v>-0.92999999999999994</v>
      </c>
      <c r="F50" s="30">
        <f t="shared" si="5"/>
        <v>-0.90799999999999992</v>
      </c>
    </row>
    <row r="51" spans="1:22" ht="16.8" x14ac:dyDescent="0.3">
      <c r="A51" s="29" t="s">
        <v>111</v>
      </c>
      <c r="B51" s="30">
        <f>B35-B45</f>
        <v>1.7400000000000002</v>
      </c>
      <c r="C51" s="30">
        <f t="shared" ref="C51:F51" si="6">C35-C45</f>
        <v>2.2200000000000006</v>
      </c>
      <c r="D51" s="30">
        <f t="shared" si="6"/>
        <v>0.99000000000000021</v>
      </c>
      <c r="E51" s="30">
        <f t="shared" si="6"/>
        <v>-3.59</v>
      </c>
      <c r="F51" s="30">
        <f t="shared" si="6"/>
        <v>-3.2199999999999998</v>
      </c>
    </row>
    <row r="52" spans="1:22" ht="16.8" x14ac:dyDescent="0.3">
      <c r="A52" s="29" t="s">
        <v>112</v>
      </c>
      <c r="B52" s="30">
        <f>B36-B46</f>
        <v>-21.839999999999996</v>
      </c>
      <c r="C52" s="30">
        <f t="shared" ref="C52:F52" si="7">C36-C46</f>
        <v>-29.55</v>
      </c>
      <c r="D52" s="30">
        <f t="shared" si="7"/>
        <v>-20.410000000000004</v>
      </c>
      <c r="E52" s="30">
        <f t="shared" si="7"/>
        <v>-23.889999999999993</v>
      </c>
      <c r="F52" s="30">
        <f t="shared" si="7"/>
        <v>-30.870000000000005</v>
      </c>
    </row>
    <row r="57" spans="1:22" x14ac:dyDescent="0.3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</row>
    <row r="58" spans="1:22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60" spans="1:22" ht="18.600000000000001" x14ac:dyDescent="0.3">
      <c r="A60" s="26" t="s">
        <v>106</v>
      </c>
      <c r="B60" s="1"/>
      <c r="C60" s="1"/>
      <c r="D60" s="1"/>
      <c r="E60" s="1"/>
      <c r="F60" s="1"/>
    </row>
    <row r="61" spans="1:22" ht="16.8" x14ac:dyDescent="0.3">
      <c r="A61" s="25" t="s">
        <v>107</v>
      </c>
      <c r="B61" s="25">
        <v>2020</v>
      </c>
      <c r="C61" s="25">
        <v>2021</v>
      </c>
      <c r="D61" s="25">
        <v>2022</v>
      </c>
      <c r="E61" s="25">
        <v>2023</v>
      </c>
      <c r="F61" s="25">
        <v>2024</v>
      </c>
    </row>
    <row r="62" spans="1:22" ht="16.8" x14ac:dyDescent="0.3">
      <c r="A62" s="29" t="s">
        <v>109</v>
      </c>
      <c r="B62" s="30">
        <v>1.1000000000000001</v>
      </c>
      <c r="C62" s="30">
        <v>1.22</v>
      </c>
      <c r="D62" s="30">
        <v>1.39</v>
      </c>
      <c r="E62" s="30">
        <v>1.34</v>
      </c>
      <c r="F62" s="30">
        <v>1.1399999999999999</v>
      </c>
    </row>
    <row r="63" spans="1:22" ht="16.8" x14ac:dyDescent="0.3">
      <c r="A63" s="29" t="s">
        <v>104</v>
      </c>
      <c r="B63" s="32">
        <v>6.91</v>
      </c>
      <c r="C63" s="32">
        <v>7.39</v>
      </c>
      <c r="D63" s="32">
        <v>3.95</v>
      </c>
      <c r="E63" s="32">
        <v>4.37</v>
      </c>
      <c r="F63" s="32">
        <v>5.86</v>
      </c>
    </row>
    <row r="64" spans="1:22" ht="16.8" x14ac:dyDescent="0.3">
      <c r="A64" s="29" t="s">
        <v>114</v>
      </c>
      <c r="B64" s="30">
        <v>3.3290000000000002</v>
      </c>
      <c r="C64" s="30">
        <v>3.903</v>
      </c>
      <c r="D64" s="30">
        <v>4.3280000000000003</v>
      </c>
      <c r="E64" s="30">
        <v>4.2640000000000002</v>
      </c>
      <c r="F64" s="30">
        <v>4.2830000000000004</v>
      </c>
    </row>
    <row r="65" spans="1:6" ht="16.8" x14ac:dyDescent="0.3">
      <c r="A65" s="29" t="s">
        <v>125</v>
      </c>
      <c r="B65" s="32">
        <v>1.82</v>
      </c>
      <c r="C65" s="32">
        <v>2.2999999999999998</v>
      </c>
      <c r="D65" s="32">
        <v>2.62</v>
      </c>
      <c r="E65" s="32">
        <v>2.4700000000000002</v>
      </c>
      <c r="F65" s="32">
        <v>2.1800000000000002</v>
      </c>
    </row>
    <row r="66" spans="1:6" ht="16.8" x14ac:dyDescent="0.3">
      <c r="A66" s="29" t="s">
        <v>120</v>
      </c>
      <c r="B66" s="30">
        <v>4.75</v>
      </c>
      <c r="C66" s="30">
        <v>5.08</v>
      </c>
      <c r="D66" s="30">
        <v>5.72</v>
      </c>
      <c r="E66" s="30">
        <v>4.9400000000000004</v>
      </c>
      <c r="F66" s="30">
        <v>4.1900000000000004</v>
      </c>
    </row>
    <row r="67" spans="1:6" ht="16.8" x14ac:dyDescent="0.3">
      <c r="A67" s="29" t="s">
        <v>113</v>
      </c>
      <c r="B67" s="66">
        <v>148285.23000000001</v>
      </c>
      <c r="C67" s="67"/>
      <c r="D67" s="67"/>
      <c r="E67" s="67"/>
      <c r="F67" s="68"/>
    </row>
    <row r="68" spans="1:6" ht="17.399999999999999" x14ac:dyDescent="0.35">
      <c r="A68" s="29" t="s">
        <v>117</v>
      </c>
      <c r="B68" s="31" t="s">
        <v>118</v>
      </c>
      <c r="C68" s="30">
        <f>C63-B63</f>
        <v>0.47999999999999954</v>
      </c>
      <c r="D68" s="30">
        <f t="shared" ref="D68:F68" si="8">D63-C63</f>
        <v>-3.4399999999999995</v>
      </c>
      <c r="E68" s="30">
        <f t="shared" si="8"/>
        <v>0.41999999999999993</v>
      </c>
      <c r="F68" s="30">
        <f t="shared" si="8"/>
        <v>1.4900000000000002</v>
      </c>
    </row>
    <row r="69" spans="1:6" ht="17.399999999999999" x14ac:dyDescent="0.35">
      <c r="A69" s="29" t="s">
        <v>116</v>
      </c>
      <c r="B69" s="31" t="s">
        <v>118</v>
      </c>
      <c r="C69" s="30">
        <f>C64-B64</f>
        <v>0.57399999999999984</v>
      </c>
      <c r="D69" s="30">
        <f t="shared" ref="D69:E69" si="9">D64-C64</f>
        <v>0.42500000000000027</v>
      </c>
      <c r="E69" s="30">
        <f t="shared" si="9"/>
        <v>-6.4000000000000057E-2</v>
      </c>
      <c r="F69" s="30">
        <f>F64-E64</f>
        <v>1.9000000000000128E-2</v>
      </c>
    </row>
    <row r="70" spans="1:6" ht="17.399999999999999" x14ac:dyDescent="0.35">
      <c r="A70" s="29" t="s">
        <v>115</v>
      </c>
      <c r="B70" s="31" t="s">
        <v>118</v>
      </c>
      <c r="C70" s="30">
        <f>C65-B65</f>
        <v>0.47999999999999976</v>
      </c>
      <c r="D70" s="30">
        <f>D65-C65</f>
        <v>0.32000000000000028</v>
      </c>
      <c r="E70" s="30">
        <f>E65-D65</f>
        <v>-0.14999999999999991</v>
      </c>
      <c r="F70" s="30">
        <f>F65-E65</f>
        <v>-0.29000000000000004</v>
      </c>
    </row>
    <row r="71" spans="1:6" ht="18.600000000000001" x14ac:dyDescent="0.3">
      <c r="A71" s="27" t="s">
        <v>108</v>
      </c>
      <c r="B71" s="1"/>
      <c r="C71" s="1"/>
      <c r="D71" s="1"/>
      <c r="E71" s="1"/>
      <c r="F71" s="1"/>
    </row>
    <row r="72" spans="1:6" ht="16.8" x14ac:dyDescent="0.3">
      <c r="A72" s="25" t="s">
        <v>107</v>
      </c>
      <c r="B72" s="25">
        <v>2020</v>
      </c>
      <c r="C72" s="25">
        <v>2021</v>
      </c>
      <c r="D72" s="25">
        <v>2022</v>
      </c>
      <c r="E72" s="25">
        <v>2023</v>
      </c>
      <c r="F72" s="25">
        <v>2024</v>
      </c>
    </row>
    <row r="73" spans="1:6" ht="16.8" x14ac:dyDescent="0.3">
      <c r="A73" s="29" t="s">
        <v>104</v>
      </c>
      <c r="B73" s="30">
        <v>11.88</v>
      </c>
      <c r="C73" s="30">
        <v>11.01</v>
      </c>
      <c r="D73" s="30">
        <v>7.17</v>
      </c>
      <c r="E73" s="30">
        <v>8.07</v>
      </c>
      <c r="F73" s="30">
        <v>8.51</v>
      </c>
    </row>
    <row r="74" spans="1:6" ht="16.8" x14ac:dyDescent="0.3">
      <c r="A74" s="29" t="s">
        <v>114</v>
      </c>
      <c r="B74" s="30">
        <v>2.8650000000000002</v>
      </c>
      <c r="C74" s="30">
        <v>3.4129999999999998</v>
      </c>
      <c r="D74" s="30">
        <v>3.6890000000000001</v>
      </c>
      <c r="E74" s="30">
        <v>3.2970000000000002</v>
      </c>
      <c r="F74" s="30">
        <v>3.3159999999999998</v>
      </c>
    </row>
    <row r="75" spans="1:6" ht="16.8" x14ac:dyDescent="0.3">
      <c r="A75" s="29" t="s">
        <v>125</v>
      </c>
      <c r="B75" s="30">
        <v>1.23</v>
      </c>
      <c r="C75" s="30">
        <v>1.43</v>
      </c>
      <c r="D75" s="30">
        <v>1.65</v>
      </c>
      <c r="E75" s="30">
        <v>1.47</v>
      </c>
      <c r="F75" s="30">
        <v>1.48</v>
      </c>
    </row>
    <row r="76" spans="1:6" ht="18.600000000000001" x14ac:dyDescent="0.3">
      <c r="A76" s="61" t="s">
        <v>123</v>
      </c>
      <c r="B76" s="61"/>
      <c r="C76" s="1"/>
      <c r="D76" s="1"/>
      <c r="E76" s="1"/>
      <c r="F76" s="1"/>
    </row>
    <row r="77" spans="1:6" ht="16.8" x14ac:dyDescent="0.3">
      <c r="A77" s="25" t="s">
        <v>107</v>
      </c>
      <c r="B77" s="25">
        <v>2020</v>
      </c>
      <c r="C77" s="25">
        <v>2021</v>
      </c>
      <c r="D77" s="25">
        <v>2022</v>
      </c>
      <c r="E77" s="25">
        <v>2023</v>
      </c>
      <c r="F77" s="25">
        <v>2024</v>
      </c>
    </row>
    <row r="78" spans="1:6" ht="16.8" x14ac:dyDescent="0.3">
      <c r="A78" s="29" t="s">
        <v>104</v>
      </c>
      <c r="B78" s="30">
        <f t="shared" ref="B78:F80" si="10">B63-B73</f>
        <v>-4.9700000000000006</v>
      </c>
      <c r="C78" s="30">
        <f t="shared" si="10"/>
        <v>-3.62</v>
      </c>
      <c r="D78" s="30">
        <f t="shared" si="10"/>
        <v>-3.2199999999999998</v>
      </c>
      <c r="E78" s="30">
        <f t="shared" si="10"/>
        <v>-3.7</v>
      </c>
      <c r="F78" s="30">
        <f t="shared" si="10"/>
        <v>-2.6499999999999995</v>
      </c>
    </row>
    <row r="79" spans="1:6" ht="16.8" x14ac:dyDescent="0.3">
      <c r="A79" s="29" t="s">
        <v>114</v>
      </c>
      <c r="B79" s="30">
        <f t="shared" si="10"/>
        <v>0.46399999999999997</v>
      </c>
      <c r="C79" s="30">
        <f t="shared" si="10"/>
        <v>0.49000000000000021</v>
      </c>
      <c r="D79" s="30">
        <f t="shared" si="10"/>
        <v>0.63900000000000023</v>
      </c>
      <c r="E79" s="30">
        <f t="shared" si="10"/>
        <v>0.96700000000000008</v>
      </c>
      <c r="F79" s="30">
        <f t="shared" si="10"/>
        <v>0.96700000000000053</v>
      </c>
    </row>
    <row r="80" spans="1:6" ht="16.8" x14ac:dyDescent="0.3">
      <c r="A80" s="29" t="s">
        <v>111</v>
      </c>
      <c r="B80" s="30">
        <f t="shared" si="10"/>
        <v>0.59000000000000008</v>
      </c>
      <c r="C80" s="30">
        <f t="shared" si="10"/>
        <v>0.86999999999999988</v>
      </c>
      <c r="D80" s="30">
        <f t="shared" si="10"/>
        <v>0.9700000000000002</v>
      </c>
      <c r="E80" s="30">
        <f t="shared" si="10"/>
        <v>1.0000000000000002</v>
      </c>
      <c r="F80" s="30">
        <f t="shared" si="10"/>
        <v>0.70000000000000018</v>
      </c>
    </row>
    <row r="85" spans="1:22" x14ac:dyDescent="0.3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</row>
    <row r="88" spans="1:22" ht="18.600000000000001" x14ac:dyDescent="0.3">
      <c r="A88" s="26" t="s">
        <v>3</v>
      </c>
      <c r="B88" s="1"/>
      <c r="C88" s="1"/>
      <c r="D88" s="1"/>
      <c r="E88" s="1"/>
      <c r="F88" s="1"/>
    </row>
    <row r="89" spans="1:22" ht="16.8" x14ac:dyDescent="0.3">
      <c r="A89" s="25" t="s">
        <v>107</v>
      </c>
      <c r="B89" s="25">
        <v>2020</v>
      </c>
      <c r="C89" s="25">
        <v>2021</v>
      </c>
      <c r="D89" s="25">
        <v>2022</v>
      </c>
      <c r="E89" s="25">
        <v>2023</v>
      </c>
      <c r="F89" s="25">
        <v>2024</v>
      </c>
    </row>
    <row r="90" spans="1:22" ht="16.8" x14ac:dyDescent="0.3">
      <c r="A90" s="29" t="s">
        <v>109</v>
      </c>
      <c r="B90" s="24">
        <v>0.84</v>
      </c>
      <c r="C90" s="24">
        <v>0.92</v>
      </c>
      <c r="D90" s="24">
        <v>0.87</v>
      </c>
      <c r="E90" s="24">
        <v>0.77</v>
      </c>
      <c r="F90" s="24">
        <v>0.96</v>
      </c>
    </row>
    <row r="91" spans="1:22" ht="16.8" x14ac:dyDescent="0.3">
      <c r="A91" s="29" t="s">
        <v>104</v>
      </c>
      <c r="B91" s="24">
        <v>12.44</v>
      </c>
      <c r="C91" s="24">
        <v>18.36</v>
      </c>
      <c r="D91" s="24">
        <v>14.64</v>
      </c>
      <c r="E91" s="24">
        <v>17.559999999999999</v>
      </c>
      <c r="F91" s="24">
        <v>26.74</v>
      </c>
    </row>
    <row r="92" spans="1:22" ht="16.8" x14ac:dyDescent="0.3">
      <c r="A92" s="29" t="s">
        <v>114</v>
      </c>
      <c r="B92" s="24">
        <v>4.7439999999999998</v>
      </c>
      <c r="C92" s="24">
        <v>5.0650000000000004</v>
      </c>
      <c r="D92" s="24">
        <v>5.2510000000000003</v>
      </c>
      <c r="E92" s="24">
        <v>5.4710000000000001</v>
      </c>
      <c r="F92" s="24">
        <v>5.7030000000000003</v>
      </c>
    </row>
    <row r="93" spans="1:22" ht="16.8" x14ac:dyDescent="0.3">
      <c r="A93" s="29" t="s">
        <v>111</v>
      </c>
      <c r="B93" s="24">
        <v>19.989999999999998</v>
      </c>
      <c r="C93" s="24">
        <v>21.67</v>
      </c>
      <c r="D93" s="24">
        <v>22.71</v>
      </c>
      <c r="E93" s="24">
        <v>23.39</v>
      </c>
      <c r="F93" s="24">
        <v>23.93</v>
      </c>
    </row>
    <row r="94" spans="1:22" ht="16.8" x14ac:dyDescent="0.3">
      <c r="A94" s="29" t="s">
        <v>112</v>
      </c>
      <c r="B94" s="24">
        <v>55.42</v>
      </c>
      <c r="C94" s="24">
        <v>60.11</v>
      </c>
      <c r="D94" s="24">
        <v>50.91</v>
      </c>
      <c r="E94" s="24">
        <v>50.35</v>
      </c>
      <c r="F94" s="24">
        <v>50.38</v>
      </c>
    </row>
    <row r="95" spans="1:22" ht="16.8" x14ac:dyDescent="0.3">
      <c r="A95" s="29" t="s">
        <v>113</v>
      </c>
      <c r="B95" s="66">
        <v>188296.86</v>
      </c>
      <c r="C95" s="67"/>
      <c r="D95" s="67"/>
      <c r="E95" s="67"/>
      <c r="F95" s="68"/>
    </row>
    <row r="96" spans="1:22" ht="17.399999999999999" x14ac:dyDescent="0.35">
      <c r="A96" s="29" t="s">
        <v>117</v>
      </c>
      <c r="B96" s="31" t="s">
        <v>118</v>
      </c>
      <c r="C96" s="30">
        <f>C91-B91</f>
        <v>5.92</v>
      </c>
      <c r="D96" s="30">
        <f t="shared" ref="D96:F96" si="11">D91-C91</f>
        <v>-3.7199999999999989</v>
      </c>
      <c r="E96" s="30">
        <f t="shared" si="11"/>
        <v>2.9199999999999982</v>
      </c>
      <c r="F96" s="30">
        <f t="shared" si="11"/>
        <v>9.18</v>
      </c>
    </row>
    <row r="97" spans="1:6" ht="17.399999999999999" x14ac:dyDescent="0.35">
      <c r="A97" s="29" t="s">
        <v>116</v>
      </c>
      <c r="B97" s="31" t="s">
        <v>118</v>
      </c>
      <c r="C97" s="30">
        <f>C92-B92</f>
        <v>0.32100000000000062</v>
      </c>
      <c r="D97" s="30">
        <f t="shared" ref="D97:E97" si="12">D92-C92</f>
        <v>0.18599999999999994</v>
      </c>
      <c r="E97" s="30">
        <f t="shared" si="12"/>
        <v>0.21999999999999975</v>
      </c>
      <c r="F97" s="30">
        <f>F92-E92</f>
        <v>0.23200000000000021</v>
      </c>
    </row>
    <row r="98" spans="1:6" ht="17.399999999999999" x14ac:dyDescent="0.35">
      <c r="A98" s="29" t="s">
        <v>115</v>
      </c>
      <c r="B98" s="31" t="s">
        <v>118</v>
      </c>
      <c r="C98" s="30">
        <f>C93-B93</f>
        <v>1.6800000000000033</v>
      </c>
      <c r="D98" s="30">
        <f>D93-C93</f>
        <v>1.0399999999999991</v>
      </c>
      <c r="E98" s="30">
        <f>E93-D93</f>
        <v>0.67999999999999972</v>
      </c>
      <c r="F98" s="30">
        <f>F93-E93</f>
        <v>0.53999999999999915</v>
      </c>
    </row>
    <row r="99" spans="1:6" ht="18.600000000000001" x14ac:dyDescent="0.3">
      <c r="A99" s="27" t="s">
        <v>108</v>
      </c>
      <c r="B99" s="1"/>
      <c r="C99" s="1"/>
      <c r="D99" s="1"/>
      <c r="E99" s="1"/>
      <c r="F99" s="1"/>
    </row>
    <row r="100" spans="1:6" ht="16.8" x14ac:dyDescent="0.3">
      <c r="A100" s="25" t="s">
        <v>107</v>
      </c>
      <c r="B100" s="25">
        <v>2020</v>
      </c>
      <c r="C100" s="25">
        <v>2021</v>
      </c>
      <c r="D100" s="25">
        <v>2022</v>
      </c>
      <c r="E100" s="25">
        <v>2023</v>
      </c>
      <c r="F100" s="25">
        <v>2024</v>
      </c>
    </row>
    <row r="101" spans="1:6" ht="16.8" x14ac:dyDescent="0.3">
      <c r="A101" s="29" t="s">
        <v>104</v>
      </c>
      <c r="B101" s="24">
        <v>17.48</v>
      </c>
      <c r="C101" s="24">
        <v>19.170000000000002</v>
      </c>
      <c r="D101" s="24">
        <v>18.600000000000001</v>
      </c>
      <c r="E101" s="24">
        <v>19.53</v>
      </c>
      <c r="F101" s="24">
        <v>26.09</v>
      </c>
    </row>
    <row r="102" spans="1:6" ht="16.8" x14ac:dyDescent="0.3">
      <c r="A102" s="29" t="s">
        <v>114</v>
      </c>
      <c r="B102" s="24">
        <v>2.177</v>
      </c>
      <c r="C102" s="24">
        <v>3.339</v>
      </c>
      <c r="D102" s="24">
        <v>2.8460000000000001</v>
      </c>
      <c r="E102" s="24">
        <v>3.4670000000000001</v>
      </c>
      <c r="F102" s="24">
        <v>4.516</v>
      </c>
    </row>
    <row r="103" spans="1:6" ht="16.8" x14ac:dyDescent="0.3">
      <c r="A103" s="29" t="s">
        <v>111</v>
      </c>
      <c r="B103" s="24">
        <v>15.3</v>
      </c>
      <c r="C103" s="24">
        <v>21.28</v>
      </c>
      <c r="D103" s="24">
        <v>18.899999999999999</v>
      </c>
      <c r="E103" s="24">
        <v>22.3</v>
      </c>
      <c r="F103" s="24">
        <v>25.97</v>
      </c>
    </row>
    <row r="104" spans="1:6" ht="16.8" x14ac:dyDescent="0.3">
      <c r="A104" s="29" t="s">
        <v>112</v>
      </c>
      <c r="B104" s="24">
        <v>57.88</v>
      </c>
      <c r="C104" s="24">
        <v>60.62</v>
      </c>
      <c r="D104" s="24">
        <v>54.43</v>
      </c>
      <c r="E104" s="24">
        <v>53.65</v>
      </c>
      <c r="F104" s="24">
        <v>52.83</v>
      </c>
    </row>
    <row r="105" spans="1:6" ht="18.600000000000001" x14ac:dyDescent="0.3">
      <c r="A105" s="61" t="s">
        <v>122</v>
      </c>
      <c r="B105" s="62"/>
      <c r="C105" s="1"/>
      <c r="D105" s="1"/>
      <c r="E105" s="1"/>
      <c r="F105" s="1"/>
    </row>
    <row r="106" spans="1:6" ht="16.8" x14ac:dyDescent="0.3">
      <c r="A106" s="25" t="s">
        <v>107</v>
      </c>
      <c r="B106" s="25">
        <v>2020</v>
      </c>
      <c r="C106" s="25">
        <v>2021</v>
      </c>
      <c r="D106" s="25">
        <v>2022</v>
      </c>
      <c r="E106" s="25">
        <v>2023</v>
      </c>
      <c r="F106" s="25">
        <v>2024</v>
      </c>
    </row>
    <row r="107" spans="1:6" ht="16.8" x14ac:dyDescent="0.3">
      <c r="A107" s="29" t="s">
        <v>104</v>
      </c>
      <c r="B107" s="30">
        <f t="shared" ref="B107:F108" si="13">B91-B101</f>
        <v>-5.0400000000000009</v>
      </c>
      <c r="C107" s="30">
        <f t="shared" si="13"/>
        <v>-0.81000000000000227</v>
      </c>
      <c r="D107" s="30">
        <f t="shared" si="13"/>
        <v>-3.9600000000000009</v>
      </c>
      <c r="E107" s="30">
        <f t="shared" si="13"/>
        <v>-1.9700000000000024</v>
      </c>
      <c r="F107" s="30">
        <f t="shared" si="13"/>
        <v>0.64999999999999858</v>
      </c>
    </row>
    <row r="108" spans="1:6" ht="16.8" x14ac:dyDescent="0.3">
      <c r="A108" s="29" t="s">
        <v>114</v>
      </c>
      <c r="B108" s="30">
        <f t="shared" si="13"/>
        <v>2.5669999999999997</v>
      </c>
      <c r="C108" s="30">
        <f t="shared" si="13"/>
        <v>1.7260000000000004</v>
      </c>
      <c r="D108" s="30">
        <f t="shared" si="13"/>
        <v>2.4050000000000002</v>
      </c>
      <c r="E108" s="30">
        <f t="shared" si="13"/>
        <v>2.004</v>
      </c>
      <c r="F108" s="30">
        <f t="shared" si="13"/>
        <v>1.1870000000000003</v>
      </c>
    </row>
    <row r="109" spans="1:6" ht="16.8" x14ac:dyDescent="0.3">
      <c r="A109" s="29" t="s">
        <v>111</v>
      </c>
      <c r="B109" s="30">
        <f>B93-B103</f>
        <v>4.6899999999999977</v>
      </c>
      <c r="C109" s="30">
        <f t="shared" ref="C109:F109" si="14">C93-C103</f>
        <v>0.39000000000000057</v>
      </c>
      <c r="D109" s="30">
        <f t="shared" si="14"/>
        <v>3.8100000000000023</v>
      </c>
      <c r="E109" s="30">
        <f t="shared" si="14"/>
        <v>1.0899999999999999</v>
      </c>
      <c r="F109" s="30">
        <f t="shared" si="14"/>
        <v>-2.0399999999999991</v>
      </c>
    </row>
    <row r="110" spans="1:6" ht="16.8" x14ac:dyDescent="0.3">
      <c r="A110" s="29" t="s">
        <v>112</v>
      </c>
      <c r="B110" s="30">
        <f>B94-B104</f>
        <v>-2.4600000000000009</v>
      </c>
      <c r="C110" s="30">
        <f t="shared" ref="C110:E110" si="15">C94-C104</f>
        <v>-0.50999999999999801</v>
      </c>
      <c r="D110" s="30">
        <f t="shared" si="15"/>
        <v>-3.5200000000000031</v>
      </c>
      <c r="E110" s="30">
        <f t="shared" si="15"/>
        <v>-3.2999999999999972</v>
      </c>
      <c r="F110" s="30">
        <f>F94-F104</f>
        <v>-2.4499999999999957</v>
      </c>
    </row>
    <row r="114" spans="1:22" x14ac:dyDescent="0.3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</row>
    <row r="116" spans="1:22" ht="18.600000000000001" x14ac:dyDescent="0.3">
      <c r="A116" s="26" t="s">
        <v>2</v>
      </c>
      <c r="B116" s="1"/>
      <c r="C116" s="1"/>
      <c r="D116" s="1"/>
      <c r="E116" s="1"/>
      <c r="F116" s="1"/>
    </row>
    <row r="117" spans="1:22" ht="16.8" x14ac:dyDescent="0.3">
      <c r="A117" s="25" t="s">
        <v>107</v>
      </c>
      <c r="B117" s="25">
        <v>2020</v>
      </c>
      <c r="C117" s="25">
        <v>2021</v>
      </c>
      <c r="D117" s="25">
        <v>2022</v>
      </c>
      <c r="E117" s="25">
        <v>2023</v>
      </c>
      <c r="F117" s="25">
        <v>2024</v>
      </c>
    </row>
    <row r="118" spans="1:22" ht="16.8" x14ac:dyDescent="0.3">
      <c r="A118" s="29" t="s">
        <v>109</v>
      </c>
      <c r="B118" s="24">
        <v>0.63</v>
      </c>
      <c r="C118" s="24">
        <v>0.57999999999999996</v>
      </c>
      <c r="D118" s="24">
        <v>0.81</v>
      </c>
      <c r="E118" s="24">
        <v>0.87</v>
      </c>
      <c r="F118" s="24">
        <v>0.85</v>
      </c>
    </row>
    <row r="119" spans="1:22" ht="16.8" x14ac:dyDescent="0.3">
      <c r="A119" s="29" t="s">
        <v>104</v>
      </c>
      <c r="B119" s="24">
        <v>9.32</v>
      </c>
      <c r="C119" s="24">
        <v>11.51</v>
      </c>
      <c r="D119" s="24">
        <v>8.9700000000000006</v>
      </c>
      <c r="E119" s="24">
        <v>10.07</v>
      </c>
      <c r="F119" s="24">
        <v>15.2</v>
      </c>
    </row>
    <row r="120" spans="1:22" ht="16.8" x14ac:dyDescent="0.3">
      <c r="A120" s="29" t="s">
        <v>114</v>
      </c>
      <c r="B120" s="24">
        <v>5.2510000000000003</v>
      </c>
      <c r="C120" s="24">
        <v>6.0019999999999998</v>
      </c>
      <c r="D120" s="24">
        <v>7.9720000000000004</v>
      </c>
      <c r="E120" s="24">
        <v>5.64</v>
      </c>
      <c r="F120" s="24">
        <v>4.47</v>
      </c>
    </row>
    <row r="121" spans="1:22" ht="16.8" x14ac:dyDescent="0.3">
      <c r="A121" s="29" t="s">
        <v>111</v>
      </c>
      <c r="B121" s="24">
        <v>13.97</v>
      </c>
      <c r="C121" s="24">
        <v>12.99</v>
      </c>
      <c r="D121" s="24">
        <v>15.14</v>
      </c>
      <c r="E121" s="24">
        <v>10.95</v>
      </c>
      <c r="F121" s="24">
        <v>9.2200000000000006</v>
      </c>
    </row>
    <row r="122" spans="1:22" ht="16.8" x14ac:dyDescent="0.3">
      <c r="A122" s="29" t="s">
        <v>112</v>
      </c>
      <c r="B122" s="24">
        <v>40.51</v>
      </c>
      <c r="C122" s="24">
        <v>48.6</v>
      </c>
      <c r="D122" s="24">
        <v>43.38</v>
      </c>
      <c r="E122" s="24">
        <v>40.51</v>
      </c>
      <c r="F122" s="24">
        <v>38.25</v>
      </c>
    </row>
    <row r="123" spans="1:22" ht="16.8" x14ac:dyDescent="0.3">
      <c r="A123" s="29" t="s">
        <v>113</v>
      </c>
      <c r="B123" s="66">
        <v>33677.46</v>
      </c>
      <c r="C123" s="67"/>
      <c r="D123" s="67"/>
      <c r="E123" s="67"/>
      <c r="F123" s="68"/>
    </row>
    <row r="124" spans="1:22" ht="17.399999999999999" x14ac:dyDescent="0.35">
      <c r="A124" s="29" t="s">
        <v>117</v>
      </c>
      <c r="B124" s="31" t="s">
        <v>118</v>
      </c>
      <c r="C124" s="30">
        <f>C119-B119</f>
        <v>2.1899999999999995</v>
      </c>
      <c r="D124" s="30">
        <f t="shared" ref="D124:F124" si="16">D119-C119</f>
        <v>-2.5399999999999991</v>
      </c>
      <c r="E124" s="30">
        <f t="shared" si="16"/>
        <v>1.0999999999999996</v>
      </c>
      <c r="F124" s="30">
        <f t="shared" si="16"/>
        <v>5.129999999999999</v>
      </c>
    </row>
    <row r="125" spans="1:22" ht="17.399999999999999" x14ac:dyDescent="0.35">
      <c r="A125" s="29" t="s">
        <v>116</v>
      </c>
      <c r="B125" s="31" t="s">
        <v>118</v>
      </c>
      <c r="C125" s="30">
        <f>C120-B120</f>
        <v>0.75099999999999945</v>
      </c>
      <c r="D125" s="30">
        <f t="shared" ref="D125:E125" si="17">D120-C120</f>
        <v>1.9700000000000006</v>
      </c>
      <c r="E125" s="30">
        <f t="shared" si="17"/>
        <v>-2.3320000000000007</v>
      </c>
      <c r="F125" s="30">
        <f>F120-E120</f>
        <v>-1.17</v>
      </c>
    </row>
    <row r="126" spans="1:22" ht="17.399999999999999" x14ac:dyDescent="0.35">
      <c r="A126" s="29" t="s">
        <v>115</v>
      </c>
      <c r="B126" s="31" t="s">
        <v>118</v>
      </c>
      <c r="C126" s="30">
        <f>C121-B121</f>
        <v>-0.98000000000000043</v>
      </c>
      <c r="D126" s="30">
        <f>D121-C121</f>
        <v>2.1500000000000004</v>
      </c>
      <c r="E126" s="30">
        <f>E121-D121</f>
        <v>-4.1900000000000013</v>
      </c>
      <c r="F126" s="30">
        <f>F121-E121</f>
        <v>-1.7299999999999986</v>
      </c>
    </row>
    <row r="127" spans="1:22" ht="18.600000000000001" x14ac:dyDescent="0.3">
      <c r="A127" s="27" t="s">
        <v>108</v>
      </c>
      <c r="B127" s="1"/>
      <c r="C127" s="1"/>
      <c r="D127" s="1"/>
      <c r="E127" s="1"/>
      <c r="F127" s="1"/>
    </row>
    <row r="128" spans="1:22" ht="16.8" x14ac:dyDescent="0.3">
      <c r="A128" s="25" t="s">
        <v>107</v>
      </c>
      <c r="B128" s="25">
        <v>2020</v>
      </c>
      <c r="C128" s="25">
        <v>2021</v>
      </c>
      <c r="D128" s="25">
        <v>2022</v>
      </c>
      <c r="E128" s="25">
        <v>2023</v>
      </c>
      <c r="F128" s="25">
        <v>2024</v>
      </c>
    </row>
    <row r="129" spans="1:6" ht="16.8" x14ac:dyDescent="0.3">
      <c r="A129" s="29" t="s">
        <v>104</v>
      </c>
      <c r="B129" s="24">
        <v>14.3</v>
      </c>
      <c r="C129" s="24">
        <v>16.399999999999999</v>
      </c>
      <c r="D129" s="24">
        <v>10.78</v>
      </c>
      <c r="E129" s="24">
        <v>14.02</v>
      </c>
      <c r="F129" s="24">
        <v>16.53</v>
      </c>
    </row>
    <row r="130" spans="1:6" ht="16.8" x14ac:dyDescent="0.3">
      <c r="A130" s="29" t="s">
        <v>114</v>
      </c>
      <c r="B130" s="24">
        <v>2.016</v>
      </c>
      <c r="C130" s="24">
        <v>2.1320000000000001</v>
      </c>
      <c r="D130" s="24">
        <v>2.8159999999999998</v>
      </c>
      <c r="E130" s="24">
        <v>1.97</v>
      </c>
      <c r="F130" s="24">
        <v>1.74</v>
      </c>
    </row>
    <row r="131" spans="1:6" ht="16.8" x14ac:dyDescent="0.3">
      <c r="A131" s="29" t="s">
        <v>111</v>
      </c>
      <c r="B131" s="24">
        <v>13.06</v>
      </c>
      <c r="C131" s="24">
        <v>13.29</v>
      </c>
      <c r="D131" s="24">
        <v>17.010000000000002</v>
      </c>
      <c r="E131" s="24">
        <v>11.41</v>
      </c>
      <c r="F131" s="24">
        <v>10.25</v>
      </c>
    </row>
    <row r="132" spans="1:6" ht="16.8" x14ac:dyDescent="0.3">
      <c r="A132" s="29" t="s">
        <v>112</v>
      </c>
      <c r="B132" s="24">
        <v>49.33</v>
      </c>
      <c r="C132" s="24">
        <v>49.09</v>
      </c>
      <c r="D132" s="24">
        <v>46.41</v>
      </c>
      <c r="E132" s="24">
        <v>46.27</v>
      </c>
      <c r="F132" s="24">
        <v>46.31</v>
      </c>
    </row>
    <row r="133" spans="1:6" ht="18.600000000000001" x14ac:dyDescent="0.3">
      <c r="A133" s="61" t="s">
        <v>121</v>
      </c>
      <c r="B133" s="62"/>
      <c r="C133" s="1"/>
      <c r="D133" s="1"/>
      <c r="E133" s="1"/>
      <c r="F133" s="1"/>
    </row>
    <row r="134" spans="1:6" ht="16.8" x14ac:dyDescent="0.3">
      <c r="A134" s="25" t="s">
        <v>107</v>
      </c>
      <c r="B134" s="25">
        <v>2020</v>
      </c>
      <c r="C134" s="25">
        <v>2021</v>
      </c>
      <c r="D134" s="25">
        <v>2022</v>
      </c>
      <c r="E134" s="25">
        <v>2023</v>
      </c>
      <c r="F134" s="25">
        <v>2024</v>
      </c>
    </row>
    <row r="135" spans="1:6" ht="16.8" x14ac:dyDescent="0.3">
      <c r="A135" s="29" t="s">
        <v>104</v>
      </c>
      <c r="B135" s="30">
        <f t="shared" ref="B135:F136" si="18">B119-B129</f>
        <v>-4.9800000000000004</v>
      </c>
      <c r="C135" s="30">
        <f t="shared" si="18"/>
        <v>-4.8899999999999988</v>
      </c>
      <c r="D135" s="30">
        <f t="shared" si="18"/>
        <v>-1.8099999999999987</v>
      </c>
      <c r="E135" s="30">
        <f t="shared" si="18"/>
        <v>-3.9499999999999993</v>
      </c>
      <c r="F135" s="30">
        <f t="shared" si="18"/>
        <v>-1.3300000000000018</v>
      </c>
    </row>
    <row r="136" spans="1:6" ht="16.8" x14ac:dyDescent="0.3">
      <c r="A136" s="29" t="s">
        <v>114</v>
      </c>
      <c r="B136" s="30">
        <f t="shared" si="18"/>
        <v>3.2350000000000003</v>
      </c>
      <c r="C136" s="30">
        <f t="shared" si="18"/>
        <v>3.8699999999999997</v>
      </c>
      <c r="D136" s="30">
        <f t="shared" si="18"/>
        <v>5.1560000000000006</v>
      </c>
      <c r="E136" s="30">
        <f t="shared" si="18"/>
        <v>3.67</v>
      </c>
      <c r="F136" s="30">
        <f t="shared" si="18"/>
        <v>2.7299999999999995</v>
      </c>
    </row>
    <row r="137" spans="1:6" ht="16.8" x14ac:dyDescent="0.3">
      <c r="A137" s="29" t="s">
        <v>111</v>
      </c>
      <c r="B137" s="30">
        <f>B121-B131</f>
        <v>0.91000000000000014</v>
      </c>
      <c r="C137" s="30">
        <f t="shared" ref="C137:F137" si="19">C121-C131</f>
        <v>-0.29999999999999893</v>
      </c>
      <c r="D137" s="30">
        <f t="shared" si="19"/>
        <v>-1.870000000000001</v>
      </c>
      <c r="E137" s="30">
        <f t="shared" si="19"/>
        <v>-0.46000000000000085</v>
      </c>
      <c r="F137" s="30">
        <f t="shared" si="19"/>
        <v>-1.0299999999999994</v>
      </c>
    </row>
    <row r="138" spans="1:6" ht="16.8" x14ac:dyDescent="0.3">
      <c r="A138" s="29" t="s">
        <v>112</v>
      </c>
      <c r="B138" s="30">
        <f>B122-B132</f>
        <v>-8.82</v>
      </c>
      <c r="C138" s="30">
        <f t="shared" ref="C138:E138" si="20">C122-C132</f>
        <v>-0.49000000000000199</v>
      </c>
      <c r="D138" s="30">
        <f t="shared" si="20"/>
        <v>-3.029999999999994</v>
      </c>
      <c r="E138" s="30">
        <f t="shared" si="20"/>
        <v>-5.7600000000000051</v>
      </c>
      <c r="F138" s="30">
        <f>F122-F132</f>
        <v>-8.0600000000000023</v>
      </c>
    </row>
  </sheetData>
  <mergeCells count="14">
    <mergeCell ref="A133:B133"/>
    <mergeCell ref="A18:B18"/>
    <mergeCell ref="B8:F8"/>
    <mergeCell ref="B37:F37"/>
    <mergeCell ref="A47:B47"/>
    <mergeCell ref="B67:F67"/>
    <mergeCell ref="A76:B76"/>
    <mergeCell ref="A28:V28"/>
    <mergeCell ref="A57:V57"/>
    <mergeCell ref="A85:V85"/>
    <mergeCell ref="A114:V114"/>
    <mergeCell ref="B95:F95"/>
    <mergeCell ref="A105:B105"/>
    <mergeCell ref="B123:F1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08A14-F231-46B8-8B97-F455B67B0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 RESULTS</vt:lpstr>
      <vt:lpstr>CHARACTERISTICS</vt:lpstr>
      <vt:lpstr>OPTIMAL PORTFOLIO</vt:lpstr>
      <vt:lpstr>EFFICIENT FRONTIER</vt:lpstr>
      <vt:lpstr>STOCK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NGUYEN THI MY</cp:lastModifiedBy>
  <cp:lastPrinted>2025-03-23T06:49:48Z</cp:lastPrinted>
  <dcterms:created xsi:type="dcterms:W3CDTF">2025-03-21T14:01:03Z</dcterms:created>
  <dcterms:modified xsi:type="dcterms:W3CDTF">2025-03-23T08:35:32Z</dcterms:modified>
</cp:coreProperties>
</file>