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drawings/drawing13.xml" ContentType="application/vnd.openxmlformats-officedocument.drawing+xml"/>
  <Override PartName="/xl/tables/table13.xml" ContentType="application/vnd.openxmlformats-officedocument.spreadsheetml.table+xml"/>
  <Override PartName="/xl/drawings/drawing14.xml" ContentType="application/vnd.openxmlformats-officedocument.drawing+xml"/>
  <Override PartName="/xl/tables/table14.xml" ContentType="application/vnd.openxmlformats-officedocument.spreadsheetml.table+xml"/>
  <Override PartName="/xl/drawings/drawing15.xml" ContentType="application/vnd.openxmlformats-officedocument.drawing+xml"/>
  <Override PartName="/xl/tables/table15.xml" ContentType="application/vnd.openxmlformats-officedocument.spreadsheetml.table+xml"/>
  <Override PartName="/xl/drawings/drawing16.xml" ContentType="application/vnd.openxmlformats-officedocument.drawing+xml"/>
  <Override PartName="/xl/tables/table16.xml" ContentType="application/vnd.openxmlformats-officedocument.spreadsheetml.table+xml"/>
  <Override PartName="/xl/drawings/drawing17.xml" ContentType="application/vnd.openxmlformats-officedocument.drawing+xml"/>
  <Override PartName="/xl/tables/table17.xml" ContentType="application/vnd.openxmlformats-officedocument.spreadsheetml.table+xml"/>
  <Override PartName="/xl/drawings/drawing18.xml" ContentType="application/vnd.openxmlformats-officedocument.drawing+xml"/>
  <Override PartName="/xl/tables/table18.xml" ContentType="application/vnd.openxmlformats-officedocument.spreadsheetml.table+xml"/>
  <Override PartName="/xl/drawings/drawing19.xml" ContentType="application/vnd.openxmlformats-officedocument.drawing+xml"/>
  <Override PartName="/xl/tables/table19.xml" ContentType="application/vnd.openxmlformats-officedocument.spreadsheetml.table+xml"/>
  <Override PartName="/xl/drawings/drawing20.xml" ContentType="application/vnd.openxmlformats-officedocument.drawing+xml"/>
  <Override PartName="/xl/tables/table20.xml" ContentType="application/vnd.openxmlformats-officedocument.spreadsheetml.table+xml"/>
  <Override PartName="/xl/drawings/drawing21.xml" ContentType="application/vnd.openxmlformats-officedocument.drawing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drawings/drawing22.xml" ContentType="application/vnd.openxmlformats-officedocument.drawing+xml"/>
  <Override PartName="/xl/tables/table23.xml" ContentType="application/vnd.openxmlformats-officedocument.spreadsheetml.table+xml"/>
  <Override PartName="/xl/drawings/drawing23.xml" ContentType="application/vnd.openxmlformats-officedocument.drawing+xml"/>
  <Override PartName="/xl/tables/table24.xml" ContentType="application/vnd.openxmlformats-officedocument.spreadsheetml.table+xml"/>
  <Override PartName="/xl/drawings/drawing24.xml" ContentType="application/vnd.openxmlformats-officedocument.drawing+xml"/>
  <Override PartName="/xl/tables/table25.xml" ContentType="application/vnd.openxmlformats-officedocument.spreadsheetml.table+xml"/>
  <Override PartName="/xl/drawings/drawing25.xml" ContentType="application/vnd.openxmlformats-officedocument.drawing+xml"/>
  <Override PartName="/xl/tables/table26.xml" ContentType="application/vnd.openxmlformats-officedocument.spreadsheetml.table+xml"/>
  <Override PartName="/xl/drawings/drawing26.xml" ContentType="application/vnd.openxmlformats-officedocument.drawing+xml"/>
  <Override PartName="/xl/tables/table27.xml" ContentType="application/vnd.openxmlformats-officedocument.spreadsheetml.table+xml"/>
  <Override PartName="/xl/drawings/drawing27.xml" ContentType="application/vnd.openxmlformats-officedocument.drawing+xml"/>
  <Override PartName="/xl/tables/table28.xml" ContentType="application/vnd.openxmlformats-officedocument.spreadsheetml.table+xml"/>
  <Override PartName="/xl/drawings/drawing28.xml" ContentType="application/vnd.openxmlformats-officedocument.drawing+xml"/>
  <Override PartName="/xl/tables/table29.xml" ContentType="application/vnd.openxmlformats-officedocument.spreadsheetml.table+xml"/>
  <Override PartName="/xl/drawings/drawing29.xml" ContentType="application/vnd.openxmlformats-officedocument.drawing+xml"/>
  <Override PartName="/xl/tables/table30.xml" ContentType="application/vnd.openxmlformats-officedocument.spreadsheetml.table+xml"/>
  <Override PartName="/xl/drawings/drawing30.xml" ContentType="application/vnd.openxmlformats-officedocument.drawing+xml"/>
  <Override PartName="/xl/tables/table31.xml" ContentType="application/vnd.openxmlformats-officedocument.spreadsheetml.table+xml"/>
  <Override PartName="/xl/drawings/drawing31.xml" ContentType="application/vnd.openxmlformats-officedocument.drawing+xml"/>
  <Override PartName="/xl/tables/table32.xml" ContentType="application/vnd.openxmlformats-officedocument.spreadsheetml.table+xml"/>
  <Override PartName="/xl/drawings/drawing32.xml" ContentType="application/vnd.openxmlformats-officedocument.drawing+xml"/>
  <Override PartName="/xl/tables/table33.xml" ContentType="application/vnd.openxmlformats-officedocument.spreadsheetml.table+xml"/>
  <Override PartName="/xl/drawings/drawing33.xml" ContentType="application/vnd.openxmlformats-officedocument.drawing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drawings/drawing34.xml" ContentType="application/vnd.openxmlformats-officedocument.drawing+xml"/>
  <Override PartName="/xl/tables/table36.xml" ContentType="application/vnd.openxmlformats-officedocument.spreadsheetml.table+xml"/>
  <Override PartName="/xl/drawings/drawing35.xml" ContentType="application/vnd.openxmlformats-officedocument.drawing+xml"/>
  <Override PartName="/xl/tables/table37.xml" ContentType="application/vnd.openxmlformats-officedocument.spreadsheetml.table+xml"/>
  <Override PartName="/xl/comments1.xml" ContentType="application/vnd.openxmlformats-officedocument.spreadsheetml.comments+xml"/>
  <Override PartName="/xl/tables/table38.xml" ContentType="application/vnd.openxmlformats-officedocument.spreadsheetml.table+xml"/>
  <Override PartName="/xl/drawings/drawing36.xml" ContentType="application/vnd.openxmlformats-officedocument.drawing+xml"/>
  <Override PartName="/xl/tables/table39.xml" ContentType="application/vnd.openxmlformats-officedocument.spreadsheetml.table+xml"/>
  <Override PartName="/xl/drawings/drawing37.xml" ContentType="application/vnd.openxmlformats-officedocument.drawing+xml"/>
  <Override PartName="/xl/tables/table40.xml" ContentType="application/vnd.openxmlformats-officedocument.spreadsheetml.table+xml"/>
  <Override PartName="/xl/drawings/drawing38.xml" ContentType="application/vnd.openxmlformats-officedocument.drawing+xml"/>
  <Override PartName="/xl/tables/table41.xml" ContentType="application/vnd.openxmlformats-officedocument.spreadsheetml.table+xml"/>
  <Override PartName="/xl/drawings/drawing39.xml" ContentType="application/vnd.openxmlformats-officedocument.drawing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drawings/drawing40.xml" ContentType="application/vnd.openxmlformats-officedocument.drawing+xml"/>
  <Override PartName="/xl/tables/table44.xml" ContentType="application/vnd.openxmlformats-officedocument.spreadsheetml.table+xml"/>
  <Override PartName="/xl/drawings/drawing41.xml" ContentType="application/vnd.openxmlformats-officedocument.drawing+xml"/>
  <Override PartName="/xl/tables/table45.xml" ContentType="application/vnd.openxmlformats-officedocument.spreadsheetml.table+xml"/>
  <Override PartName="/xl/drawings/drawing42.xml" ContentType="application/vnd.openxmlformats-officedocument.drawing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drawings/drawing43.xml" ContentType="application/vnd.openxmlformats-officedocument.drawing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drawings/drawing44.xml" ContentType="application/vnd.openxmlformats-officedocument.drawing+xml"/>
  <Override PartName="/xl/tables/table52.xml" ContentType="application/vnd.openxmlformats-officedocument.spreadsheetml.table+xml"/>
  <Override PartName="/xl/drawings/drawing45.xml" ContentType="application/vnd.openxmlformats-officedocument.drawing+xml"/>
  <Override PartName="/xl/tables/table53.xml" ContentType="application/vnd.openxmlformats-officedocument.spreadsheetml.table+xml"/>
  <Override PartName="/xl/drawings/drawing46.xml" ContentType="application/vnd.openxmlformats-officedocument.drawing+xml"/>
  <Override PartName="/xl/tables/table54.xml" ContentType="application/vnd.openxmlformats-officedocument.spreadsheetml.table+xml"/>
  <Override PartName="/xl/drawings/drawing47.xml" ContentType="application/vnd.openxmlformats-officedocument.drawing+xml"/>
  <Override PartName="/xl/tables/table55.xml" ContentType="application/vnd.openxmlformats-officedocument.spreadsheetml.table+xml"/>
  <Override PartName="/xl/drawings/drawing48.xml" ContentType="application/vnd.openxmlformats-officedocument.drawing+xml"/>
  <Override PartName="/xl/tables/table56.xml" ContentType="application/vnd.openxmlformats-officedocument.spreadsheetml.table+xml"/>
  <Override PartName="/xl/drawings/drawing49.xml" ContentType="application/vnd.openxmlformats-officedocument.drawing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drawings/drawing50.xml" ContentType="application/vnd.openxmlformats-officedocument.drawing+xml"/>
  <Override PartName="/xl/tables/table59.xml" ContentType="application/vnd.openxmlformats-officedocument.spreadsheetml.table+xml"/>
  <Override PartName="/xl/drawings/drawing51.xml" ContentType="application/vnd.openxmlformats-officedocument.drawing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drawings/drawing52.xml" ContentType="application/vnd.openxmlformats-officedocument.drawing+xml"/>
  <Override PartName="/xl/tables/table62.xml" ContentType="application/vnd.openxmlformats-officedocument.spreadsheetml.table+xml"/>
  <Override PartName="/xl/drawings/drawing53.xml" ContentType="application/vnd.openxmlformats-officedocument.drawing+xml"/>
  <Override PartName="/xl/tables/table63.xml" ContentType="application/vnd.openxmlformats-officedocument.spreadsheetml.table+xml"/>
  <Override PartName="/xl/drawings/drawing54.xml" ContentType="application/vnd.openxmlformats-officedocument.drawing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drawings/drawing55.xml" ContentType="application/vnd.openxmlformats-officedocument.drawing+xml"/>
  <Override PartName="/xl/tables/table66.xml" ContentType="application/vnd.openxmlformats-officedocument.spreadsheetml.table+xml"/>
  <Override PartName="/xl/drawings/drawing56.xml" ContentType="application/vnd.openxmlformats-officedocument.drawing+xml"/>
  <Override PartName="/xl/tables/table67.xml" ContentType="application/vnd.openxmlformats-officedocument.spreadsheetml.table+xml"/>
  <Override PartName="/xl/drawings/drawing57.xml" ContentType="application/vnd.openxmlformats-officedocument.drawing+xml"/>
  <Override PartName="/xl/tables/table68.xml" ContentType="application/vnd.openxmlformats-officedocument.spreadsheetml.table+xml"/>
  <Override PartName="/xl/drawings/drawing58.xml" ContentType="application/vnd.openxmlformats-officedocument.drawing+xml"/>
  <Override PartName="/xl/tables/table69.xml" ContentType="application/vnd.openxmlformats-officedocument.spreadsheetml.table+xml"/>
  <Override PartName="/xl/drawings/drawing59.xml" ContentType="application/vnd.openxmlformats-officedocument.drawing+xml"/>
  <Override PartName="/xl/tables/table70.xml" ContentType="application/vnd.openxmlformats-officedocument.spreadsheetml.table+xml"/>
  <Override PartName="/xl/drawings/drawing60.xml" ContentType="application/vnd.openxmlformats-officedocument.drawing+xml"/>
  <Override PartName="/xl/tables/table71.xml" ContentType="application/vnd.openxmlformats-officedocument.spreadsheetml.table+xml"/>
  <Override PartName="/xl/drawings/drawing61.xml" ContentType="application/vnd.openxmlformats-officedocument.drawing+xml"/>
  <Override PartName="/xl/tables/table72.xml" ContentType="application/vnd.openxmlformats-officedocument.spreadsheetml.table+xml"/>
  <Override PartName="/xl/drawings/drawing62.xml" ContentType="application/vnd.openxmlformats-officedocument.drawing+xml"/>
  <Override PartName="/xl/tables/table73.xml" ContentType="application/vnd.openxmlformats-officedocument.spreadsheetml.table+xml"/>
  <Override PartName="/xl/drawings/drawing63.xml" ContentType="application/vnd.openxmlformats-officedocument.drawing+xml"/>
  <Override PartName="/xl/tables/table74.xml" ContentType="application/vnd.openxmlformats-officedocument.spreadsheetml.table+xml"/>
  <Override PartName="/xl/drawings/drawing64.xml" ContentType="application/vnd.openxmlformats-officedocument.drawing+xml"/>
  <Override PartName="/xl/tables/table75.xml" ContentType="application/vnd.openxmlformats-officedocument.spreadsheetml.table+xml"/>
  <Override PartName="/xl/drawings/drawing65.xml" ContentType="application/vnd.openxmlformats-officedocument.drawing+xml"/>
  <Override PartName="/xl/tables/table76.xml" ContentType="application/vnd.openxmlformats-officedocument.spreadsheetml.table+xml"/>
  <Override PartName="/xl/drawings/drawing66.xml" ContentType="application/vnd.openxmlformats-officedocument.drawing+xml"/>
  <Override PartName="/xl/tables/table77.xml" ContentType="application/vnd.openxmlformats-officedocument.spreadsheetml.table+xml"/>
  <Override PartName="/xl/drawings/drawing67.xml" ContentType="application/vnd.openxmlformats-officedocument.drawing+xml"/>
  <Override PartName="/xl/tables/table78.xml" ContentType="application/vnd.openxmlformats-officedocument.spreadsheetml.table+xml"/>
  <Override PartName="/xl/drawings/drawing68.xml" ContentType="application/vnd.openxmlformats-officedocument.drawing+xml"/>
  <Override PartName="/xl/tables/table79.xml" ContentType="application/vnd.openxmlformats-officedocument.spreadsheetml.table+xml"/>
  <Override PartName="/xl/drawings/drawing69.xml" ContentType="application/vnd.openxmlformats-officedocument.drawing+xml"/>
  <Override PartName="/xl/tables/table80.xml" ContentType="application/vnd.openxmlformats-officedocument.spreadsheetml.table+xml"/>
  <Override PartName="/xl/drawings/drawing70.xml" ContentType="application/vnd.openxmlformats-officedocument.drawing+xml"/>
  <Override PartName="/xl/tables/table81.xml" ContentType="application/vnd.openxmlformats-officedocument.spreadsheetml.table+xml"/>
  <Override PartName="/xl/drawings/drawing71.xml" ContentType="application/vnd.openxmlformats-officedocument.drawing+xml"/>
  <Override PartName="/xl/tables/table82.xml" ContentType="application/vnd.openxmlformats-officedocument.spreadsheetml.table+xml"/>
  <Override PartName="/xl/drawings/drawing72.xml" ContentType="application/vnd.openxmlformats-officedocument.drawing+xml"/>
  <Override PartName="/xl/tables/table83.xml" ContentType="application/vnd.openxmlformats-officedocument.spreadsheetml.table+xml"/>
  <Override PartName="/xl/drawings/drawing73.xml" ContentType="application/vnd.openxmlformats-officedocument.drawing+xml"/>
  <Override PartName="/xl/tables/table84.xml" ContentType="application/vnd.openxmlformats-officedocument.spreadsheetml.table+xml"/>
  <Override PartName="/xl/drawings/drawing74.xml" ContentType="application/vnd.openxmlformats-officedocument.drawing+xml"/>
  <Override PartName="/xl/tables/table85.xml" ContentType="application/vnd.openxmlformats-officedocument.spreadsheetml.table+xml"/>
  <Override PartName="/xl/drawings/drawing75.xml" ContentType="application/vnd.openxmlformats-officedocument.drawing+xml"/>
  <Override PartName="/xl/tables/table86.xml" ContentType="application/vnd.openxmlformats-officedocument.spreadsheetml.table+xml"/>
  <Override PartName="/xl/drawings/drawing76.xml" ContentType="application/vnd.openxmlformats-officedocument.drawing+xml"/>
  <Override PartName="/xl/tables/table87.xml" ContentType="application/vnd.openxmlformats-officedocument.spreadsheetml.table+xml"/>
  <Override PartName="/xl/drawings/drawing77.xml" ContentType="application/vnd.openxmlformats-officedocument.drawing+xml"/>
  <Override PartName="/xl/tables/table88.xml" ContentType="application/vnd.openxmlformats-officedocument.spreadsheetml.table+xml"/>
  <Override PartName="/xl/drawings/drawing78.xml" ContentType="application/vnd.openxmlformats-officedocument.drawing+xml"/>
  <Override PartName="/xl/tables/table89.xml" ContentType="application/vnd.openxmlformats-officedocument.spreadsheetml.table+xml"/>
  <Override PartName="/xl/drawings/drawing79.xml" ContentType="application/vnd.openxmlformats-officedocument.drawing+xml"/>
  <Override PartName="/xl/tables/table90.xml" ContentType="application/vnd.openxmlformats-officedocument.spreadsheetml.table+xml"/>
  <Override PartName="/xl/drawings/drawing80.xml" ContentType="application/vnd.openxmlformats-officedocument.drawing+xml"/>
  <Override PartName="/xl/tables/table91.xml" ContentType="application/vnd.openxmlformats-officedocument.spreadsheetml.table+xml"/>
  <Override PartName="/xl/drawings/drawing81.xml" ContentType="application/vnd.openxmlformats-officedocument.drawing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drawings/drawing82.xml" ContentType="application/vnd.openxmlformats-officedocument.drawing+xml"/>
  <Override PartName="/xl/tables/table94.xml" ContentType="application/vnd.openxmlformats-officedocument.spreadsheetml.table+xml"/>
  <Override PartName="/xl/drawings/drawing83.xml" ContentType="application/vnd.openxmlformats-officedocument.drawing+xml"/>
  <Override PartName="/xl/tables/table95.xml" ContentType="application/vnd.openxmlformats-officedocument.spreadsheetml.table+xml"/>
  <Override PartName="/xl/drawings/drawing84.xml" ContentType="application/vnd.openxmlformats-officedocument.drawing+xml"/>
  <Override PartName="/xl/tables/table96.xml" ContentType="application/vnd.openxmlformats-officedocument.spreadsheetml.table+xml"/>
  <Override PartName="/xl/drawings/drawing85.xml" ContentType="application/vnd.openxmlformats-officedocument.drawing+xml"/>
  <Override PartName="/xl/tables/table97.xml" ContentType="application/vnd.openxmlformats-officedocument.spreadsheetml.table+xml"/>
  <Override PartName="/xl/drawings/drawing86.xml" ContentType="application/vnd.openxmlformats-officedocument.drawing+xml"/>
  <Override PartName="/xl/tables/table98.xml" ContentType="application/vnd.openxmlformats-officedocument.spreadsheetml.table+xml"/>
  <Override PartName="/xl/drawings/drawing87.xml" ContentType="application/vnd.openxmlformats-officedocument.drawing+xml"/>
  <Override PartName="/xl/tables/table99.xml" ContentType="application/vnd.openxmlformats-officedocument.spreadsheetml.table+xml"/>
  <Override PartName="/xl/drawings/drawing88.xml" ContentType="application/vnd.openxmlformats-officedocument.drawing+xml"/>
  <Override PartName="/xl/tables/table100.xml" ContentType="application/vnd.openxmlformats-officedocument.spreadsheetml.table+xml"/>
  <Override PartName="/xl/drawings/drawing89.xml" ContentType="application/vnd.openxmlformats-officedocument.drawing+xml"/>
  <Override PartName="/xl/tables/table101.xml" ContentType="application/vnd.openxmlformats-officedocument.spreadsheetml.table+xml"/>
  <Override PartName="/xl/drawings/drawing90.xml" ContentType="application/vnd.openxmlformats-officedocument.drawing+xml"/>
  <Override PartName="/xl/tables/table102.xml" ContentType="application/vnd.openxmlformats-officedocument.spreadsheetml.table+xml"/>
  <Override PartName="/xl/drawings/drawing91.xml" ContentType="application/vnd.openxmlformats-officedocument.drawing+xml"/>
  <Override PartName="/xl/tables/table103.xml" ContentType="application/vnd.openxmlformats-officedocument.spreadsheetml.table+xml"/>
  <Override PartName="/xl/drawings/drawing92.xml" ContentType="application/vnd.openxmlformats-officedocument.drawing+xml"/>
  <Override PartName="/xl/tables/table104.xml" ContentType="application/vnd.openxmlformats-officedocument.spreadsheetml.table+xml"/>
  <Override PartName="/xl/drawings/drawing93.xml" ContentType="application/vnd.openxmlformats-officedocument.drawing+xml"/>
  <Override PartName="/xl/tables/table105.xml" ContentType="application/vnd.openxmlformats-officedocument.spreadsheetml.table+xml"/>
  <Override PartName="/xl/drawings/drawing94.xml" ContentType="application/vnd.openxmlformats-officedocument.drawing+xml"/>
  <Override PartName="/xl/tables/table106.xml" ContentType="application/vnd.openxmlformats-officedocument.spreadsheetml.table+xml"/>
  <Override PartName="/xl/drawings/drawing95.xml" ContentType="application/vnd.openxmlformats-officedocument.drawing+xml"/>
  <Override PartName="/xl/tables/table107.xml" ContentType="application/vnd.openxmlformats-officedocument.spreadsheetml.table+xml"/>
  <Override PartName="/xl/drawings/drawing96.xml" ContentType="application/vnd.openxmlformats-officedocument.drawing+xml"/>
  <Override PartName="/xl/tables/table108.xml" ContentType="application/vnd.openxmlformats-officedocument.spreadsheetml.table+xml"/>
  <Override PartName="/xl/drawings/drawing97.xml" ContentType="application/vnd.openxmlformats-officedocument.drawing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drawings/drawing98.xml" ContentType="application/vnd.openxmlformats-officedocument.drawing+xml"/>
  <Override PartName="/xl/tables/table111.xml" ContentType="application/vnd.openxmlformats-officedocument.spreadsheetml.table+xml"/>
  <Override PartName="/xl/drawings/drawing99.xml" ContentType="application/vnd.openxmlformats-officedocument.drawing+xml"/>
  <Override PartName="/xl/tables/table112.xml" ContentType="application/vnd.openxmlformats-officedocument.spreadsheetml.table+xml"/>
  <Override PartName="/xl/drawings/drawing100.xml" ContentType="application/vnd.openxmlformats-officedocument.drawing+xml"/>
  <Override PartName="/xl/tables/table113.xml" ContentType="application/vnd.openxmlformats-officedocument.spreadsheetml.table+xml"/>
  <Override PartName="/xl/drawings/drawing101.xml" ContentType="application/vnd.openxmlformats-officedocument.drawing+xml"/>
  <Override PartName="/xl/tables/table114.xml" ContentType="application/vnd.openxmlformats-officedocument.spreadsheetml.table+xml"/>
  <Override PartName="/xl/drawings/drawing102.xml" ContentType="application/vnd.openxmlformats-officedocument.drawing+xml"/>
  <Override PartName="/xl/tables/table115.xml" ContentType="application/vnd.openxmlformats-officedocument.spreadsheetml.table+xml"/>
  <Override PartName="/xl/drawings/drawing103.xml" ContentType="application/vnd.openxmlformats-officedocument.drawing+xml"/>
  <Override PartName="/xl/tables/table116.xml" ContentType="application/vnd.openxmlformats-officedocument.spreadsheetml.table+xml"/>
  <Override PartName="/xl/drawings/drawing104.xml" ContentType="application/vnd.openxmlformats-officedocument.drawing+xml"/>
  <Override PartName="/xl/tables/table117.xml" ContentType="application/vnd.openxmlformats-officedocument.spreadsheetml.table+xml"/>
  <Override PartName="/xl/drawings/drawing105.xml" ContentType="application/vnd.openxmlformats-officedocument.drawing+xml"/>
  <Override PartName="/xl/tables/table118.xml" ContentType="application/vnd.openxmlformats-officedocument.spreadsheetml.table+xml"/>
  <Override PartName="/xl/drawings/drawing106.xml" ContentType="application/vnd.openxmlformats-officedocument.drawing+xml"/>
  <Override PartName="/xl/tables/table119.xml" ContentType="application/vnd.openxmlformats-officedocument.spreadsheetml.table+xml"/>
  <Override PartName="/xl/drawings/drawing107.xml" ContentType="application/vnd.openxmlformats-officedocument.drawing+xml"/>
  <Override PartName="/xl/tables/table120.xml" ContentType="application/vnd.openxmlformats-officedocument.spreadsheetml.table+xml"/>
  <Override PartName="/xl/drawings/drawing108.xml" ContentType="application/vnd.openxmlformats-officedocument.drawing+xml"/>
  <Override PartName="/xl/tables/table121.xml" ContentType="application/vnd.openxmlformats-officedocument.spreadsheetml.table+xml"/>
  <Override PartName="/xl/drawings/drawing109.xml" ContentType="application/vnd.openxmlformats-officedocument.drawing+xml"/>
  <Override PartName="/xl/tables/table122.xml" ContentType="application/vnd.openxmlformats-officedocument.spreadsheetml.table+xml"/>
  <Override PartName="/xl/drawings/drawing110.xml" ContentType="application/vnd.openxmlformats-officedocument.drawing+xml"/>
  <Override PartName="/xl/tables/table123.xml" ContentType="application/vnd.openxmlformats-officedocument.spreadsheetml.table+xml"/>
  <Override PartName="/xl/drawings/drawing111.xml" ContentType="application/vnd.openxmlformats-officedocument.drawing+xml"/>
  <Override PartName="/xl/tables/table124.xml" ContentType="application/vnd.openxmlformats-officedocument.spreadsheetml.table+xml"/>
  <Override PartName="/xl/drawings/drawing112.xml" ContentType="application/vnd.openxmlformats-officedocument.drawing+xml"/>
  <Override PartName="/xl/tables/table125.xml" ContentType="application/vnd.openxmlformats-officedocument.spreadsheetml.table+xml"/>
  <Override PartName="/xl/drawings/drawing113.xml" ContentType="application/vnd.openxmlformats-officedocument.drawing+xml"/>
  <Override PartName="/xl/tables/table126.xml" ContentType="application/vnd.openxmlformats-officedocument.spreadsheetml.table+xml"/>
  <Override PartName="/xl/drawings/drawing114.xml" ContentType="application/vnd.openxmlformats-officedocument.drawing+xml"/>
  <Override PartName="/xl/tables/table127.xml" ContentType="application/vnd.openxmlformats-officedocument.spreadsheetml.table+xml"/>
  <Override PartName="/xl/drawings/drawing115.xml" ContentType="application/vnd.openxmlformats-officedocument.drawing+xml"/>
  <Override PartName="/xl/tables/table128.xml" ContentType="application/vnd.openxmlformats-officedocument.spreadsheetml.table+xml"/>
  <Override PartName="/xl/drawings/drawing116.xml" ContentType="application/vnd.openxmlformats-officedocument.drawing+xml"/>
  <Override PartName="/xl/tables/table129.xml" ContentType="application/vnd.openxmlformats-officedocument.spreadsheetml.table+xml"/>
  <Override PartName="/xl/drawings/drawing117.xml" ContentType="application/vnd.openxmlformats-officedocument.drawing+xml"/>
  <Override PartName="/xl/tables/table130.xml" ContentType="application/vnd.openxmlformats-officedocument.spreadsheetml.table+xml"/>
  <Override PartName="/xl/drawings/drawing118.xml" ContentType="application/vnd.openxmlformats-officedocument.drawing+xml"/>
  <Override PartName="/xl/tables/table131.xml" ContentType="application/vnd.openxmlformats-officedocument.spreadsheetml.table+xml"/>
  <Override PartName="/xl/drawings/drawing119.xml" ContentType="application/vnd.openxmlformats-officedocument.drawing+xml"/>
  <Override PartName="/xl/tables/table132.xml" ContentType="application/vnd.openxmlformats-officedocument.spreadsheetml.table+xml"/>
  <Override PartName="/xl/drawings/drawing120.xml" ContentType="application/vnd.openxmlformats-officedocument.drawing+xml"/>
  <Override PartName="/xl/tables/table133.xml" ContentType="application/vnd.openxmlformats-officedocument.spreadsheetml.table+xml"/>
  <Override PartName="/xl/drawings/drawing121.xml" ContentType="application/vnd.openxmlformats-officedocument.drawing+xml"/>
  <Override PartName="/xl/tables/table134.xml" ContentType="application/vnd.openxmlformats-officedocument.spreadsheetml.table+xml"/>
  <Override PartName="/xl/drawings/drawing122.xml" ContentType="application/vnd.openxmlformats-officedocument.drawing+xml"/>
  <Override PartName="/xl/tables/table135.xml" ContentType="application/vnd.openxmlformats-officedocument.spreadsheetml.table+xml"/>
  <Override PartName="/xl/drawings/drawing123.xml" ContentType="application/vnd.openxmlformats-officedocument.drawing+xml"/>
  <Override PartName="/xl/tables/table136.xml" ContentType="application/vnd.openxmlformats-officedocument.spreadsheetml.table+xml"/>
  <Override PartName="/xl/drawings/drawing124.xml" ContentType="application/vnd.openxmlformats-officedocument.drawing+xml"/>
  <Override PartName="/xl/tables/table137.xml" ContentType="application/vnd.openxmlformats-officedocument.spreadsheetml.table+xml"/>
  <Override PartName="/xl/drawings/drawing125.xml" ContentType="application/vnd.openxmlformats-officedocument.drawing+xml"/>
  <Override PartName="/xl/tables/table13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\Desktop\ESCRITORIO\ADMINISTRACION\"/>
    </mc:Choice>
  </mc:AlternateContent>
  <bookViews>
    <workbookView xWindow="0" yWindow="0" windowWidth="23040" windowHeight="10452" tabRatio="897" firstSheet="19" activeTab="20"/>
  </bookViews>
  <sheets>
    <sheet name="Plantilla" sheetId="9" state="hidden" r:id="rId1"/>
    <sheet name="LOCAL 01" sheetId="41" r:id="rId2"/>
    <sheet name="LOCAL 02" sheetId="153" r:id="rId3"/>
    <sheet name="LOCAL 03" sheetId="154" r:id="rId4"/>
    <sheet name="LOCAL 04" sheetId="156" r:id="rId5"/>
    <sheet name="LOCAL 05" sheetId="157" r:id="rId6"/>
    <sheet name="LOCAL 06" sheetId="158" r:id="rId7"/>
    <sheet name="LOCAL 07" sheetId="159" r:id="rId8"/>
    <sheet name="lOCAL 8 " sheetId="296" r:id="rId9"/>
    <sheet name="LOCAL 09" sheetId="161" r:id="rId10"/>
    <sheet name="LOCAL 10" sheetId="297" r:id="rId11"/>
    <sheet name="LOCAL.11" sheetId="170" r:id="rId12"/>
    <sheet name="LOCAL 12-13" sheetId="163" r:id="rId13"/>
    <sheet name="LOCAL 14" sheetId="164" r:id="rId14"/>
    <sheet name="LOCAL 15" sheetId="165" r:id="rId15"/>
    <sheet name="LOCAL 16" sheetId="166" r:id="rId16"/>
    <sheet name="LOCAL 17" sheetId="167" r:id="rId17"/>
    <sheet name="LOCAL 18" sheetId="168" r:id="rId18"/>
    <sheet name="LOCAL 19" sheetId="169" r:id="rId19"/>
    <sheet name="RESUMEN LOCALES" sheetId="291" r:id="rId20"/>
    <sheet name="OF.3A" sheetId="171" r:id="rId21"/>
    <sheet name="OF.3B" sheetId="172" r:id="rId22"/>
    <sheet name="OF.3C" sheetId="173" r:id="rId23"/>
    <sheet name="OF.3D" sheetId="174" r:id="rId24"/>
    <sheet name="OF.4A" sheetId="175" r:id="rId25"/>
    <sheet name="OF.4B" sheetId="176" r:id="rId26"/>
    <sheet name="OF.4C" sheetId="177" r:id="rId27"/>
    <sheet name="OF.5A" sheetId="180" r:id="rId28"/>
    <sheet name="OF.5B" sheetId="181" r:id="rId29"/>
    <sheet name="OF.5C" sheetId="182" r:id="rId30"/>
    <sheet name="OF.5D" sheetId="183" r:id="rId31"/>
    <sheet name="OF.5E" sheetId="184" r:id="rId32"/>
    <sheet name="OF.5F" sheetId="185" r:id="rId33"/>
    <sheet name="OF.5G" sheetId="186" r:id="rId34"/>
    <sheet name="OF.6A" sheetId="187" r:id="rId35"/>
    <sheet name="OF.6B" sheetId="188" r:id="rId36"/>
    <sheet name="OF.6C" sheetId="189" r:id="rId37"/>
    <sheet name="OF.6D" sheetId="190" r:id="rId38"/>
    <sheet name="OF.6E" sheetId="191" r:id="rId39"/>
    <sheet name="OF.6F" sheetId="192" r:id="rId40"/>
    <sheet name="OF.6G" sheetId="193" r:id="rId41"/>
    <sheet name="OF.7A" sheetId="194" r:id="rId42"/>
    <sheet name="OF.7B" sheetId="195" r:id="rId43"/>
    <sheet name="OF.7C" sheetId="196" r:id="rId44"/>
    <sheet name="OF.7D" sheetId="197" r:id="rId45"/>
    <sheet name="OF.7E" sheetId="198" r:id="rId46"/>
    <sheet name="OF.7F" sheetId="199" r:id="rId47"/>
    <sheet name="OF.7G" sheetId="200" r:id="rId48"/>
    <sheet name="OF.8A" sheetId="201" r:id="rId49"/>
    <sheet name="OF.8B" sheetId="202" r:id="rId50"/>
    <sheet name="OF.8C" sheetId="203" r:id="rId51"/>
    <sheet name="OF.8D" sheetId="204" r:id="rId52"/>
    <sheet name="OF.8E" sheetId="205" r:id="rId53"/>
    <sheet name="OF.8F" sheetId="206" r:id="rId54"/>
    <sheet name="OF.8G" sheetId="207" r:id="rId55"/>
    <sheet name="OF.9A" sheetId="208" r:id="rId56"/>
    <sheet name="OF.9B" sheetId="209" r:id="rId57"/>
    <sheet name="OF.9C" sheetId="210" r:id="rId58"/>
    <sheet name="OF.9D" sheetId="211" r:id="rId59"/>
    <sheet name="OF.9E" sheetId="212" r:id="rId60"/>
    <sheet name="OF.9F" sheetId="213" r:id="rId61"/>
    <sheet name="OF.9G" sheetId="214" r:id="rId62"/>
    <sheet name="OF.10A" sheetId="215" r:id="rId63"/>
    <sheet name="OF.10B" sheetId="216" r:id="rId64"/>
    <sheet name="OF.10C" sheetId="217" r:id="rId65"/>
    <sheet name="OF.10D" sheetId="218" r:id="rId66"/>
    <sheet name="OF.10E" sheetId="219" r:id="rId67"/>
    <sheet name="OF.10F" sheetId="220" r:id="rId68"/>
    <sheet name="OF.10G" sheetId="221" r:id="rId69"/>
    <sheet name="RESUMEN OFI" sheetId="292" r:id="rId70"/>
    <sheet name="DEP.11A" sheetId="222" r:id="rId71"/>
    <sheet name="DEP.11B" sheetId="223" r:id="rId72"/>
    <sheet name="DEP.11C" sheetId="224" r:id="rId73"/>
    <sheet name="DEP.11D" sheetId="225" r:id="rId74"/>
    <sheet name="DEP.12A" sheetId="226" r:id="rId75"/>
    <sheet name="DEP.12B" sheetId="227" r:id="rId76"/>
    <sheet name="DEP.12C" sheetId="228" r:id="rId77"/>
    <sheet name="DEP.12D" sheetId="229" r:id="rId78"/>
    <sheet name="DEP.13A" sheetId="230" r:id="rId79"/>
    <sheet name="DEP.13B" sheetId="231" r:id="rId80"/>
    <sheet name="DEP.13C" sheetId="232" r:id="rId81"/>
    <sheet name="DEP.13D" sheetId="233" r:id="rId82"/>
    <sheet name="DEP 14A" sheetId="234" r:id="rId83"/>
    <sheet name="DEP.14B" sheetId="235" r:id="rId84"/>
    <sheet name="DEP.14C" sheetId="236" r:id="rId85"/>
    <sheet name="DEP.14D" sheetId="237" r:id="rId86"/>
    <sheet name="DEP.15A" sheetId="238" r:id="rId87"/>
    <sheet name="DEP.15B" sheetId="239" r:id="rId88"/>
    <sheet name="DEP.15C" sheetId="240" r:id="rId89"/>
    <sheet name="DEP.15D" sheetId="241" r:id="rId90"/>
    <sheet name="DEP.16A" sheetId="242" r:id="rId91"/>
    <sheet name="DEP.16B" sheetId="243" r:id="rId92"/>
    <sheet name="DEP.16C" sheetId="244" r:id="rId93"/>
    <sheet name="DEP.16D" sheetId="245" r:id="rId94"/>
    <sheet name="DEP.17A" sheetId="246" r:id="rId95"/>
    <sheet name="DEP. 17B" sheetId="247" r:id="rId96"/>
    <sheet name="DEP.17C" sheetId="248" r:id="rId97"/>
    <sheet name="DEP.17D" sheetId="249" r:id="rId98"/>
    <sheet name="DEP.18A" sheetId="250" r:id="rId99"/>
    <sheet name="DEP.18B" sheetId="251" r:id="rId100"/>
    <sheet name="DEP.18C" sheetId="252" r:id="rId101"/>
    <sheet name="DEP.18D" sheetId="253" r:id="rId102"/>
    <sheet name="DEP.19A" sheetId="254" r:id="rId103"/>
    <sheet name="DEP.19B" sheetId="255" r:id="rId104"/>
    <sheet name="DEP.19C" sheetId="256" r:id="rId105"/>
    <sheet name="DEP.19D" sheetId="257" r:id="rId106"/>
    <sheet name="DEP.20A" sheetId="258" r:id="rId107"/>
    <sheet name="DEP.20B" sheetId="259" r:id="rId108"/>
    <sheet name="DEP.20C" sheetId="260" r:id="rId109"/>
    <sheet name="DEP.20D" sheetId="261" r:id="rId110"/>
    <sheet name="DEP.21A" sheetId="262" r:id="rId111"/>
    <sheet name="DEP.21B" sheetId="263" r:id="rId112"/>
    <sheet name="DEP.21C" sheetId="264" r:id="rId113"/>
    <sheet name="DEP.21D" sheetId="265" r:id="rId114"/>
    <sheet name="DEP.22A" sheetId="266" r:id="rId115"/>
    <sheet name="DEP.22B" sheetId="267" r:id="rId116"/>
    <sheet name="DEP.22C" sheetId="268" r:id="rId117"/>
    <sheet name="DEP.22D" sheetId="269" r:id="rId118"/>
    <sheet name="DEP.23A" sheetId="270" r:id="rId119"/>
    <sheet name="DEP.23B" sheetId="271" r:id="rId120"/>
    <sheet name="DEP.23C" sheetId="272" r:id="rId121"/>
    <sheet name="DEP.23D" sheetId="273" r:id="rId122"/>
    <sheet name="DEP.24A" sheetId="274" r:id="rId123"/>
    <sheet name="DEP.24B" sheetId="275" r:id="rId124"/>
    <sheet name="DEP.24C" sheetId="276" r:id="rId125"/>
    <sheet name="DEP.24D" sheetId="277" r:id="rId126"/>
    <sheet name="DEP.25A" sheetId="278" r:id="rId127"/>
    <sheet name="DEP.25B" sheetId="279" r:id="rId128"/>
    <sheet name="DEP.25C" sheetId="280" r:id="rId129"/>
    <sheet name="DEP.25 D" sheetId="281" r:id="rId130"/>
    <sheet name="DEP.26A" sheetId="282" r:id="rId131"/>
    <sheet name="DEP.26B" sheetId="283" r:id="rId132"/>
    <sheet name="DEP.26C" sheetId="284" r:id="rId133"/>
    <sheet name="DEP.26D" sheetId="285" r:id="rId134"/>
    <sheet name="DEP.27A" sheetId="286" r:id="rId135"/>
    <sheet name="DEP.27B" sheetId="287" r:id="rId136"/>
    <sheet name="DEP.27C" sheetId="288" r:id="rId137"/>
    <sheet name="RESUMEN DEPARTAMENTOS" sheetId="293" r:id="rId138"/>
    <sheet name="DEP.28A" sheetId="289" r:id="rId139"/>
    <sheet name="DEP.28B" sheetId="290" r:id="rId140"/>
    <sheet name="DEP. 30" sheetId="294" r:id="rId141"/>
    <sheet name="PARQUEO 128" sheetId="295" r:id="rId142"/>
  </sheets>
  <definedNames>
    <definedName name="_xlnm._FilterDatabase" localSheetId="82" hidden="1">'DEP 14A'!$A$10:$H$40</definedName>
    <definedName name="_xlnm._FilterDatabase" localSheetId="95" hidden="1">'DEP. 17B'!$A$10:$H$40</definedName>
    <definedName name="_xlnm._FilterDatabase" localSheetId="70" hidden="1">DEP.11A!$A$10:$H$40</definedName>
    <definedName name="_xlnm._FilterDatabase" localSheetId="71" hidden="1">DEP.11B!$A$10:$H$40</definedName>
    <definedName name="_xlnm._FilterDatabase" localSheetId="72" hidden="1">DEP.11C!$A$10:$H$36</definedName>
    <definedName name="_xlnm._FilterDatabase" localSheetId="73" hidden="1">DEP.11D!$A$10:$H$42</definedName>
    <definedName name="_xlnm._FilterDatabase" localSheetId="74" hidden="1">DEP.12A!$A$10:$H$44</definedName>
    <definedName name="_xlnm._FilterDatabase" localSheetId="75" hidden="1">DEP.12B!$A$10:$H$45</definedName>
    <definedName name="_xlnm._FilterDatabase" localSheetId="76" hidden="1">DEP.12C!$A$10:$H$40</definedName>
    <definedName name="_xlnm._FilterDatabase" localSheetId="77" hidden="1">DEP.12D!$A$10:$H$40</definedName>
    <definedName name="_xlnm._FilterDatabase" localSheetId="78" hidden="1">DEP.13A!$A$10:$H$40</definedName>
    <definedName name="_xlnm._FilterDatabase" localSheetId="79" hidden="1">DEP.13B!$A$10:$H$40</definedName>
    <definedName name="_xlnm._FilterDatabase" localSheetId="80" hidden="1">DEP.13C!$A$10:$H$40</definedName>
    <definedName name="_xlnm._FilterDatabase" localSheetId="81" hidden="1">DEP.13D!$A$10:$H$40</definedName>
    <definedName name="_xlnm._FilterDatabase" localSheetId="83" hidden="1">DEP.14B!$A$10:$H$40</definedName>
    <definedName name="_xlnm._FilterDatabase" localSheetId="84" hidden="1">DEP.14C!$A$10:$H$40</definedName>
    <definedName name="_xlnm._FilterDatabase" localSheetId="85" hidden="1">DEP.14D!$A$10:$H$40</definedName>
    <definedName name="_xlnm._FilterDatabase" localSheetId="86" hidden="1">DEP.15A!$A$10:$H$40</definedName>
    <definedName name="_xlnm._FilterDatabase" localSheetId="87" hidden="1">DEP.15B!$A$10:$H$40</definedName>
    <definedName name="_xlnm._FilterDatabase" localSheetId="88" hidden="1">DEP.15C!$A$10:$H$40</definedName>
    <definedName name="_xlnm._FilterDatabase" localSheetId="89" hidden="1">DEP.15D!$A$10:$H$40</definedName>
    <definedName name="_xlnm._FilterDatabase" localSheetId="90" hidden="1">DEP.16A!$A$10:$H$40</definedName>
    <definedName name="_xlnm._FilterDatabase" localSheetId="91" hidden="1">DEP.16B!$A$10:$H$40</definedName>
    <definedName name="_xlnm._FilterDatabase" localSheetId="92" hidden="1">DEP.16C!$A$10:$H$40</definedName>
    <definedName name="_xlnm._FilterDatabase" localSheetId="93" hidden="1">DEP.16D!$A$10:$H$40</definedName>
    <definedName name="_xlnm._FilterDatabase" localSheetId="94" hidden="1">DEP.17A!$A$10:$H$42</definedName>
    <definedName name="_xlnm._FilterDatabase" localSheetId="96" hidden="1">DEP.17C!$A$10:$H$42</definedName>
    <definedName name="_xlnm._FilterDatabase" localSheetId="97" hidden="1">DEP.17D!$A$10:$H$52</definedName>
    <definedName name="_xlnm._FilterDatabase" localSheetId="98" hidden="1">DEP.18A!$A$10:$H$40</definedName>
    <definedName name="_xlnm._FilterDatabase" localSheetId="99" hidden="1">DEP.18B!$A$10:$H$40</definedName>
    <definedName name="_xlnm._FilterDatabase" localSheetId="100" hidden="1">DEP.18C!$A$10:$H$40</definedName>
    <definedName name="_xlnm._FilterDatabase" localSheetId="101" hidden="1">DEP.18D!$A$10:$H$40</definedName>
    <definedName name="_xlnm._FilterDatabase" localSheetId="102" hidden="1">DEP.19A!$A$10:$H$38</definedName>
    <definedName name="_xlnm._FilterDatabase" localSheetId="103" hidden="1">DEP.19B!$A$10:$H$40</definedName>
    <definedName name="_xlnm._FilterDatabase" localSheetId="104" hidden="1">DEP.19C!$A$10:$H$42</definedName>
    <definedName name="_xlnm._FilterDatabase" localSheetId="105" hidden="1">DEP.19D!$A$10:$H$42</definedName>
    <definedName name="_xlnm._FilterDatabase" localSheetId="106" hidden="1">DEP.20A!$A$10:$H$40</definedName>
    <definedName name="_xlnm._FilterDatabase" localSheetId="107" hidden="1">DEP.20B!$A$10:$H$40</definedName>
    <definedName name="_xlnm._FilterDatabase" localSheetId="108" hidden="1">DEP.20C!$A$10:$H$40</definedName>
    <definedName name="_xlnm._FilterDatabase" localSheetId="109" hidden="1">DEP.20D!$A$10:$H$40</definedName>
    <definedName name="_xlnm._FilterDatabase" localSheetId="110" hidden="1">DEP.21A!$A$10:$H$40</definedName>
    <definedName name="_xlnm._FilterDatabase" localSheetId="111" hidden="1">DEP.21B!$A$10:$H$40</definedName>
    <definedName name="_xlnm._FilterDatabase" localSheetId="112" hidden="1">DEP.21C!$A$10:$H$40</definedName>
    <definedName name="_xlnm._FilterDatabase" localSheetId="113" hidden="1">DEP.21D!$A$10:$H$40</definedName>
    <definedName name="_xlnm._FilterDatabase" localSheetId="114" hidden="1">DEP.22A!$A$11:$H$40</definedName>
    <definedName name="_xlnm._FilterDatabase" localSheetId="115" hidden="1">DEP.22B!$A$10:$H$40</definedName>
    <definedName name="_xlnm._FilterDatabase" localSheetId="116" hidden="1">DEP.22C!$A$10:$H$40</definedName>
    <definedName name="_xlnm._FilterDatabase" localSheetId="117" hidden="1">DEP.22D!$A$10:$H$40</definedName>
    <definedName name="_xlnm._FilterDatabase" localSheetId="118" hidden="1">DEP.23A!$A$10:$H$43</definedName>
    <definedName name="_xlnm._FilterDatabase" localSheetId="119" hidden="1">DEP.23B!$A$10:$H$40</definedName>
    <definedName name="_xlnm._FilterDatabase" localSheetId="120" hidden="1">DEP.23C!$A$10:$H$42</definedName>
    <definedName name="_xlnm._FilterDatabase" localSheetId="121" hidden="1">DEP.23D!$A$10:$H$40</definedName>
    <definedName name="_xlnm._FilterDatabase" localSheetId="122" hidden="1">DEP.24A!$A$10:$H$40</definedName>
    <definedName name="_xlnm._FilterDatabase" localSheetId="123" hidden="1">DEP.24B!$A$10:$H$40</definedName>
    <definedName name="_xlnm._FilterDatabase" localSheetId="124" hidden="1">DEP.24C!$A$10:$H$42</definedName>
    <definedName name="_xlnm._FilterDatabase" localSheetId="125" hidden="1">DEP.24D!$A$10:$H$40</definedName>
    <definedName name="_xlnm._FilterDatabase" localSheetId="129" hidden="1">'DEP.25 D'!$A$10:$H$40</definedName>
    <definedName name="_xlnm._FilterDatabase" localSheetId="126" hidden="1">DEP.25A!$A$10:$H$42</definedName>
    <definedName name="_xlnm._FilterDatabase" localSheetId="127" hidden="1">DEP.25B!$A$10:$H$40</definedName>
    <definedName name="_xlnm._FilterDatabase" localSheetId="128" hidden="1">DEP.25C!$A$10:$H$40</definedName>
    <definedName name="_xlnm._FilterDatabase" localSheetId="130" hidden="1">DEP.26A!$A$10:$H$40</definedName>
    <definedName name="_xlnm._FilterDatabase" localSheetId="131" hidden="1">DEP.26B!$A$10:$H$40</definedName>
    <definedName name="_xlnm._FilterDatabase" localSheetId="132" hidden="1">DEP.26C!$A$10:$H$40</definedName>
    <definedName name="_xlnm._FilterDatabase" localSheetId="133" hidden="1">DEP.26D!$A$10:$H$40</definedName>
    <definedName name="_xlnm._FilterDatabase" localSheetId="134" hidden="1">DEP.27A!$A$10:$H$40</definedName>
    <definedName name="_xlnm._FilterDatabase" localSheetId="135" hidden="1">DEP.27B!$A$10:$H$40</definedName>
    <definedName name="_xlnm._FilterDatabase" localSheetId="136" hidden="1">DEP.27C!$A$10:$H$39</definedName>
    <definedName name="_xlnm._FilterDatabase" localSheetId="138" hidden="1">DEP.28A!$A$10:$H$40</definedName>
    <definedName name="_xlnm._FilterDatabase" localSheetId="139" hidden="1">DEP.28B!$A$10:$H$40</definedName>
    <definedName name="_xlnm._FilterDatabase" localSheetId="1" hidden="1">'LOCAL 01'!$A$10:$H$45</definedName>
    <definedName name="_xlnm._FilterDatabase" localSheetId="2" hidden="1">'LOCAL 02'!$A$10:$H$41</definedName>
    <definedName name="_xlnm._FilterDatabase" localSheetId="3" hidden="1">'LOCAL 03'!$A$10:$H$40</definedName>
    <definedName name="_xlnm._FilterDatabase" localSheetId="4" hidden="1">'LOCAL 04'!$A$10:$H$40</definedName>
    <definedName name="_xlnm._FilterDatabase" localSheetId="5" hidden="1">'LOCAL 05'!$A$10:$H$40</definedName>
    <definedName name="_xlnm._FilterDatabase" localSheetId="6" hidden="1">'LOCAL 06'!$A$10:$H$41</definedName>
    <definedName name="_xlnm._FilterDatabase" localSheetId="7" hidden="1">'LOCAL 07'!$A$10:$H$40</definedName>
    <definedName name="_xlnm._FilterDatabase" localSheetId="9" hidden="1">'LOCAL 09'!$A$10:$H$41</definedName>
    <definedName name="_xlnm._FilterDatabase" localSheetId="12" hidden="1">'LOCAL 12-13'!$A$10:$H$52</definedName>
    <definedName name="_xlnm._FilterDatabase" localSheetId="13" hidden="1">'LOCAL 14'!$A$10:$H$40</definedName>
    <definedName name="_xlnm._FilterDatabase" localSheetId="14" hidden="1">'LOCAL 15'!$A$10:$H$41</definedName>
    <definedName name="_xlnm._FilterDatabase" localSheetId="15" hidden="1">'LOCAL 16'!$A$10:$H$41</definedName>
    <definedName name="_xlnm._FilterDatabase" localSheetId="16" hidden="1">'LOCAL 17'!$A$10:$H$40</definedName>
    <definedName name="_xlnm._FilterDatabase" localSheetId="17" hidden="1">'LOCAL 18'!$A$10:$H$40</definedName>
    <definedName name="_xlnm._FilterDatabase" localSheetId="18" hidden="1">'LOCAL 19'!$A$10:$H$42</definedName>
    <definedName name="_xlnm._FilterDatabase" localSheetId="11" hidden="1">LOCAL.11!$A$10:$H$41</definedName>
    <definedName name="_xlnm._FilterDatabase" localSheetId="62" hidden="1">OF.10A!$A$10:$H$41</definedName>
    <definedName name="_xlnm._FilterDatabase" localSheetId="63" hidden="1">OF.10B!$A$10:$H$42</definedName>
    <definedName name="_xlnm._FilterDatabase" localSheetId="64" hidden="1">OF.10C!$A$10:$H$85</definedName>
    <definedName name="_xlnm._FilterDatabase" localSheetId="65" hidden="1">OF.10D!$A$10:$H$58</definedName>
    <definedName name="_xlnm._FilterDatabase" localSheetId="66" hidden="1">OF.10E!$A$10:$H$40</definedName>
    <definedName name="_xlnm._FilterDatabase" localSheetId="67" hidden="1">OF.10F!$A$9:$H$38</definedName>
    <definedName name="_xlnm._FilterDatabase" localSheetId="68" hidden="1">OF.10G!$A$10:$H$87</definedName>
    <definedName name="_xlnm._FilterDatabase" localSheetId="20" hidden="1">OF.3A!$A$10:$H$42</definedName>
    <definedName name="_xlnm._FilterDatabase" localSheetId="21" hidden="1">OF.3B!$A$10:$H$41</definedName>
    <definedName name="_xlnm._FilterDatabase" localSheetId="22" hidden="1">OF.3C!$A$10:$H$42</definedName>
    <definedName name="_xlnm._FilterDatabase" localSheetId="23" hidden="1">OF.3D!$A$10:$H$41</definedName>
    <definedName name="_xlnm._FilterDatabase" localSheetId="24" hidden="1">OF.4A!$A$10:$H$44</definedName>
    <definedName name="_xlnm._FilterDatabase" localSheetId="25" hidden="1">OF.4B!$A$10:$H$41</definedName>
    <definedName name="_xlnm._FilterDatabase" localSheetId="26" hidden="1">OF.4C!$A$10:$H$42</definedName>
    <definedName name="_xlnm._FilterDatabase" localSheetId="27" hidden="1">OF.5A!$A$10:$H$41</definedName>
    <definedName name="_xlnm._FilterDatabase" localSheetId="28" hidden="1">OF.5B!$A$10:$H$41</definedName>
    <definedName name="_xlnm._FilterDatabase" localSheetId="29" hidden="1">OF.5C!$A$10:$H$41</definedName>
    <definedName name="_xlnm._FilterDatabase" localSheetId="30" hidden="1">OF.5D!$A$10:$H$41</definedName>
    <definedName name="_xlnm._FilterDatabase" localSheetId="31" hidden="1">OF.5E!$A$10:$H$41</definedName>
    <definedName name="_xlnm._FilterDatabase" localSheetId="32" hidden="1">OF.5F!$A$10:$H$41</definedName>
    <definedName name="_xlnm._FilterDatabase" localSheetId="33" hidden="1">OF.5G!$A$10:$H$40</definedName>
    <definedName name="_xlnm._FilterDatabase" localSheetId="34" hidden="1">OF.6A!$A$10:$H$45</definedName>
    <definedName name="_xlnm._FilterDatabase" localSheetId="35" hidden="1">OF.6B!$A$10:$H$40</definedName>
    <definedName name="_xlnm._FilterDatabase" localSheetId="36" hidden="1">OF.6C!$A$10:$H$47</definedName>
    <definedName name="_xlnm._FilterDatabase" localSheetId="37" hidden="1">OF.6D!$A$10:$H$40</definedName>
    <definedName name="_xlnm._FilterDatabase" localSheetId="38" hidden="1">OF.6E!$A$10:$H$41</definedName>
    <definedName name="_xlnm._FilterDatabase" localSheetId="39" hidden="1">OF.6F!$A$10:$H$40</definedName>
    <definedName name="_xlnm._FilterDatabase" localSheetId="40" hidden="1">OF.6G!$A$10:$H$41</definedName>
    <definedName name="_xlnm._FilterDatabase" localSheetId="41" hidden="1">OF.7A!$A$10:$H$40</definedName>
    <definedName name="_xlnm._FilterDatabase" localSheetId="42" hidden="1">OF.7B!$A$10:$H$96</definedName>
    <definedName name="_xlnm._FilterDatabase" localSheetId="43" hidden="1">OF.7C!$A$10:$H$46</definedName>
    <definedName name="_xlnm._FilterDatabase" localSheetId="44" hidden="1">OF.7D!$A$10:$H$44</definedName>
    <definedName name="_xlnm._FilterDatabase" localSheetId="45" hidden="1">OF.7E!$A$10:$H$10</definedName>
    <definedName name="_xlnm._FilterDatabase" localSheetId="46" hidden="1">OF.7F!$A$10:$H$40</definedName>
    <definedName name="_xlnm._FilterDatabase" localSheetId="47" hidden="1">OF.7G!$A$10:$H$42</definedName>
    <definedName name="_xlnm._FilterDatabase" localSheetId="48" hidden="1">OF.8A!$A$10:$H$40</definedName>
    <definedName name="_xlnm._FilterDatabase" localSheetId="49" hidden="1">OF.8B!$A$10:$H$41</definedName>
    <definedName name="_xlnm._FilterDatabase" localSheetId="50" hidden="1">OF.8C!$A$10:$H$42</definedName>
    <definedName name="_xlnm._FilterDatabase" localSheetId="51" hidden="1">OF.8D!$A$10:$H$40</definedName>
    <definedName name="_xlnm._FilterDatabase" localSheetId="52" hidden="1">OF.8E!$A$10:$H$40</definedName>
    <definedName name="_xlnm._FilterDatabase" localSheetId="53" hidden="1">OF.8F!$A$10:$H$46</definedName>
    <definedName name="_xlnm._FilterDatabase" localSheetId="54" hidden="1">OF.8G!$A$10:$H$40</definedName>
    <definedName name="_xlnm._FilterDatabase" localSheetId="55" hidden="1">OF.9A!$A$10:$H$110</definedName>
    <definedName name="_xlnm._FilterDatabase" localSheetId="56" hidden="1">OF.9B!$A$10:$H$40</definedName>
    <definedName name="_xlnm._FilterDatabase" localSheetId="57" hidden="1">OF.9C!$A$10:$H$41</definedName>
    <definedName name="_xlnm._FilterDatabase" localSheetId="58" hidden="1">OF.9D!$A$10:$H$40</definedName>
    <definedName name="_xlnm._FilterDatabase" localSheetId="59" hidden="1">OF.9E!$A$10:$H$40</definedName>
    <definedName name="_xlnm._FilterDatabase" localSheetId="60" hidden="1">OF.9F!$A$10:$H$40</definedName>
    <definedName name="_xlnm._FilterDatabase" localSheetId="61" hidden="1">OF.9G!$A$10:$H$60</definedName>
    <definedName name="_xlnm._FilterDatabase" localSheetId="0" hidden="1">Plantilla!$A$10:$H$39</definedName>
    <definedName name="_xlnm.Print_Area" localSheetId="95">'DEP. 17B'!$A$1:$H$10</definedName>
    <definedName name="_xlnm.Print_Area" localSheetId="70">DEP.11A!$A$1:$H$41</definedName>
    <definedName name="_xlnm.Print_Area" localSheetId="71">DEP.11B!$A$1:$J$10</definedName>
    <definedName name="_xlnm.Print_Area" localSheetId="74">DEP.12A!$A$1:$H$45</definedName>
    <definedName name="_xlnm.Print_Area" localSheetId="75">DEP.12B!$A$1:$H$10</definedName>
    <definedName name="_xlnm.Print_Area" localSheetId="79">DEP.13B!$A$1:$J$38</definedName>
    <definedName name="_xlnm.Print_Area" localSheetId="80">DEP.13C!$A$1:$H$10</definedName>
    <definedName name="_xlnm.Print_Area" localSheetId="86">DEP.15A!$A$1:$J$10</definedName>
    <definedName name="_xlnm.Print_Area" localSheetId="88">DEP.15C!$A$1:$H$10</definedName>
    <definedName name="_xlnm.Print_Area" localSheetId="89">DEP.15D!$A$1:$J$10</definedName>
    <definedName name="_xlnm.Print_Area" localSheetId="90">DEP.16A!$A$1:$H$10</definedName>
    <definedName name="_xlnm.Print_Area" localSheetId="91">DEP.16B!$A$1:$H$10</definedName>
    <definedName name="_xlnm.Print_Area" localSheetId="92">DEP.16C!$A$1:$H$10</definedName>
    <definedName name="_xlnm.Print_Area" localSheetId="93">DEP.16D!$A$1:$H$10</definedName>
    <definedName name="_xlnm.Print_Area" localSheetId="94">DEP.17A!$A$1:$H$10</definedName>
    <definedName name="_xlnm.Print_Area" localSheetId="96">DEP.17C!$A$1:$J$10</definedName>
    <definedName name="_xlnm.Print_Area" localSheetId="97">DEP.17D!$A$1:$H$10</definedName>
    <definedName name="_xlnm.Print_Area" localSheetId="98">DEP.18A!$A$1:$H$10</definedName>
    <definedName name="_xlnm.Print_Area" localSheetId="99">DEP.18B!$A$1:$H$39</definedName>
    <definedName name="_xlnm.Print_Area" localSheetId="101">DEP.18D!$A$1:$J$10</definedName>
    <definedName name="_xlnm.Print_Area" localSheetId="104">DEP.19C!$A$1:$J$10</definedName>
    <definedName name="_xlnm.Print_Area" localSheetId="105">DEP.19D!$B$1:$H$10</definedName>
    <definedName name="_xlnm.Print_Area" localSheetId="106">DEP.20A!$A$1:$J$10</definedName>
    <definedName name="_xlnm.Print_Area" localSheetId="109">DEP.20D!$A$1:$H$41</definedName>
    <definedName name="_xlnm.Print_Area" localSheetId="110">DEP.21A!$A$1:$H$38</definedName>
    <definedName name="_xlnm.Print_Area" localSheetId="111">DEP.21B!$A$1:$J$10</definedName>
    <definedName name="_xlnm.Print_Area" localSheetId="112">DEP.21C!$A$1:$H$10</definedName>
    <definedName name="_xlnm.Print_Area" localSheetId="113">DEP.21D!$A$1:$H$10</definedName>
    <definedName name="_xlnm.Print_Area" localSheetId="114">DEP.22A!$A$1:$K$11</definedName>
    <definedName name="_xlnm.Print_Area" localSheetId="117">DEP.22D!$A$1:$I$10</definedName>
    <definedName name="_xlnm.Print_Area" localSheetId="121">DEP.23D!$A$1:$H$10</definedName>
    <definedName name="_xlnm.Print_Area" localSheetId="122">DEP.24A!$A$1:$H$10</definedName>
    <definedName name="_xlnm.Print_Area" localSheetId="123">DEP.24B!$A$1:$H$10</definedName>
    <definedName name="_xlnm.Print_Area" localSheetId="124">DEP.24C!$A$1:$J$10</definedName>
    <definedName name="_xlnm.Print_Area" localSheetId="126">DEP.25A!$A$1:$H$13</definedName>
    <definedName name="_xlnm.Print_Area" localSheetId="128">DEP.25C!$A$1:$K$10</definedName>
    <definedName name="_xlnm.Print_Area" localSheetId="130">DEP.26A!$A$1:$J$10</definedName>
    <definedName name="_xlnm.Print_Area" localSheetId="131">DEP.26B!$A$1:$J$10</definedName>
    <definedName name="_xlnm.Print_Area" localSheetId="133">DEP.26D!$A$1:$J$10</definedName>
    <definedName name="_xlnm.Print_Area" localSheetId="134">DEP.27A!$A$1:$J$10</definedName>
    <definedName name="_xlnm.Print_Area" localSheetId="135">DEP.27B!$A$1:$H$10</definedName>
    <definedName name="_xlnm.Print_Area" localSheetId="136">DEP.27C!$A$1:$J$10</definedName>
    <definedName name="_xlnm.Print_Area" localSheetId="138">DEP.28A!$A$1:$J$10</definedName>
    <definedName name="_xlnm.Print_Area" localSheetId="1">'LOCAL 01'!$A$1:$J$9</definedName>
    <definedName name="_xlnm.Print_Area" localSheetId="3">'LOCAL 03'!$A$1:$K$41</definedName>
    <definedName name="_xlnm.Print_Area" localSheetId="4">'LOCAL 04'!$A$2:$L$41</definedName>
    <definedName name="_xlnm.Print_Area" localSheetId="5">'LOCAL 05'!$A$1:$H$41</definedName>
    <definedName name="_xlnm.Print_Area" localSheetId="6">'LOCAL 06'!$A$1:$J$10</definedName>
    <definedName name="_xlnm.Print_Area" localSheetId="7">'LOCAL 07'!$A$1:$H$10</definedName>
    <definedName name="_xlnm.Print_Area" localSheetId="13">'LOCAL 14'!$A$1:$H$10</definedName>
    <definedName name="_xlnm.Print_Area" localSheetId="14">'LOCAL 15'!$A$1:$H$10</definedName>
    <definedName name="_xlnm.Print_Area" localSheetId="15">'LOCAL 16'!$A$1:$H$18</definedName>
    <definedName name="_xlnm.Print_Area" localSheetId="17">'LOCAL 18'!$A$1:$H$10</definedName>
    <definedName name="_xlnm.Print_Area" localSheetId="62">OF.10A!$A$1:$J$11</definedName>
    <definedName name="_xlnm.Print_Area" localSheetId="63">OF.10B!$A$1:$J$42</definedName>
    <definedName name="_xlnm.Print_Area" localSheetId="64">OF.10C!$A$1:$H$38</definedName>
    <definedName name="_xlnm.Print_Area" localSheetId="65">OF.10D!$A$1:$H$41</definedName>
    <definedName name="_xlnm.Print_Area" localSheetId="66">OF.10E!$A$1:$H$9</definedName>
    <definedName name="_xlnm.Print_Area" localSheetId="67">OF.10F!$A$1:$H$9</definedName>
    <definedName name="_xlnm.Print_Area" localSheetId="68">OF.10G!$A$1:$H$34</definedName>
    <definedName name="_xlnm.Print_Area" localSheetId="20">OF.3A!$A$1:$H$42</definedName>
    <definedName name="_xlnm.Print_Area" localSheetId="21">OF.3B!$A$1:$H$10</definedName>
    <definedName name="_xlnm.Print_Area" localSheetId="22">OF.3C!$A$1:$J$42</definedName>
    <definedName name="_xlnm.Print_Area" localSheetId="23">OF.3D!$A$1:$J$40</definedName>
    <definedName name="_xlnm.Print_Area" localSheetId="25">OF.4B!$A$1:$H$10</definedName>
    <definedName name="_xlnm.Print_Area" localSheetId="28">OF.5B!$A$1:$H$10</definedName>
    <definedName name="_xlnm.Print_Area" localSheetId="29">OF.5C!$A$1:$H$10</definedName>
    <definedName name="_xlnm.Print_Area" localSheetId="31">OF.5E!$A$1:$H$35</definedName>
    <definedName name="_xlnm.Print_Area" localSheetId="32">OF.5F!$A$1:$J$10</definedName>
    <definedName name="_xlnm.Print_Area" localSheetId="33">OF.5G!$A$1:$J$10</definedName>
    <definedName name="_xlnm.Print_Area" localSheetId="36">OF.6C!$A$69:$H$125</definedName>
    <definedName name="_xlnm.Print_Area" localSheetId="38">OF.6E!$A$1:$K$10</definedName>
    <definedName name="_xlnm.Print_Area" localSheetId="41">OF.7A!$A$1:$K$10</definedName>
    <definedName name="_xlnm.Print_Area" localSheetId="44">OF.7D!$A$1:$J$10</definedName>
    <definedName name="_xlnm.Print_Area" localSheetId="45">OF.7E!$A$1:$J$10</definedName>
    <definedName name="_xlnm.Print_Area" localSheetId="46">OF.7F!$A$1:$J$10</definedName>
    <definedName name="_xlnm.Print_Area" localSheetId="47">OF.7G!$A$1:$I$10</definedName>
    <definedName name="_xlnm.Print_Area" localSheetId="49">OF.8B!$B$1:$H$10</definedName>
    <definedName name="_xlnm.Print_Area" localSheetId="52">OF.8E!$A$1:$H$10</definedName>
    <definedName name="_xlnm.Print_Area" localSheetId="53">OF.8F!$A$1:$H$36</definedName>
    <definedName name="_xlnm.Print_Area" localSheetId="56">OF.9B!$A$1:$J$10</definedName>
    <definedName name="_xlnm.Print_Area" localSheetId="57">OF.9C!$A$1:$J$9</definedName>
    <definedName name="_xlnm.Print_Area" localSheetId="59">OF.9E!$A$1:$H$9</definedName>
    <definedName name="_xlnm.Print_Area" localSheetId="60">OF.9F!$B$1:$H$41</definedName>
    <definedName name="_xlnm.Print_Area" localSheetId="61">OF.9G!$A$1:$H$34</definedName>
    <definedName name="_xlnm.Print_Area" localSheetId="137">'RESUMEN DEPARTAMENTOS'!$A$1:$R$81</definedName>
    <definedName name="_xlnm.Print_Area" localSheetId="19">'RESUMEN LOCALES'!$A$1:$U$27</definedName>
    <definedName name="_xlnm.Print_Area" localSheetId="69">'RESUMEN OFI'!$B$1:$U$55</definedName>
    <definedName name="MesesEnTotal">DATEDIF(MesesEnTotal,TODAY(),"m")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274" l="1"/>
  <c r="E18" i="248" l="1"/>
  <c r="D20" i="270" l="1"/>
  <c r="P81" i="293" l="1"/>
  <c r="O81" i="293"/>
  <c r="N81" i="293"/>
  <c r="M81" i="293"/>
  <c r="L81" i="293"/>
  <c r="K81" i="293"/>
  <c r="J81" i="293"/>
  <c r="I80" i="293"/>
  <c r="H80" i="293"/>
  <c r="F80" i="293"/>
  <c r="E80" i="293"/>
  <c r="I79" i="293"/>
  <c r="H79" i="293"/>
  <c r="G79" i="293"/>
  <c r="F79" i="293"/>
  <c r="E79" i="293"/>
  <c r="I78" i="293"/>
  <c r="H78" i="293"/>
  <c r="G78" i="293"/>
  <c r="F78" i="293"/>
  <c r="E78" i="293"/>
  <c r="I77" i="293"/>
  <c r="H77" i="293"/>
  <c r="G77" i="293"/>
  <c r="F77" i="293"/>
  <c r="E77" i="293"/>
  <c r="I76" i="293"/>
  <c r="H76" i="293"/>
  <c r="G76" i="293"/>
  <c r="F76" i="293"/>
  <c r="E76" i="293"/>
  <c r="I75" i="293"/>
  <c r="H75" i="293"/>
  <c r="G75" i="293"/>
  <c r="F75" i="293"/>
  <c r="E75" i="293"/>
  <c r="I74" i="293"/>
  <c r="H74" i="293"/>
  <c r="G74" i="293"/>
  <c r="F74" i="293"/>
  <c r="Q74" i="293" s="1"/>
  <c r="E74" i="293"/>
  <c r="I73" i="293"/>
  <c r="H73" i="293"/>
  <c r="G73" i="293"/>
  <c r="F73" i="293"/>
  <c r="E73" i="293"/>
  <c r="I72" i="293"/>
  <c r="H72" i="293"/>
  <c r="G72" i="293"/>
  <c r="F72" i="293"/>
  <c r="E72" i="293"/>
  <c r="I71" i="293"/>
  <c r="H71" i="293"/>
  <c r="G71" i="293"/>
  <c r="F71" i="293"/>
  <c r="E71" i="293"/>
  <c r="I70" i="293"/>
  <c r="H70" i="293"/>
  <c r="G70" i="293"/>
  <c r="F70" i="293"/>
  <c r="E70" i="293"/>
  <c r="I69" i="293"/>
  <c r="H69" i="293"/>
  <c r="G69" i="293"/>
  <c r="F69" i="293"/>
  <c r="E69" i="293"/>
  <c r="I68" i="293"/>
  <c r="H68" i="293"/>
  <c r="E68" i="293"/>
  <c r="I67" i="293"/>
  <c r="H67" i="293"/>
  <c r="G67" i="293"/>
  <c r="F67" i="293"/>
  <c r="E67" i="293"/>
  <c r="I66" i="293"/>
  <c r="H66" i="293"/>
  <c r="G66" i="293"/>
  <c r="F66" i="293"/>
  <c r="E66" i="293"/>
  <c r="I65" i="293"/>
  <c r="Q65" i="293" s="1"/>
  <c r="H65" i="293"/>
  <c r="G65" i="293"/>
  <c r="F65" i="293"/>
  <c r="E65" i="293"/>
  <c r="I64" i="293"/>
  <c r="H64" i="293"/>
  <c r="G64" i="293"/>
  <c r="F64" i="293"/>
  <c r="E64" i="293"/>
  <c r="I63" i="293"/>
  <c r="H63" i="293"/>
  <c r="G63" i="293"/>
  <c r="F63" i="293"/>
  <c r="E63" i="293"/>
  <c r="I62" i="293"/>
  <c r="H62" i="293"/>
  <c r="G62" i="293"/>
  <c r="F62" i="293"/>
  <c r="E62" i="293"/>
  <c r="I61" i="293"/>
  <c r="H61" i="293"/>
  <c r="G61" i="293"/>
  <c r="F61" i="293"/>
  <c r="E61" i="293"/>
  <c r="I60" i="293"/>
  <c r="H60" i="293"/>
  <c r="F60" i="293"/>
  <c r="E60" i="293"/>
  <c r="I59" i="293"/>
  <c r="H59" i="293"/>
  <c r="G59" i="293"/>
  <c r="F59" i="293"/>
  <c r="E59" i="293"/>
  <c r="I58" i="293"/>
  <c r="H58" i="293"/>
  <c r="G58" i="293"/>
  <c r="F58" i="293"/>
  <c r="E58" i="293"/>
  <c r="I57" i="293"/>
  <c r="H57" i="293"/>
  <c r="G57" i="293"/>
  <c r="F57" i="293"/>
  <c r="E57" i="293"/>
  <c r="I56" i="293"/>
  <c r="H56" i="293"/>
  <c r="F56" i="293"/>
  <c r="E56" i="293"/>
  <c r="I55" i="293"/>
  <c r="H55" i="293"/>
  <c r="G55" i="293"/>
  <c r="F55" i="293"/>
  <c r="E55" i="293"/>
  <c r="I54" i="293"/>
  <c r="H54" i="293"/>
  <c r="F54" i="293"/>
  <c r="F52" i="293"/>
  <c r="E54" i="293"/>
  <c r="I53" i="293"/>
  <c r="H53" i="293"/>
  <c r="G53" i="293"/>
  <c r="F53" i="293"/>
  <c r="E53" i="293"/>
  <c r="I52" i="293"/>
  <c r="H52" i="293"/>
  <c r="G52" i="293"/>
  <c r="E52" i="293"/>
  <c r="I51" i="293"/>
  <c r="H51" i="293"/>
  <c r="G51" i="293"/>
  <c r="I50" i="293"/>
  <c r="H50" i="293"/>
  <c r="G50" i="293"/>
  <c r="F50" i="293"/>
  <c r="E50" i="293"/>
  <c r="H48" i="293"/>
  <c r="I49" i="293"/>
  <c r="H49" i="293"/>
  <c r="F49" i="293"/>
  <c r="E49" i="293"/>
  <c r="I48" i="293"/>
  <c r="F48" i="293"/>
  <c r="I47" i="293"/>
  <c r="H47" i="293"/>
  <c r="G47" i="293"/>
  <c r="F47" i="293"/>
  <c r="E47" i="293"/>
  <c r="I46" i="293"/>
  <c r="H46" i="293"/>
  <c r="G46" i="293"/>
  <c r="F46" i="293"/>
  <c r="E46" i="293"/>
  <c r="I45" i="293"/>
  <c r="H45" i="293"/>
  <c r="G45" i="293"/>
  <c r="F45" i="293"/>
  <c r="E45" i="293"/>
  <c r="I44" i="293"/>
  <c r="H44" i="293"/>
  <c r="F44" i="293"/>
  <c r="E44" i="293"/>
  <c r="I43" i="293"/>
  <c r="H43" i="293"/>
  <c r="G43" i="293"/>
  <c r="F43" i="293"/>
  <c r="E43" i="293"/>
  <c r="I42" i="293"/>
  <c r="H42" i="293"/>
  <c r="G42" i="293"/>
  <c r="F42" i="293"/>
  <c r="E42" i="293"/>
  <c r="I41" i="293"/>
  <c r="H41" i="293"/>
  <c r="F41" i="293"/>
  <c r="E41" i="293"/>
  <c r="I40" i="293"/>
  <c r="H40" i="293"/>
  <c r="F40" i="293"/>
  <c r="E40" i="293"/>
  <c r="I39" i="293"/>
  <c r="H39" i="293"/>
  <c r="G39" i="293"/>
  <c r="F39" i="293"/>
  <c r="I38" i="293"/>
  <c r="H38" i="293"/>
  <c r="G38" i="293"/>
  <c r="F38" i="293"/>
  <c r="E38" i="293"/>
  <c r="I37" i="293"/>
  <c r="H37" i="293"/>
  <c r="G37" i="293"/>
  <c r="F37" i="293"/>
  <c r="E37" i="293"/>
  <c r="I36" i="293"/>
  <c r="H36" i="293"/>
  <c r="G36" i="293"/>
  <c r="F36" i="293"/>
  <c r="E36" i="293"/>
  <c r="I35" i="293"/>
  <c r="H35" i="293"/>
  <c r="F35" i="293"/>
  <c r="E35" i="293"/>
  <c r="I34" i="293"/>
  <c r="H34" i="293"/>
  <c r="G34" i="293"/>
  <c r="F34" i="293"/>
  <c r="E34" i="293"/>
  <c r="I33" i="293"/>
  <c r="H33" i="293"/>
  <c r="G33" i="293"/>
  <c r="F33" i="293"/>
  <c r="E33" i="293"/>
  <c r="I32" i="293"/>
  <c r="H32" i="293"/>
  <c r="G32" i="293"/>
  <c r="F32" i="293"/>
  <c r="E29" i="293"/>
  <c r="E32" i="293"/>
  <c r="I31" i="293"/>
  <c r="H31" i="293"/>
  <c r="G31" i="293"/>
  <c r="F31" i="293"/>
  <c r="E31" i="293"/>
  <c r="I30" i="293"/>
  <c r="H30" i="293"/>
  <c r="G30" i="293"/>
  <c r="F30" i="293"/>
  <c r="E30" i="293"/>
  <c r="I29" i="293"/>
  <c r="H29" i="293"/>
  <c r="G29" i="293"/>
  <c r="F29" i="293"/>
  <c r="I28" i="293"/>
  <c r="H28" i="293"/>
  <c r="F28" i="293"/>
  <c r="I27" i="293"/>
  <c r="H27" i="293"/>
  <c r="G27" i="293"/>
  <c r="F27" i="293"/>
  <c r="E27" i="293"/>
  <c r="I26" i="293"/>
  <c r="H26" i="293"/>
  <c r="G26" i="293"/>
  <c r="F26" i="293"/>
  <c r="E26" i="293"/>
  <c r="I25" i="293"/>
  <c r="H25" i="293"/>
  <c r="G25" i="293"/>
  <c r="F25" i="293"/>
  <c r="E25" i="293"/>
  <c r="I24" i="293"/>
  <c r="H24" i="293"/>
  <c r="G24" i="293"/>
  <c r="F24" i="293"/>
  <c r="E24" i="293"/>
  <c r="I23" i="293"/>
  <c r="H23" i="293"/>
  <c r="F23" i="293"/>
  <c r="E23" i="293"/>
  <c r="I22" i="293"/>
  <c r="H22" i="293"/>
  <c r="G22" i="293"/>
  <c r="F22" i="293"/>
  <c r="E22" i="293"/>
  <c r="I21" i="293"/>
  <c r="H21" i="293"/>
  <c r="G21" i="293"/>
  <c r="E21" i="293"/>
  <c r="I20" i="293"/>
  <c r="H20" i="293"/>
  <c r="G20" i="293"/>
  <c r="F20" i="293"/>
  <c r="E20" i="293"/>
  <c r="I19" i="293"/>
  <c r="H19" i="293"/>
  <c r="F19" i="293"/>
  <c r="E19" i="293"/>
  <c r="I18" i="293"/>
  <c r="H18" i="293"/>
  <c r="G18" i="293"/>
  <c r="F18" i="293"/>
  <c r="E18" i="293"/>
  <c r="I17" i="293"/>
  <c r="H17" i="293"/>
  <c r="F17" i="293"/>
  <c r="E17" i="293"/>
  <c r="D16" i="293"/>
  <c r="D81" i="293" s="1"/>
  <c r="I16" i="293"/>
  <c r="H16" i="293"/>
  <c r="G16" i="293"/>
  <c r="F16" i="293"/>
  <c r="E16" i="293"/>
  <c r="I15" i="293"/>
  <c r="E15" i="293"/>
  <c r="I14" i="293"/>
  <c r="H14" i="293"/>
  <c r="G14" i="293"/>
  <c r="F14" i="293"/>
  <c r="E14" i="293"/>
  <c r="I13" i="293"/>
  <c r="F13" i="293"/>
  <c r="I12" i="293"/>
  <c r="H12" i="293"/>
  <c r="F12" i="293"/>
  <c r="Q79" i="293"/>
  <c r="I11" i="293"/>
  <c r="F11" i="293"/>
  <c r="E11" i="293"/>
  <c r="I54" i="292"/>
  <c r="H54" i="292"/>
  <c r="G54" i="292"/>
  <c r="F54" i="292"/>
  <c r="I53" i="292"/>
  <c r="G53" i="292"/>
  <c r="H51" i="292"/>
  <c r="F53" i="292"/>
  <c r="J52" i="292"/>
  <c r="I52" i="292"/>
  <c r="H52" i="292"/>
  <c r="G52" i="292"/>
  <c r="F52" i="292"/>
  <c r="J51" i="292"/>
  <c r="I51" i="292"/>
  <c r="G51" i="292"/>
  <c r="F51" i="292"/>
  <c r="I50" i="292"/>
  <c r="H50" i="292"/>
  <c r="G50" i="292"/>
  <c r="F50" i="292"/>
  <c r="I49" i="292"/>
  <c r="H49" i="292"/>
  <c r="G49" i="292"/>
  <c r="F49" i="292"/>
  <c r="I48" i="292"/>
  <c r="H48" i="292"/>
  <c r="G48" i="292"/>
  <c r="F48" i="292"/>
  <c r="J47" i="292"/>
  <c r="I47" i="292"/>
  <c r="H47" i="292"/>
  <c r="G47" i="292"/>
  <c r="F47" i="292"/>
  <c r="J46" i="292"/>
  <c r="I46" i="292"/>
  <c r="H46" i="292"/>
  <c r="G46" i="292"/>
  <c r="F46" i="292"/>
  <c r="J45" i="292"/>
  <c r="I45" i="292"/>
  <c r="H45" i="292"/>
  <c r="G45" i="292"/>
  <c r="F45" i="292"/>
  <c r="J44" i="292"/>
  <c r="I44" i="292"/>
  <c r="H44" i="292"/>
  <c r="G44" i="292"/>
  <c r="F44" i="292"/>
  <c r="J43" i="292"/>
  <c r="I43" i="292"/>
  <c r="H43" i="292"/>
  <c r="G43" i="292"/>
  <c r="F43" i="292"/>
  <c r="J42" i="292"/>
  <c r="I42" i="292"/>
  <c r="H42" i="292"/>
  <c r="G42" i="292"/>
  <c r="F42" i="292"/>
  <c r="J41" i="292"/>
  <c r="I41" i="292"/>
  <c r="H41" i="292"/>
  <c r="G41" i="292"/>
  <c r="F41" i="292"/>
  <c r="J40" i="292"/>
  <c r="I40" i="292"/>
  <c r="G40" i="292"/>
  <c r="F40" i="292"/>
  <c r="E39" i="292"/>
  <c r="I39" i="292"/>
  <c r="H39" i="292"/>
  <c r="G39" i="292"/>
  <c r="F39" i="292"/>
  <c r="Q72" i="293" l="1"/>
  <c r="Q27" i="293"/>
  <c r="Q32" i="293"/>
  <c r="Q42" i="293"/>
  <c r="Q58" i="293"/>
  <c r="Q69" i="293"/>
  <c r="Q70" i="293"/>
  <c r="Q77" i="293"/>
  <c r="I81" i="293"/>
  <c r="Q78" i="293"/>
  <c r="Q22" i="293"/>
  <c r="Q31" i="293"/>
  <c r="Q29" i="293"/>
  <c r="Q55" i="293"/>
  <c r="Q59" i="293"/>
  <c r="Q62" i="293"/>
  <c r="Q73" i="293"/>
  <c r="Q76" i="293"/>
  <c r="Q75" i="293"/>
  <c r="Q71" i="293"/>
  <c r="Q67" i="293"/>
  <c r="Q66" i="293"/>
  <c r="Q64" i="293"/>
  <c r="Q63" i="293"/>
  <c r="Q24" i="293"/>
  <c r="Q46" i="293"/>
  <c r="Q45" i="293"/>
  <c r="Q30" i="293"/>
  <c r="Q33" i="293"/>
  <c r="Q52" i="293"/>
  <c r="Q57" i="293"/>
  <c r="Q61" i="293"/>
  <c r="Q53" i="293"/>
  <c r="Q50" i="293"/>
  <c r="Q47" i="293"/>
  <c r="Q43" i="293"/>
  <c r="Q38" i="293"/>
  <c r="Q37" i="293"/>
  <c r="Q36" i="293"/>
  <c r="Q34" i="293"/>
  <c r="Q26" i="293"/>
  <c r="Q25" i="293"/>
  <c r="Q16" i="293"/>
  <c r="Q14" i="293"/>
  <c r="Q18" i="293"/>
  <c r="Q20" i="293"/>
  <c r="J38" i="292"/>
  <c r="I38" i="292"/>
  <c r="H38" i="292"/>
  <c r="G38" i="292"/>
  <c r="F38" i="292"/>
  <c r="J37" i="292"/>
  <c r="I37" i="292"/>
  <c r="H37" i="292"/>
  <c r="G37" i="292"/>
  <c r="F37" i="292"/>
  <c r="J36" i="292"/>
  <c r="I36" i="292"/>
  <c r="H36" i="292"/>
  <c r="G36" i="292"/>
  <c r="F36" i="292"/>
  <c r="J35" i="292"/>
  <c r="I35" i="292"/>
  <c r="H35" i="292"/>
  <c r="G35" i="292"/>
  <c r="F35" i="292"/>
  <c r="J34" i="292"/>
  <c r="I34" i="292"/>
  <c r="H34" i="292"/>
  <c r="G34" i="292"/>
  <c r="F34" i="292"/>
  <c r="I33" i="292"/>
  <c r="H33" i="292"/>
  <c r="G33" i="292"/>
  <c r="F33" i="292"/>
  <c r="I32" i="292"/>
  <c r="H32" i="292"/>
  <c r="G32" i="292"/>
  <c r="F32" i="292"/>
  <c r="E31" i="292"/>
  <c r="J31" i="292"/>
  <c r="I31" i="292"/>
  <c r="H31" i="292"/>
  <c r="G31" i="292"/>
  <c r="F31" i="292"/>
  <c r="J30" i="292"/>
  <c r="I30" i="292"/>
  <c r="H30" i="292"/>
  <c r="G30" i="292"/>
  <c r="F30" i="292"/>
  <c r="E29" i="292"/>
  <c r="I29" i="292"/>
  <c r="J28" i="292"/>
  <c r="I28" i="292"/>
  <c r="H28" i="292"/>
  <c r="G28" i="292"/>
  <c r="F28" i="292"/>
  <c r="J27" i="292"/>
  <c r="I27" i="292"/>
  <c r="G27" i="292"/>
  <c r="F27" i="292"/>
  <c r="J26" i="292"/>
  <c r="I26" i="292"/>
  <c r="H26" i="292"/>
  <c r="G26" i="292"/>
  <c r="F26" i="292"/>
  <c r="J25" i="292"/>
  <c r="I25" i="292"/>
  <c r="H25" i="292"/>
  <c r="G25" i="292"/>
  <c r="F25" i="292"/>
  <c r="I24" i="292"/>
  <c r="H24" i="292"/>
  <c r="G24" i="292"/>
  <c r="F24" i="292"/>
  <c r="J23" i="292"/>
  <c r="I23" i="292"/>
  <c r="H23" i="292"/>
  <c r="G23" i="292"/>
  <c r="F23" i="292"/>
  <c r="J22" i="292" l="1"/>
  <c r="I22" i="292"/>
  <c r="H22" i="292"/>
  <c r="G22" i="292"/>
  <c r="F22" i="292"/>
  <c r="J21" i="292"/>
  <c r="I21" i="292"/>
  <c r="G21" i="292"/>
  <c r="G19" i="292"/>
  <c r="F21" i="292"/>
  <c r="J20" i="292"/>
  <c r="I20" i="292"/>
  <c r="H20" i="292"/>
  <c r="G20" i="292"/>
  <c r="F20" i="292"/>
  <c r="J19" i="292"/>
  <c r="I19" i="292"/>
  <c r="H19" i="292"/>
  <c r="F19" i="292"/>
  <c r="I18" i="292"/>
  <c r="H18" i="292"/>
  <c r="G18" i="292"/>
  <c r="F18" i="292"/>
  <c r="I17" i="292"/>
  <c r="H17" i="292"/>
  <c r="G17" i="292"/>
  <c r="F17" i="292"/>
  <c r="I16" i="292"/>
  <c r="H16" i="292"/>
  <c r="G16" i="292"/>
  <c r="F16" i="292"/>
  <c r="I15" i="292"/>
  <c r="H15" i="292"/>
  <c r="G15" i="292"/>
  <c r="F15" i="292"/>
  <c r="I14" i="292"/>
  <c r="H14" i="292"/>
  <c r="G14" i="292"/>
  <c r="F14" i="292"/>
  <c r="I13" i="292"/>
  <c r="G13" i="292"/>
  <c r="F13" i="292"/>
  <c r="I12" i="292"/>
  <c r="H12" i="292"/>
  <c r="G12" i="292"/>
  <c r="F12" i="292"/>
  <c r="J11" i="292"/>
  <c r="I11" i="292"/>
  <c r="H11" i="292"/>
  <c r="G11" i="292"/>
  <c r="F11" i="292"/>
  <c r="J10" i="292"/>
  <c r="I10" i="292"/>
  <c r="H10" i="292"/>
  <c r="G10" i="292"/>
  <c r="F10" i="292"/>
  <c r="J8" i="292"/>
  <c r="J9" i="292"/>
  <c r="I9" i="292"/>
  <c r="H9" i="292"/>
  <c r="G9" i="292"/>
  <c r="F9" i="292"/>
  <c r="I8" i="292"/>
  <c r="H8" i="292"/>
  <c r="G8" i="292"/>
  <c r="F8" i="292"/>
  <c r="R54" i="292" l="1"/>
  <c r="R52" i="292"/>
  <c r="R51" i="292"/>
  <c r="R50" i="292"/>
  <c r="R49" i="292"/>
  <c r="R48" i="292"/>
  <c r="R47" i="292"/>
  <c r="R46" i="292"/>
  <c r="R45" i="292"/>
  <c r="R44" i="292"/>
  <c r="R43" i="292"/>
  <c r="R42" i="292"/>
  <c r="R41" i="292"/>
  <c r="R39" i="292"/>
  <c r="R38" i="292"/>
  <c r="R37" i="292"/>
  <c r="R36" i="292"/>
  <c r="R35" i="292"/>
  <c r="R34" i="292"/>
  <c r="R33" i="292"/>
  <c r="R32" i="292"/>
  <c r="R31" i="292"/>
  <c r="R30" i="292"/>
  <c r="R28" i="292"/>
  <c r="R26" i="292"/>
  <c r="R25" i="292"/>
  <c r="R24" i="292"/>
  <c r="R23" i="292"/>
  <c r="R22" i="292"/>
  <c r="R20" i="292"/>
  <c r="R19" i="292"/>
  <c r="R18" i="292"/>
  <c r="R17" i="292"/>
  <c r="R16" i="292"/>
  <c r="R15" i="292"/>
  <c r="R14" i="292"/>
  <c r="R12" i="292"/>
  <c r="R11" i="292"/>
  <c r="R9" i="292"/>
  <c r="R8" i="292"/>
  <c r="J7" i="292"/>
  <c r="I7" i="292"/>
  <c r="H7" i="292"/>
  <c r="G7" i="292"/>
  <c r="F7" i="292"/>
  <c r="E6" i="292"/>
  <c r="J6" i="292"/>
  <c r="I6" i="292"/>
  <c r="I55" i="292" s="1"/>
  <c r="H6" i="292"/>
  <c r="G6" i="292"/>
  <c r="F6" i="292"/>
  <c r="J25" i="291"/>
  <c r="I25" i="291"/>
  <c r="G25" i="291"/>
  <c r="F25" i="291"/>
  <c r="J24" i="291"/>
  <c r="I24" i="291"/>
  <c r="H24" i="291"/>
  <c r="G24" i="291"/>
  <c r="F24" i="291"/>
  <c r="J23" i="291"/>
  <c r="I23" i="291"/>
  <c r="H23" i="291"/>
  <c r="G23" i="291"/>
  <c r="F23" i="291"/>
  <c r="J22" i="291"/>
  <c r="I22" i="291"/>
  <c r="H22" i="291"/>
  <c r="G22" i="291"/>
  <c r="F22" i="291"/>
  <c r="J21" i="291"/>
  <c r="I21" i="291"/>
  <c r="H21" i="291"/>
  <c r="G21" i="291"/>
  <c r="F21" i="291"/>
  <c r="J20" i="291"/>
  <c r="H20" i="291"/>
  <c r="G20" i="291"/>
  <c r="F20" i="291"/>
  <c r="J19" i="291"/>
  <c r="I19" i="291"/>
  <c r="H19" i="291"/>
  <c r="G19" i="291"/>
  <c r="F19" i="291"/>
  <c r="J18" i="291"/>
  <c r="I18" i="291"/>
  <c r="H18" i="291"/>
  <c r="G18" i="291"/>
  <c r="R18" i="291" s="1"/>
  <c r="F18" i="291"/>
  <c r="J17" i="291"/>
  <c r="I17" i="291"/>
  <c r="H17" i="291"/>
  <c r="G17" i="291"/>
  <c r="F17" i="291"/>
  <c r="J55" i="292" l="1"/>
  <c r="R6" i="292"/>
  <c r="R7" i="292"/>
  <c r="H40" i="297"/>
  <c r="H39" i="297"/>
  <c r="H38" i="297"/>
  <c r="H37" i="297"/>
  <c r="H36" i="297"/>
  <c r="H35" i="297"/>
  <c r="H34" i="297"/>
  <c r="H33" i="297"/>
  <c r="H32" i="297"/>
  <c r="H31" i="297"/>
  <c r="H30" i="297"/>
  <c r="H29" i="297"/>
  <c r="H28" i="297"/>
  <c r="H27" i="297"/>
  <c r="H26" i="297"/>
  <c r="H25" i="297"/>
  <c r="H24" i="297"/>
  <c r="H23" i="297"/>
  <c r="H22" i="297"/>
  <c r="H21" i="297"/>
  <c r="H20" i="297"/>
  <c r="H19" i="297"/>
  <c r="H18" i="297"/>
  <c r="H17" i="297"/>
  <c r="H16" i="297"/>
  <c r="I16" i="297" s="1"/>
  <c r="I17" i="297" s="1"/>
  <c r="J16" i="291"/>
  <c r="I16" i="291"/>
  <c r="H16" i="291"/>
  <c r="G16" i="291"/>
  <c r="F16" i="291"/>
  <c r="J15" i="291"/>
  <c r="I15" i="291"/>
  <c r="H15" i="291"/>
  <c r="G15" i="291"/>
  <c r="F15" i="291"/>
  <c r="H35" i="296"/>
  <c r="H34" i="296"/>
  <c r="H33" i="296"/>
  <c r="H32" i="296"/>
  <c r="H31" i="296"/>
  <c r="H30" i="296"/>
  <c r="H29" i="296"/>
  <c r="H28" i="296"/>
  <c r="H27" i="296"/>
  <c r="H26" i="296"/>
  <c r="H25" i="296"/>
  <c r="H24" i="296"/>
  <c r="H23" i="296"/>
  <c r="H22" i="296"/>
  <c r="H21" i="296"/>
  <c r="H20" i="296"/>
  <c r="H19" i="296"/>
  <c r="H18" i="296"/>
  <c r="H17" i="296"/>
  <c r="H16" i="296"/>
  <c r="H15" i="296"/>
  <c r="H14" i="296"/>
  <c r="S17" i="291" s="1"/>
  <c r="H13" i="296"/>
  <c r="H12" i="296"/>
  <c r="S15" i="291" s="1"/>
  <c r="H11" i="296"/>
  <c r="I11" i="296" s="1"/>
  <c r="J14" i="291"/>
  <c r="I14" i="291"/>
  <c r="H14" i="291"/>
  <c r="G14" i="291"/>
  <c r="F14" i="291"/>
  <c r="J13" i="291"/>
  <c r="G13" i="291"/>
  <c r="F13" i="291"/>
  <c r="J12" i="291"/>
  <c r="I12" i="291"/>
  <c r="H12" i="291"/>
  <c r="G12" i="291"/>
  <c r="F12" i="291"/>
  <c r="J11" i="291"/>
  <c r="I11" i="291"/>
  <c r="H11" i="291"/>
  <c r="G11" i="291"/>
  <c r="F11" i="291"/>
  <c r="J10" i="291"/>
  <c r="I10" i="291"/>
  <c r="H10" i="291"/>
  <c r="G10" i="291"/>
  <c r="F10" i="291"/>
  <c r="R26" i="291"/>
  <c r="T26" i="291" s="1"/>
  <c r="R24" i="291"/>
  <c r="R23" i="291"/>
  <c r="R22" i="291"/>
  <c r="R21" i="291"/>
  <c r="R19" i="291"/>
  <c r="R17" i="291"/>
  <c r="T17" i="291" s="1"/>
  <c r="J9" i="291"/>
  <c r="I9" i="291"/>
  <c r="H9" i="291"/>
  <c r="G9" i="291"/>
  <c r="F9" i="291"/>
  <c r="J8" i="291"/>
  <c r="I8" i="291"/>
  <c r="H8" i="291"/>
  <c r="G8" i="291"/>
  <c r="F8" i="291"/>
  <c r="I18" i="297" l="1"/>
  <c r="I19" i="297" s="1"/>
  <c r="I20" i="297" s="1"/>
  <c r="I21" i="297" s="1"/>
  <c r="I22" i="297" s="1"/>
  <c r="I23" i="297" s="1"/>
  <c r="I24" i="297" s="1"/>
  <c r="I25" i="297" s="1"/>
  <c r="I26" i="297" s="1"/>
  <c r="I27" i="297" s="1"/>
  <c r="I28" i="297" s="1"/>
  <c r="I29" i="297" s="1"/>
  <c r="I30" i="297" s="1"/>
  <c r="I31" i="297" s="1"/>
  <c r="I32" i="297" s="1"/>
  <c r="I33" i="297" s="1"/>
  <c r="I34" i="297" s="1"/>
  <c r="I35" i="297" s="1"/>
  <c r="I36" i="297" s="1"/>
  <c r="I37" i="297" s="1"/>
  <c r="I38" i="297" s="1"/>
  <c r="I39" i="297" s="1"/>
  <c r="I40" i="297" s="1"/>
  <c r="R16" i="291"/>
  <c r="R15" i="291"/>
  <c r="T15" i="291" s="1"/>
  <c r="I12" i="296"/>
  <c r="I13" i="296" s="1"/>
  <c r="I14" i="296" s="1"/>
  <c r="I15" i="296" s="1"/>
  <c r="I16" i="296" s="1"/>
  <c r="I17" i="296" s="1"/>
  <c r="I18" i="296" s="1"/>
  <c r="I19" i="296" s="1"/>
  <c r="I20" i="296" s="1"/>
  <c r="I21" i="296" s="1"/>
  <c r="I22" i="296" s="1"/>
  <c r="I23" i="296" s="1"/>
  <c r="I24" i="296" s="1"/>
  <c r="I25" i="296" s="1"/>
  <c r="I26" i="296" s="1"/>
  <c r="I27" i="296" s="1"/>
  <c r="I28" i="296" s="1"/>
  <c r="I29" i="296" s="1"/>
  <c r="I30" i="296" s="1"/>
  <c r="I31" i="296" s="1"/>
  <c r="I32" i="296" s="1"/>
  <c r="I33" i="296" s="1"/>
  <c r="I34" i="296" s="1"/>
  <c r="I35" i="296" s="1"/>
  <c r="R14" i="291"/>
  <c r="R12" i="291"/>
  <c r="R11" i="291"/>
  <c r="R10" i="291"/>
  <c r="R9" i="291"/>
  <c r="R8" i="291"/>
  <c r="D22" i="169"/>
  <c r="D20" i="169"/>
  <c r="D18" i="169"/>
  <c r="D16" i="169"/>
  <c r="D19" i="207"/>
  <c r="H40" i="292" s="1"/>
  <c r="R40" i="292" s="1"/>
  <c r="D22" i="158" l="1"/>
  <c r="D21" i="222" l="1"/>
  <c r="H11" i="293" s="1"/>
  <c r="D21" i="226"/>
  <c r="H15" i="293" s="1"/>
  <c r="D22" i="271" l="1"/>
  <c r="D22" i="229"/>
  <c r="D22" i="255"/>
  <c r="D24" i="198"/>
  <c r="D18" i="41" l="1"/>
  <c r="D16" i="41"/>
  <c r="D14" i="41"/>
  <c r="D12" i="41"/>
  <c r="D22" i="278"/>
  <c r="D22" i="205" l="1"/>
  <c r="D17" i="224"/>
  <c r="H13" i="293" s="1"/>
  <c r="H81" i="293" s="1"/>
  <c r="D20" i="278" l="1"/>
  <c r="D18" i="278"/>
  <c r="D16" i="278"/>
  <c r="G24" i="196" l="1"/>
  <c r="G23" i="196"/>
  <c r="I23" i="196" s="1"/>
  <c r="I24" i="196"/>
  <c r="D20" i="283" l="1"/>
  <c r="D18" i="270"/>
  <c r="D19" i="259"/>
  <c r="G48" i="293" s="1"/>
  <c r="D19" i="252"/>
  <c r="G41" i="293" s="1"/>
  <c r="Q41" i="293" s="1"/>
  <c r="D19" i="228" l="1"/>
  <c r="G17" i="293" s="1"/>
  <c r="Q17" i="293" s="1"/>
  <c r="G24" i="206"/>
  <c r="G23" i="206"/>
  <c r="I23" i="206" s="1"/>
  <c r="I24" i="206"/>
  <c r="G25" i="196"/>
  <c r="G22" i="196"/>
  <c r="I22" i="196" s="1"/>
  <c r="G21" i="196"/>
  <c r="I21" i="196" s="1"/>
  <c r="D19" i="194"/>
  <c r="H27" i="292" s="1"/>
  <c r="R27" i="292" s="1"/>
  <c r="D19" i="188"/>
  <c r="H21" i="292" s="1"/>
  <c r="R21" i="292" s="1"/>
  <c r="D19" i="180" l="1"/>
  <c r="H13" i="292" s="1"/>
  <c r="D19" i="169"/>
  <c r="H25" i="291" s="1"/>
  <c r="R25" i="291" s="1"/>
  <c r="D18" i="164"/>
  <c r="D21" i="164"/>
  <c r="I20" i="291" s="1"/>
  <c r="R20" i="291" s="1"/>
  <c r="D20" i="164"/>
  <c r="D21" i="158"/>
  <c r="I13" i="291" s="1"/>
  <c r="R13" i="292" l="1"/>
  <c r="D20" i="228"/>
  <c r="D18" i="228"/>
  <c r="E16" i="228"/>
  <c r="P17" i="228" l="1"/>
  <c r="D18" i="289" l="1"/>
  <c r="E16" i="267"/>
  <c r="D19" i="267"/>
  <c r="G56" i="293" s="1"/>
  <c r="Q56" i="293" s="1"/>
  <c r="G22" i="198"/>
  <c r="I22" i="198" s="1"/>
  <c r="G21" i="198"/>
  <c r="I21" i="198" s="1"/>
  <c r="D26" i="287"/>
  <c r="D24" i="287"/>
  <c r="D22" i="287"/>
  <c r="D20" i="287"/>
  <c r="E18" i="273"/>
  <c r="D18" i="205"/>
  <c r="D16" i="205"/>
  <c r="D19" i="251" l="1"/>
  <c r="G40" i="293" s="1"/>
  <c r="Q40" i="293" s="1"/>
  <c r="D19" i="234"/>
  <c r="G23" i="293" s="1"/>
  <c r="Q23" i="293" s="1"/>
  <c r="D19" i="246"/>
  <c r="G35" i="293" s="1"/>
  <c r="Q35" i="293" s="1"/>
  <c r="D19" i="255"/>
  <c r="G44" i="293" s="1"/>
  <c r="Q44" i="293" s="1"/>
  <c r="D16" i="228" l="1"/>
  <c r="D20" i="158"/>
  <c r="D19" i="158"/>
  <c r="H13" i="291" s="1"/>
  <c r="R13" i="291" s="1"/>
  <c r="D19" i="196"/>
  <c r="H29" i="292" s="1"/>
  <c r="R27" i="291" l="1"/>
  <c r="D18" i="220"/>
  <c r="H53" i="292" s="1"/>
  <c r="R53" i="292" s="1"/>
  <c r="D22" i="288"/>
  <c r="D20" i="288"/>
  <c r="D23" i="266"/>
  <c r="D21" i="266"/>
  <c r="H55" i="292" l="1"/>
  <c r="P15" i="266"/>
  <c r="D19" i="239" l="1"/>
  <c r="G28" i="293" s="1"/>
  <c r="D19" i="279"/>
  <c r="G68" i="293" s="1"/>
  <c r="D19" i="271" l="1"/>
  <c r="G60" i="293" s="1"/>
  <c r="Q60" i="293" s="1"/>
  <c r="D19" i="230"/>
  <c r="G19" i="293" s="1"/>
  <c r="Q19" i="293" s="1"/>
  <c r="D15" i="224"/>
  <c r="G13" i="293" s="1"/>
  <c r="D20" i="265" l="1"/>
  <c r="D19" i="265"/>
  <c r="G54" i="293" s="1"/>
  <c r="Q54" i="293" s="1"/>
  <c r="D20" i="226"/>
  <c r="D19" i="226"/>
  <c r="G15" i="293" s="1"/>
  <c r="D20" i="222"/>
  <c r="D19" i="222"/>
  <c r="G11" i="293" s="1"/>
  <c r="D19" i="260"/>
  <c r="G49" i="293" s="1"/>
  <c r="Q49" i="293" s="1"/>
  <c r="Q11" i="293" l="1"/>
  <c r="D20" i="223"/>
  <c r="D19" i="223"/>
  <c r="G12" i="293" s="1"/>
  <c r="D18" i="294" l="1"/>
  <c r="G80" i="293" s="1"/>
  <c r="Q80" i="293" s="1"/>
  <c r="G81" i="293" l="1"/>
  <c r="D17" i="232"/>
  <c r="F21" i="293" s="1"/>
  <c r="Q21" i="293" s="1"/>
  <c r="D17" i="279" l="1"/>
  <c r="F68" i="293" s="1"/>
  <c r="Q68" i="293" s="1"/>
  <c r="D18" i="286" l="1"/>
  <c r="D16" i="286"/>
  <c r="G15" i="227"/>
  <c r="G16" i="227"/>
  <c r="D18" i="247"/>
  <c r="I15" i="227" l="1"/>
  <c r="I16" i="227"/>
  <c r="D18" i="158" l="1"/>
  <c r="G21" i="171" l="1"/>
  <c r="G20" i="171"/>
  <c r="I20" i="171" s="1"/>
  <c r="G19" i="171"/>
  <c r="I19" i="171"/>
  <c r="I10" i="254"/>
  <c r="I11" i="254"/>
  <c r="I12" i="254"/>
  <c r="D17" i="262" l="1"/>
  <c r="F51" i="293" s="1"/>
  <c r="D17" i="226"/>
  <c r="F15" i="293" s="1"/>
  <c r="F81" i="293" l="1"/>
  <c r="Q15" i="293"/>
  <c r="D17" i="196"/>
  <c r="G29" i="292" s="1"/>
  <c r="G55" i="292" s="1"/>
  <c r="G39" i="288" l="1"/>
  <c r="G38" i="288"/>
  <c r="G37" i="288"/>
  <c r="G36" i="288"/>
  <c r="G35" i="288"/>
  <c r="G34" i="288"/>
  <c r="G33" i="288"/>
  <c r="G32" i="288"/>
  <c r="G31" i="288"/>
  <c r="G30" i="288"/>
  <c r="G29" i="288"/>
  <c r="G28" i="288"/>
  <c r="G27" i="288"/>
  <c r="G26" i="288"/>
  <c r="G25" i="288"/>
  <c r="G24" i="288"/>
  <c r="G23" i="288"/>
  <c r="G22" i="288"/>
  <c r="G21" i="288"/>
  <c r="G20" i="288"/>
  <c r="G19" i="288"/>
  <c r="G18" i="288"/>
  <c r="G17" i="288"/>
  <c r="G16" i="288"/>
  <c r="R77" i="293" s="1"/>
  <c r="S77" i="293" s="1"/>
  <c r="G15" i="288"/>
  <c r="D16" i="164" l="1"/>
  <c r="D15" i="250" l="1"/>
  <c r="E39" i="293" s="1"/>
  <c r="Q39" i="293" s="1"/>
  <c r="D16" i="270"/>
  <c r="D16" i="158"/>
  <c r="D15" i="262" l="1"/>
  <c r="E51" i="293" s="1"/>
  <c r="Q51" i="293" s="1"/>
  <c r="D15" i="239"/>
  <c r="E28" i="293" s="1"/>
  <c r="Q28" i="293" s="1"/>
  <c r="D15" i="223"/>
  <c r="E12" i="293" s="1"/>
  <c r="D15" i="196"/>
  <c r="F29" i="292" s="1"/>
  <c r="D15" i="259"/>
  <c r="E48" i="293" s="1"/>
  <c r="Q48" i="293" s="1"/>
  <c r="D11" i="224"/>
  <c r="E13" i="293" s="1"/>
  <c r="Q13" i="293" s="1"/>
  <c r="G10" i="41"/>
  <c r="I10" i="41" s="1"/>
  <c r="G40" i="270"/>
  <c r="E81" i="293" l="1"/>
  <c r="Q12" i="293"/>
  <c r="R29" i="292"/>
  <c r="F55" i="292"/>
  <c r="A12" i="293"/>
  <c r="A13" i="293" s="1"/>
  <c r="A14" i="293" s="1"/>
  <c r="A15" i="293" s="1"/>
  <c r="A16" i="293" s="1"/>
  <c r="A17" i="293" s="1"/>
  <c r="A18" i="293" s="1"/>
  <c r="A19" i="293" s="1"/>
  <c r="A20" i="293" s="1"/>
  <c r="A21" i="293" s="1"/>
  <c r="A22" i="293" s="1"/>
  <c r="A23" i="293" s="1"/>
  <c r="A24" i="293" s="1"/>
  <c r="A25" i="293" s="1"/>
  <c r="A26" i="293" s="1"/>
  <c r="A27" i="293" s="1"/>
  <c r="A28" i="293" s="1"/>
  <c r="A29" i="293" s="1"/>
  <c r="A30" i="293" s="1"/>
  <c r="A31" i="293" s="1"/>
  <c r="A32" i="293" s="1"/>
  <c r="A33" i="293" s="1"/>
  <c r="A34" i="293" s="1"/>
  <c r="A35" i="293" s="1"/>
  <c r="A36" i="293" s="1"/>
  <c r="A37" i="293" s="1"/>
  <c r="A38" i="293" s="1"/>
  <c r="A39" i="293" s="1"/>
  <c r="A40" i="293" s="1"/>
  <c r="A41" i="293" s="1"/>
  <c r="A42" i="293" s="1"/>
  <c r="A43" i="293" s="1"/>
  <c r="A44" i="293" s="1"/>
  <c r="A45" i="293" s="1"/>
  <c r="A46" i="293" s="1"/>
  <c r="A47" i="293" s="1"/>
  <c r="A48" i="293" s="1"/>
  <c r="A49" i="293" s="1"/>
  <c r="A50" i="293" s="1"/>
  <c r="A51" i="293" s="1"/>
  <c r="A52" i="293" s="1"/>
  <c r="A53" i="293" s="1"/>
  <c r="A54" i="293" s="1"/>
  <c r="A55" i="293" s="1"/>
  <c r="A56" i="293" s="1"/>
  <c r="A57" i="293" s="1"/>
  <c r="A58" i="293" s="1"/>
  <c r="A59" i="293" s="1"/>
  <c r="A60" i="293" s="1"/>
  <c r="A61" i="293" s="1"/>
  <c r="A62" i="293" s="1"/>
  <c r="A63" i="293" s="1"/>
  <c r="A64" i="293" s="1"/>
  <c r="A65" i="293" s="1"/>
  <c r="A66" i="293" s="1"/>
  <c r="A67" i="293" s="1"/>
  <c r="A68" i="293" s="1"/>
  <c r="A69" i="293" s="1"/>
  <c r="A70" i="293" s="1"/>
  <c r="A71" i="293" s="1"/>
  <c r="A72" i="293" s="1"/>
  <c r="A73" i="293" s="1"/>
  <c r="A74" i="293" s="1"/>
  <c r="A75" i="293" s="1"/>
  <c r="A76" i="293" s="1"/>
  <c r="A77" i="293" s="1"/>
  <c r="A78" i="293" s="1"/>
  <c r="A79" i="293" s="1"/>
  <c r="B7" i="292"/>
  <c r="B8" i="292" s="1"/>
  <c r="B9" i="292" s="1"/>
  <c r="B10" i="292" s="1"/>
  <c r="B11" i="292" s="1"/>
  <c r="B12" i="292" s="1"/>
  <c r="A9" i="291"/>
  <c r="A10" i="291" s="1"/>
  <c r="A11" i="291" s="1"/>
  <c r="A12" i="291" s="1"/>
  <c r="A13" i="291" s="1"/>
  <c r="A14" i="291" s="1"/>
  <c r="A15" i="291" s="1"/>
  <c r="A16" i="291" s="1"/>
  <c r="A17" i="291" s="1"/>
  <c r="A19" i="291" s="1"/>
  <c r="A20" i="291" s="1"/>
  <c r="A21" i="291" s="1"/>
  <c r="A22" i="291" s="1"/>
  <c r="A23" i="291" s="1"/>
  <c r="A24" i="291" s="1"/>
  <c r="A25" i="291" s="1"/>
  <c r="A26" i="291" s="1"/>
  <c r="Q81" i="293" l="1"/>
  <c r="B14" i="292"/>
  <c r="B15" i="292" s="1"/>
  <c r="B16" i="292" s="1"/>
  <c r="B17" i="292" s="1"/>
  <c r="B18" i="292" s="1"/>
  <c r="B19" i="292" s="1"/>
  <c r="B20" i="292" s="1"/>
  <c r="B21" i="292" s="1"/>
  <c r="B22" i="292" s="1"/>
  <c r="B23" i="292" s="1"/>
  <c r="B24" i="292" s="1"/>
  <c r="B25" i="292" s="1"/>
  <c r="B26" i="292" s="1"/>
  <c r="B27" i="292" s="1"/>
  <c r="B28" i="292" s="1"/>
  <c r="B29" i="292" s="1"/>
  <c r="B30" i="292" s="1"/>
  <c r="B31" i="292" s="1"/>
  <c r="B32" i="292" s="1"/>
  <c r="B33" i="292" s="1"/>
  <c r="B34" i="292" s="1"/>
  <c r="B35" i="292" s="1"/>
  <c r="B36" i="292" s="1"/>
  <c r="B37" i="292" s="1"/>
  <c r="B38" i="292" s="1"/>
  <c r="B39" i="292" s="1"/>
  <c r="B40" i="292" s="1"/>
  <c r="B41" i="292" s="1"/>
  <c r="B42" i="292" s="1"/>
  <c r="B43" i="292" s="1"/>
  <c r="B44" i="292" s="1"/>
  <c r="B45" i="292" s="1"/>
  <c r="B46" i="292" s="1"/>
  <c r="B47" i="292" s="1"/>
  <c r="B48" i="292" s="1"/>
  <c r="B49" i="292" s="1"/>
  <c r="B50" i="292" s="1"/>
  <c r="B51" i="292" s="1"/>
  <c r="B52" i="292" s="1"/>
  <c r="B53" i="292" s="1"/>
  <c r="B54" i="292" s="1"/>
  <c r="B13" i="292"/>
  <c r="G37" i="254"/>
  <c r="G17" i="289" l="1"/>
  <c r="G19" i="289"/>
  <c r="G21" i="289"/>
  <c r="G23" i="289"/>
  <c r="G24" i="289"/>
  <c r="G25" i="289"/>
  <c r="G26" i="289"/>
  <c r="G27" i="289"/>
  <c r="G28" i="289"/>
  <c r="G29" i="289"/>
  <c r="G30" i="289"/>
  <c r="G31" i="289"/>
  <c r="G32" i="289"/>
  <c r="G33" i="289"/>
  <c r="I43" i="270" l="1"/>
  <c r="I42" i="270"/>
  <c r="G27" i="248"/>
  <c r="I27" i="248" s="1"/>
  <c r="G28" i="248"/>
  <c r="I28" i="248" s="1"/>
  <c r="G29" i="248"/>
  <c r="G22" i="289" l="1"/>
  <c r="G20" i="289"/>
  <c r="N18" i="219" l="1"/>
  <c r="O13" i="153"/>
  <c r="G18" i="289" l="1"/>
  <c r="G16" i="289"/>
  <c r="R78" i="293" s="1"/>
  <c r="S78" i="293" s="1"/>
  <c r="G23" i="273" l="1"/>
  <c r="G24" i="273"/>
  <c r="G21" i="201" l="1"/>
  <c r="G21" i="206" l="1"/>
  <c r="I21" i="206" s="1"/>
  <c r="G22" i="206"/>
  <c r="G25" i="206"/>
  <c r="G26" i="206"/>
  <c r="G27" i="206"/>
  <c r="I22" i="206"/>
  <c r="N18" i="286" l="1"/>
  <c r="G16" i="219" l="1"/>
  <c r="G17" i="219"/>
  <c r="G18" i="219"/>
  <c r="G39" i="295" l="1"/>
  <c r="I39" i="295" s="1"/>
  <c r="G38" i="295"/>
  <c r="I38" i="295" s="1"/>
  <c r="G37" i="295"/>
  <c r="I37" i="295" s="1"/>
  <c r="G36" i="295"/>
  <c r="I36" i="295" s="1"/>
  <c r="G35" i="295"/>
  <c r="I35" i="295" s="1"/>
  <c r="G34" i="295"/>
  <c r="I34" i="295" s="1"/>
  <c r="G33" i="295"/>
  <c r="I33" i="295" s="1"/>
  <c r="G32" i="295"/>
  <c r="I32" i="295" s="1"/>
  <c r="G31" i="295"/>
  <c r="I31" i="295" s="1"/>
  <c r="G30" i="295"/>
  <c r="I30" i="295" s="1"/>
  <c r="G29" i="295"/>
  <c r="I29" i="295" s="1"/>
  <c r="G28" i="295"/>
  <c r="I28" i="295" s="1"/>
  <c r="G27" i="295"/>
  <c r="I27" i="295" s="1"/>
  <c r="G26" i="295"/>
  <c r="I26" i="295" s="1"/>
  <c r="G25" i="295"/>
  <c r="I25" i="295" s="1"/>
  <c r="G24" i="295"/>
  <c r="I24" i="295" s="1"/>
  <c r="G23" i="295"/>
  <c r="I23" i="295" s="1"/>
  <c r="G22" i="295"/>
  <c r="I22" i="295" s="1"/>
  <c r="G21" i="295"/>
  <c r="I21" i="295" s="1"/>
  <c r="G20" i="295"/>
  <c r="I20" i="295" s="1"/>
  <c r="G19" i="295"/>
  <c r="I19" i="295" s="1"/>
  <c r="G18" i="295"/>
  <c r="I18" i="295" s="1"/>
  <c r="G17" i="295"/>
  <c r="I17" i="295" s="1"/>
  <c r="G16" i="295"/>
  <c r="I16" i="295" s="1"/>
  <c r="G15" i="295"/>
  <c r="I15" i="295" s="1"/>
  <c r="G14" i="295"/>
  <c r="I13" i="295"/>
  <c r="I12" i="295"/>
  <c r="I11" i="295"/>
  <c r="I10" i="295"/>
  <c r="B6" i="295"/>
  <c r="B5" i="295"/>
  <c r="B4" i="295"/>
  <c r="B3" i="295"/>
  <c r="I14" i="295" l="1"/>
  <c r="H14" i="295"/>
  <c r="H15" i="295"/>
  <c r="H16" i="295" s="1"/>
  <c r="H17" i="295" s="1"/>
  <c r="H18" i="295" s="1"/>
  <c r="H19" i="295" s="1"/>
  <c r="H20" i="295" s="1"/>
  <c r="H21" i="295" s="1"/>
  <c r="H22" i="295" s="1"/>
  <c r="H23" i="295" s="1"/>
  <c r="H24" i="295" s="1"/>
  <c r="H25" i="295" s="1"/>
  <c r="H26" i="295" s="1"/>
  <c r="H27" i="295" s="1"/>
  <c r="H28" i="295" s="1"/>
  <c r="H29" i="295" s="1"/>
  <c r="H30" i="295" s="1"/>
  <c r="H31" i="295" s="1"/>
  <c r="H32" i="295" s="1"/>
  <c r="H33" i="295" s="1"/>
  <c r="H34" i="295" s="1"/>
  <c r="H35" i="295" s="1"/>
  <c r="H36" i="295" s="1"/>
  <c r="H37" i="295" s="1"/>
  <c r="H38" i="295" s="1"/>
  <c r="H39" i="295" s="1"/>
  <c r="I14" i="241" l="1"/>
  <c r="I14" i="240"/>
  <c r="I14" i="239"/>
  <c r="I14" i="238"/>
  <c r="I40" i="264"/>
  <c r="G40" i="251"/>
  <c r="I40" i="251" s="1"/>
  <c r="I39" i="231"/>
  <c r="I40" i="231"/>
  <c r="I13" i="294"/>
  <c r="I14" i="290"/>
  <c r="I14" i="289"/>
  <c r="I14" i="288"/>
  <c r="I14" i="286"/>
  <c r="I14" i="285"/>
  <c r="I14" i="284"/>
  <c r="I14" i="283"/>
  <c r="I14" i="282"/>
  <c r="I14" i="281"/>
  <c r="I14" i="280"/>
  <c r="I14" i="279"/>
  <c r="I14" i="278"/>
  <c r="I14" i="277"/>
  <c r="I14" i="276"/>
  <c r="I14" i="275"/>
  <c r="I14" i="274"/>
  <c r="I14" i="273"/>
  <c r="I14" i="272"/>
  <c r="I14" i="271"/>
  <c r="I14" i="270"/>
  <c r="I14" i="269"/>
  <c r="I14" i="268"/>
  <c r="I14" i="267"/>
  <c r="I15" i="266"/>
  <c r="I14" i="265"/>
  <c r="I14" i="264"/>
  <c r="I14" i="263"/>
  <c r="I14" i="262"/>
  <c r="I14" i="261"/>
  <c r="I14" i="260"/>
  <c r="I14" i="259"/>
  <c r="I14" i="258"/>
  <c r="I14" i="257"/>
  <c r="I14" i="256"/>
  <c r="I14" i="255"/>
  <c r="I14" i="253"/>
  <c r="I14" i="252"/>
  <c r="G14" i="251"/>
  <c r="H14" i="251" s="1"/>
  <c r="I14" i="250"/>
  <c r="G14" i="249"/>
  <c r="H14" i="249" s="1"/>
  <c r="I14" i="248"/>
  <c r="I14" i="247"/>
  <c r="I14" i="246"/>
  <c r="I14" i="245"/>
  <c r="I14" i="244"/>
  <c r="I14" i="243"/>
  <c r="I14" i="242"/>
  <c r="I14" i="237"/>
  <c r="I14" i="236"/>
  <c r="I14" i="235"/>
  <c r="I14" i="234"/>
  <c r="I14" i="233"/>
  <c r="I14" i="232"/>
  <c r="I14" i="231"/>
  <c r="I14" i="230"/>
  <c r="I14" i="229"/>
  <c r="I14" i="228"/>
  <c r="G14" i="227"/>
  <c r="H14" i="227" s="1"/>
  <c r="H15" i="227" s="1"/>
  <c r="H16" i="227" s="1"/>
  <c r="I14" i="227"/>
  <c r="I14" i="226"/>
  <c r="I14" i="225"/>
  <c r="I14" i="251" l="1"/>
  <c r="I14" i="249"/>
  <c r="I40" i="215"/>
  <c r="I41" i="215"/>
  <c r="I40" i="202"/>
  <c r="I41" i="202"/>
  <c r="I41" i="193"/>
  <c r="I40" i="191"/>
  <c r="I41" i="191"/>
  <c r="I39" i="185"/>
  <c r="I40" i="185"/>
  <c r="I41" i="185"/>
  <c r="I40" i="184"/>
  <c r="I41" i="184"/>
  <c r="I41" i="183"/>
  <c r="I40" i="181"/>
  <c r="I41" i="181"/>
  <c r="I41" i="180"/>
  <c r="I41" i="176"/>
  <c r="I41" i="174"/>
  <c r="I41" i="172"/>
  <c r="I41" i="166"/>
  <c r="I41" i="165"/>
  <c r="I41" i="170"/>
  <c r="I41" i="161"/>
  <c r="I41" i="158"/>
  <c r="I14" i="222"/>
  <c r="G14" i="221"/>
  <c r="H14" i="221" s="1"/>
  <c r="I13" i="220"/>
  <c r="I14" i="219"/>
  <c r="G14" i="218"/>
  <c r="I14" i="218" s="1"/>
  <c r="H14" i="218"/>
  <c r="G14" i="217"/>
  <c r="H14" i="217" s="1"/>
  <c r="I14" i="217"/>
  <c r="I14" i="216"/>
  <c r="I14" i="215"/>
  <c r="G14" i="214"/>
  <c r="H14" i="214" s="1"/>
  <c r="I14" i="214"/>
  <c r="I14" i="213"/>
  <c r="I14" i="212"/>
  <c r="I14" i="211"/>
  <c r="I14" i="210"/>
  <c r="I14" i="209"/>
  <c r="G14" i="208"/>
  <c r="H14" i="208" s="1"/>
  <c r="I14" i="207"/>
  <c r="I14" i="206"/>
  <c r="I14" i="205"/>
  <c r="I14" i="204"/>
  <c r="I14" i="203"/>
  <c r="I14" i="202"/>
  <c r="I14" i="201"/>
  <c r="I14" i="200"/>
  <c r="I14" i="199"/>
  <c r="I14" i="198"/>
  <c r="I14" i="197"/>
  <c r="I14" i="196"/>
  <c r="I14" i="194"/>
  <c r="I14" i="193"/>
  <c r="I14" i="192"/>
  <c r="I14" i="191"/>
  <c r="I14" i="190"/>
  <c r="G14" i="189"/>
  <c r="H14" i="189"/>
  <c r="I14" i="189"/>
  <c r="I14" i="188"/>
  <c r="G14" i="187"/>
  <c r="H14" i="187" s="1"/>
  <c r="I14" i="187"/>
  <c r="I14" i="186"/>
  <c r="I14" i="185"/>
  <c r="I14" i="184"/>
  <c r="I14" i="183"/>
  <c r="I14" i="182"/>
  <c r="I14" i="181"/>
  <c r="I14" i="180"/>
  <c r="I14" i="177"/>
  <c r="I14" i="176"/>
  <c r="I16" i="175"/>
  <c r="I14" i="174"/>
  <c r="I14" i="173"/>
  <c r="I14" i="172"/>
  <c r="I16" i="171"/>
  <c r="I14" i="169"/>
  <c r="I14" i="168"/>
  <c r="I14" i="167"/>
  <c r="I14" i="166"/>
  <c r="I14" i="165"/>
  <c r="I14" i="164"/>
  <c r="G14" i="163"/>
  <c r="H14" i="163" s="1"/>
  <c r="I14" i="170"/>
  <c r="I14" i="161"/>
  <c r="I14" i="159"/>
  <c r="I14" i="158"/>
  <c r="I14" i="157"/>
  <c r="I14" i="156"/>
  <c r="I14" i="154"/>
  <c r="I14" i="208" l="1"/>
  <c r="I14" i="221"/>
  <c r="I14" i="163"/>
  <c r="G27" i="225"/>
  <c r="G28" i="225"/>
  <c r="G29" i="225"/>
  <c r="G30" i="225"/>
  <c r="I27" i="225"/>
  <c r="I28" i="225"/>
  <c r="G39" i="294" l="1"/>
  <c r="I39" i="294" s="1"/>
  <c r="G38" i="294"/>
  <c r="I38" i="294" s="1"/>
  <c r="G37" i="294"/>
  <c r="I37" i="294" s="1"/>
  <c r="G36" i="294"/>
  <c r="I36" i="294" s="1"/>
  <c r="G35" i="294"/>
  <c r="I35" i="294" s="1"/>
  <c r="G34" i="294"/>
  <c r="I34" i="294" s="1"/>
  <c r="G33" i="294"/>
  <c r="I33" i="294" s="1"/>
  <c r="G32" i="294"/>
  <c r="I32" i="294" s="1"/>
  <c r="G31" i="294"/>
  <c r="I31" i="294" s="1"/>
  <c r="G30" i="294"/>
  <c r="I30" i="294" s="1"/>
  <c r="G29" i="294"/>
  <c r="I29" i="294" s="1"/>
  <c r="G28" i="294"/>
  <c r="I28" i="294" s="1"/>
  <c r="G27" i="294"/>
  <c r="I27" i="294" s="1"/>
  <c r="G26" i="294"/>
  <c r="I26" i="294" s="1"/>
  <c r="G25" i="294"/>
  <c r="I25" i="294" s="1"/>
  <c r="G24" i="294"/>
  <c r="I24" i="294" s="1"/>
  <c r="G23" i="294"/>
  <c r="I23" i="294" s="1"/>
  <c r="G22" i="294"/>
  <c r="I22" i="294" s="1"/>
  <c r="G21" i="294"/>
  <c r="I21" i="294" s="1"/>
  <c r="G20" i="294"/>
  <c r="I20" i="294" s="1"/>
  <c r="G19" i="294"/>
  <c r="I19" i="294" s="1"/>
  <c r="G18" i="294"/>
  <c r="I18" i="294" s="1"/>
  <c r="G17" i="294"/>
  <c r="I17" i="294" s="1"/>
  <c r="G16" i="294"/>
  <c r="I16" i="294" s="1"/>
  <c r="G15" i="294"/>
  <c r="G14" i="294"/>
  <c r="I14" i="294" s="1"/>
  <c r="I12" i="294"/>
  <c r="I11" i="294"/>
  <c r="I10" i="294"/>
  <c r="B6" i="294"/>
  <c r="B5" i="294"/>
  <c r="B4" i="294"/>
  <c r="B3" i="294"/>
  <c r="I15" i="294" l="1"/>
  <c r="R80" i="293"/>
  <c r="S80" i="293" s="1"/>
  <c r="H14" i="294"/>
  <c r="H15" i="294" s="1"/>
  <c r="H16" i="294" s="1"/>
  <c r="H17" i="294" s="1"/>
  <c r="H18" i="294" s="1"/>
  <c r="H19" i="294" s="1"/>
  <c r="H20" i="294" s="1"/>
  <c r="H21" i="294" s="1"/>
  <c r="H22" i="294" s="1"/>
  <c r="H23" i="294" s="1"/>
  <c r="H24" i="294" s="1"/>
  <c r="H25" i="294" s="1"/>
  <c r="H26" i="294" s="1"/>
  <c r="H27" i="294" s="1"/>
  <c r="H28" i="294" s="1"/>
  <c r="H29" i="294" s="1"/>
  <c r="H30" i="294" s="1"/>
  <c r="H31" i="294" s="1"/>
  <c r="H32" i="294" s="1"/>
  <c r="H33" i="294" s="1"/>
  <c r="H34" i="294" s="1"/>
  <c r="H35" i="294" s="1"/>
  <c r="H36" i="294" s="1"/>
  <c r="H37" i="294" s="1"/>
  <c r="H38" i="294" s="1"/>
  <c r="H39" i="294" s="1"/>
  <c r="G19" i="206" l="1"/>
  <c r="G20" i="206"/>
  <c r="I20" i="206" s="1"/>
  <c r="I19" i="206"/>
  <c r="G19" i="196" l="1"/>
  <c r="I19" i="196" s="1"/>
  <c r="G20" i="196"/>
  <c r="I20" i="196" s="1"/>
  <c r="G21" i="175" l="1"/>
  <c r="G22" i="175"/>
  <c r="G23" i="175"/>
  <c r="G24" i="175"/>
  <c r="I21" i="175"/>
  <c r="I22" i="175"/>
  <c r="G35" i="210" l="1"/>
  <c r="G36" i="210"/>
  <c r="G37" i="210"/>
  <c r="G38" i="210"/>
  <c r="I35" i="210"/>
  <c r="I36" i="210"/>
  <c r="G37" i="198" l="1"/>
  <c r="I37" i="198" s="1"/>
  <c r="G38" i="198"/>
  <c r="G39" i="198"/>
  <c r="G40" i="198"/>
  <c r="I38" i="198"/>
  <c r="E10" i="292" l="1"/>
  <c r="R10" i="292" s="1"/>
  <c r="R55" i="292" l="1"/>
  <c r="I41" i="270"/>
  <c r="G31" i="257"/>
  <c r="G32" i="257"/>
  <c r="G33" i="257"/>
  <c r="G34" i="257"/>
  <c r="I31" i="257"/>
  <c r="I32" i="257"/>
  <c r="G33" i="216"/>
  <c r="G31" i="216"/>
  <c r="I31" i="216" s="1"/>
  <c r="G32" i="216"/>
  <c r="I32" i="216"/>
  <c r="G29" i="197" l="1"/>
  <c r="G30" i="197"/>
  <c r="I30" i="197" s="1"/>
  <c r="G31" i="197"/>
  <c r="I29" i="197"/>
  <c r="G29" i="203" l="1"/>
  <c r="I29" i="203" s="1"/>
  <c r="G30" i="203"/>
  <c r="I30" i="203" s="1"/>
  <c r="G31" i="203"/>
  <c r="G32" i="203"/>
  <c r="G33" i="203"/>
  <c r="G25" i="256" l="1"/>
  <c r="I25" i="256" s="1"/>
  <c r="G26" i="256"/>
  <c r="I26" i="256" s="1"/>
  <c r="G27" i="256"/>
  <c r="G28" i="256"/>
  <c r="G25" i="246" l="1"/>
  <c r="G26" i="246"/>
  <c r="I26" i="246" s="1"/>
  <c r="G27" i="246"/>
  <c r="I25" i="246"/>
  <c r="G21" i="182" l="1"/>
  <c r="G22" i="182"/>
  <c r="I22" i="182" s="1"/>
  <c r="G23" i="182"/>
  <c r="G24" i="182"/>
  <c r="G25" i="182"/>
  <c r="G26" i="182"/>
  <c r="G27" i="182"/>
  <c r="I21" i="182"/>
  <c r="G20" i="278" l="1"/>
  <c r="G21" i="278"/>
  <c r="G22" i="278"/>
  <c r="G23" i="278"/>
  <c r="I23" i="278" s="1"/>
  <c r="G24" i="278"/>
  <c r="G25" i="278"/>
  <c r="I24" i="278"/>
  <c r="I21" i="278" l="1"/>
  <c r="I22" i="278"/>
  <c r="G16" i="185" l="1"/>
  <c r="G17" i="185"/>
  <c r="G18" i="185"/>
  <c r="G16" i="252" l="1"/>
  <c r="G17" i="252"/>
  <c r="G18" i="252"/>
  <c r="G19" i="252"/>
  <c r="I12" i="159" l="1"/>
  <c r="G17" i="171" l="1"/>
  <c r="I17" i="171" s="1"/>
  <c r="G18" i="171"/>
  <c r="I18" i="171" l="1"/>
  <c r="G15" i="175"/>
  <c r="G17" i="175"/>
  <c r="G18" i="175"/>
  <c r="G19" i="175"/>
  <c r="G20" i="175"/>
  <c r="I17" i="175"/>
  <c r="I18" i="175"/>
  <c r="I12" i="290" l="1"/>
  <c r="I12" i="289"/>
  <c r="I12" i="288"/>
  <c r="G22" i="287"/>
  <c r="G23" i="287"/>
  <c r="I12" i="287"/>
  <c r="I12" i="286"/>
  <c r="I12" i="285"/>
  <c r="I12" i="284"/>
  <c r="I12" i="283"/>
  <c r="I12" i="282"/>
  <c r="I12" i="281"/>
  <c r="I12" i="280"/>
  <c r="I12" i="279"/>
  <c r="I12" i="278"/>
  <c r="I12" i="277"/>
  <c r="I12" i="276"/>
  <c r="I12" i="275"/>
  <c r="I12" i="274"/>
  <c r="I12" i="273"/>
  <c r="I12" i="272"/>
  <c r="I12" i="271"/>
  <c r="I12" i="270"/>
  <c r="I12" i="269"/>
  <c r="I12" i="268"/>
  <c r="I12" i="267"/>
  <c r="I13" i="266"/>
  <c r="I12" i="265"/>
  <c r="I12" i="264"/>
  <c r="I12" i="263"/>
  <c r="I12" i="262"/>
  <c r="I12" i="261"/>
  <c r="I12" i="260"/>
  <c r="I12" i="259"/>
  <c r="I12" i="258"/>
  <c r="I12" i="257"/>
  <c r="I12" i="256"/>
  <c r="I12" i="255"/>
  <c r="I12" i="253"/>
  <c r="I12" i="252"/>
  <c r="G12" i="251"/>
  <c r="H12" i="251" s="1"/>
  <c r="I12" i="251"/>
  <c r="I12" i="250"/>
  <c r="G12" i="249"/>
  <c r="I12" i="249" s="1"/>
  <c r="I12" i="248"/>
  <c r="I12" i="247"/>
  <c r="I12" i="246"/>
  <c r="I12" i="245"/>
  <c r="I12" i="244"/>
  <c r="I12" i="243"/>
  <c r="I12" i="242"/>
  <c r="I12" i="241"/>
  <c r="I12" i="240"/>
  <c r="I12" i="239"/>
  <c r="I12" i="238"/>
  <c r="I12" i="237"/>
  <c r="I12" i="236"/>
  <c r="I12" i="235"/>
  <c r="I12" i="234"/>
  <c r="I12" i="233"/>
  <c r="I12" i="232"/>
  <c r="I12" i="231"/>
  <c r="I12" i="230" l="1"/>
  <c r="I12" i="229"/>
  <c r="I12" i="228"/>
  <c r="G12" i="227"/>
  <c r="I12" i="227" s="1"/>
  <c r="I12" i="226"/>
  <c r="I12" i="225"/>
  <c r="I12" i="222" l="1"/>
  <c r="G12" i="221"/>
  <c r="H12" i="221" s="1"/>
  <c r="I12" i="221"/>
  <c r="I11" i="220"/>
  <c r="I12" i="219"/>
  <c r="G12" i="218"/>
  <c r="H12" i="218" s="1"/>
  <c r="I12" i="218"/>
  <c r="G12" i="217"/>
  <c r="H12" i="217" s="1"/>
  <c r="I12" i="216"/>
  <c r="I12" i="215"/>
  <c r="G12" i="214"/>
  <c r="H12" i="214" s="1"/>
  <c r="I12" i="213"/>
  <c r="I12" i="212"/>
  <c r="I12" i="211"/>
  <c r="I12" i="210"/>
  <c r="I12" i="209"/>
  <c r="G12" i="208"/>
  <c r="I12" i="208" s="1"/>
  <c r="I12" i="207"/>
  <c r="I12" i="206"/>
  <c r="I12" i="205"/>
  <c r="I12" i="204"/>
  <c r="I12" i="203"/>
  <c r="I12" i="202"/>
  <c r="I12" i="201"/>
  <c r="I12" i="200"/>
  <c r="I12" i="199"/>
  <c r="I12" i="198"/>
  <c r="I12" i="197"/>
  <c r="I12" i="196"/>
  <c r="I12" i="194"/>
  <c r="I12" i="193"/>
  <c r="I12" i="192"/>
  <c r="I12" i="191"/>
  <c r="I12" i="190"/>
  <c r="G12" i="189"/>
  <c r="I12" i="189" s="1"/>
  <c r="I12" i="188"/>
  <c r="G12" i="187"/>
  <c r="H12" i="187" s="1"/>
  <c r="I12" i="186"/>
  <c r="I12" i="185"/>
  <c r="I12" i="184"/>
  <c r="I12" i="183"/>
  <c r="I12" i="182"/>
  <c r="I12" i="181"/>
  <c r="I12" i="180"/>
  <c r="I12" i="177"/>
  <c r="I12" i="176"/>
  <c r="I12" i="174"/>
  <c r="I12" i="173"/>
  <c r="I12" i="172"/>
  <c r="I12" i="171"/>
  <c r="I12" i="169"/>
  <c r="I12" i="168"/>
  <c r="I12" i="167"/>
  <c r="I12" i="166"/>
  <c r="I12" i="165"/>
  <c r="I12" i="164"/>
  <c r="G12" i="163"/>
  <c r="H12" i="163" s="1"/>
  <c r="I12" i="170"/>
  <c r="I12" i="161"/>
  <c r="I12" i="158"/>
  <c r="I12" i="157"/>
  <c r="I12" i="156"/>
  <c r="I12" i="154"/>
  <c r="I12" i="217" l="1"/>
  <c r="I12" i="214"/>
  <c r="I12" i="187"/>
  <c r="I12" i="163"/>
  <c r="G43" i="187"/>
  <c r="Q151" i="293" l="1"/>
  <c r="P151" i="293"/>
  <c r="P155" i="293" s="1"/>
  <c r="P141" i="293" l="1"/>
  <c r="D127" i="293" l="1"/>
  <c r="D117" i="293"/>
  <c r="D116" i="293"/>
  <c r="D115" i="293"/>
  <c r="D112" i="293"/>
  <c r="D111" i="293"/>
  <c r="D110" i="293"/>
  <c r="D108" i="293"/>
  <c r="D107" i="293"/>
  <c r="D106" i="293"/>
  <c r="D126" i="293" l="1"/>
  <c r="G27" i="291" l="1"/>
  <c r="G33" i="187" l="1"/>
  <c r="I33" i="187" s="1"/>
  <c r="G34" i="187"/>
  <c r="I34" i="187" s="1"/>
  <c r="G34" i="200" l="1"/>
  <c r="I34" i="200" s="1"/>
  <c r="G35" i="200"/>
  <c r="I35" i="200" s="1"/>
  <c r="G36" i="200"/>
  <c r="I36" i="200" s="1"/>
  <c r="G37" i="200"/>
  <c r="I37" i="200" s="1"/>
  <c r="G38" i="200"/>
  <c r="G39" i="200"/>
  <c r="I39" i="200" s="1"/>
  <c r="G40" i="200"/>
  <c r="G41" i="200"/>
  <c r="I38" i="200"/>
  <c r="I40" i="200"/>
  <c r="I41" i="200"/>
  <c r="I39" i="169" l="1"/>
  <c r="I40" i="169"/>
  <c r="G35" i="197"/>
  <c r="I35" i="197" s="1"/>
  <c r="G36" i="197"/>
  <c r="I36" i="197" s="1"/>
  <c r="G37" i="197"/>
  <c r="G31" i="200" l="1"/>
  <c r="I31" i="200" s="1"/>
  <c r="G32" i="200"/>
  <c r="I32" i="200" s="1"/>
  <c r="G33" i="200"/>
  <c r="I33" i="200" s="1"/>
  <c r="G29" i="272" l="1"/>
  <c r="I29" i="272" s="1"/>
  <c r="G30" i="272"/>
  <c r="I30" i="272" s="1"/>
  <c r="G31" i="272"/>
  <c r="G29" i="195" l="1"/>
  <c r="G30" i="195"/>
  <c r="G31" i="195"/>
  <c r="G32" i="195"/>
  <c r="G29" i="177" l="1"/>
  <c r="I29" i="177" s="1"/>
  <c r="G30" i="177"/>
  <c r="I30" i="177" s="1"/>
  <c r="G31" i="177"/>
  <c r="G29" i="276" l="1"/>
  <c r="I29" i="276" s="1"/>
  <c r="G30" i="276"/>
  <c r="I30" i="276" s="1"/>
  <c r="G31" i="276"/>
  <c r="G28" i="276"/>
  <c r="G24" i="189" l="1"/>
  <c r="G25" i="189"/>
  <c r="G26" i="189"/>
  <c r="G27" i="189"/>
  <c r="G28" i="189"/>
  <c r="G25" i="173" l="1"/>
  <c r="I25" i="173" s="1"/>
  <c r="G26" i="173"/>
  <c r="I26" i="173" s="1"/>
  <c r="G25" i="226" l="1"/>
  <c r="I25" i="226" s="1"/>
  <c r="G26" i="226"/>
  <c r="I26" i="226" s="1"/>
  <c r="G23" i="187" l="1"/>
  <c r="I23" i="187" s="1"/>
  <c r="G24" i="187"/>
  <c r="I24" i="187" l="1"/>
  <c r="G17" i="226"/>
  <c r="G18" i="226"/>
  <c r="G19" i="226"/>
  <c r="G20" i="226"/>
  <c r="I17" i="226"/>
  <c r="I18" i="226"/>
  <c r="G16" i="249" l="1"/>
  <c r="G17" i="249"/>
  <c r="G18" i="249"/>
  <c r="G19" i="249"/>
  <c r="G20" i="249"/>
  <c r="G21" i="249"/>
  <c r="G22" i="249"/>
  <c r="G23" i="249"/>
  <c r="G24" i="249"/>
  <c r="G25" i="249"/>
  <c r="G26" i="249"/>
  <c r="G27" i="249"/>
  <c r="G28" i="249"/>
  <c r="G29" i="249"/>
  <c r="G30" i="249"/>
  <c r="G31" i="249"/>
  <c r="R38" i="293" l="1"/>
  <c r="S38" i="293" s="1"/>
  <c r="G11" i="41"/>
  <c r="H11" i="41" s="1"/>
  <c r="G39" i="184" l="1"/>
  <c r="G38" i="184"/>
  <c r="G37" i="184"/>
  <c r="G36" i="184"/>
  <c r="G35" i="184"/>
  <c r="G34" i="184"/>
  <c r="G33" i="184"/>
  <c r="G32" i="184"/>
  <c r="G31" i="184"/>
  <c r="G30" i="184"/>
  <c r="G29" i="184"/>
  <c r="G28" i="184"/>
  <c r="G27" i="184"/>
  <c r="G26" i="184"/>
  <c r="G25" i="184"/>
  <c r="G24" i="184"/>
  <c r="G23" i="184"/>
  <c r="G22" i="184"/>
  <c r="G21" i="184"/>
  <c r="G20" i="184"/>
  <c r="G19" i="184"/>
  <c r="G18" i="184"/>
  <c r="G17" i="184"/>
  <c r="G16" i="184"/>
  <c r="G15" i="184"/>
  <c r="H15" i="184" s="1"/>
  <c r="S17" i="292" l="1"/>
  <c r="T17" i="292" s="1"/>
  <c r="H16" i="184"/>
  <c r="H17" i="184" s="1"/>
  <c r="H18" i="184" s="1"/>
  <c r="H19" i="184" s="1"/>
  <c r="H20" i="184" s="1"/>
  <c r="H21" i="184" s="1"/>
  <c r="H22" i="184" s="1"/>
  <c r="H23" i="184" s="1"/>
  <c r="H24" i="184" s="1"/>
  <c r="H25" i="184" s="1"/>
  <c r="H26" i="184" s="1"/>
  <c r="H27" i="184" s="1"/>
  <c r="H28" i="184" s="1"/>
  <c r="H29" i="184" s="1"/>
  <c r="H30" i="184" s="1"/>
  <c r="H31" i="184" s="1"/>
  <c r="H32" i="184" s="1"/>
  <c r="H33" i="184" s="1"/>
  <c r="H34" i="184" s="1"/>
  <c r="H35" i="184" s="1"/>
  <c r="H36" i="184" s="1"/>
  <c r="H37" i="184" s="1"/>
  <c r="H38" i="184" s="1"/>
  <c r="H39" i="184" s="1"/>
  <c r="G15" i="222"/>
  <c r="H15" i="222" s="1"/>
  <c r="G16" i="222"/>
  <c r="G17" i="222"/>
  <c r="H16" i="222" l="1"/>
  <c r="H17" i="222" s="1"/>
  <c r="G40" i="290"/>
  <c r="I40" i="290" s="1"/>
  <c r="G39" i="290"/>
  <c r="I39" i="290" s="1"/>
  <c r="G38" i="290"/>
  <c r="I38" i="290" s="1"/>
  <c r="G37" i="290"/>
  <c r="I37" i="290" s="1"/>
  <c r="G36" i="290"/>
  <c r="G35" i="290"/>
  <c r="G34" i="290"/>
  <c r="G33" i="290"/>
  <c r="G32" i="290"/>
  <c r="G31" i="290"/>
  <c r="G30" i="290"/>
  <c r="G29" i="290"/>
  <c r="G28" i="290"/>
  <c r="G27" i="290"/>
  <c r="G26" i="290"/>
  <c r="G25" i="290"/>
  <c r="G24" i="290"/>
  <c r="G23" i="290"/>
  <c r="G22" i="290"/>
  <c r="G21" i="290"/>
  <c r="G20" i="290"/>
  <c r="G19" i="290"/>
  <c r="G18" i="290"/>
  <c r="G17" i="290"/>
  <c r="G16" i="290"/>
  <c r="G15" i="290"/>
  <c r="H15" i="290" s="1"/>
  <c r="G40" i="289"/>
  <c r="I40" i="289" s="1"/>
  <c r="G39" i="289"/>
  <c r="I39" i="289" s="1"/>
  <c r="G38" i="289"/>
  <c r="I38" i="289" s="1"/>
  <c r="G37" i="289"/>
  <c r="I37" i="289" s="1"/>
  <c r="G36" i="289"/>
  <c r="G35" i="289"/>
  <c r="G34" i="289"/>
  <c r="G15" i="289"/>
  <c r="H15" i="289" s="1"/>
  <c r="H16" i="289" s="1"/>
  <c r="H17" i="289" s="1"/>
  <c r="H18" i="289" s="1"/>
  <c r="H19" i="289" s="1"/>
  <c r="H20" i="289" s="1"/>
  <c r="H21" i="289" s="1"/>
  <c r="H22" i="289" s="1"/>
  <c r="H23" i="289" s="1"/>
  <c r="H24" i="289" s="1"/>
  <c r="H25" i="289" s="1"/>
  <c r="H26" i="289" s="1"/>
  <c r="H27" i="289" s="1"/>
  <c r="H28" i="289" s="1"/>
  <c r="H29" i="289" s="1"/>
  <c r="H30" i="289" s="1"/>
  <c r="H31" i="289" s="1"/>
  <c r="I39" i="288"/>
  <c r="I38" i="288"/>
  <c r="I37" i="288"/>
  <c r="H15" i="288"/>
  <c r="G40" i="287"/>
  <c r="I40" i="287" s="1"/>
  <c r="G39" i="287"/>
  <c r="I39" i="287" s="1"/>
  <c r="G38" i="287"/>
  <c r="I38" i="287" s="1"/>
  <c r="G37" i="287"/>
  <c r="I37" i="287" s="1"/>
  <c r="G36" i="287"/>
  <c r="G35" i="287"/>
  <c r="G34" i="287"/>
  <c r="G33" i="287"/>
  <c r="G32" i="287"/>
  <c r="G31" i="287"/>
  <c r="G30" i="287"/>
  <c r="G29" i="287"/>
  <c r="G28" i="287"/>
  <c r="G27" i="287"/>
  <c r="G26" i="287"/>
  <c r="G25" i="287"/>
  <c r="G24" i="287"/>
  <c r="G21" i="287"/>
  <c r="G20" i="287"/>
  <c r="G19" i="287"/>
  <c r="G18" i="287"/>
  <c r="G17" i="287"/>
  <c r="G16" i="287"/>
  <c r="G15" i="287"/>
  <c r="H15" i="287" s="1"/>
  <c r="G40" i="286"/>
  <c r="I40" i="286" s="1"/>
  <c r="G39" i="286"/>
  <c r="I39" i="286" s="1"/>
  <c r="G38" i="286"/>
  <c r="I38" i="286" s="1"/>
  <c r="G37" i="286"/>
  <c r="I37" i="286" s="1"/>
  <c r="G36" i="286"/>
  <c r="G35" i="286"/>
  <c r="G34" i="286"/>
  <c r="G33" i="286"/>
  <c r="G32" i="286"/>
  <c r="G31" i="286"/>
  <c r="G30" i="286"/>
  <c r="G29" i="286"/>
  <c r="G28" i="286"/>
  <c r="G27" i="286"/>
  <c r="G26" i="286"/>
  <c r="G25" i="286"/>
  <c r="G24" i="286"/>
  <c r="G23" i="286"/>
  <c r="G22" i="286"/>
  <c r="G21" i="286"/>
  <c r="G20" i="286"/>
  <c r="G19" i="286"/>
  <c r="G18" i="286"/>
  <c r="G17" i="286"/>
  <c r="G16" i="286"/>
  <c r="R75" i="293" s="1"/>
  <c r="S75" i="293" s="1"/>
  <c r="G15" i="286"/>
  <c r="H15" i="286" s="1"/>
  <c r="G40" i="285"/>
  <c r="I40" i="285" s="1"/>
  <c r="G39" i="285"/>
  <c r="I39" i="285" s="1"/>
  <c r="G38" i="285"/>
  <c r="I38" i="285" s="1"/>
  <c r="G37" i="285"/>
  <c r="I37" i="285" s="1"/>
  <c r="G36" i="285"/>
  <c r="G35" i="285"/>
  <c r="G34" i="285"/>
  <c r="G33" i="285"/>
  <c r="G32" i="285"/>
  <c r="G31" i="285"/>
  <c r="G30" i="285"/>
  <c r="G29" i="285"/>
  <c r="G28" i="285"/>
  <c r="G27" i="285"/>
  <c r="G26" i="285"/>
  <c r="G25" i="285"/>
  <c r="G24" i="285"/>
  <c r="G23" i="285"/>
  <c r="G22" i="285"/>
  <c r="G21" i="285"/>
  <c r="G20" i="285"/>
  <c r="G19" i="285"/>
  <c r="G18" i="285"/>
  <c r="G17" i="285"/>
  <c r="G16" i="285"/>
  <c r="G15" i="285"/>
  <c r="H15" i="285" s="1"/>
  <c r="G40" i="284"/>
  <c r="I40" i="284" s="1"/>
  <c r="G39" i="284"/>
  <c r="I39" i="284" s="1"/>
  <c r="G38" i="284"/>
  <c r="I38" i="284" s="1"/>
  <c r="G37" i="284"/>
  <c r="I37" i="284" s="1"/>
  <c r="G36" i="284"/>
  <c r="G35" i="284"/>
  <c r="G34" i="284"/>
  <c r="G33" i="284"/>
  <c r="G32" i="284"/>
  <c r="G31" i="284"/>
  <c r="G30" i="284"/>
  <c r="G29" i="284"/>
  <c r="G28" i="284"/>
  <c r="G27" i="284"/>
  <c r="G26" i="284"/>
  <c r="G25" i="284"/>
  <c r="G24" i="284"/>
  <c r="G23" i="284"/>
  <c r="G22" i="284"/>
  <c r="G21" i="284"/>
  <c r="G20" i="284"/>
  <c r="G19" i="284"/>
  <c r="G18" i="284"/>
  <c r="G17" i="284"/>
  <c r="G16" i="284"/>
  <c r="R73" i="293" s="1"/>
  <c r="S73" i="293" s="1"/>
  <c r="G15" i="284"/>
  <c r="H15" i="284" s="1"/>
  <c r="G40" i="283"/>
  <c r="I40" i="283" s="1"/>
  <c r="G39" i="283"/>
  <c r="I39" i="283" s="1"/>
  <c r="G38" i="283"/>
  <c r="I38" i="283" s="1"/>
  <c r="G37" i="283"/>
  <c r="I37" i="283" s="1"/>
  <c r="G36" i="283"/>
  <c r="G35" i="283"/>
  <c r="G34" i="283"/>
  <c r="G33" i="283"/>
  <c r="G32" i="283"/>
  <c r="G31" i="283"/>
  <c r="G30" i="283"/>
  <c r="G29" i="283"/>
  <c r="G28" i="283"/>
  <c r="G27" i="283"/>
  <c r="G26" i="283"/>
  <c r="G25" i="283"/>
  <c r="G24" i="283"/>
  <c r="G23" i="283"/>
  <c r="G22" i="283"/>
  <c r="G21" i="283"/>
  <c r="G20" i="283"/>
  <c r="G19" i="283"/>
  <c r="G18" i="283"/>
  <c r="G17" i="283"/>
  <c r="G16" i="283"/>
  <c r="G15" i="283"/>
  <c r="H15" i="283" s="1"/>
  <c r="G40" i="282"/>
  <c r="I40" i="282" s="1"/>
  <c r="G39" i="282"/>
  <c r="I39" i="282" s="1"/>
  <c r="G38" i="282"/>
  <c r="I38" i="282" s="1"/>
  <c r="G37" i="282"/>
  <c r="I37" i="282" s="1"/>
  <c r="G36" i="282"/>
  <c r="G35" i="282"/>
  <c r="G34" i="282"/>
  <c r="G33" i="282"/>
  <c r="G32" i="282"/>
  <c r="G31" i="282"/>
  <c r="G30" i="282"/>
  <c r="G29" i="282"/>
  <c r="G28" i="282"/>
  <c r="G27" i="282"/>
  <c r="G26" i="282"/>
  <c r="G25" i="282"/>
  <c r="G24" i="282"/>
  <c r="G23" i="282"/>
  <c r="G22" i="282"/>
  <c r="G21" i="282"/>
  <c r="G20" i="282"/>
  <c r="G19" i="282"/>
  <c r="G18" i="282"/>
  <c r="G17" i="282"/>
  <c r="G16" i="282"/>
  <c r="R71" i="293" s="1"/>
  <c r="S71" i="293" s="1"/>
  <c r="G15" i="282"/>
  <c r="H15" i="282" s="1"/>
  <c r="G40" i="281"/>
  <c r="I40" i="281" s="1"/>
  <c r="G39" i="281"/>
  <c r="I39" i="281" s="1"/>
  <c r="G38" i="281"/>
  <c r="I38" i="281" s="1"/>
  <c r="G37" i="281"/>
  <c r="I37" i="281" s="1"/>
  <c r="G36" i="281"/>
  <c r="G35" i="281"/>
  <c r="G34" i="281"/>
  <c r="G33" i="281"/>
  <c r="G32" i="281"/>
  <c r="G31" i="281"/>
  <c r="G30" i="281"/>
  <c r="G29" i="281"/>
  <c r="G28" i="281"/>
  <c r="G27" i="281"/>
  <c r="G26" i="281"/>
  <c r="G25" i="281"/>
  <c r="G24" i="281"/>
  <c r="G23" i="281"/>
  <c r="G22" i="281"/>
  <c r="G21" i="281"/>
  <c r="G20" i="281"/>
  <c r="G19" i="281"/>
  <c r="G18" i="281"/>
  <c r="G17" i="281"/>
  <c r="G16" i="281"/>
  <c r="G15" i="281"/>
  <c r="H15" i="281" s="1"/>
  <c r="G40" i="280"/>
  <c r="I40" i="280" s="1"/>
  <c r="G39" i="280"/>
  <c r="I39" i="280" s="1"/>
  <c r="G38" i="280"/>
  <c r="I38" i="280" s="1"/>
  <c r="G37" i="280"/>
  <c r="I37" i="280" s="1"/>
  <c r="G36" i="280"/>
  <c r="G35" i="280"/>
  <c r="G34" i="280"/>
  <c r="G33" i="280"/>
  <c r="G32" i="280"/>
  <c r="G31" i="280"/>
  <c r="G30" i="280"/>
  <c r="G29" i="280"/>
  <c r="G28" i="280"/>
  <c r="G27" i="280"/>
  <c r="G26" i="280"/>
  <c r="G25" i="280"/>
  <c r="G24" i="280"/>
  <c r="G23" i="280"/>
  <c r="G22" i="280"/>
  <c r="G21" i="280"/>
  <c r="G20" i="280"/>
  <c r="G19" i="280"/>
  <c r="G18" i="280"/>
  <c r="G17" i="280"/>
  <c r="G16" i="280"/>
  <c r="R69" i="293" s="1"/>
  <c r="S69" i="293" s="1"/>
  <c r="G15" i="280"/>
  <c r="H15" i="280" s="1"/>
  <c r="G40" i="279"/>
  <c r="I40" i="279" s="1"/>
  <c r="G39" i="279"/>
  <c r="I39" i="279" s="1"/>
  <c r="G38" i="279"/>
  <c r="I38" i="279" s="1"/>
  <c r="G37" i="279"/>
  <c r="I37" i="279" s="1"/>
  <c r="G36" i="279"/>
  <c r="G35" i="279"/>
  <c r="G34" i="279"/>
  <c r="G33" i="279"/>
  <c r="G32" i="279"/>
  <c r="G31" i="279"/>
  <c r="G30" i="279"/>
  <c r="G29" i="279"/>
  <c r="G28" i="279"/>
  <c r="G27" i="279"/>
  <c r="G26" i="279"/>
  <c r="G25" i="279"/>
  <c r="G24" i="279"/>
  <c r="G23" i="279"/>
  <c r="G22" i="279"/>
  <c r="G21" i="279"/>
  <c r="G20" i="279"/>
  <c r="G19" i="279"/>
  <c r="G18" i="279"/>
  <c r="G17" i="279"/>
  <c r="G16" i="279"/>
  <c r="G15" i="279"/>
  <c r="H15" i="279" s="1"/>
  <c r="G42" i="278"/>
  <c r="I42" i="278" s="1"/>
  <c r="G41" i="278"/>
  <c r="I41" i="278" s="1"/>
  <c r="G40" i="278"/>
  <c r="G39" i="278"/>
  <c r="G38" i="278"/>
  <c r="G37" i="278"/>
  <c r="G36" i="278"/>
  <c r="G35" i="278"/>
  <c r="G34" i="278"/>
  <c r="G33" i="278"/>
  <c r="G32" i="278"/>
  <c r="G31" i="278"/>
  <c r="G30" i="278"/>
  <c r="G29" i="278"/>
  <c r="G28" i="278"/>
  <c r="G27" i="278"/>
  <c r="G26" i="278"/>
  <c r="G19" i="278"/>
  <c r="G18" i="278"/>
  <c r="G17" i="278"/>
  <c r="G16" i="278"/>
  <c r="R67" i="293" s="1"/>
  <c r="S67" i="293" s="1"/>
  <c r="G15" i="278"/>
  <c r="H15" i="278" s="1"/>
  <c r="G40" i="277"/>
  <c r="I40" i="277" s="1"/>
  <c r="G39" i="277"/>
  <c r="I39" i="277" s="1"/>
  <c r="G38" i="277"/>
  <c r="I38" i="277" s="1"/>
  <c r="G37" i="277"/>
  <c r="I37" i="277" s="1"/>
  <c r="G36" i="277"/>
  <c r="G35" i="277"/>
  <c r="G34" i="277"/>
  <c r="G33" i="277"/>
  <c r="G32" i="277"/>
  <c r="G31" i="277"/>
  <c r="G30" i="277"/>
  <c r="G29" i="277"/>
  <c r="G28" i="277"/>
  <c r="G27" i="277"/>
  <c r="G26" i="277"/>
  <c r="G25" i="277"/>
  <c r="G24" i="277"/>
  <c r="G23" i="277"/>
  <c r="G22" i="277"/>
  <c r="G21" i="277"/>
  <c r="G20" i="277"/>
  <c r="G19" i="277"/>
  <c r="G18" i="277"/>
  <c r="G17" i="277"/>
  <c r="G16" i="277"/>
  <c r="G15" i="277"/>
  <c r="H15" i="277" s="1"/>
  <c r="G42" i="276"/>
  <c r="I42" i="276" s="1"/>
  <c r="G41" i="276"/>
  <c r="I41" i="276" s="1"/>
  <c r="G40" i="276"/>
  <c r="I40" i="276" s="1"/>
  <c r="G39" i="276"/>
  <c r="I39" i="276" s="1"/>
  <c r="G38" i="276"/>
  <c r="G37" i="276"/>
  <c r="G36" i="276"/>
  <c r="G35" i="276"/>
  <c r="G34" i="276"/>
  <c r="G33" i="276"/>
  <c r="G32" i="276"/>
  <c r="G27" i="276"/>
  <c r="G26" i="276"/>
  <c r="G25" i="276"/>
  <c r="G24" i="276"/>
  <c r="G23" i="276"/>
  <c r="G22" i="276"/>
  <c r="G21" i="276"/>
  <c r="G20" i="276"/>
  <c r="G19" i="276"/>
  <c r="G18" i="276"/>
  <c r="G17" i="276"/>
  <c r="G16" i="276"/>
  <c r="G15" i="276"/>
  <c r="H15" i="276" s="1"/>
  <c r="G40" i="275"/>
  <c r="I40" i="275" s="1"/>
  <c r="G39" i="275"/>
  <c r="I39" i="275" s="1"/>
  <c r="G38" i="275"/>
  <c r="I38" i="275" s="1"/>
  <c r="G37" i="275"/>
  <c r="I37" i="275" s="1"/>
  <c r="G36" i="275"/>
  <c r="G35" i="275"/>
  <c r="G34" i="275"/>
  <c r="G33" i="275"/>
  <c r="G32" i="275"/>
  <c r="G31" i="275"/>
  <c r="G30" i="275"/>
  <c r="G29" i="275"/>
  <c r="G28" i="275"/>
  <c r="G27" i="275"/>
  <c r="G26" i="275"/>
  <c r="G25" i="275"/>
  <c r="G24" i="275"/>
  <c r="G23" i="275"/>
  <c r="G22" i="275"/>
  <c r="G21" i="275"/>
  <c r="G20" i="275"/>
  <c r="G19" i="275"/>
  <c r="G18" i="275"/>
  <c r="G17" i="275"/>
  <c r="G16" i="275"/>
  <c r="R64" i="293" s="1"/>
  <c r="S64" i="293" s="1"/>
  <c r="G15" i="275"/>
  <c r="H15" i="275" s="1"/>
  <c r="G40" i="274"/>
  <c r="I40" i="274" s="1"/>
  <c r="G39" i="274"/>
  <c r="I39" i="274" s="1"/>
  <c r="G38" i="274"/>
  <c r="I38" i="274" s="1"/>
  <c r="G37" i="274"/>
  <c r="I37" i="274" s="1"/>
  <c r="G36" i="274"/>
  <c r="G35" i="274"/>
  <c r="G34" i="274"/>
  <c r="G33" i="274"/>
  <c r="G32" i="274"/>
  <c r="G31" i="274"/>
  <c r="G30" i="274"/>
  <c r="G29" i="274"/>
  <c r="G28" i="274"/>
  <c r="G27" i="274"/>
  <c r="G26" i="274"/>
  <c r="G25" i="274"/>
  <c r="G24" i="274"/>
  <c r="G23" i="274"/>
  <c r="G22" i="274"/>
  <c r="G21" i="274"/>
  <c r="G20" i="274"/>
  <c r="G19" i="274"/>
  <c r="I19" i="274" s="1"/>
  <c r="G18" i="274"/>
  <c r="G17" i="274"/>
  <c r="I17" i="274" s="1"/>
  <c r="G16" i="274"/>
  <c r="G15" i="274"/>
  <c r="H15" i="274" s="1"/>
  <c r="I10" i="274"/>
  <c r="I11" i="274"/>
  <c r="I13" i="274"/>
  <c r="I15" i="274"/>
  <c r="I18" i="274"/>
  <c r="G40" i="273"/>
  <c r="I40" i="273" s="1"/>
  <c r="G39" i="273"/>
  <c r="I39" i="273" s="1"/>
  <c r="G38" i="273"/>
  <c r="I38" i="273" s="1"/>
  <c r="G37" i="273"/>
  <c r="I37" i="273" s="1"/>
  <c r="G36" i="273"/>
  <c r="G35" i="273"/>
  <c r="G34" i="273"/>
  <c r="G33" i="273"/>
  <c r="G32" i="273"/>
  <c r="G31" i="273"/>
  <c r="G30" i="273"/>
  <c r="G29" i="273"/>
  <c r="G28" i="273"/>
  <c r="G27" i="273"/>
  <c r="G26" i="273"/>
  <c r="G25" i="273"/>
  <c r="G22" i="273"/>
  <c r="G21" i="273"/>
  <c r="G20" i="273"/>
  <c r="G19" i="273"/>
  <c r="G18" i="273"/>
  <c r="G17" i="273"/>
  <c r="G16" i="273"/>
  <c r="R62" i="293" s="1"/>
  <c r="S62" i="293" s="1"/>
  <c r="G15" i="273"/>
  <c r="H15" i="273" s="1"/>
  <c r="G42" i="272"/>
  <c r="G41" i="272"/>
  <c r="G40" i="272"/>
  <c r="G39" i="272"/>
  <c r="G38" i="272"/>
  <c r="G37" i="272"/>
  <c r="G36" i="272"/>
  <c r="G35" i="272"/>
  <c r="G34" i="272"/>
  <c r="G33" i="272"/>
  <c r="G32" i="272"/>
  <c r="G28" i="272"/>
  <c r="G27" i="272"/>
  <c r="G26" i="272"/>
  <c r="G25" i="272"/>
  <c r="G24" i="272"/>
  <c r="G23" i="272"/>
  <c r="G22" i="272"/>
  <c r="G21" i="272"/>
  <c r="G20" i="272"/>
  <c r="G19" i="272"/>
  <c r="G18" i="272"/>
  <c r="G17" i="272"/>
  <c r="G16" i="272"/>
  <c r="R61" i="293" s="1"/>
  <c r="S61" i="293" s="1"/>
  <c r="G15" i="272"/>
  <c r="H15" i="272" s="1"/>
  <c r="G40" i="271"/>
  <c r="I40" i="271" s="1"/>
  <c r="G39" i="271"/>
  <c r="I39" i="271" s="1"/>
  <c r="G38" i="271"/>
  <c r="G37" i="271"/>
  <c r="G36" i="271"/>
  <c r="G35" i="271"/>
  <c r="G34" i="271"/>
  <c r="G33" i="271"/>
  <c r="G32" i="271"/>
  <c r="G31" i="271"/>
  <c r="G30" i="271"/>
  <c r="G29" i="271"/>
  <c r="G28" i="271"/>
  <c r="G27" i="271"/>
  <c r="G26" i="271"/>
  <c r="G25" i="271"/>
  <c r="G24" i="271"/>
  <c r="G23" i="271"/>
  <c r="G22" i="271"/>
  <c r="G21" i="271"/>
  <c r="G20" i="271"/>
  <c r="G19" i="271"/>
  <c r="G18" i="271"/>
  <c r="G17" i="271"/>
  <c r="G16" i="271"/>
  <c r="G15" i="271"/>
  <c r="H15" i="271" s="1"/>
  <c r="I40" i="270"/>
  <c r="G39" i="270"/>
  <c r="I39" i="270" s="1"/>
  <c r="G38" i="270"/>
  <c r="I38" i="270" s="1"/>
  <c r="G37" i="270"/>
  <c r="I37" i="270" s="1"/>
  <c r="G36" i="270"/>
  <c r="G35" i="270"/>
  <c r="G34" i="270"/>
  <c r="G33" i="270"/>
  <c r="G32" i="270"/>
  <c r="G31" i="270"/>
  <c r="G30" i="270"/>
  <c r="G29" i="270"/>
  <c r="G28" i="270"/>
  <c r="G27" i="270"/>
  <c r="G26" i="270"/>
  <c r="G25" i="270"/>
  <c r="G24" i="270"/>
  <c r="G23" i="270"/>
  <c r="G22" i="270"/>
  <c r="G21" i="270"/>
  <c r="G20" i="270"/>
  <c r="G19" i="270"/>
  <c r="G18" i="270"/>
  <c r="G17" i="270"/>
  <c r="G16" i="270"/>
  <c r="G15" i="270"/>
  <c r="H15" i="270" s="1"/>
  <c r="G40" i="269"/>
  <c r="I40" i="269" s="1"/>
  <c r="G39" i="269"/>
  <c r="I39" i="269" s="1"/>
  <c r="G38" i="269"/>
  <c r="I38" i="269" s="1"/>
  <c r="G37" i="269"/>
  <c r="I37" i="269" s="1"/>
  <c r="G36" i="269"/>
  <c r="G35" i="269"/>
  <c r="G34" i="269"/>
  <c r="G33" i="269"/>
  <c r="G32" i="269"/>
  <c r="G31" i="269"/>
  <c r="G30" i="269"/>
  <c r="G29" i="269"/>
  <c r="G28" i="269"/>
  <c r="G27" i="269"/>
  <c r="G26" i="269"/>
  <c r="G25" i="269"/>
  <c r="G24" i="269"/>
  <c r="G23" i="269"/>
  <c r="G22" i="269"/>
  <c r="G21" i="269"/>
  <c r="G20" i="269"/>
  <c r="G19" i="269"/>
  <c r="G18" i="269"/>
  <c r="G17" i="269"/>
  <c r="G16" i="269"/>
  <c r="G15" i="269"/>
  <c r="H15" i="269" s="1"/>
  <c r="G40" i="268"/>
  <c r="I40" i="268" s="1"/>
  <c r="G39" i="268"/>
  <c r="I39" i="268" s="1"/>
  <c r="G38" i="268"/>
  <c r="I38" i="268" s="1"/>
  <c r="G37" i="268"/>
  <c r="I37" i="268" s="1"/>
  <c r="G36" i="268"/>
  <c r="G35" i="268"/>
  <c r="G34" i="268"/>
  <c r="G33" i="268"/>
  <c r="G32" i="268"/>
  <c r="G31" i="268"/>
  <c r="G30" i="268"/>
  <c r="G29" i="268"/>
  <c r="G28" i="268"/>
  <c r="G27" i="268"/>
  <c r="G26" i="268"/>
  <c r="G25" i="268"/>
  <c r="G24" i="268"/>
  <c r="G23" i="268"/>
  <c r="G22" i="268"/>
  <c r="G21" i="268"/>
  <c r="G20" i="268"/>
  <c r="G19" i="268"/>
  <c r="G18" i="268"/>
  <c r="G17" i="268"/>
  <c r="G16" i="268"/>
  <c r="R57" i="293" s="1"/>
  <c r="S57" i="293" s="1"/>
  <c r="G15" i="268"/>
  <c r="H15" i="268" s="1"/>
  <c r="I11" i="267"/>
  <c r="I13" i="267"/>
  <c r="G40" i="267"/>
  <c r="I40" i="267" s="1"/>
  <c r="G39" i="267"/>
  <c r="I39" i="267" s="1"/>
  <c r="G38" i="267"/>
  <c r="I38" i="267" s="1"/>
  <c r="G37" i="267"/>
  <c r="I37" i="267" s="1"/>
  <c r="G36" i="267"/>
  <c r="I36" i="267" s="1"/>
  <c r="G35" i="267"/>
  <c r="I35" i="267" s="1"/>
  <c r="G34" i="267"/>
  <c r="I34" i="267" s="1"/>
  <c r="G33" i="267"/>
  <c r="I33" i="267" s="1"/>
  <c r="G32" i="267"/>
  <c r="G31" i="267"/>
  <c r="I31" i="267" s="1"/>
  <c r="G30" i="267"/>
  <c r="I30" i="267" s="1"/>
  <c r="G29" i="267"/>
  <c r="I29" i="267" s="1"/>
  <c r="G28" i="267"/>
  <c r="I28" i="267" s="1"/>
  <c r="G27" i="267"/>
  <c r="I27" i="267" s="1"/>
  <c r="G26" i="267"/>
  <c r="I26" i="267" s="1"/>
  <c r="G25" i="267"/>
  <c r="I25" i="267" s="1"/>
  <c r="G24" i="267"/>
  <c r="I24" i="267" s="1"/>
  <c r="G23" i="267"/>
  <c r="I23" i="267" s="1"/>
  <c r="G22" i="267"/>
  <c r="I22" i="267" s="1"/>
  <c r="G21" i="267"/>
  <c r="I21" i="267" s="1"/>
  <c r="G20" i="267"/>
  <c r="I20" i="267" s="1"/>
  <c r="G19" i="267"/>
  <c r="I19" i="267" s="1"/>
  <c r="G18" i="267"/>
  <c r="I18" i="267" s="1"/>
  <c r="G17" i="267"/>
  <c r="I17" i="267" s="1"/>
  <c r="G16" i="267"/>
  <c r="G15" i="267"/>
  <c r="I40" i="266"/>
  <c r="G39" i="266"/>
  <c r="I39" i="266" s="1"/>
  <c r="G38" i="266"/>
  <c r="I38" i="266" s="1"/>
  <c r="G37" i="266"/>
  <c r="G36" i="266"/>
  <c r="G35" i="266"/>
  <c r="G34" i="266"/>
  <c r="G33" i="266"/>
  <c r="G32" i="266"/>
  <c r="G31" i="266"/>
  <c r="G30" i="266"/>
  <c r="G29" i="266"/>
  <c r="G28" i="266"/>
  <c r="G27" i="266"/>
  <c r="G26" i="266"/>
  <c r="G25" i="266"/>
  <c r="G24" i="266"/>
  <c r="G23" i="266"/>
  <c r="G22" i="266"/>
  <c r="G21" i="266"/>
  <c r="G20" i="266"/>
  <c r="G19" i="266"/>
  <c r="G18" i="266"/>
  <c r="G17" i="266"/>
  <c r="R55" i="293" s="1"/>
  <c r="S55" i="293" s="1"/>
  <c r="G16" i="266"/>
  <c r="H16" i="266" s="1"/>
  <c r="G40" i="265"/>
  <c r="I40" i="265" s="1"/>
  <c r="G39" i="265"/>
  <c r="I39" i="265" s="1"/>
  <c r="G38" i="265"/>
  <c r="I38" i="265" s="1"/>
  <c r="G37" i="265"/>
  <c r="I37" i="265" s="1"/>
  <c r="G36" i="265"/>
  <c r="G35" i="265"/>
  <c r="G34" i="265"/>
  <c r="G33" i="265"/>
  <c r="G32" i="265"/>
  <c r="G31" i="265"/>
  <c r="G30" i="265"/>
  <c r="G29" i="265"/>
  <c r="G28" i="265"/>
  <c r="G27" i="265"/>
  <c r="G26" i="265"/>
  <c r="G25" i="265"/>
  <c r="G24" i="265"/>
  <c r="G23" i="265"/>
  <c r="G22" i="265"/>
  <c r="G21" i="265"/>
  <c r="G20" i="265"/>
  <c r="G19" i="265"/>
  <c r="G18" i="265"/>
  <c r="G17" i="265"/>
  <c r="G16" i="265"/>
  <c r="R54" i="293" s="1"/>
  <c r="S54" i="293" s="1"/>
  <c r="G15" i="265"/>
  <c r="H15" i="265" s="1"/>
  <c r="I11" i="264"/>
  <c r="I13" i="264"/>
  <c r="G39" i="264"/>
  <c r="I39" i="264" s="1"/>
  <c r="G38" i="264"/>
  <c r="I38" i="264" s="1"/>
  <c r="G37" i="264"/>
  <c r="I37" i="264" s="1"/>
  <c r="G36" i="264"/>
  <c r="I36" i="264" s="1"/>
  <c r="G35" i="264"/>
  <c r="I35" i="264" s="1"/>
  <c r="G34" i="264"/>
  <c r="G33" i="264"/>
  <c r="I33" i="264" s="1"/>
  <c r="G32" i="264"/>
  <c r="I32" i="264" s="1"/>
  <c r="G31" i="264"/>
  <c r="I31" i="264" s="1"/>
  <c r="G30" i="264"/>
  <c r="I30" i="264" s="1"/>
  <c r="G29" i="264"/>
  <c r="I29" i="264" s="1"/>
  <c r="G28" i="264"/>
  <c r="I28" i="264" s="1"/>
  <c r="G27" i="264"/>
  <c r="I27" i="264" s="1"/>
  <c r="G26" i="264"/>
  <c r="I26" i="264" s="1"/>
  <c r="G25" i="264"/>
  <c r="I25" i="264" s="1"/>
  <c r="G24" i="264"/>
  <c r="I24" i="264" s="1"/>
  <c r="G23" i="264"/>
  <c r="I23" i="264" s="1"/>
  <c r="G22" i="264"/>
  <c r="I22" i="264" s="1"/>
  <c r="G21" i="264"/>
  <c r="I21" i="264" s="1"/>
  <c r="G20" i="264"/>
  <c r="I20" i="264" s="1"/>
  <c r="G19" i="264"/>
  <c r="I19" i="264" s="1"/>
  <c r="G18" i="264"/>
  <c r="I18" i="264" s="1"/>
  <c r="G17" i="264"/>
  <c r="I17" i="264" s="1"/>
  <c r="G16" i="264"/>
  <c r="G15" i="264"/>
  <c r="I11" i="263"/>
  <c r="I13" i="263"/>
  <c r="G40" i="263"/>
  <c r="I40" i="263" s="1"/>
  <c r="G39" i="263"/>
  <c r="I39" i="263" s="1"/>
  <c r="G38" i="263"/>
  <c r="I38" i="263" s="1"/>
  <c r="G37" i="263"/>
  <c r="I37" i="263" s="1"/>
  <c r="G36" i="263"/>
  <c r="I36" i="263" s="1"/>
  <c r="G35" i="263"/>
  <c r="I35" i="263" s="1"/>
  <c r="G34" i="263"/>
  <c r="I34" i="263" s="1"/>
  <c r="G33" i="263"/>
  <c r="I33" i="263" s="1"/>
  <c r="G32" i="263"/>
  <c r="G31" i="263"/>
  <c r="I31" i="263" s="1"/>
  <c r="G30" i="263"/>
  <c r="I30" i="263" s="1"/>
  <c r="G29" i="263"/>
  <c r="I29" i="263" s="1"/>
  <c r="G28" i="263"/>
  <c r="I28" i="263" s="1"/>
  <c r="G27" i="263"/>
  <c r="I27" i="263" s="1"/>
  <c r="G26" i="263"/>
  <c r="I26" i="263" s="1"/>
  <c r="G25" i="263"/>
  <c r="I25" i="263" s="1"/>
  <c r="G24" i="263"/>
  <c r="I24" i="263" s="1"/>
  <c r="G23" i="263"/>
  <c r="I23" i="263" s="1"/>
  <c r="G22" i="263"/>
  <c r="I22" i="263" s="1"/>
  <c r="G21" i="263"/>
  <c r="I21" i="263" s="1"/>
  <c r="G20" i="263"/>
  <c r="I20" i="263" s="1"/>
  <c r="G19" i="263"/>
  <c r="I19" i="263" s="1"/>
  <c r="G18" i="263"/>
  <c r="I18" i="263" s="1"/>
  <c r="G17" i="263"/>
  <c r="I17" i="263" s="1"/>
  <c r="G16" i="263"/>
  <c r="G15" i="263"/>
  <c r="H15" i="263" s="1"/>
  <c r="G40" i="262"/>
  <c r="I40" i="262" s="1"/>
  <c r="G39" i="262"/>
  <c r="I39" i="262" s="1"/>
  <c r="G38" i="262"/>
  <c r="I38" i="262" s="1"/>
  <c r="G37" i="262"/>
  <c r="I37" i="262" s="1"/>
  <c r="G36" i="262"/>
  <c r="G35" i="262"/>
  <c r="G34" i="262"/>
  <c r="G33" i="262"/>
  <c r="G32" i="262"/>
  <c r="G31" i="262"/>
  <c r="G30" i="262"/>
  <c r="G29" i="262"/>
  <c r="G28" i="262"/>
  <c r="G27" i="262"/>
  <c r="G26" i="262"/>
  <c r="G25" i="262"/>
  <c r="G24" i="262"/>
  <c r="G23" i="262"/>
  <c r="G22" i="262"/>
  <c r="G21" i="262"/>
  <c r="G20" i="262"/>
  <c r="G19" i="262"/>
  <c r="G18" i="262"/>
  <c r="G17" i="262"/>
  <c r="G16" i="262"/>
  <c r="R51" i="293" s="1"/>
  <c r="S51" i="293" s="1"/>
  <c r="G15" i="262"/>
  <c r="H15" i="262" s="1"/>
  <c r="G40" i="261"/>
  <c r="I40" i="261" s="1"/>
  <c r="G39" i="261"/>
  <c r="I39" i="261" s="1"/>
  <c r="G38" i="261"/>
  <c r="I38" i="261" s="1"/>
  <c r="G37" i="261"/>
  <c r="I37" i="261" s="1"/>
  <c r="G36" i="261"/>
  <c r="G35" i="261"/>
  <c r="G34" i="261"/>
  <c r="G33" i="261"/>
  <c r="G32" i="261"/>
  <c r="G31" i="261"/>
  <c r="G30" i="261"/>
  <c r="G29" i="261"/>
  <c r="G28" i="261"/>
  <c r="G27" i="261"/>
  <c r="G26" i="261"/>
  <c r="G25" i="261"/>
  <c r="G24" i="261"/>
  <c r="G23" i="261"/>
  <c r="G22" i="261"/>
  <c r="G21" i="261"/>
  <c r="G20" i="261"/>
  <c r="G19" i="261"/>
  <c r="G18" i="261"/>
  <c r="G17" i="261"/>
  <c r="G16" i="261"/>
  <c r="G15" i="261"/>
  <c r="H15" i="261" s="1"/>
  <c r="G40" i="260"/>
  <c r="I40" i="260" s="1"/>
  <c r="G39" i="260"/>
  <c r="I39" i="260" s="1"/>
  <c r="G38" i="260"/>
  <c r="G37" i="260"/>
  <c r="G36" i="260"/>
  <c r="G35" i="260"/>
  <c r="G34" i="260"/>
  <c r="G33" i="260"/>
  <c r="G32" i="260"/>
  <c r="G31" i="260"/>
  <c r="G30" i="260"/>
  <c r="G29" i="260"/>
  <c r="G28" i="260"/>
  <c r="G27" i="260"/>
  <c r="G26" i="260"/>
  <c r="G25" i="260"/>
  <c r="G24" i="260"/>
  <c r="G23" i="260"/>
  <c r="G22" i="260"/>
  <c r="G21" i="260"/>
  <c r="G20" i="260"/>
  <c r="G19" i="260"/>
  <c r="G18" i="260"/>
  <c r="G17" i="260"/>
  <c r="G16" i="260"/>
  <c r="R49" i="293" s="1"/>
  <c r="S49" i="293" s="1"/>
  <c r="G15" i="260"/>
  <c r="H15" i="260" s="1"/>
  <c r="G40" i="259"/>
  <c r="I40" i="259" s="1"/>
  <c r="G39" i="259"/>
  <c r="I39" i="259" s="1"/>
  <c r="G38" i="259"/>
  <c r="I38" i="259" s="1"/>
  <c r="G37" i="259"/>
  <c r="I37" i="259" s="1"/>
  <c r="G36" i="259"/>
  <c r="G35" i="259"/>
  <c r="G34" i="259"/>
  <c r="G33" i="259"/>
  <c r="G32" i="259"/>
  <c r="G31" i="259"/>
  <c r="G30" i="259"/>
  <c r="G29" i="259"/>
  <c r="G28" i="259"/>
  <c r="G27" i="259"/>
  <c r="G26" i="259"/>
  <c r="G25" i="259"/>
  <c r="G24" i="259"/>
  <c r="G23" i="259"/>
  <c r="G22" i="259"/>
  <c r="G21" i="259"/>
  <c r="G20" i="259"/>
  <c r="G19" i="259"/>
  <c r="G18" i="259"/>
  <c r="G17" i="259"/>
  <c r="G16" i="259"/>
  <c r="G15" i="259"/>
  <c r="H15" i="259" s="1"/>
  <c r="G40" i="258"/>
  <c r="I40" i="258" s="1"/>
  <c r="G39" i="258"/>
  <c r="I39" i="258" s="1"/>
  <c r="G38" i="258"/>
  <c r="I38" i="258" s="1"/>
  <c r="G37" i="258"/>
  <c r="I37" i="258" s="1"/>
  <c r="G36" i="258"/>
  <c r="G35" i="258"/>
  <c r="G34" i="258"/>
  <c r="G33" i="258"/>
  <c r="G32" i="258"/>
  <c r="G31" i="258"/>
  <c r="G30" i="258"/>
  <c r="G29" i="258"/>
  <c r="G28" i="258"/>
  <c r="G27" i="258"/>
  <c r="G26" i="258"/>
  <c r="G25" i="258"/>
  <c r="G24" i="258"/>
  <c r="G23" i="258"/>
  <c r="G22" i="258"/>
  <c r="G21" i="258"/>
  <c r="G20" i="258"/>
  <c r="G19" i="258"/>
  <c r="G18" i="258"/>
  <c r="G17" i="258"/>
  <c r="G16" i="258"/>
  <c r="R47" i="293" s="1"/>
  <c r="S47" i="293" s="1"/>
  <c r="G15" i="258"/>
  <c r="H15" i="258" s="1"/>
  <c r="G42" i="257"/>
  <c r="I42" i="257" s="1"/>
  <c r="G41" i="257"/>
  <c r="I41" i="257" s="1"/>
  <c r="G40" i="257"/>
  <c r="I40" i="257" s="1"/>
  <c r="G39" i="257"/>
  <c r="I39" i="257" s="1"/>
  <c r="G38" i="257"/>
  <c r="G37" i="257"/>
  <c r="G36" i="257"/>
  <c r="G35" i="257"/>
  <c r="G30" i="257"/>
  <c r="G29" i="257"/>
  <c r="G28" i="257"/>
  <c r="G27" i="257"/>
  <c r="G26" i="257"/>
  <c r="G25" i="257"/>
  <c r="G24" i="257"/>
  <c r="G23" i="257"/>
  <c r="G22" i="257"/>
  <c r="G21" i="257"/>
  <c r="G20" i="257"/>
  <c r="G19" i="257"/>
  <c r="G18" i="257"/>
  <c r="G17" i="257"/>
  <c r="G16" i="257"/>
  <c r="R46" i="293" s="1"/>
  <c r="S46" i="293" s="1"/>
  <c r="G15" i="257"/>
  <c r="H15" i="257" s="1"/>
  <c r="G42" i="256"/>
  <c r="I42" i="256" s="1"/>
  <c r="G41" i="256"/>
  <c r="I41" i="256" s="1"/>
  <c r="G40" i="256"/>
  <c r="I40" i="256" s="1"/>
  <c r="G39" i="256"/>
  <c r="I39" i="256" s="1"/>
  <c r="G38" i="256"/>
  <c r="G37" i="256"/>
  <c r="G36" i="256"/>
  <c r="G35" i="256"/>
  <c r="G34" i="256"/>
  <c r="G33" i="256"/>
  <c r="G32" i="256"/>
  <c r="G31" i="256"/>
  <c r="G30" i="256"/>
  <c r="G29" i="256"/>
  <c r="G24" i="256"/>
  <c r="G23" i="256"/>
  <c r="G22" i="256"/>
  <c r="G21" i="256"/>
  <c r="G20" i="256"/>
  <c r="G19" i="256"/>
  <c r="G18" i="256"/>
  <c r="G17" i="256"/>
  <c r="G16" i="256"/>
  <c r="R45" i="293" s="1"/>
  <c r="S45" i="293" s="1"/>
  <c r="G15" i="256"/>
  <c r="H15" i="256" s="1"/>
  <c r="G40" i="255"/>
  <c r="I40" i="255" s="1"/>
  <c r="G39" i="255"/>
  <c r="I39" i="255" s="1"/>
  <c r="G38" i="255"/>
  <c r="I38" i="255" s="1"/>
  <c r="G37" i="255"/>
  <c r="I37" i="255" s="1"/>
  <c r="G36" i="255"/>
  <c r="G35" i="255"/>
  <c r="G34" i="255"/>
  <c r="G33" i="255"/>
  <c r="G32" i="255"/>
  <c r="G31" i="255"/>
  <c r="G30" i="255"/>
  <c r="G29" i="255"/>
  <c r="G28" i="255"/>
  <c r="G27" i="255"/>
  <c r="G26" i="255"/>
  <c r="G25" i="255"/>
  <c r="G24" i="255"/>
  <c r="G23" i="255"/>
  <c r="G22" i="255"/>
  <c r="G21" i="255"/>
  <c r="G20" i="255"/>
  <c r="G19" i="255"/>
  <c r="G18" i="255"/>
  <c r="G17" i="255"/>
  <c r="G16" i="255"/>
  <c r="G15" i="255"/>
  <c r="H15" i="255" s="1"/>
  <c r="G38" i="254"/>
  <c r="I38" i="254" s="1"/>
  <c r="I37" i="254"/>
  <c r="G36" i="254"/>
  <c r="I36" i="254" s="1"/>
  <c r="G35" i="254"/>
  <c r="I35" i="254" s="1"/>
  <c r="G34" i="254"/>
  <c r="G33" i="254"/>
  <c r="G32" i="254"/>
  <c r="G31" i="254"/>
  <c r="G30" i="254"/>
  <c r="G29" i="254"/>
  <c r="G28" i="254"/>
  <c r="G27" i="254"/>
  <c r="G26" i="254"/>
  <c r="G25" i="254"/>
  <c r="G24" i="254"/>
  <c r="G23" i="254"/>
  <c r="G22" i="254"/>
  <c r="G21" i="254"/>
  <c r="G20" i="254"/>
  <c r="G19" i="254"/>
  <c r="G18" i="254"/>
  <c r="G17" i="254"/>
  <c r="G16" i="254"/>
  <c r="G15" i="254"/>
  <c r="G14" i="254"/>
  <c r="R43" i="293" s="1"/>
  <c r="S43" i="293" s="1"/>
  <c r="G13" i="254"/>
  <c r="H13" i="254" s="1"/>
  <c r="G40" i="253"/>
  <c r="I40" i="253" s="1"/>
  <c r="G39" i="253"/>
  <c r="I39" i="253" s="1"/>
  <c r="G38" i="253"/>
  <c r="G37" i="253"/>
  <c r="G36" i="253"/>
  <c r="G35" i="253"/>
  <c r="G34" i="253"/>
  <c r="G33" i="253"/>
  <c r="G32" i="253"/>
  <c r="G31" i="253"/>
  <c r="G30" i="253"/>
  <c r="G29" i="253"/>
  <c r="G28" i="253"/>
  <c r="G27" i="253"/>
  <c r="G26" i="253"/>
  <c r="G25" i="253"/>
  <c r="G24" i="253"/>
  <c r="G23" i="253"/>
  <c r="G22" i="253"/>
  <c r="G21" i="253"/>
  <c r="G20" i="253"/>
  <c r="G19" i="253"/>
  <c r="G18" i="253"/>
  <c r="G17" i="253"/>
  <c r="G16" i="253"/>
  <c r="G15" i="253"/>
  <c r="H15" i="253" s="1"/>
  <c r="G40" i="252"/>
  <c r="I40" i="252" s="1"/>
  <c r="G39" i="252"/>
  <c r="I39" i="252" s="1"/>
  <c r="G38" i="252"/>
  <c r="I38" i="252" s="1"/>
  <c r="G37" i="252"/>
  <c r="I37" i="252" s="1"/>
  <c r="G36" i="252"/>
  <c r="G35" i="252"/>
  <c r="G34" i="252"/>
  <c r="G33" i="252"/>
  <c r="G32" i="252"/>
  <c r="G31" i="252"/>
  <c r="G30" i="252"/>
  <c r="G29" i="252"/>
  <c r="G28" i="252"/>
  <c r="G27" i="252"/>
  <c r="G26" i="252"/>
  <c r="G25" i="252"/>
  <c r="G24" i="252"/>
  <c r="G23" i="252"/>
  <c r="G22" i="252"/>
  <c r="G21" i="252"/>
  <c r="G20" i="252"/>
  <c r="R41" i="293" s="1"/>
  <c r="S41" i="293" s="1"/>
  <c r="G15" i="252"/>
  <c r="H15" i="252" s="1"/>
  <c r="H16" i="252" s="1"/>
  <c r="H17" i="252" s="1"/>
  <c r="H18" i="252" s="1"/>
  <c r="H19" i="252" s="1"/>
  <c r="G39" i="251"/>
  <c r="G38" i="251"/>
  <c r="G37" i="251"/>
  <c r="G36" i="251"/>
  <c r="G35" i="251"/>
  <c r="G34" i="251"/>
  <c r="G33" i="251"/>
  <c r="G32" i="251"/>
  <c r="G31" i="251"/>
  <c r="G30" i="251"/>
  <c r="G29" i="251"/>
  <c r="G28" i="251"/>
  <c r="G27" i="251"/>
  <c r="G26" i="251"/>
  <c r="G25" i="251"/>
  <c r="G24" i="251"/>
  <c r="G23" i="251"/>
  <c r="G22" i="251"/>
  <c r="G21" i="251"/>
  <c r="G20" i="251"/>
  <c r="G19" i="251"/>
  <c r="G18" i="251"/>
  <c r="G17" i="251"/>
  <c r="G16" i="251"/>
  <c r="R40" i="293" s="1"/>
  <c r="S40" i="293" s="1"/>
  <c r="G15" i="251"/>
  <c r="H15" i="251" s="1"/>
  <c r="G40" i="250"/>
  <c r="I40" i="250" s="1"/>
  <c r="G39" i="250"/>
  <c r="I39" i="250" s="1"/>
  <c r="G38" i="250"/>
  <c r="I38" i="250" s="1"/>
  <c r="G37" i="250"/>
  <c r="I37" i="250" s="1"/>
  <c r="G36" i="250"/>
  <c r="G35" i="250"/>
  <c r="G34" i="250"/>
  <c r="G33" i="250"/>
  <c r="G32" i="250"/>
  <c r="G31" i="250"/>
  <c r="G30" i="250"/>
  <c r="G29" i="250"/>
  <c r="G28" i="250"/>
  <c r="G27" i="250"/>
  <c r="G26" i="250"/>
  <c r="G25" i="250"/>
  <c r="G24" i="250"/>
  <c r="G23" i="250"/>
  <c r="G22" i="250"/>
  <c r="G21" i="250"/>
  <c r="G20" i="250"/>
  <c r="G19" i="250"/>
  <c r="G18" i="250"/>
  <c r="G17" i="250"/>
  <c r="G16" i="250"/>
  <c r="G15" i="250"/>
  <c r="H15" i="250" s="1"/>
  <c r="G40" i="249"/>
  <c r="G39" i="249"/>
  <c r="G38" i="249"/>
  <c r="G37" i="249"/>
  <c r="G36" i="249"/>
  <c r="G35" i="249"/>
  <c r="G34" i="249"/>
  <c r="G33" i="249"/>
  <c r="G32" i="249"/>
  <c r="G15" i="249"/>
  <c r="H15" i="249" s="1"/>
  <c r="H16" i="249" s="1"/>
  <c r="H17" i="249" s="1"/>
  <c r="H18" i="249" s="1"/>
  <c r="H19" i="249" s="1"/>
  <c r="H20" i="249" s="1"/>
  <c r="H21" i="249" s="1"/>
  <c r="H22" i="249" s="1"/>
  <c r="H23" i="249" s="1"/>
  <c r="H24" i="249" s="1"/>
  <c r="H25" i="249" s="1"/>
  <c r="H26" i="249" s="1"/>
  <c r="H27" i="249" s="1"/>
  <c r="H28" i="249" s="1"/>
  <c r="H29" i="249" s="1"/>
  <c r="H30" i="249" s="1"/>
  <c r="H31" i="249" s="1"/>
  <c r="G42" i="248"/>
  <c r="I42" i="248" s="1"/>
  <c r="G41" i="248"/>
  <c r="I41" i="248" s="1"/>
  <c r="G40" i="248"/>
  <c r="I40" i="248" s="1"/>
  <c r="G39" i="248"/>
  <c r="I39" i="248" s="1"/>
  <c r="G38" i="248"/>
  <c r="G37" i="248"/>
  <c r="G36" i="248"/>
  <c r="G35" i="248"/>
  <c r="G34" i="248"/>
  <c r="G33" i="248"/>
  <c r="G32" i="248"/>
  <c r="G31" i="248"/>
  <c r="G30" i="248"/>
  <c r="G26" i="248"/>
  <c r="G25" i="248"/>
  <c r="G24" i="248"/>
  <c r="G23" i="248"/>
  <c r="G22" i="248"/>
  <c r="G21" i="248"/>
  <c r="G20" i="248"/>
  <c r="G19" i="248"/>
  <c r="G18" i="248"/>
  <c r="G17" i="248"/>
  <c r="G16" i="248"/>
  <c r="G15" i="248"/>
  <c r="H15" i="248" s="1"/>
  <c r="G40" i="247"/>
  <c r="I40" i="247" s="1"/>
  <c r="G39" i="247"/>
  <c r="I39" i="247" s="1"/>
  <c r="G38" i="247"/>
  <c r="I38" i="247" s="1"/>
  <c r="G37" i="247"/>
  <c r="I37" i="247" s="1"/>
  <c r="G36" i="247"/>
  <c r="G35" i="247"/>
  <c r="G34" i="247"/>
  <c r="G33" i="247"/>
  <c r="G32" i="247"/>
  <c r="G31" i="247"/>
  <c r="G30" i="247"/>
  <c r="G29" i="247"/>
  <c r="G28" i="247"/>
  <c r="G27" i="247"/>
  <c r="G26" i="247"/>
  <c r="G25" i="247"/>
  <c r="G24" i="247"/>
  <c r="G23" i="247"/>
  <c r="G22" i="247"/>
  <c r="G21" i="247"/>
  <c r="G20" i="247"/>
  <c r="G19" i="247"/>
  <c r="G18" i="247"/>
  <c r="G17" i="247"/>
  <c r="G16" i="247"/>
  <c r="G15" i="247"/>
  <c r="H15" i="247" s="1"/>
  <c r="G42" i="246"/>
  <c r="I42" i="246" s="1"/>
  <c r="G41" i="246"/>
  <c r="I41" i="246" s="1"/>
  <c r="G40" i="246"/>
  <c r="I40" i="246" s="1"/>
  <c r="G39" i="246"/>
  <c r="I39" i="246" s="1"/>
  <c r="G38" i="246"/>
  <c r="G37" i="246"/>
  <c r="G36" i="246"/>
  <c r="G35" i="246"/>
  <c r="G34" i="246"/>
  <c r="G33" i="246"/>
  <c r="G32" i="246"/>
  <c r="G31" i="246"/>
  <c r="G30" i="246"/>
  <c r="G29" i="246"/>
  <c r="G28" i="246"/>
  <c r="G24" i="246"/>
  <c r="G23" i="246"/>
  <c r="G22" i="246"/>
  <c r="G21" i="246"/>
  <c r="G20" i="246"/>
  <c r="G19" i="246"/>
  <c r="G18" i="246"/>
  <c r="G17" i="246"/>
  <c r="G16" i="246"/>
  <c r="R35" i="293" s="1"/>
  <c r="S35" i="293" s="1"/>
  <c r="G15" i="246"/>
  <c r="H15" i="246" s="1"/>
  <c r="G40" i="245"/>
  <c r="I40" i="245" s="1"/>
  <c r="G39" i="245"/>
  <c r="I39" i="245" s="1"/>
  <c r="G38" i="245"/>
  <c r="I38" i="245" s="1"/>
  <c r="G37" i="245"/>
  <c r="I37" i="245" s="1"/>
  <c r="G36" i="245"/>
  <c r="G35" i="245"/>
  <c r="G34" i="245"/>
  <c r="G33" i="245"/>
  <c r="G32" i="245"/>
  <c r="G31" i="245"/>
  <c r="G30" i="245"/>
  <c r="G29" i="245"/>
  <c r="G28" i="245"/>
  <c r="G27" i="245"/>
  <c r="G26" i="245"/>
  <c r="G25" i="245"/>
  <c r="G24" i="245"/>
  <c r="G23" i="245"/>
  <c r="G22" i="245"/>
  <c r="G21" i="245"/>
  <c r="G20" i="245"/>
  <c r="G19" i="245"/>
  <c r="G18" i="245"/>
  <c r="G17" i="245"/>
  <c r="G16" i="245"/>
  <c r="R34" i="293" s="1"/>
  <c r="S34" i="293" s="1"/>
  <c r="G15" i="245"/>
  <c r="H15" i="245" s="1"/>
  <c r="G40" i="244"/>
  <c r="I40" i="244" s="1"/>
  <c r="G39" i="244"/>
  <c r="I39" i="244" s="1"/>
  <c r="G38" i="244"/>
  <c r="I38" i="244" s="1"/>
  <c r="G37" i="244"/>
  <c r="I37" i="244" s="1"/>
  <c r="G36" i="244"/>
  <c r="G35" i="244"/>
  <c r="G34" i="244"/>
  <c r="G33" i="244"/>
  <c r="G32" i="244"/>
  <c r="G31" i="244"/>
  <c r="G30" i="244"/>
  <c r="G29" i="244"/>
  <c r="G28" i="244"/>
  <c r="G27" i="244"/>
  <c r="G26" i="244"/>
  <c r="G25" i="244"/>
  <c r="G24" i="244"/>
  <c r="G23" i="244"/>
  <c r="G22" i="244"/>
  <c r="G21" i="244"/>
  <c r="G20" i="244"/>
  <c r="G19" i="244"/>
  <c r="G18" i="244"/>
  <c r="G17" i="244"/>
  <c r="G16" i="244"/>
  <c r="G15" i="244"/>
  <c r="H15" i="244" s="1"/>
  <c r="G40" i="243"/>
  <c r="I40" i="243" s="1"/>
  <c r="G39" i="243"/>
  <c r="I39" i="243" s="1"/>
  <c r="G38" i="243"/>
  <c r="I38" i="243" s="1"/>
  <c r="G37" i="243"/>
  <c r="I37" i="243" s="1"/>
  <c r="G36" i="243"/>
  <c r="G35" i="243"/>
  <c r="G34" i="243"/>
  <c r="G33" i="243"/>
  <c r="G32" i="243"/>
  <c r="G31" i="243"/>
  <c r="G30" i="243"/>
  <c r="G29" i="243"/>
  <c r="G28" i="243"/>
  <c r="G27" i="243"/>
  <c r="G26" i="243"/>
  <c r="G25" i="243"/>
  <c r="G24" i="243"/>
  <c r="G23" i="243"/>
  <c r="G22" i="243"/>
  <c r="G21" i="243"/>
  <c r="G20" i="243"/>
  <c r="G19" i="243"/>
  <c r="G18" i="243"/>
  <c r="G17" i="243"/>
  <c r="G16" i="243"/>
  <c r="R32" i="293" s="1"/>
  <c r="S32" i="293" s="1"/>
  <c r="G15" i="243"/>
  <c r="H15" i="243" s="1"/>
  <c r="G40" i="242"/>
  <c r="I40" i="242" s="1"/>
  <c r="G39" i="242"/>
  <c r="I39" i="242" s="1"/>
  <c r="G38" i="242"/>
  <c r="I38" i="242" s="1"/>
  <c r="G37" i="242"/>
  <c r="I37" i="242" s="1"/>
  <c r="G36" i="242"/>
  <c r="G35" i="242"/>
  <c r="G34" i="242"/>
  <c r="G33" i="242"/>
  <c r="G32" i="242"/>
  <c r="G31" i="242"/>
  <c r="G30" i="242"/>
  <c r="G29" i="242"/>
  <c r="G28" i="242"/>
  <c r="G27" i="242"/>
  <c r="G26" i="242"/>
  <c r="G25" i="242"/>
  <c r="G24" i="242"/>
  <c r="G23" i="242"/>
  <c r="G22" i="242"/>
  <c r="G21" i="242"/>
  <c r="G20" i="242"/>
  <c r="G19" i="242"/>
  <c r="G18" i="242"/>
  <c r="G17" i="242"/>
  <c r="G16" i="242"/>
  <c r="R31" i="293" s="1"/>
  <c r="S31" i="293" s="1"/>
  <c r="G15" i="242"/>
  <c r="H15" i="242" s="1"/>
  <c r="G40" i="241"/>
  <c r="I40" i="241" s="1"/>
  <c r="G39" i="241"/>
  <c r="I39" i="241" s="1"/>
  <c r="G38" i="241"/>
  <c r="I38" i="241" s="1"/>
  <c r="G37" i="241"/>
  <c r="I37" i="241" s="1"/>
  <c r="G36" i="241"/>
  <c r="G35" i="241"/>
  <c r="G34" i="241"/>
  <c r="G33" i="241"/>
  <c r="G32" i="241"/>
  <c r="G31" i="241"/>
  <c r="G30" i="241"/>
  <c r="G29" i="241"/>
  <c r="G28" i="241"/>
  <c r="G27" i="241"/>
  <c r="G26" i="241"/>
  <c r="G25" i="241"/>
  <c r="G24" i="241"/>
  <c r="G23" i="241"/>
  <c r="G22" i="241"/>
  <c r="G21" i="241"/>
  <c r="G20" i="241"/>
  <c r="G19" i="241"/>
  <c r="G18" i="241"/>
  <c r="G17" i="241"/>
  <c r="G16" i="241"/>
  <c r="G15" i="241"/>
  <c r="H15" i="241" s="1"/>
  <c r="G40" i="240"/>
  <c r="I40" i="240" s="1"/>
  <c r="G39" i="240"/>
  <c r="I39" i="240" s="1"/>
  <c r="G38" i="240"/>
  <c r="I38" i="240" s="1"/>
  <c r="G37" i="240"/>
  <c r="I37" i="240" s="1"/>
  <c r="G36" i="240"/>
  <c r="G35" i="240"/>
  <c r="G34" i="240"/>
  <c r="G33" i="240"/>
  <c r="G32" i="240"/>
  <c r="G31" i="240"/>
  <c r="G30" i="240"/>
  <c r="G29" i="240"/>
  <c r="G28" i="240"/>
  <c r="G27" i="240"/>
  <c r="G26" i="240"/>
  <c r="G25" i="240"/>
  <c r="G24" i="240"/>
  <c r="G23" i="240"/>
  <c r="G22" i="240"/>
  <c r="G21" i="240"/>
  <c r="G20" i="240"/>
  <c r="G19" i="240"/>
  <c r="G18" i="240"/>
  <c r="G17" i="240"/>
  <c r="G16" i="240"/>
  <c r="R29" i="293" s="1"/>
  <c r="S29" i="293" s="1"/>
  <c r="G15" i="240"/>
  <c r="H15" i="240" s="1"/>
  <c r="G40" i="239"/>
  <c r="I40" i="239" s="1"/>
  <c r="G39" i="239"/>
  <c r="I39" i="239" s="1"/>
  <c r="G38" i="239"/>
  <c r="I38" i="239" s="1"/>
  <c r="G37" i="239"/>
  <c r="I37" i="239" s="1"/>
  <c r="G36" i="239"/>
  <c r="G35" i="239"/>
  <c r="G34" i="239"/>
  <c r="G33" i="239"/>
  <c r="G32" i="239"/>
  <c r="G31" i="239"/>
  <c r="G30" i="239"/>
  <c r="G29" i="239"/>
  <c r="G28" i="239"/>
  <c r="G27" i="239"/>
  <c r="G26" i="239"/>
  <c r="G25" i="239"/>
  <c r="G24" i="239"/>
  <c r="G23" i="239"/>
  <c r="G22" i="239"/>
  <c r="G21" i="239"/>
  <c r="G20" i="239"/>
  <c r="G19" i="239"/>
  <c r="G18" i="239"/>
  <c r="G17" i="239"/>
  <c r="G16" i="239"/>
  <c r="R28" i="293" s="1"/>
  <c r="S28" i="293" s="1"/>
  <c r="G15" i="239"/>
  <c r="H15" i="239" s="1"/>
  <c r="G40" i="238"/>
  <c r="I40" i="238" s="1"/>
  <c r="G39" i="238"/>
  <c r="I39" i="238" s="1"/>
  <c r="G38" i="238"/>
  <c r="I38" i="238" s="1"/>
  <c r="G37" i="238"/>
  <c r="I37" i="238" s="1"/>
  <c r="G36" i="238"/>
  <c r="G35" i="238"/>
  <c r="G34" i="238"/>
  <c r="G33" i="238"/>
  <c r="G32" i="238"/>
  <c r="G31" i="238"/>
  <c r="G30" i="238"/>
  <c r="G29" i="238"/>
  <c r="G28" i="238"/>
  <c r="G27" i="238"/>
  <c r="G26" i="238"/>
  <c r="G25" i="238"/>
  <c r="G24" i="238"/>
  <c r="G23" i="238"/>
  <c r="G22" i="238"/>
  <c r="G21" i="238"/>
  <c r="G20" i="238"/>
  <c r="G19" i="238"/>
  <c r="G18" i="238"/>
  <c r="G17" i="238"/>
  <c r="G16" i="238"/>
  <c r="R27" i="293" s="1"/>
  <c r="S27" i="293" s="1"/>
  <c r="G15" i="238"/>
  <c r="H15" i="238" s="1"/>
  <c r="G40" i="237"/>
  <c r="I40" i="237" s="1"/>
  <c r="G39" i="237"/>
  <c r="I39" i="237" s="1"/>
  <c r="G38" i="237"/>
  <c r="I38" i="237" s="1"/>
  <c r="G37" i="237"/>
  <c r="I37" i="237" s="1"/>
  <c r="G36" i="237"/>
  <c r="G35" i="237"/>
  <c r="G34" i="237"/>
  <c r="G33" i="237"/>
  <c r="G32" i="237"/>
  <c r="G31" i="237"/>
  <c r="G30" i="237"/>
  <c r="G29" i="237"/>
  <c r="G28" i="237"/>
  <c r="G27" i="237"/>
  <c r="G26" i="237"/>
  <c r="G25" i="237"/>
  <c r="G24" i="237"/>
  <c r="G23" i="237"/>
  <c r="G22" i="237"/>
  <c r="G21" i="237"/>
  <c r="G20" i="237"/>
  <c r="G19" i="237"/>
  <c r="G18" i="237"/>
  <c r="G17" i="237"/>
  <c r="G16" i="237"/>
  <c r="R26" i="293" s="1"/>
  <c r="S26" i="293" s="1"/>
  <c r="G15" i="237"/>
  <c r="H15" i="237" s="1"/>
  <c r="G40" i="236"/>
  <c r="I40" i="236" s="1"/>
  <c r="G39" i="236"/>
  <c r="I39" i="236" s="1"/>
  <c r="G38" i="236"/>
  <c r="I38" i="236" s="1"/>
  <c r="G37" i="236"/>
  <c r="I37" i="236" s="1"/>
  <c r="G36" i="236"/>
  <c r="G35" i="236"/>
  <c r="G34" i="236"/>
  <c r="G33" i="236"/>
  <c r="G32" i="236"/>
  <c r="G31" i="236"/>
  <c r="G30" i="236"/>
  <c r="G29" i="236"/>
  <c r="G28" i="236"/>
  <c r="G27" i="236"/>
  <c r="G26" i="236"/>
  <c r="G25" i="236"/>
  <c r="G24" i="236"/>
  <c r="G23" i="236"/>
  <c r="G22" i="236"/>
  <c r="G21" i="236"/>
  <c r="G20" i="236"/>
  <c r="G19" i="236"/>
  <c r="G18" i="236"/>
  <c r="G17" i="236"/>
  <c r="G16" i="236"/>
  <c r="R25" i="293" s="1"/>
  <c r="S25" i="293" s="1"/>
  <c r="G15" i="236"/>
  <c r="H15" i="236" s="1"/>
  <c r="G40" i="235"/>
  <c r="I40" i="235" s="1"/>
  <c r="G39" i="235"/>
  <c r="I39" i="235" s="1"/>
  <c r="G38" i="235"/>
  <c r="I38" i="235" s="1"/>
  <c r="G37" i="235"/>
  <c r="I37" i="235" s="1"/>
  <c r="G36" i="235"/>
  <c r="G35" i="235"/>
  <c r="G34" i="235"/>
  <c r="G33" i="235"/>
  <c r="G32" i="235"/>
  <c r="G31" i="235"/>
  <c r="G30" i="235"/>
  <c r="G29" i="235"/>
  <c r="G28" i="235"/>
  <c r="G27" i="235"/>
  <c r="G26" i="235"/>
  <c r="G25" i="235"/>
  <c r="G24" i="235"/>
  <c r="G23" i="235"/>
  <c r="G22" i="235"/>
  <c r="G21" i="235"/>
  <c r="G20" i="235"/>
  <c r="G19" i="235"/>
  <c r="G18" i="235"/>
  <c r="G17" i="235"/>
  <c r="G16" i="235"/>
  <c r="R24" i="293" s="1"/>
  <c r="S24" i="293" s="1"/>
  <c r="G15" i="235"/>
  <c r="H15" i="235" s="1"/>
  <c r="G40" i="234"/>
  <c r="I40" i="234" s="1"/>
  <c r="G39" i="234"/>
  <c r="I39" i="234" s="1"/>
  <c r="G38" i="234"/>
  <c r="I38" i="234" s="1"/>
  <c r="G37" i="234"/>
  <c r="I37" i="234" s="1"/>
  <c r="G36" i="234"/>
  <c r="G35" i="234"/>
  <c r="G34" i="234"/>
  <c r="G33" i="234"/>
  <c r="G32" i="234"/>
  <c r="G31" i="234"/>
  <c r="G30" i="234"/>
  <c r="G29" i="234"/>
  <c r="G28" i="234"/>
  <c r="G27" i="234"/>
  <c r="G26" i="234"/>
  <c r="G25" i="234"/>
  <c r="G24" i="234"/>
  <c r="G23" i="234"/>
  <c r="G22" i="234"/>
  <c r="G21" i="234"/>
  <c r="G20" i="234"/>
  <c r="G19" i="234"/>
  <c r="G18" i="234"/>
  <c r="G17" i="234"/>
  <c r="G16" i="234"/>
  <c r="G15" i="234"/>
  <c r="H15" i="234" s="1"/>
  <c r="G40" i="233"/>
  <c r="I40" i="233" s="1"/>
  <c r="G39" i="233"/>
  <c r="I39" i="233" s="1"/>
  <c r="G38" i="233"/>
  <c r="I38" i="233" s="1"/>
  <c r="G37" i="233"/>
  <c r="I37" i="233" s="1"/>
  <c r="G36" i="233"/>
  <c r="G35" i="233"/>
  <c r="G34" i="233"/>
  <c r="G33" i="233"/>
  <c r="G32" i="233"/>
  <c r="G31" i="233"/>
  <c r="G30" i="233"/>
  <c r="G29" i="233"/>
  <c r="G28" i="233"/>
  <c r="G27" i="233"/>
  <c r="G26" i="233"/>
  <c r="G25" i="233"/>
  <c r="G24" i="233"/>
  <c r="G23" i="233"/>
  <c r="G22" i="233"/>
  <c r="G21" i="233"/>
  <c r="G20" i="233"/>
  <c r="G19" i="233"/>
  <c r="G18" i="233"/>
  <c r="G17" i="233"/>
  <c r="G16" i="233"/>
  <c r="R22" i="293" s="1"/>
  <c r="S22" i="293" s="1"/>
  <c r="G15" i="233"/>
  <c r="H15" i="233" s="1"/>
  <c r="I11" i="232"/>
  <c r="I13" i="232"/>
  <c r="I40" i="232"/>
  <c r="G39" i="232"/>
  <c r="I39" i="232" s="1"/>
  <c r="G38" i="232"/>
  <c r="I38" i="232" s="1"/>
  <c r="G37" i="232"/>
  <c r="I37" i="232" s="1"/>
  <c r="G36" i="232"/>
  <c r="I36" i="232" s="1"/>
  <c r="G35" i="232"/>
  <c r="I35" i="232" s="1"/>
  <c r="G34" i="232"/>
  <c r="G33" i="232"/>
  <c r="I33" i="232" s="1"/>
  <c r="G32" i="232"/>
  <c r="I32" i="232" s="1"/>
  <c r="G31" i="232"/>
  <c r="I31" i="232" s="1"/>
  <c r="G30" i="232"/>
  <c r="I30" i="232" s="1"/>
  <c r="G29" i="232"/>
  <c r="I29" i="232" s="1"/>
  <c r="G28" i="232"/>
  <c r="I28" i="232" s="1"/>
  <c r="G27" i="232"/>
  <c r="I27" i="232" s="1"/>
  <c r="G26" i="232"/>
  <c r="I26" i="232" s="1"/>
  <c r="G25" i="232"/>
  <c r="I25" i="232" s="1"/>
  <c r="G24" i="232"/>
  <c r="I24" i="232" s="1"/>
  <c r="G23" i="232"/>
  <c r="I23" i="232" s="1"/>
  <c r="G22" i="232"/>
  <c r="I22" i="232" s="1"/>
  <c r="G21" i="232"/>
  <c r="I21" i="232" s="1"/>
  <c r="G20" i="232"/>
  <c r="I20" i="232" s="1"/>
  <c r="G19" i="232"/>
  <c r="I19" i="232" s="1"/>
  <c r="G18" i="232"/>
  <c r="I18" i="232" s="1"/>
  <c r="G17" i="232"/>
  <c r="I17" i="232" s="1"/>
  <c r="G16" i="232"/>
  <c r="R21" i="293" s="1"/>
  <c r="S21" i="293" s="1"/>
  <c r="G15" i="232"/>
  <c r="I11" i="231"/>
  <c r="I13" i="231"/>
  <c r="G38" i="231"/>
  <c r="I38" i="231" s="1"/>
  <c r="G37" i="231"/>
  <c r="I37" i="231" s="1"/>
  <c r="G36" i="231"/>
  <c r="I36" i="231" s="1"/>
  <c r="G35" i="231"/>
  <c r="I35" i="231" s="1"/>
  <c r="G34" i="231"/>
  <c r="I34" i="231" s="1"/>
  <c r="G33" i="231"/>
  <c r="I33" i="231" s="1"/>
  <c r="G32" i="231"/>
  <c r="G31" i="231"/>
  <c r="I31" i="231" s="1"/>
  <c r="G30" i="231"/>
  <c r="I30" i="231" s="1"/>
  <c r="G29" i="231"/>
  <c r="I29" i="231" s="1"/>
  <c r="G28" i="231"/>
  <c r="I28" i="231" s="1"/>
  <c r="G27" i="231"/>
  <c r="I27" i="231" s="1"/>
  <c r="G26" i="231"/>
  <c r="I26" i="231" s="1"/>
  <c r="G25" i="231"/>
  <c r="I25" i="231" s="1"/>
  <c r="G24" i="231"/>
  <c r="I24" i="231" s="1"/>
  <c r="G23" i="231"/>
  <c r="I23" i="231" s="1"/>
  <c r="G22" i="231"/>
  <c r="G21" i="231"/>
  <c r="I21" i="231" s="1"/>
  <c r="G20" i="231"/>
  <c r="I20" i="231" s="1"/>
  <c r="G19" i="231"/>
  <c r="I19" i="231" s="1"/>
  <c r="G18" i="231"/>
  <c r="I18" i="231" s="1"/>
  <c r="G17" i="231"/>
  <c r="I17" i="231" s="1"/>
  <c r="G16" i="231"/>
  <c r="G15" i="231"/>
  <c r="G40" i="230"/>
  <c r="I40" i="230" s="1"/>
  <c r="G39" i="230"/>
  <c r="I39" i="230" s="1"/>
  <c r="G38" i="230"/>
  <c r="I38" i="230" s="1"/>
  <c r="G37" i="230"/>
  <c r="G36" i="230"/>
  <c r="G35" i="230"/>
  <c r="G34" i="230"/>
  <c r="G33" i="230"/>
  <c r="G32" i="230"/>
  <c r="G31" i="230"/>
  <c r="G30" i="230"/>
  <c r="G29" i="230"/>
  <c r="G28" i="230"/>
  <c r="G27" i="230"/>
  <c r="G26" i="230"/>
  <c r="G25" i="230"/>
  <c r="G24" i="230"/>
  <c r="G23" i="230"/>
  <c r="G22" i="230"/>
  <c r="G21" i="230"/>
  <c r="G20" i="230"/>
  <c r="G19" i="230"/>
  <c r="G18" i="230"/>
  <c r="G17" i="230"/>
  <c r="G16" i="230"/>
  <c r="R19" i="293" s="1"/>
  <c r="S19" i="293" s="1"/>
  <c r="G15" i="230"/>
  <c r="H15" i="230" s="1"/>
  <c r="G40" i="229"/>
  <c r="I40" i="229" s="1"/>
  <c r="G39" i="229"/>
  <c r="I39" i="229" s="1"/>
  <c r="G38" i="229"/>
  <c r="I38" i="229" s="1"/>
  <c r="G37" i="229"/>
  <c r="G36" i="229"/>
  <c r="G35" i="229"/>
  <c r="G34" i="229"/>
  <c r="G33" i="229"/>
  <c r="G32" i="229"/>
  <c r="G31" i="229"/>
  <c r="G30" i="229"/>
  <c r="G29" i="229"/>
  <c r="G28" i="229"/>
  <c r="G27" i="229"/>
  <c r="G26" i="229"/>
  <c r="G25" i="229"/>
  <c r="G24" i="229"/>
  <c r="G23" i="229"/>
  <c r="G22" i="229"/>
  <c r="G21" i="229"/>
  <c r="G20" i="229"/>
  <c r="G19" i="229"/>
  <c r="G18" i="229"/>
  <c r="G17" i="229"/>
  <c r="G16" i="229"/>
  <c r="R18" i="293" s="1"/>
  <c r="S18" i="293" s="1"/>
  <c r="G15" i="229"/>
  <c r="H15" i="229" s="1"/>
  <c r="G40" i="228"/>
  <c r="I40" i="228" s="1"/>
  <c r="G39" i="228"/>
  <c r="I39" i="228" s="1"/>
  <c r="G38" i="228"/>
  <c r="I38" i="228" s="1"/>
  <c r="G37" i="228"/>
  <c r="G36" i="228"/>
  <c r="G35" i="228"/>
  <c r="G34" i="228"/>
  <c r="G33" i="228"/>
  <c r="G32" i="228"/>
  <c r="G31" i="228"/>
  <c r="G30" i="228"/>
  <c r="G29" i="228"/>
  <c r="G28" i="228"/>
  <c r="G27" i="228"/>
  <c r="G26" i="228"/>
  <c r="G25" i="228"/>
  <c r="G24" i="228"/>
  <c r="G23" i="228"/>
  <c r="G22" i="228"/>
  <c r="G21" i="228"/>
  <c r="G20" i="228"/>
  <c r="G19" i="228"/>
  <c r="G18" i="228"/>
  <c r="G17" i="228"/>
  <c r="G16" i="228"/>
  <c r="R17" i="293" s="1"/>
  <c r="S17" i="293" s="1"/>
  <c r="G15" i="228"/>
  <c r="H15" i="228" s="1"/>
  <c r="G40" i="227"/>
  <c r="G39" i="227"/>
  <c r="G38" i="227"/>
  <c r="G37" i="227"/>
  <c r="G36" i="227"/>
  <c r="G35" i="227"/>
  <c r="G34" i="227"/>
  <c r="G33" i="227"/>
  <c r="G32" i="227"/>
  <c r="G31" i="227"/>
  <c r="G30" i="227"/>
  <c r="G29" i="227"/>
  <c r="G28" i="227"/>
  <c r="G27" i="227"/>
  <c r="G26" i="227"/>
  <c r="G25" i="227"/>
  <c r="G24" i="227"/>
  <c r="G23" i="227"/>
  <c r="G22" i="227"/>
  <c r="G21" i="227"/>
  <c r="G20" i="227"/>
  <c r="G19" i="227"/>
  <c r="G18" i="227"/>
  <c r="R16" i="293" s="1"/>
  <c r="S16" i="293" s="1"/>
  <c r="G17" i="227"/>
  <c r="H17" i="227" s="1"/>
  <c r="H18" i="227" s="1"/>
  <c r="H19" i="227" s="1"/>
  <c r="G44" i="226"/>
  <c r="I44" i="226" s="1"/>
  <c r="G43" i="226"/>
  <c r="I43" i="226" s="1"/>
  <c r="G42" i="226"/>
  <c r="G41" i="226"/>
  <c r="G40" i="226"/>
  <c r="G39" i="226"/>
  <c r="G38" i="226"/>
  <c r="G37" i="226"/>
  <c r="G36" i="226"/>
  <c r="G35" i="226"/>
  <c r="G34" i="226"/>
  <c r="G33" i="226"/>
  <c r="G32" i="226"/>
  <c r="G31" i="226"/>
  <c r="G30" i="226"/>
  <c r="G29" i="226"/>
  <c r="G28" i="226"/>
  <c r="G27" i="226"/>
  <c r="G24" i="226"/>
  <c r="G23" i="226"/>
  <c r="G22" i="226"/>
  <c r="G21" i="226"/>
  <c r="G16" i="226"/>
  <c r="R15" i="293" s="1"/>
  <c r="S15" i="293" s="1"/>
  <c r="G15" i="226"/>
  <c r="H15" i="226" s="1"/>
  <c r="G42" i="225"/>
  <c r="I42" i="225" s="1"/>
  <c r="G41" i="225"/>
  <c r="I41" i="225" s="1"/>
  <c r="G40" i="225"/>
  <c r="I40" i="225" s="1"/>
  <c r="G39" i="225"/>
  <c r="G38" i="225"/>
  <c r="G37" i="225"/>
  <c r="G36" i="225"/>
  <c r="G35" i="225"/>
  <c r="G34" i="225"/>
  <c r="G33" i="225"/>
  <c r="G32" i="225"/>
  <c r="G31" i="225"/>
  <c r="G26" i="225"/>
  <c r="G25" i="225"/>
  <c r="G24" i="225"/>
  <c r="G23" i="225"/>
  <c r="G22" i="225"/>
  <c r="G21" i="225"/>
  <c r="G20" i="225"/>
  <c r="G19" i="225"/>
  <c r="G18" i="225"/>
  <c r="G17" i="225"/>
  <c r="G16" i="225"/>
  <c r="R14" i="293" s="1"/>
  <c r="S14" i="293" s="1"/>
  <c r="G15" i="225"/>
  <c r="H15" i="225" s="1"/>
  <c r="G40" i="223"/>
  <c r="G39" i="223"/>
  <c r="G38" i="223"/>
  <c r="G37" i="223"/>
  <c r="G36" i="223"/>
  <c r="G35" i="223"/>
  <c r="G34" i="223"/>
  <c r="G33" i="223"/>
  <c r="G32" i="223"/>
  <c r="G31" i="223"/>
  <c r="G30" i="223"/>
  <c r="G29" i="223"/>
  <c r="G28" i="223"/>
  <c r="G27" i="223"/>
  <c r="G26" i="223"/>
  <c r="G25" i="223"/>
  <c r="G24" i="223"/>
  <c r="G23" i="223"/>
  <c r="G22" i="223"/>
  <c r="G21" i="223"/>
  <c r="G20" i="223"/>
  <c r="G19" i="223"/>
  <c r="G18" i="223"/>
  <c r="G17" i="223"/>
  <c r="G16" i="223"/>
  <c r="R12" i="293" s="1"/>
  <c r="S12" i="293" s="1"/>
  <c r="G15" i="223"/>
  <c r="H15" i="223" s="1"/>
  <c r="G40" i="222"/>
  <c r="I40" i="222" s="1"/>
  <c r="G39" i="222"/>
  <c r="I39" i="222" s="1"/>
  <c r="G38" i="222"/>
  <c r="I38" i="222" s="1"/>
  <c r="G37" i="222"/>
  <c r="G36" i="222"/>
  <c r="G35" i="222"/>
  <c r="G34" i="222"/>
  <c r="G33" i="222"/>
  <c r="G32" i="222"/>
  <c r="G31" i="222"/>
  <c r="G30" i="222"/>
  <c r="G29" i="222"/>
  <c r="G28" i="222"/>
  <c r="G27" i="222"/>
  <c r="G26" i="222"/>
  <c r="G25" i="222"/>
  <c r="G24" i="222"/>
  <c r="G23" i="222"/>
  <c r="G22" i="222"/>
  <c r="G21" i="222"/>
  <c r="G20" i="222"/>
  <c r="G19" i="222"/>
  <c r="G18" i="222"/>
  <c r="R11" i="293" s="1"/>
  <c r="S11" i="293" s="1"/>
  <c r="G40" i="221"/>
  <c r="G39" i="221"/>
  <c r="G38" i="221"/>
  <c r="G37" i="221"/>
  <c r="G36" i="221"/>
  <c r="G35" i="221"/>
  <c r="G34" i="221"/>
  <c r="G33" i="221"/>
  <c r="G32" i="221"/>
  <c r="G31" i="221"/>
  <c r="G30" i="221"/>
  <c r="G29" i="221"/>
  <c r="G28" i="221"/>
  <c r="G27" i="221"/>
  <c r="G26" i="221"/>
  <c r="G25" i="221"/>
  <c r="G24" i="221"/>
  <c r="G23" i="221"/>
  <c r="G22" i="221"/>
  <c r="G21" i="221"/>
  <c r="G20" i="221"/>
  <c r="G19" i="221"/>
  <c r="G18" i="221"/>
  <c r="G17" i="221"/>
  <c r="G16" i="221"/>
  <c r="S54" i="292" s="1"/>
  <c r="T54" i="292" s="1"/>
  <c r="G15" i="221"/>
  <c r="H15" i="221" s="1"/>
  <c r="I10" i="220"/>
  <c r="I12" i="220"/>
  <c r="G38" i="220"/>
  <c r="I38" i="220" s="1"/>
  <c r="G37" i="220"/>
  <c r="I37" i="220" s="1"/>
  <c r="G36" i="220"/>
  <c r="I36" i="220" s="1"/>
  <c r="G35" i="220"/>
  <c r="I35" i="220" s="1"/>
  <c r="G34" i="220"/>
  <c r="I34" i="220" s="1"/>
  <c r="G33" i="220"/>
  <c r="I33" i="220" s="1"/>
  <c r="G32" i="220"/>
  <c r="I32" i="220" s="1"/>
  <c r="G31" i="220"/>
  <c r="G30" i="220"/>
  <c r="I30" i="220" s="1"/>
  <c r="G29" i="220"/>
  <c r="I29" i="220" s="1"/>
  <c r="G28" i="220"/>
  <c r="I28" i="220" s="1"/>
  <c r="G27" i="220"/>
  <c r="I27" i="220" s="1"/>
  <c r="G26" i="220"/>
  <c r="I26" i="220" s="1"/>
  <c r="G25" i="220"/>
  <c r="I25" i="220" s="1"/>
  <c r="G24" i="220"/>
  <c r="I24" i="220" s="1"/>
  <c r="G23" i="220"/>
  <c r="I23" i="220" s="1"/>
  <c r="G22" i="220"/>
  <c r="I22" i="220" s="1"/>
  <c r="G21" i="220"/>
  <c r="I21" i="220" s="1"/>
  <c r="G20" i="220"/>
  <c r="I20" i="220" s="1"/>
  <c r="G19" i="220"/>
  <c r="I19" i="220" s="1"/>
  <c r="G18" i="220"/>
  <c r="I18" i="220" s="1"/>
  <c r="G17" i="220"/>
  <c r="I17" i="220" s="1"/>
  <c r="G16" i="220"/>
  <c r="I16" i="220" s="1"/>
  <c r="G15" i="220"/>
  <c r="S53" i="292" s="1"/>
  <c r="T53" i="292" s="1"/>
  <c r="G14" i="220"/>
  <c r="G40" i="219"/>
  <c r="I40" i="219" s="1"/>
  <c r="G39" i="219"/>
  <c r="I39" i="219" s="1"/>
  <c r="G38" i="219"/>
  <c r="I38" i="219" s="1"/>
  <c r="G37" i="219"/>
  <c r="G36" i="219"/>
  <c r="G35" i="219"/>
  <c r="G34" i="219"/>
  <c r="G33" i="219"/>
  <c r="G32" i="219"/>
  <c r="G31" i="219"/>
  <c r="G30" i="219"/>
  <c r="G29" i="219"/>
  <c r="G28" i="219"/>
  <c r="G27" i="219"/>
  <c r="G26" i="219"/>
  <c r="G25" i="219"/>
  <c r="G24" i="219"/>
  <c r="G23" i="219"/>
  <c r="G22" i="219"/>
  <c r="G21" i="219"/>
  <c r="G20" i="219"/>
  <c r="G19" i="219"/>
  <c r="G15" i="219"/>
  <c r="H15" i="219" s="1"/>
  <c r="H16" i="219" s="1"/>
  <c r="H17" i="219" s="1"/>
  <c r="H18" i="219" s="1"/>
  <c r="G40" i="218"/>
  <c r="G39" i="218"/>
  <c r="G38" i="218"/>
  <c r="G37" i="218"/>
  <c r="G36" i="218"/>
  <c r="G35" i="218"/>
  <c r="G34" i="218"/>
  <c r="G33" i="218"/>
  <c r="G32" i="218"/>
  <c r="G31" i="218"/>
  <c r="G30" i="218"/>
  <c r="G29" i="218"/>
  <c r="G28" i="218"/>
  <c r="G27" i="218"/>
  <c r="G26" i="218"/>
  <c r="G25" i="218"/>
  <c r="G24" i="218"/>
  <c r="G23" i="218"/>
  <c r="G22" i="218"/>
  <c r="G21" i="218"/>
  <c r="G20" i="218"/>
  <c r="G19" i="218"/>
  <c r="G18" i="218"/>
  <c r="G17" i="218"/>
  <c r="G16" i="218"/>
  <c r="G15" i="218"/>
  <c r="H15" i="218" s="1"/>
  <c r="G40" i="217"/>
  <c r="G39" i="217"/>
  <c r="G38" i="217"/>
  <c r="G37" i="217"/>
  <c r="G36" i="217"/>
  <c r="G35" i="217"/>
  <c r="G34" i="217"/>
  <c r="G33" i="217"/>
  <c r="G32" i="217"/>
  <c r="G31" i="217"/>
  <c r="G30" i="217"/>
  <c r="G29" i="217"/>
  <c r="G28" i="217"/>
  <c r="G27" i="217"/>
  <c r="G26" i="217"/>
  <c r="G25" i="217"/>
  <c r="G24" i="217"/>
  <c r="G23" i="217"/>
  <c r="G22" i="217"/>
  <c r="G21" i="217"/>
  <c r="G20" i="217"/>
  <c r="G19" i="217"/>
  <c r="G18" i="217"/>
  <c r="G17" i="217"/>
  <c r="G16" i="217"/>
  <c r="S50" i="292" s="1"/>
  <c r="T50" i="292" s="1"/>
  <c r="G15" i="217"/>
  <c r="H15" i="217" s="1"/>
  <c r="G42" i="216"/>
  <c r="I42" i="216" s="1"/>
  <c r="G41" i="216"/>
  <c r="I41" i="216" s="1"/>
  <c r="G40" i="216"/>
  <c r="I40" i="216" s="1"/>
  <c r="G39" i="216"/>
  <c r="G38" i="216"/>
  <c r="G37" i="216"/>
  <c r="G36" i="216"/>
  <c r="G35" i="216"/>
  <c r="G34" i="216"/>
  <c r="G30" i="216"/>
  <c r="G29" i="216"/>
  <c r="G28" i="216"/>
  <c r="G27" i="216"/>
  <c r="G26" i="216"/>
  <c r="G25" i="216"/>
  <c r="G24" i="216"/>
  <c r="G23" i="216"/>
  <c r="G22" i="216"/>
  <c r="G21" i="216"/>
  <c r="G20" i="216"/>
  <c r="G19" i="216"/>
  <c r="G18" i="216"/>
  <c r="G17" i="216"/>
  <c r="G16" i="216"/>
  <c r="G15" i="216"/>
  <c r="H15" i="216" s="1"/>
  <c r="I11" i="215"/>
  <c r="I13" i="215"/>
  <c r="G39" i="215"/>
  <c r="I39" i="215" s="1"/>
  <c r="G38" i="215"/>
  <c r="I38" i="215" s="1"/>
  <c r="G37" i="215"/>
  <c r="I37" i="215" s="1"/>
  <c r="G36" i="215"/>
  <c r="I36" i="215" s="1"/>
  <c r="G35" i="215"/>
  <c r="I35" i="215" s="1"/>
  <c r="G34" i="215"/>
  <c r="I34" i="215" s="1"/>
  <c r="G33" i="215"/>
  <c r="I33" i="215" s="1"/>
  <c r="G32" i="215"/>
  <c r="I32" i="215" s="1"/>
  <c r="G31" i="215"/>
  <c r="I31" i="215" s="1"/>
  <c r="G30" i="215"/>
  <c r="I30" i="215" s="1"/>
  <c r="G29" i="215"/>
  <c r="I29" i="215" s="1"/>
  <c r="G28" i="215"/>
  <c r="I28" i="215" s="1"/>
  <c r="G27" i="215"/>
  <c r="I27" i="215" s="1"/>
  <c r="G26" i="215"/>
  <c r="I26" i="215" s="1"/>
  <c r="G25" i="215"/>
  <c r="I25" i="215" s="1"/>
  <c r="G24" i="215"/>
  <c r="I24" i="215" s="1"/>
  <c r="G23" i="215"/>
  <c r="I23" i="215" s="1"/>
  <c r="G22" i="215"/>
  <c r="I22" i="215" s="1"/>
  <c r="G21" i="215"/>
  <c r="I21" i="215" s="1"/>
  <c r="G20" i="215"/>
  <c r="I20" i="215" s="1"/>
  <c r="G19" i="215"/>
  <c r="I19" i="215" s="1"/>
  <c r="G18" i="215"/>
  <c r="I18" i="215" s="1"/>
  <c r="G17" i="215"/>
  <c r="I17" i="215" s="1"/>
  <c r="G16" i="215"/>
  <c r="S48" i="292" s="1"/>
  <c r="T48" i="292" s="1"/>
  <c r="G15" i="215"/>
  <c r="G40" i="214"/>
  <c r="G39" i="214"/>
  <c r="G38" i="214"/>
  <c r="G37" i="214"/>
  <c r="G36" i="214"/>
  <c r="G35" i="214"/>
  <c r="G34" i="214"/>
  <c r="G33" i="214"/>
  <c r="G32" i="214"/>
  <c r="G31" i="214"/>
  <c r="G30" i="214"/>
  <c r="G29" i="214"/>
  <c r="G28" i="214"/>
  <c r="G27" i="214"/>
  <c r="G26" i="214"/>
  <c r="G25" i="214"/>
  <c r="G24" i="214"/>
  <c r="G23" i="214"/>
  <c r="G22" i="214"/>
  <c r="G21" i="214"/>
  <c r="G20" i="214"/>
  <c r="G19" i="214"/>
  <c r="G18" i="214"/>
  <c r="G17" i="214"/>
  <c r="G16" i="214"/>
  <c r="S47" i="292" s="1"/>
  <c r="T47" i="292" s="1"/>
  <c r="G15" i="214"/>
  <c r="H15" i="214" s="1"/>
  <c r="G40" i="213"/>
  <c r="I40" i="213" s="1"/>
  <c r="G39" i="213"/>
  <c r="I39" i="213" s="1"/>
  <c r="G38" i="213"/>
  <c r="I38" i="213" s="1"/>
  <c r="G37" i="213"/>
  <c r="G36" i="213"/>
  <c r="G35" i="213"/>
  <c r="G34" i="213"/>
  <c r="G33" i="213"/>
  <c r="G32" i="213"/>
  <c r="G31" i="213"/>
  <c r="G30" i="213"/>
  <c r="G29" i="213"/>
  <c r="G28" i="213"/>
  <c r="G27" i="213"/>
  <c r="G26" i="213"/>
  <c r="G25" i="213"/>
  <c r="G24" i="213"/>
  <c r="G23" i="213"/>
  <c r="G22" i="213"/>
  <c r="G21" i="213"/>
  <c r="G20" i="213"/>
  <c r="G19" i="213"/>
  <c r="G18" i="213"/>
  <c r="G17" i="213"/>
  <c r="G16" i="213"/>
  <c r="S46" i="292" s="1"/>
  <c r="T46" i="292" s="1"/>
  <c r="G15" i="213"/>
  <c r="H15" i="213" s="1"/>
  <c r="G40" i="212"/>
  <c r="I40" i="212" s="1"/>
  <c r="G39" i="212"/>
  <c r="I39" i="212" s="1"/>
  <c r="G38" i="212"/>
  <c r="I38" i="212" s="1"/>
  <c r="G37" i="212"/>
  <c r="G36" i="212"/>
  <c r="G35" i="212"/>
  <c r="G34" i="212"/>
  <c r="G33" i="212"/>
  <c r="G32" i="212"/>
  <c r="G31" i="212"/>
  <c r="G30" i="212"/>
  <c r="G29" i="212"/>
  <c r="G28" i="212"/>
  <c r="G27" i="212"/>
  <c r="G26" i="212"/>
  <c r="G25" i="212"/>
  <c r="G24" i="212"/>
  <c r="G23" i="212"/>
  <c r="G22" i="212"/>
  <c r="G21" i="212"/>
  <c r="G20" i="212"/>
  <c r="G19" i="212"/>
  <c r="G18" i="212"/>
  <c r="G17" i="212"/>
  <c r="G16" i="212"/>
  <c r="S45" i="292" s="1"/>
  <c r="T45" i="292" s="1"/>
  <c r="G15" i="212"/>
  <c r="H15" i="212" s="1"/>
  <c r="G38" i="211"/>
  <c r="I38" i="211" s="1"/>
  <c r="G37" i="211"/>
  <c r="G36" i="211"/>
  <c r="G35" i="211"/>
  <c r="G34" i="211"/>
  <c r="G33" i="211"/>
  <c r="G32" i="211"/>
  <c r="G31" i="211"/>
  <c r="G30" i="211"/>
  <c r="G29" i="211"/>
  <c r="G28" i="211"/>
  <c r="G27" i="211"/>
  <c r="G26" i="211"/>
  <c r="G25" i="211"/>
  <c r="G24" i="211"/>
  <c r="G23" i="211"/>
  <c r="G22" i="211"/>
  <c r="G21" i="211"/>
  <c r="G20" i="211"/>
  <c r="G19" i="211"/>
  <c r="G18" i="211"/>
  <c r="G17" i="211"/>
  <c r="G16" i="211"/>
  <c r="S44" i="292" s="1"/>
  <c r="T44" i="292" s="1"/>
  <c r="G15" i="211"/>
  <c r="H15" i="211" s="1"/>
  <c r="G42" i="210"/>
  <c r="G41" i="210"/>
  <c r="G40" i="210"/>
  <c r="G39" i="210"/>
  <c r="G34" i="210"/>
  <c r="G33" i="210"/>
  <c r="G32" i="210"/>
  <c r="G31" i="210"/>
  <c r="G30" i="210"/>
  <c r="G29" i="210"/>
  <c r="G28" i="210"/>
  <c r="G27" i="210"/>
  <c r="G26" i="210"/>
  <c r="G25" i="210"/>
  <c r="G24" i="210"/>
  <c r="G23" i="210"/>
  <c r="G22" i="210"/>
  <c r="G21" i="210"/>
  <c r="G20" i="210"/>
  <c r="G19" i="210"/>
  <c r="G18" i="210"/>
  <c r="G17" i="210"/>
  <c r="G16" i="210"/>
  <c r="S43" i="292" s="1"/>
  <c r="T43" i="292" s="1"/>
  <c r="G15" i="210"/>
  <c r="H15" i="210" s="1"/>
  <c r="G40" i="209"/>
  <c r="I40" i="209" s="1"/>
  <c r="G39" i="209"/>
  <c r="I39" i="209" s="1"/>
  <c r="G38" i="209"/>
  <c r="I38" i="209" s="1"/>
  <c r="G37" i="209"/>
  <c r="G36" i="209"/>
  <c r="G35" i="209"/>
  <c r="G34" i="209"/>
  <c r="G33" i="209"/>
  <c r="G32" i="209"/>
  <c r="G31" i="209"/>
  <c r="G30" i="209"/>
  <c r="G29" i="209"/>
  <c r="G28" i="209"/>
  <c r="G27" i="209"/>
  <c r="G26" i="209"/>
  <c r="G25" i="209"/>
  <c r="G24" i="209"/>
  <c r="G23" i="209"/>
  <c r="G22" i="209"/>
  <c r="G21" i="209"/>
  <c r="G20" i="209"/>
  <c r="G19" i="209"/>
  <c r="G18" i="209"/>
  <c r="G17" i="209"/>
  <c r="G16" i="209"/>
  <c r="S42" i="292" s="1"/>
  <c r="T42" i="292" s="1"/>
  <c r="G15" i="209"/>
  <c r="H15" i="209" s="1"/>
  <c r="G40" i="208"/>
  <c r="G39" i="208"/>
  <c r="G38" i="208"/>
  <c r="G37" i="208"/>
  <c r="G36" i="208"/>
  <c r="G35" i="208"/>
  <c r="G34" i="208"/>
  <c r="G33" i="208"/>
  <c r="G32" i="208"/>
  <c r="G31" i="208"/>
  <c r="G30" i="208"/>
  <c r="G29" i="208"/>
  <c r="G28" i="208"/>
  <c r="G27" i="208"/>
  <c r="G26" i="208"/>
  <c r="G25" i="208"/>
  <c r="G24" i="208"/>
  <c r="G23" i="208"/>
  <c r="G22" i="208"/>
  <c r="G21" i="208"/>
  <c r="G20" i="208"/>
  <c r="G19" i="208"/>
  <c r="G18" i="208"/>
  <c r="G17" i="208"/>
  <c r="G16" i="208"/>
  <c r="G15" i="208"/>
  <c r="H15" i="208" s="1"/>
  <c r="G40" i="207"/>
  <c r="I40" i="207" s="1"/>
  <c r="G39" i="207"/>
  <c r="I39" i="207" s="1"/>
  <c r="G38" i="207"/>
  <c r="I38" i="207" s="1"/>
  <c r="G37" i="207"/>
  <c r="G36" i="207"/>
  <c r="G35" i="207"/>
  <c r="G34" i="207"/>
  <c r="G33" i="207"/>
  <c r="G32" i="207"/>
  <c r="G31" i="207"/>
  <c r="G30" i="207"/>
  <c r="G29" i="207"/>
  <c r="G28" i="207"/>
  <c r="G27" i="207"/>
  <c r="G26" i="207"/>
  <c r="G25" i="207"/>
  <c r="G24" i="207"/>
  <c r="G23" i="207"/>
  <c r="G22" i="207"/>
  <c r="G21" i="207"/>
  <c r="G20" i="207"/>
  <c r="G19" i="207"/>
  <c r="G18" i="207"/>
  <c r="G17" i="207"/>
  <c r="G16" i="207"/>
  <c r="S40" i="292" s="1"/>
  <c r="T40" i="292" s="1"/>
  <c r="G15" i="207"/>
  <c r="H15" i="207" s="1"/>
  <c r="G46" i="206"/>
  <c r="I46" i="206" s="1"/>
  <c r="G45" i="206"/>
  <c r="I45" i="206" s="1"/>
  <c r="G44" i="206"/>
  <c r="I44" i="206" s="1"/>
  <c r="G43" i="206"/>
  <c r="G42" i="206"/>
  <c r="G41" i="206"/>
  <c r="G40" i="206"/>
  <c r="G39" i="206"/>
  <c r="G38" i="206"/>
  <c r="G37" i="206"/>
  <c r="G36" i="206"/>
  <c r="G35" i="206"/>
  <c r="G34" i="206"/>
  <c r="G33" i="206"/>
  <c r="G32" i="206"/>
  <c r="G31" i="206"/>
  <c r="G30" i="206"/>
  <c r="G29" i="206"/>
  <c r="G28" i="206"/>
  <c r="G18" i="206"/>
  <c r="G17" i="206"/>
  <c r="G16" i="206"/>
  <c r="S39" i="292" s="1"/>
  <c r="T39" i="292" s="1"/>
  <c r="G15" i="206"/>
  <c r="H15" i="206" s="1"/>
  <c r="G40" i="205"/>
  <c r="I40" i="205" s="1"/>
  <c r="G39" i="205"/>
  <c r="I39" i="205" s="1"/>
  <c r="G38" i="205"/>
  <c r="I38" i="205" s="1"/>
  <c r="G37" i="205"/>
  <c r="G36" i="205"/>
  <c r="G35" i="205"/>
  <c r="G34" i="205"/>
  <c r="G33" i="205"/>
  <c r="G32" i="205"/>
  <c r="G31" i="205"/>
  <c r="G30" i="205"/>
  <c r="G29" i="205"/>
  <c r="G28" i="205"/>
  <c r="G27" i="205"/>
  <c r="G26" i="205"/>
  <c r="G25" i="205"/>
  <c r="G24" i="205"/>
  <c r="G23" i="205"/>
  <c r="G22" i="205"/>
  <c r="G21" i="205"/>
  <c r="G20" i="205"/>
  <c r="G19" i="205"/>
  <c r="G18" i="205"/>
  <c r="G17" i="205"/>
  <c r="G16" i="205"/>
  <c r="G15" i="205"/>
  <c r="H15" i="205" s="1"/>
  <c r="G40" i="204"/>
  <c r="I40" i="204" s="1"/>
  <c r="G39" i="204"/>
  <c r="I39" i="204" s="1"/>
  <c r="G38" i="204"/>
  <c r="I38" i="204" s="1"/>
  <c r="G37" i="204"/>
  <c r="G36" i="204"/>
  <c r="G35" i="204"/>
  <c r="G34" i="204"/>
  <c r="G33" i="204"/>
  <c r="G32" i="204"/>
  <c r="G31" i="204"/>
  <c r="G30" i="204"/>
  <c r="G29" i="204"/>
  <c r="G28" i="204"/>
  <c r="G27" i="204"/>
  <c r="G26" i="204"/>
  <c r="G25" i="204"/>
  <c r="G24" i="204"/>
  <c r="G23" i="204"/>
  <c r="G22" i="204"/>
  <c r="G21" i="204"/>
  <c r="G20" i="204"/>
  <c r="G19" i="204"/>
  <c r="G18" i="204"/>
  <c r="G17" i="204"/>
  <c r="G16" i="204"/>
  <c r="S37" i="292" s="1"/>
  <c r="T37" i="292" s="1"/>
  <c r="G15" i="204"/>
  <c r="H15" i="204" s="1"/>
  <c r="G42" i="203"/>
  <c r="I42" i="203" s="1"/>
  <c r="G41" i="203"/>
  <c r="I41" i="203" s="1"/>
  <c r="G40" i="203"/>
  <c r="I40" i="203" s="1"/>
  <c r="G39" i="203"/>
  <c r="G38" i="203"/>
  <c r="G37" i="203"/>
  <c r="G36" i="203"/>
  <c r="G35" i="203"/>
  <c r="G34" i="203"/>
  <c r="G28" i="203"/>
  <c r="G27" i="203"/>
  <c r="G26" i="203"/>
  <c r="G25" i="203"/>
  <c r="G24" i="203"/>
  <c r="G23" i="203"/>
  <c r="G22" i="203"/>
  <c r="G21" i="203"/>
  <c r="G20" i="203"/>
  <c r="G19" i="203"/>
  <c r="G18" i="203"/>
  <c r="G17" i="203"/>
  <c r="G16" i="203"/>
  <c r="S36" i="292" s="1"/>
  <c r="T36" i="292" s="1"/>
  <c r="G15" i="203"/>
  <c r="H15" i="203" s="1"/>
  <c r="G42" i="202"/>
  <c r="G39" i="202"/>
  <c r="G38" i="202"/>
  <c r="G37" i="202"/>
  <c r="G36" i="202"/>
  <c r="G35" i="202"/>
  <c r="G34" i="202"/>
  <c r="G33" i="202"/>
  <c r="G32" i="202"/>
  <c r="G31" i="202"/>
  <c r="G30" i="202"/>
  <c r="G29" i="202"/>
  <c r="G28" i="202"/>
  <c r="G27" i="202"/>
  <c r="G26" i="202"/>
  <c r="G25" i="202"/>
  <c r="G24" i="202"/>
  <c r="G23" i="202"/>
  <c r="G22" i="202"/>
  <c r="G21" i="202"/>
  <c r="G20" i="202"/>
  <c r="G19" i="202"/>
  <c r="G18" i="202"/>
  <c r="G17" i="202"/>
  <c r="G16" i="202"/>
  <c r="S35" i="292" s="1"/>
  <c r="T35" i="292" s="1"/>
  <c r="G15" i="202"/>
  <c r="H15" i="202" s="1"/>
  <c r="G40" i="201"/>
  <c r="I40" i="201" s="1"/>
  <c r="G39" i="201"/>
  <c r="I39" i="201" s="1"/>
  <c r="G38" i="201"/>
  <c r="I38" i="201" s="1"/>
  <c r="G37" i="201"/>
  <c r="G36" i="201"/>
  <c r="G35" i="201"/>
  <c r="G34" i="201"/>
  <c r="G33" i="201"/>
  <c r="G32" i="201"/>
  <c r="G31" i="201"/>
  <c r="G30" i="201"/>
  <c r="G29" i="201"/>
  <c r="G28" i="201"/>
  <c r="G27" i="201"/>
  <c r="G26" i="201"/>
  <c r="G25" i="201"/>
  <c r="G24" i="201"/>
  <c r="G23" i="201"/>
  <c r="G22" i="201"/>
  <c r="G20" i="201"/>
  <c r="G19" i="201"/>
  <c r="G18" i="201"/>
  <c r="G17" i="201"/>
  <c r="G16" i="201"/>
  <c r="S34" i="292" s="1"/>
  <c r="T34" i="292" s="1"/>
  <c r="G15" i="201"/>
  <c r="H15" i="201" s="1"/>
  <c r="G42" i="200"/>
  <c r="I42" i="200" s="1"/>
  <c r="G30" i="200"/>
  <c r="G29" i="200"/>
  <c r="G28" i="200"/>
  <c r="G27" i="200"/>
  <c r="G26" i="200"/>
  <c r="G25" i="200"/>
  <c r="G24" i="200"/>
  <c r="G23" i="200"/>
  <c r="G22" i="200"/>
  <c r="G21" i="200"/>
  <c r="G20" i="200"/>
  <c r="G19" i="200"/>
  <c r="G18" i="200"/>
  <c r="G17" i="200"/>
  <c r="G16" i="200"/>
  <c r="S33" i="292" s="1"/>
  <c r="T33" i="292" s="1"/>
  <c r="G15" i="200"/>
  <c r="H15" i="200" s="1"/>
  <c r="G40" i="199"/>
  <c r="I40" i="199" s="1"/>
  <c r="G39" i="199"/>
  <c r="I39" i="199" s="1"/>
  <c r="G38" i="199"/>
  <c r="I38" i="199" s="1"/>
  <c r="G37" i="199"/>
  <c r="G36" i="199"/>
  <c r="G35" i="199"/>
  <c r="G34" i="199"/>
  <c r="G33" i="199"/>
  <c r="G32" i="199"/>
  <c r="G31" i="199"/>
  <c r="G30" i="199"/>
  <c r="G29" i="199"/>
  <c r="G28" i="199"/>
  <c r="G27" i="199"/>
  <c r="G26" i="199"/>
  <c r="G25" i="199"/>
  <c r="G24" i="199"/>
  <c r="G23" i="199"/>
  <c r="G22" i="199"/>
  <c r="G21" i="199"/>
  <c r="G20" i="199"/>
  <c r="G19" i="199"/>
  <c r="G18" i="199"/>
  <c r="G17" i="199"/>
  <c r="G16" i="199"/>
  <c r="G15" i="199"/>
  <c r="H15" i="199" s="1"/>
  <c r="G44" i="198"/>
  <c r="I44" i="198" s="1"/>
  <c r="G43" i="198"/>
  <c r="I43" i="198" s="1"/>
  <c r="G42" i="198"/>
  <c r="I42" i="198" s="1"/>
  <c r="G41" i="198"/>
  <c r="G36" i="198"/>
  <c r="G35" i="198"/>
  <c r="G34" i="198"/>
  <c r="G33" i="198"/>
  <c r="G32" i="198"/>
  <c r="G31" i="198"/>
  <c r="G30" i="198"/>
  <c r="G29" i="198"/>
  <c r="G28" i="198"/>
  <c r="G27" i="198"/>
  <c r="G26" i="198"/>
  <c r="G25" i="198"/>
  <c r="G24" i="198"/>
  <c r="G23" i="198"/>
  <c r="G20" i="198"/>
  <c r="G19" i="198"/>
  <c r="G18" i="198"/>
  <c r="G17" i="198"/>
  <c r="G16" i="198"/>
  <c r="S31" i="292" s="1"/>
  <c r="T31" i="292" s="1"/>
  <c r="G15" i="198"/>
  <c r="H15" i="198" s="1"/>
  <c r="G44" i="197"/>
  <c r="I44" i="197" s="1"/>
  <c r="G43" i="197"/>
  <c r="I43" i="197" s="1"/>
  <c r="G42" i="197"/>
  <c r="I42" i="197" s="1"/>
  <c r="G41" i="197"/>
  <c r="G40" i="197"/>
  <c r="G39" i="197"/>
  <c r="G38" i="197"/>
  <c r="G34" i="197"/>
  <c r="G33" i="197"/>
  <c r="G32" i="197"/>
  <c r="G28" i="197"/>
  <c r="G27" i="197"/>
  <c r="G26" i="197"/>
  <c r="G25" i="197"/>
  <c r="G24" i="197"/>
  <c r="G23" i="197"/>
  <c r="G22" i="197"/>
  <c r="G21" i="197"/>
  <c r="G20" i="197"/>
  <c r="G19" i="197"/>
  <c r="G18" i="197"/>
  <c r="G17" i="197"/>
  <c r="G16" i="197"/>
  <c r="G15" i="197"/>
  <c r="H15" i="197" s="1"/>
  <c r="G46" i="196"/>
  <c r="I46" i="196" s="1"/>
  <c r="G45" i="196"/>
  <c r="I45" i="196" s="1"/>
  <c r="G44" i="196"/>
  <c r="G43" i="196"/>
  <c r="G42" i="196"/>
  <c r="G41" i="196"/>
  <c r="G40" i="196"/>
  <c r="G39" i="196"/>
  <c r="G38" i="196"/>
  <c r="G37" i="196"/>
  <c r="G36" i="196"/>
  <c r="G35" i="196"/>
  <c r="G34" i="196"/>
  <c r="G33" i="196"/>
  <c r="G32" i="196"/>
  <c r="G31" i="196"/>
  <c r="G30" i="196"/>
  <c r="G29" i="196"/>
  <c r="G28" i="196"/>
  <c r="G27" i="196"/>
  <c r="G26" i="196"/>
  <c r="G18" i="196"/>
  <c r="G17" i="196"/>
  <c r="G16" i="196"/>
  <c r="S29" i="292" s="1"/>
  <c r="T29" i="292" s="1"/>
  <c r="G15" i="196"/>
  <c r="H15" i="196" s="1"/>
  <c r="G42" i="195"/>
  <c r="G41" i="195"/>
  <c r="G40" i="195"/>
  <c r="G39" i="195"/>
  <c r="G38" i="195"/>
  <c r="G37" i="195"/>
  <c r="G36" i="195"/>
  <c r="G35" i="195"/>
  <c r="G34" i="195"/>
  <c r="G33" i="195"/>
  <c r="G28" i="195"/>
  <c r="G27" i="195"/>
  <c r="G26" i="195"/>
  <c r="G25" i="195"/>
  <c r="G24" i="195"/>
  <c r="G23" i="195"/>
  <c r="G22" i="195"/>
  <c r="G21" i="195"/>
  <c r="G20" i="195"/>
  <c r="G19" i="195"/>
  <c r="G18" i="195"/>
  <c r="G17" i="195"/>
  <c r="G16" i="195"/>
  <c r="G15" i="195"/>
  <c r="H15" i="195" s="1"/>
  <c r="G38" i="194"/>
  <c r="G37" i="194"/>
  <c r="G36" i="194"/>
  <c r="G35" i="194"/>
  <c r="G34" i="194"/>
  <c r="G33" i="194"/>
  <c r="G32" i="194"/>
  <c r="G31" i="194"/>
  <c r="G30" i="194"/>
  <c r="G29" i="194"/>
  <c r="G28" i="194"/>
  <c r="G27" i="194"/>
  <c r="G26" i="194"/>
  <c r="G25" i="194"/>
  <c r="G24" i="194"/>
  <c r="G23" i="194"/>
  <c r="G22" i="194"/>
  <c r="G21" i="194"/>
  <c r="G20" i="194"/>
  <c r="G19" i="194"/>
  <c r="G18" i="194"/>
  <c r="G17" i="194"/>
  <c r="G16" i="194"/>
  <c r="S27" i="292" s="1"/>
  <c r="T27" i="292" s="1"/>
  <c r="G15" i="194"/>
  <c r="H15" i="194" s="1"/>
  <c r="G40" i="193"/>
  <c r="I40" i="193" s="1"/>
  <c r="G39" i="193"/>
  <c r="I39" i="193" s="1"/>
  <c r="G38" i="193"/>
  <c r="I38" i="193" s="1"/>
  <c r="G37" i="193"/>
  <c r="G36" i="193"/>
  <c r="G35" i="193"/>
  <c r="G34" i="193"/>
  <c r="G33" i="193"/>
  <c r="G32" i="193"/>
  <c r="G31" i="193"/>
  <c r="G30" i="193"/>
  <c r="G29" i="193"/>
  <c r="G28" i="193"/>
  <c r="G27" i="193"/>
  <c r="G26" i="193"/>
  <c r="G25" i="193"/>
  <c r="G24" i="193"/>
  <c r="G23" i="193"/>
  <c r="G22" i="193"/>
  <c r="G21" i="193"/>
  <c r="G20" i="193"/>
  <c r="G19" i="193"/>
  <c r="G18" i="193"/>
  <c r="G17" i="193"/>
  <c r="G16" i="193"/>
  <c r="S26" i="292" s="1"/>
  <c r="T26" i="292" s="1"/>
  <c r="G15" i="193"/>
  <c r="H15" i="193" s="1"/>
  <c r="G40" i="192"/>
  <c r="I40" i="192" s="1"/>
  <c r="G39" i="192"/>
  <c r="I39" i="192" s="1"/>
  <c r="G38" i="192"/>
  <c r="I38" i="192" s="1"/>
  <c r="G37" i="192"/>
  <c r="G36" i="192"/>
  <c r="G35" i="192"/>
  <c r="G34" i="192"/>
  <c r="G33" i="192"/>
  <c r="G32" i="192"/>
  <c r="G31" i="192"/>
  <c r="G30" i="192"/>
  <c r="G29" i="192"/>
  <c r="G28" i="192"/>
  <c r="G27" i="192"/>
  <c r="G26" i="192"/>
  <c r="G25" i="192"/>
  <c r="G24" i="192"/>
  <c r="G23" i="192"/>
  <c r="G22" i="192"/>
  <c r="G21" i="192"/>
  <c r="G20" i="192"/>
  <c r="G19" i="192"/>
  <c r="G18" i="192"/>
  <c r="G17" i="192"/>
  <c r="G16" i="192"/>
  <c r="G15" i="192"/>
  <c r="H15" i="192" s="1"/>
  <c r="G42" i="191"/>
  <c r="G39" i="191"/>
  <c r="G38" i="191"/>
  <c r="G37" i="191"/>
  <c r="G36" i="191"/>
  <c r="G35" i="191"/>
  <c r="G34" i="191"/>
  <c r="G33" i="191"/>
  <c r="G32" i="191"/>
  <c r="G31" i="191"/>
  <c r="G30" i="191"/>
  <c r="G29" i="191"/>
  <c r="G28" i="191"/>
  <c r="G27" i="191"/>
  <c r="G26" i="191"/>
  <c r="G25" i="191"/>
  <c r="G24" i="191"/>
  <c r="G23" i="191"/>
  <c r="G22" i="191"/>
  <c r="G21" i="191"/>
  <c r="G20" i="191"/>
  <c r="G19" i="191"/>
  <c r="G18" i="191"/>
  <c r="G17" i="191"/>
  <c r="G16" i="191"/>
  <c r="S24" i="292" s="1"/>
  <c r="T24" i="292" s="1"/>
  <c r="G15" i="191"/>
  <c r="H15" i="191" s="1"/>
  <c r="G40" i="190"/>
  <c r="I40" i="190" s="1"/>
  <c r="G39" i="190"/>
  <c r="I39" i="190" s="1"/>
  <c r="G38" i="190"/>
  <c r="I38" i="190" s="1"/>
  <c r="G37" i="190"/>
  <c r="G36" i="190"/>
  <c r="G35" i="190"/>
  <c r="G34" i="190"/>
  <c r="G33" i="190"/>
  <c r="G32" i="190"/>
  <c r="G31" i="190"/>
  <c r="G30" i="190"/>
  <c r="G29" i="190"/>
  <c r="G28" i="190"/>
  <c r="G27" i="190"/>
  <c r="G26" i="190"/>
  <c r="G25" i="190"/>
  <c r="G24" i="190"/>
  <c r="G23" i="190"/>
  <c r="G22" i="190"/>
  <c r="G21" i="190"/>
  <c r="G20" i="190"/>
  <c r="G19" i="190"/>
  <c r="G18" i="190"/>
  <c r="G17" i="190"/>
  <c r="G16" i="190"/>
  <c r="S23" i="292" s="1"/>
  <c r="T23" i="292" s="1"/>
  <c r="G15" i="190"/>
  <c r="H15" i="190" s="1"/>
  <c r="G38" i="189"/>
  <c r="G37" i="189"/>
  <c r="G36" i="189"/>
  <c r="G35" i="189"/>
  <c r="G34" i="189"/>
  <c r="G33" i="189"/>
  <c r="G32" i="189"/>
  <c r="G31" i="189"/>
  <c r="G30" i="189"/>
  <c r="G29" i="189"/>
  <c r="G23" i="189"/>
  <c r="G22" i="189"/>
  <c r="G21" i="189"/>
  <c r="G20" i="189"/>
  <c r="G19" i="189"/>
  <c r="G18" i="189"/>
  <c r="G17" i="189"/>
  <c r="G16" i="189"/>
  <c r="S22" i="292" s="1"/>
  <c r="T22" i="292" s="1"/>
  <c r="G15" i="189"/>
  <c r="H15" i="189" s="1"/>
  <c r="G40" i="188"/>
  <c r="I40" i="188" s="1"/>
  <c r="G39" i="188"/>
  <c r="I39" i="188" s="1"/>
  <c r="G38" i="188"/>
  <c r="I38" i="188" s="1"/>
  <c r="G37" i="188"/>
  <c r="G36" i="188"/>
  <c r="G35" i="188"/>
  <c r="G34" i="188"/>
  <c r="G33" i="188"/>
  <c r="G32" i="188"/>
  <c r="G31" i="188"/>
  <c r="G30" i="188"/>
  <c r="G29" i="188"/>
  <c r="G28" i="188"/>
  <c r="G27" i="188"/>
  <c r="G26" i="188"/>
  <c r="G25" i="188"/>
  <c r="G24" i="188"/>
  <c r="G23" i="188"/>
  <c r="G22" i="188"/>
  <c r="G21" i="188"/>
  <c r="G20" i="188"/>
  <c r="G19" i="188"/>
  <c r="G18" i="188"/>
  <c r="G17" i="188"/>
  <c r="G16" i="188"/>
  <c r="G15" i="188"/>
  <c r="H15" i="188" s="1"/>
  <c r="G44" i="187"/>
  <c r="G42" i="187"/>
  <c r="G41" i="187"/>
  <c r="G40" i="187"/>
  <c r="G39" i="187"/>
  <c r="G38" i="187"/>
  <c r="G37" i="187"/>
  <c r="G36" i="187"/>
  <c r="G35" i="187"/>
  <c r="G32" i="187"/>
  <c r="G31" i="187"/>
  <c r="G30" i="187"/>
  <c r="G29" i="187"/>
  <c r="G28" i="187"/>
  <c r="G27" i="187"/>
  <c r="G26" i="187"/>
  <c r="G25" i="187"/>
  <c r="G22" i="187"/>
  <c r="G21" i="187"/>
  <c r="G20" i="187"/>
  <c r="G19" i="187"/>
  <c r="G18" i="187"/>
  <c r="G17" i="187"/>
  <c r="G16" i="187"/>
  <c r="G15" i="187"/>
  <c r="H15" i="187" s="1"/>
  <c r="G40" i="186"/>
  <c r="I40" i="186" s="1"/>
  <c r="G39" i="186"/>
  <c r="I39" i="186" s="1"/>
  <c r="G38" i="186"/>
  <c r="I38" i="186" s="1"/>
  <c r="G37" i="186"/>
  <c r="G36" i="186"/>
  <c r="G35" i="186"/>
  <c r="G34" i="186"/>
  <c r="G33" i="186"/>
  <c r="G32" i="186"/>
  <c r="G31" i="186"/>
  <c r="G30" i="186"/>
  <c r="G29" i="186"/>
  <c r="G28" i="186"/>
  <c r="G27" i="186"/>
  <c r="G26" i="186"/>
  <c r="G25" i="186"/>
  <c r="G24" i="186"/>
  <c r="G23" i="186"/>
  <c r="G22" i="186"/>
  <c r="G21" i="186"/>
  <c r="G20" i="186"/>
  <c r="G19" i="186"/>
  <c r="G18" i="186"/>
  <c r="G17" i="186"/>
  <c r="G16" i="186"/>
  <c r="S19" i="292" s="1"/>
  <c r="T19" i="292" s="1"/>
  <c r="G15" i="186"/>
  <c r="H15" i="186" s="1"/>
  <c r="I11" i="185"/>
  <c r="I13" i="185"/>
  <c r="G38" i="185"/>
  <c r="I38" i="185" s="1"/>
  <c r="G37" i="185"/>
  <c r="I37" i="185" s="1"/>
  <c r="G36" i="185"/>
  <c r="I36" i="185" s="1"/>
  <c r="G35" i="185"/>
  <c r="I35" i="185" s="1"/>
  <c r="G34" i="185"/>
  <c r="I34" i="185" s="1"/>
  <c r="G33" i="185"/>
  <c r="I33" i="185" s="1"/>
  <c r="G32" i="185"/>
  <c r="I32" i="185" s="1"/>
  <c r="G31" i="185"/>
  <c r="I31" i="185" s="1"/>
  <c r="G30" i="185"/>
  <c r="I30" i="185" s="1"/>
  <c r="G29" i="185"/>
  <c r="I29" i="185" s="1"/>
  <c r="G28" i="185"/>
  <c r="I28" i="185" s="1"/>
  <c r="G27" i="185"/>
  <c r="I27" i="185" s="1"/>
  <c r="G26" i="185"/>
  <c r="I26" i="185" s="1"/>
  <c r="G25" i="185"/>
  <c r="I25" i="185" s="1"/>
  <c r="G24" i="185"/>
  <c r="I24" i="185" s="1"/>
  <c r="G23" i="185"/>
  <c r="I23" i="185" s="1"/>
  <c r="G22" i="185"/>
  <c r="G21" i="185"/>
  <c r="I21" i="185" s="1"/>
  <c r="G20" i="185"/>
  <c r="I20" i="185" s="1"/>
  <c r="G19" i="185"/>
  <c r="I19" i="185" s="1"/>
  <c r="I18" i="185"/>
  <c r="I17" i="185"/>
  <c r="G15" i="185"/>
  <c r="G40" i="183"/>
  <c r="I40" i="183" s="1"/>
  <c r="G39" i="183"/>
  <c r="I39" i="183" s="1"/>
  <c r="G38" i="183"/>
  <c r="I38" i="183" s="1"/>
  <c r="G37" i="183"/>
  <c r="G36" i="183"/>
  <c r="G35" i="183"/>
  <c r="G34" i="183"/>
  <c r="G33" i="183"/>
  <c r="G32" i="183"/>
  <c r="G31" i="183"/>
  <c r="G30" i="183"/>
  <c r="G29" i="183"/>
  <c r="G28" i="183"/>
  <c r="G27" i="183"/>
  <c r="G26" i="183"/>
  <c r="G25" i="183"/>
  <c r="G24" i="183"/>
  <c r="G23" i="183"/>
  <c r="G22" i="183"/>
  <c r="G21" i="183"/>
  <c r="G20" i="183"/>
  <c r="G19" i="183"/>
  <c r="G18" i="183"/>
  <c r="G17" i="183"/>
  <c r="G16" i="183"/>
  <c r="G15" i="183"/>
  <c r="H15" i="183" s="1"/>
  <c r="I11" i="182"/>
  <c r="I13" i="182"/>
  <c r="G41" i="182"/>
  <c r="I41" i="182" s="1"/>
  <c r="G40" i="182"/>
  <c r="I40" i="182" s="1"/>
  <c r="G39" i="182"/>
  <c r="I39" i="182" s="1"/>
  <c r="G38" i="182"/>
  <c r="I38" i="182" s="1"/>
  <c r="G37" i="182"/>
  <c r="I37" i="182" s="1"/>
  <c r="G36" i="182"/>
  <c r="G35" i="182"/>
  <c r="I35" i="182" s="1"/>
  <c r="G34" i="182"/>
  <c r="G33" i="182"/>
  <c r="I33" i="182" s="1"/>
  <c r="G32" i="182"/>
  <c r="G31" i="182"/>
  <c r="I31" i="182" s="1"/>
  <c r="G30" i="182"/>
  <c r="I30" i="182" s="1"/>
  <c r="G29" i="182"/>
  <c r="I29" i="182" s="1"/>
  <c r="G28" i="182"/>
  <c r="I28" i="182" s="1"/>
  <c r="I27" i="182"/>
  <c r="I26" i="182"/>
  <c r="I25" i="182"/>
  <c r="I24" i="182"/>
  <c r="I23" i="182"/>
  <c r="G20" i="182"/>
  <c r="G19" i="182"/>
  <c r="I19" i="182" s="1"/>
  <c r="G18" i="182"/>
  <c r="I18" i="182" s="1"/>
  <c r="G17" i="182"/>
  <c r="I17" i="182" s="1"/>
  <c r="G16" i="182"/>
  <c r="G15" i="182"/>
  <c r="I11" i="181"/>
  <c r="I13" i="181"/>
  <c r="G39" i="181"/>
  <c r="I39" i="181" s="1"/>
  <c r="G38" i="181"/>
  <c r="I38" i="181" s="1"/>
  <c r="G37" i="181"/>
  <c r="I37" i="181" s="1"/>
  <c r="G36" i="181"/>
  <c r="I36" i="181" s="1"/>
  <c r="G35" i="181"/>
  <c r="I35" i="181" s="1"/>
  <c r="G34" i="181"/>
  <c r="G33" i="181"/>
  <c r="I33" i="181" s="1"/>
  <c r="G32" i="181"/>
  <c r="I32" i="181" s="1"/>
  <c r="G31" i="181"/>
  <c r="I31" i="181" s="1"/>
  <c r="G30" i="181"/>
  <c r="I30" i="181" s="1"/>
  <c r="G29" i="181"/>
  <c r="I29" i="181" s="1"/>
  <c r="G28" i="181"/>
  <c r="I28" i="181" s="1"/>
  <c r="G27" i="181"/>
  <c r="I27" i="181" s="1"/>
  <c r="G26" i="181"/>
  <c r="I26" i="181" s="1"/>
  <c r="G25" i="181"/>
  <c r="I25" i="181" s="1"/>
  <c r="G24" i="181"/>
  <c r="I24" i="181" s="1"/>
  <c r="G23" i="181"/>
  <c r="I23" i="181" s="1"/>
  <c r="G22" i="181"/>
  <c r="I22" i="181" s="1"/>
  <c r="G21" i="181"/>
  <c r="I21" i="181" s="1"/>
  <c r="G20" i="181"/>
  <c r="I20" i="181" s="1"/>
  <c r="G19" i="181"/>
  <c r="I19" i="181" s="1"/>
  <c r="G18" i="181"/>
  <c r="I18" i="181" s="1"/>
  <c r="G17" i="181"/>
  <c r="I17" i="181" s="1"/>
  <c r="G16" i="181"/>
  <c r="G15" i="181"/>
  <c r="I11" i="180"/>
  <c r="I13" i="180"/>
  <c r="G38" i="180"/>
  <c r="I38" i="180" s="1"/>
  <c r="G37" i="180"/>
  <c r="I37" i="180" s="1"/>
  <c r="G36" i="180"/>
  <c r="I36" i="180" s="1"/>
  <c r="G35" i="180"/>
  <c r="I35" i="180" s="1"/>
  <c r="G34" i="180"/>
  <c r="G33" i="180"/>
  <c r="I33" i="180" s="1"/>
  <c r="G32" i="180"/>
  <c r="I32" i="180" s="1"/>
  <c r="G31" i="180"/>
  <c r="I31" i="180" s="1"/>
  <c r="G30" i="180"/>
  <c r="I30" i="180" s="1"/>
  <c r="G29" i="180"/>
  <c r="I29" i="180" s="1"/>
  <c r="G28" i="180"/>
  <c r="I28" i="180" s="1"/>
  <c r="G27" i="180"/>
  <c r="I27" i="180" s="1"/>
  <c r="G26" i="180"/>
  <c r="I26" i="180" s="1"/>
  <c r="G25" i="180"/>
  <c r="I25" i="180" s="1"/>
  <c r="G24" i="180"/>
  <c r="I24" i="180" s="1"/>
  <c r="G23" i="180"/>
  <c r="I23" i="180" s="1"/>
  <c r="G22" i="180"/>
  <c r="I22" i="180" s="1"/>
  <c r="G21" i="180"/>
  <c r="I21" i="180" s="1"/>
  <c r="G20" i="180"/>
  <c r="I20" i="180" s="1"/>
  <c r="G19" i="180"/>
  <c r="I19" i="180" s="1"/>
  <c r="G18" i="180"/>
  <c r="I18" i="180" s="1"/>
  <c r="G17" i="180"/>
  <c r="I17" i="180" s="1"/>
  <c r="G16" i="180"/>
  <c r="S13" i="292" s="1"/>
  <c r="T13" i="292" s="1"/>
  <c r="G15" i="180"/>
  <c r="H15" i="180" s="1"/>
  <c r="G42" i="177"/>
  <c r="I42" i="177" s="1"/>
  <c r="G41" i="177"/>
  <c r="I41" i="177" s="1"/>
  <c r="G40" i="177"/>
  <c r="I40" i="177" s="1"/>
  <c r="G39" i="177"/>
  <c r="G38" i="177"/>
  <c r="G37" i="177"/>
  <c r="G36" i="177"/>
  <c r="G35" i="177"/>
  <c r="G34" i="177"/>
  <c r="G33" i="177"/>
  <c r="G32" i="177"/>
  <c r="G28" i="177"/>
  <c r="G27" i="177"/>
  <c r="G26" i="177"/>
  <c r="G25" i="177"/>
  <c r="G24" i="177"/>
  <c r="G23" i="177"/>
  <c r="G22" i="177"/>
  <c r="G21" i="177"/>
  <c r="G20" i="177"/>
  <c r="G19" i="177"/>
  <c r="G18" i="177"/>
  <c r="G17" i="177"/>
  <c r="G16" i="177"/>
  <c r="S12" i="292" s="1"/>
  <c r="T12" i="292" s="1"/>
  <c r="G15" i="177"/>
  <c r="H15" i="177" s="1"/>
  <c r="I11" i="176"/>
  <c r="I13" i="176"/>
  <c r="G40" i="176"/>
  <c r="I40" i="176" s="1"/>
  <c r="G39" i="176"/>
  <c r="I39" i="176" s="1"/>
  <c r="G38" i="176"/>
  <c r="I38" i="176" s="1"/>
  <c r="G37" i="176"/>
  <c r="I37" i="176" s="1"/>
  <c r="G36" i="176"/>
  <c r="I36" i="176" s="1"/>
  <c r="G35" i="176"/>
  <c r="I35" i="176" s="1"/>
  <c r="G34" i="176"/>
  <c r="I34" i="176" s="1"/>
  <c r="G33" i="176"/>
  <c r="I33" i="176" s="1"/>
  <c r="G32" i="176"/>
  <c r="I32" i="176" s="1"/>
  <c r="G31" i="176"/>
  <c r="I31" i="176" s="1"/>
  <c r="G30" i="176"/>
  <c r="I30" i="176" s="1"/>
  <c r="G29" i="176"/>
  <c r="I29" i="176" s="1"/>
  <c r="G28" i="176"/>
  <c r="I28" i="176" s="1"/>
  <c r="G27" i="176"/>
  <c r="I27" i="176" s="1"/>
  <c r="G26" i="176"/>
  <c r="I26" i="176" s="1"/>
  <c r="G25" i="176"/>
  <c r="I25" i="176" s="1"/>
  <c r="G24" i="176"/>
  <c r="I24" i="176" s="1"/>
  <c r="G23" i="176"/>
  <c r="I23" i="176" s="1"/>
  <c r="G22" i="176"/>
  <c r="I22" i="176" s="1"/>
  <c r="G21" i="176"/>
  <c r="I21" i="176" s="1"/>
  <c r="G20" i="176"/>
  <c r="I20" i="176" s="1"/>
  <c r="G19" i="176"/>
  <c r="I19" i="176" s="1"/>
  <c r="G18" i="176"/>
  <c r="I18" i="176" s="1"/>
  <c r="G17" i="176"/>
  <c r="I17" i="176" s="1"/>
  <c r="G16" i="176"/>
  <c r="S11" i="292" s="1"/>
  <c r="T11" i="292" s="1"/>
  <c r="G15" i="176"/>
  <c r="G44" i="175"/>
  <c r="I44" i="175" s="1"/>
  <c r="G43" i="175"/>
  <c r="G42" i="175"/>
  <c r="G41" i="175"/>
  <c r="G40" i="175"/>
  <c r="G39" i="175"/>
  <c r="G38" i="175"/>
  <c r="G37" i="175"/>
  <c r="G36" i="175"/>
  <c r="G35" i="175"/>
  <c r="G34" i="175"/>
  <c r="G33" i="175"/>
  <c r="G32" i="175"/>
  <c r="G31" i="175"/>
  <c r="G30" i="175"/>
  <c r="G29" i="175"/>
  <c r="G28" i="175"/>
  <c r="G27" i="175"/>
  <c r="G26" i="175"/>
  <c r="S10" i="292" s="1"/>
  <c r="T10" i="292" s="1"/>
  <c r="G25" i="175"/>
  <c r="G14" i="175"/>
  <c r="H14" i="175" s="1"/>
  <c r="H15" i="175" s="1"/>
  <c r="H17" i="175" s="1"/>
  <c r="H18" i="175" s="1"/>
  <c r="H19" i="175" s="1"/>
  <c r="G40" i="174"/>
  <c r="I40" i="174" s="1"/>
  <c r="G39" i="174"/>
  <c r="I39" i="174" s="1"/>
  <c r="G38" i="174"/>
  <c r="I38" i="174" s="1"/>
  <c r="G37" i="174"/>
  <c r="G36" i="174"/>
  <c r="G35" i="174"/>
  <c r="G34" i="174"/>
  <c r="G33" i="174"/>
  <c r="G32" i="174"/>
  <c r="G31" i="174"/>
  <c r="G30" i="174"/>
  <c r="G29" i="174"/>
  <c r="G28" i="174"/>
  <c r="G27" i="174"/>
  <c r="G26" i="174"/>
  <c r="G25" i="174"/>
  <c r="G24" i="174"/>
  <c r="G23" i="174"/>
  <c r="G22" i="174"/>
  <c r="G21" i="174"/>
  <c r="G20" i="174"/>
  <c r="G19" i="174"/>
  <c r="G18" i="174"/>
  <c r="G17" i="174"/>
  <c r="G16" i="174"/>
  <c r="S9" i="292" s="1"/>
  <c r="T9" i="292" s="1"/>
  <c r="G15" i="174"/>
  <c r="H15" i="174" s="1"/>
  <c r="G42" i="173"/>
  <c r="I42" i="173" s="1"/>
  <c r="G41" i="173"/>
  <c r="I41" i="173" s="1"/>
  <c r="G40" i="173"/>
  <c r="I40" i="173" s="1"/>
  <c r="G39" i="173"/>
  <c r="G38" i="173"/>
  <c r="G37" i="173"/>
  <c r="G36" i="173"/>
  <c r="G35" i="173"/>
  <c r="G34" i="173"/>
  <c r="G33" i="173"/>
  <c r="G32" i="173"/>
  <c r="G31" i="173"/>
  <c r="G30" i="173"/>
  <c r="G29" i="173"/>
  <c r="G28" i="173"/>
  <c r="G27" i="173"/>
  <c r="G24" i="173"/>
  <c r="G23" i="173"/>
  <c r="G22" i="173"/>
  <c r="G21" i="173"/>
  <c r="G20" i="173"/>
  <c r="G19" i="173"/>
  <c r="G18" i="173"/>
  <c r="G17" i="173"/>
  <c r="G16" i="173"/>
  <c r="G15" i="173"/>
  <c r="H15" i="173" s="1"/>
  <c r="I11" i="172"/>
  <c r="I13" i="172"/>
  <c r="I40" i="172"/>
  <c r="G39" i="172"/>
  <c r="I39" i="172" s="1"/>
  <c r="G38" i="172"/>
  <c r="I38" i="172" s="1"/>
  <c r="G37" i="172"/>
  <c r="I37" i="172" s="1"/>
  <c r="G36" i="172"/>
  <c r="I36" i="172" s="1"/>
  <c r="G35" i="172"/>
  <c r="I35" i="172" s="1"/>
  <c r="G34" i="172"/>
  <c r="I34" i="172" s="1"/>
  <c r="G33" i="172"/>
  <c r="I33" i="172" s="1"/>
  <c r="G32" i="172"/>
  <c r="I32" i="172" s="1"/>
  <c r="G31" i="172"/>
  <c r="I31" i="172" s="1"/>
  <c r="G30" i="172"/>
  <c r="I30" i="172" s="1"/>
  <c r="G29" i="172"/>
  <c r="I29" i="172" s="1"/>
  <c r="G28" i="172"/>
  <c r="I28" i="172" s="1"/>
  <c r="G27" i="172"/>
  <c r="I27" i="172" s="1"/>
  <c r="G26" i="172"/>
  <c r="I26" i="172" s="1"/>
  <c r="G25" i="172"/>
  <c r="I25" i="172" s="1"/>
  <c r="G24" i="172"/>
  <c r="I24" i="172" s="1"/>
  <c r="G23" i="172"/>
  <c r="I23" i="172" s="1"/>
  <c r="G22" i="172"/>
  <c r="I22" i="172" s="1"/>
  <c r="G21" i="172"/>
  <c r="I21" i="172" s="1"/>
  <c r="G20" i="172"/>
  <c r="I20" i="172" s="1"/>
  <c r="G19" i="172"/>
  <c r="I19" i="172" s="1"/>
  <c r="G18" i="172"/>
  <c r="I18" i="172" s="1"/>
  <c r="G17" i="172"/>
  <c r="I17" i="172" s="1"/>
  <c r="G16" i="172"/>
  <c r="G15" i="172"/>
  <c r="I11" i="171"/>
  <c r="I13" i="171"/>
  <c r="G42" i="171"/>
  <c r="I42" i="171" s="1"/>
  <c r="G41" i="171"/>
  <c r="I41" i="171" s="1"/>
  <c r="G40" i="171"/>
  <c r="I40" i="171" s="1"/>
  <c r="G39" i="171"/>
  <c r="I39" i="171" s="1"/>
  <c r="G38" i="171"/>
  <c r="I38" i="171" s="1"/>
  <c r="G37" i="171"/>
  <c r="I37" i="171" s="1"/>
  <c r="G36" i="171"/>
  <c r="G35" i="171"/>
  <c r="I35" i="171" s="1"/>
  <c r="G34" i="171"/>
  <c r="I34" i="171" s="1"/>
  <c r="G33" i="171"/>
  <c r="I33" i="171" s="1"/>
  <c r="G32" i="171"/>
  <c r="I32" i="171" s="1"/>
  <c r="G31" i="171"/>
  <c r="I31" i="171" s="1"/>
  <c r="G30" i="171"/>
  <c r="I30" i="171" s="1"/>
  <c r="G29" i="171"/>
  <c r="I29" i="171" s="1"/>
  <c r="G28" i="171"/>
  <c r="I28" i="171" s="1"/>
  <c r="G27" i="171"/>
  <c r="I27" i="171" s="1"/>
  <c r="G26" i="171"/>
  <c r="I26" i="171" s="1"/>
  <c r="G25" i="171"/>
  <c r="I25" i="171" s="1"/>
  <c r="G24" i="171"/>
  <c r="I24" i="171" s="1"/>
  <c r="G23" i="171"/>
  <c r="G22" i="171"/>
  <c r="I21" i="171"/>
  <c r="G15" i="171"/>
  <c r="I15" i="171" s="1"/>
  <c r="G14" i="171"/>
  <c r="S25" i="292" l="1"/>
  <c r="T25" i="292" s="1"/>
  <c r="R37" i="293"/>
  <c r="S37" i="293" s="1"/>
  <c r="R59" i="293"/>
  <c r="S59" i="293" s="1"/>
  <c r="S15" i="292"/>
  <c r="T15" i="292" s="1"/>
  <c r="S20" i="292"/>
  <c r="T20" i="292" s="1"/>
  <c r="S52" i="292"/>
  <c r="T52" i="292" s="1"/>
  <c r="R30" i="293"/>
  <c r="S30" i="293" s="1"/>
  <c r="R39" i="293"/>
  <c r="S39" i="293" s="1"/>
  <c r="I22" i="171"/>
  <c r="S6" i="292"/>
  <c r="T6" i="292" s="1"/>
  <c r="S7" i="292"/>
  <c r="T7" i="292" s="1"/>
  <c r="S8" i="292"/>
  <c r="T8" i="292" s="1"/>
  <c r="S14" i="292"/>
  <c r="T14" i="292" s="1"/>
  <c r="S16" i="292"/>
  <c r="T16" i="292" s="1"/>
  <c r="S21" i="292"/>
  <c r="T21" i="292" s="1"/>
  <c r="S41" i="292"/>
  <c r="T41" i="292" s="1"/>
  <c r="S51" i="292"/>
  <c r="T51" i="292" s="1"/>
  <c r="R42" i="293"/>
  <c r="S42" i="293" s="1"/>
  <c r="R44" i="293"/>
  <c r="S44" i="293" s="1"/>
  <c r="R50" i="293"/>
  <c r="S50" i="293" s="1"/>
  <c r="R52" i="293"/>
  <c r="S52" i="293" s="1"/>
  <c r="R53" i="293"/>
  <c r="S53" i="293" s="1"/>
  <c r="R58" i="293"/>
  <c r="S58" i="293" s="1"/>
  <c r="R60" i="293"/>
  <c r="S60" i="293" s="1"/>
  <c r="I16" i="274"/>
  <c r="R63" i="293"/>
  <c r="S63" i="293" s="1"/>
  <c r="R65" i="293"/>
  <c r="S65" i="293" s="1"/>
  <c r="R66" i="293"/>
  <c r="S66" i="293" s="1"/>
  <c r="R68" i="293"/>
  <c r="S68" i="293" s="1"/>
  <c r="R70" i="293"/>
  <c r="S70" i="293" s="1"/>
  <c r="R72" i="293"/>
  <c r="S72" i="293" s="1"/>
  <c r="R74" i="293"/>
  <c r="S74" i="293" s="1"/>
  <c r="R76" i="293"/>
  <c r="S76" i="293" s="1"/>
  <c r="R79" i="293"/>
  <c r="S79" i="293" s="1"/>
  <c r="S28" i="292"/>
  <c r="T28" i="292" s="1"/>
  <c r="S38" i="292"/>
  <c r="T38" i="292" s="1"/>
  <c r="S49" i="292"/>
  <c r="T49" i="292" s="1"/>
  <c r="R23" i="293"/>
  <c r="S23" i="293" s="1"/>
  <c r="R33" i="293"/>
  <c r="S33" i="293" s="1"/>
  <c r="S30" i="292"/>
  <c r="T30" i="292" s="1"/>
  <c r="S32" i="292"/>
  <c r="T32" i="292" s="1"/>
  <c r="R36" i="293"/>
  <c r="S36" i="293" s="1"/>
  <c r="R48" i="293"/>
  <c r="S48" i="293" s="1"/>
  <c r="I16" i="267"/>
  <c r="R56" i="293"/>
  <c r="S56" i="293" s="1"/>
  <c r="I22" i="185"/>
  <c r="S18" i="292"/>
  <c r="I22" i="231"/>
  <c r="R20" i="293"/>
  <c r="H19" i="219"/>
  <c r="H20" i="219" s="1"/>
  <c r="H21" i="219" s="1"/>
  <c r="H22" i="219" s="1"/>
  <c r="H23" i="219" s="1"/>
  <c r="H24" i="219" s="1"/>
  <c r="H25" i="219" s="1"/>
  <c r="H26" i="219" s="1"/>
  <c r="H27" i="219" s="1"/>
  <c r="H28" i="219" s="1"/>
  <c r="H29" i="219" s="1"/>
  <c r="H30" i="219" s="1"/>
  <c r="H31" i="219" s="1"/>
  <c r="H32" i="219" s="1"/>
  <c r="H33" i="219" s="1"/>
  <c r="H34" i="219" s="1"/>
  <c r="H35" i="219" s="1"/>
  <c r="H36" i="219" s="1"/>
  <c r="H37" i="219" s="1"/>
  <c r="H38" i="219" s="1"/>
  <c r="H39" i="219" s="1"/>
  <c r="H40" i="219" s="1"/>
  <c r="H41" i="219" s="1"/>
  <c r="H42" i="219" s="1"/>
  <c r="H43" i="219" s="1"/>
  <c r="H44" i="219" s="1"/>
  <c r="H45" i="219" s="1"/>
  <c r="I23" i="171"/>
  <c r="H16" i="243"/>
  <c r="H16" i="269"/>
  <c r="H17" i="269" s="1"/>
  <c r="H18" i="269" s="1"/>
  <c r="H19" i="269" s="1"/>
  <c r="H20" i="269" s="1"/>
  <c r="H21" i="269" s="1"/>
  <c r="H22" i="269" s="1"/>
  <c r="H23" i="269" s="1"/>
  <c r="H24" i="269" s="1"/>
  <c r="H25" i="269" s="1"/>
  <c r="H26" i="269" s="1"/>
  <c r="H27" i="269" s="1"/>
  <c r="H28" i="269" s="1"/>
  <c r="H29" i="269" s="1"/>
  <c r="H30" i="269" s="1"/>
  <c r="H31" i="269" s="1"/>
  <c r="H32" i="269" s="1"/>
  <c r="H33" i="269" s="1"/>
  <c r="H34" i="269" s="1"/>
  <c r="H35" i="269" s="1"/>
  <c r="H36" i="269" s="1"/>
  <c r="H37" i="269" s="1"/>
  <c r="H38" i="269" s="1"/>
  <c r="H39" i="269" s="1"/>
  <c r="H40" i="269" s="1"/>
  <c r="I32" i="182"/>
  <c r="H16" i="262"/>
  <c r="H17" i="262" s="1"/>
  <c r="H18" i="262" s="1"/>
  <c r="H19" i="262" s="1"/>
  <c r="H20" i="262" s="1"/>
  <c r="H21" i="262" s="1"/>
  <c r="H22" i="262" s="1"/>
  <c r="H23" i="262" s="1"/>
  <c r="H24" i="262" s="1"/>
  <c r="H25" i="262" s="1"/>
  <c r="H26" i="262" s="1"/>
  <c r="H27" i="262" s="1"/>
  <c r="H28" i="262" s="1"/>
  <c r="H29" i="262" s="1"/>
  <c r="H30" i="262" s="1"/>
  <c r="H31" i="262" s="1"/>
  <c r="H32" i="262" s="1"/>
  <c r="H33" i="262" s="1"/>
  <c r="H34" i="262" s="1"/>
  <c r="H35" i="262" s="1"/>
  <c r="H36" i="262" s="1"/>
  <c r="H37" i="262" s="1"/>
  <c r="H38" i="262" s="1"/>
  <c r="H39" i="262" s="1"/>
  <c r="H40" i="262" s="1"/>
  <c r="H16" i="208"/>
  <c r="H17" i="208" s="1"/>
  <c r="H18" i="208" s="1"/>
  <c r="H19" i="208" s="1"/>
  <c r="H20" i="208" s="1"/>
  <c r="H21" i="208" s="1"/>
  <c r="H22" i="208" s="1"/>
  <c r="H23" i="208" s="1"/>
  <c r="H24" i="208" s="1"/>
  <c r="H25" i="208" s="1"/>
  <c r="H26" i="208" s="1"/>
  <c r="H27" i="208" s="1"/>
  <c r="H28" i="208" s="1"/>
  <c r="H29" i="208" s="1"/>
  <c r="H30" i="208" s="1"/>
  <c r="H31" i="208" s="1"/>
  <c r="H32" i="208" s="1"/>
  <c r="H33" i="208" s="1"/>
  <c r="H34" i="208" s="1"/>
  <c r="H35" i="208" s="1"/>
  <c r="H36" i="208" s="1"/>
  <c r="H37" i="208" s="1"/>
  <c r="H38" i="208" s="1"/>
  <c r="H39" i="208" s="1"/>
  <c r="H40" i="208" s="1"/>
  <c r="H16" i="221"/>
  <c r="H17" i="221" s="1"/>
  <c r="H18" i="221" s="1"/>
  <c r="H19" i="221" s="1"/>
  <c r="H20" i="221" s="1"/>
  <c r="H21" i="221" s="1"/>
  <c r="H22" i="221" s="1"/>
  <c r="H23" i="221" s="1"/>
  <c r="H24" i="221" s="1"/>
  <c r="H25" i="221" s="1"/>
  <c r="H26" i="221" s="1"/>
  <c r="H27" i="221" s="1"/>
  <c r="H28" i="221" s="1"/>
  <c r="H29" i="221" s="1"/>
  <c r="H30" i="221" s="1"/>
  <c r="H31" i="221" s="1"/>
  <c r="H32" i="221" s="1"/>
  <c r="H16" i="214"/>
  <c r="H17" i="214" s="1"/>
  <c r="H18" i="214" s="1"/>
  <c r="H19" i="214" s="1"/>
  <c r="H20" i="214" s="1"/>
  <c r="H16" i="206"/>
  <c r="H17" i="206" s="1"/>
  <c r="H18" i="206" s="1"/>
  <c r="H19" i="206" s="1"/>
  <c r="H16" i="217"/>
  <c r="H17" i="217" s="1"/>
  <c r="H18" i="217" s="1"/>
  <c r="H19" i="217" s="1"/>
  <c r="H20" i="217" s="1"/>
  <c r="H21" i="217" s="1"/>
  <c r="H22" i="217" s="1"/>
  <c r="H23" i="217" s="1"/>
  <c r="H24" i="217" s="1"/>
  <c r="H25" i="217" s="1"/>
  <c r="H26" i="217" s="1"/>
  <c r="H27" i="217" s="1"/>
  <c r="H28" i="217" s="1"/>
  <c r="H29" i="217" s="1"/>
  <c r="H30" i="217" s="1"/>
  <c r="H31" i="217" s="1"/>
  <c r="H32" i="217" s="1"/>
  <c r="H33" i="217" s="1"/>
  <c r="H34" i="217" s="1"/>
  <c r="H35" i="217" s="1"/>
  <c r="H36" i="217" s="1"/>
  <c r="H37" i="217" s="1"/>
  <c r="H38" i="217" s="1"/>
  <c r="H39" i="217" s="1"/>
  <c r="H40" i="217" s="1"/>
  <c r="H16" i="218"/>
  <c r="H17" i="218" s="1"/>
  <c r="H18" i="218" s="1"/>
  <c r="H19" i="218" s="1"/>
  <c r="H20" i="218" s="1"/>
  <c r="H21" i="218" s="1"/>
  <c r="H22" i="218" s="1"/>
  <c r="H23" i="218" s="1"/>
  <c r="H24" i="218" s="1"/>
  <c r="H25" i="218" s="1"/>
  <c r="H26" i="218" s="1"/>
  <c r="H27" i="218" s="1"/>
  <c r="H28" i="218" s="1"/>
  <c r="H29" i="218" s="1"/>
  <c r="H30" i="218" s="1"/>
  <c r="H31" i="218" s="1"/>
  <c r="H32" i="218" s="1"/>
  <c r="H33" i="218" s="1"/>
  <c r="H34" i="218" s="1"/>
  <c r="H35" i="218" s="1"/>
  <c r="H36" i="218" s="1"/>
  <c r="H37" i="218" s="1"/>
  <c r="H38" i="218" s="1"/>
  <c r="H39" i="218" s="1"/>
  <c r="H40" i="218" s="1"/>
  <c r="I20" i="182"/>
  <c r="H16" i="277"/>
  <c r="H17" i="277" s="1"/>
  <c r="H18" i="277" s="1"/>
  <c r="H19" i="277" s="1"/>
  <c r="H20" i="277" s="1"/>
  <c r="H21" i="277" s="1"/>
  <c r="H22" i="277" s="1"/>
  <c r="H23" i="277" s="1"/>
  <c r="H24" i="277" s="1"/>
  <c r="H25" i="277" s="1"/>
  <c r="H26" i="277" s="1"/>
  <c r="H27" i="277" s="1"/>
  <c r="H28" i="277" s="1"/>
  <c r="H29" i="277" s="1"/>
  <c r="H30" i="277" s="1"/>
  <c r="H31" i="277" s="1"/>
  <c r="H32" i="277" s="1"/>
  <c r="H33" i="277" s="1"/>
  <c r="H34" i="277" s="1"/>
  <c r="H35" i="277" s="1"/>
  <c r="H36" i="277" s="1"/>
  <c r="H37" i="277" s="1"/>
  <c r="H38" i="277" s="1"/>
  <c r="H39" i="277" s="1"/>
  <c r="H40" i="277" s="1"/>
  <c r="I34" i="182"/>
  <c r="H16" i="177"/>
  <c r="H17" i="177" s="1"/>
  <c r="H18" i="177" s="1"/>
  <c r="H19" i="177" s="1"/>
  <c r="H20" i="177" s="1"/>
  <c r="H21" i="177" s="1"/>
  <c r="H22" i="177" s="1"/>
  <c r="H23" i="177" s="1"/>
  <c r="H24" i="177" s="1"/>
  <c r="H25" i="177" s="1"/>
  <c r="H26" i="177" s="1"/>
  <c r="H27" i="177" s="1"/>
  <c r="H28" i="177" s="1"/>
  <c r="H20" i="227"/>
  <c r="H21" i="227" s="1"/>
  <c r="H22" i="227" s="1"/>
  <c r="H23" i="227" s="1"/>
  <c r="H24" i="227" s="1"/>
  <c r="H25" i="227" s="1"/>
  <c r="H26" i="227" s="1"/>
  <c r="H16" i="261"/>
  <c r="H17" i="261" s="1"/>
  <c r="H18" i="261" s="1"/>
  <c r="H19" i="261" s="1"/>
  <c r="H20" i="261" s="1"/>
  <c r="H21" i="261" s="1"/>
  <c r="H22" i="261" s="1"/>
  <c r="H23" i="261" s="1"/>
  <c r="H24" i="261" s="1"/>
  <c r="H25" i="261" s="1"/>
  <c r="H26" i="261" s="1"/>
  <c r="H27" i="261" s="1"/>
  <c r="H28" i="261" s="1"/>
  <c r="H29" i="261" s="1"/>
  <c r="H30" i="261" s="1"/>
  <c r="H31" i="261" s="1"/>
  <c r="H32" i="261" s="1"/>
  <c r="H33" i="261" s="1"/>
  <c r="H34" i="261" s="1"/>
  <c r="H35" i="261" s="1"/>
  <c r="H36" i="261" s="1"/>
  <c r="H37" i="261" s="1"/>
  <c r="H38" i="261" s="1"/>
  <c r="H39" i="261" s="1"/>
  <c r="H40" i="261" s="1"/>
  <c r="H16" i="198"/>
  <c r="H17" i="198" s="1"/>
  <c r="H18" i="198" s="1"/>
  <c r="H19" i="198" s="1"/>
  <c r="H20" i="198" s="1"/>
  <c r="H16" i="237"/>
  <c r="H17" i="237" s="1"/>
  <c r="H16" i="275"/>
  <c r="H17" i="275" s="1"/>
  <c r="H18" i="275" s="1"/>
  <c r="H19" i="275" s="1"/>
  <c r="H20" i="275" s="1"/>
  <c r="H21" i="275" s="1"/>
  <c r="H22" i="275" s="1"/>
  <c r="H23" i="275" s="1"/>
  <c r="H24" i="275" s="1"/>
  <c r="H25" i="275" s="1"/>
  <c r="H26" i="275" s="1"/>
  <c r="H27" i="275" s="1"/>
  <c r="H28" i="275" s="1"/>
  <c r="H29" i="275" s="1"/>
  <c r="H30" i="275" s="1"/>
  <c r="H31" i="275" s="1"/>
  <c r="H32" i="275" s="1"/>
  <c r="H33" i="275" s="1"/>
  <c r="H34" i="275" s="1"/>
  <c r="H35" i="275" s="1"/>
  <c r="H36" i="275" s="1"/>
  <c r="H37" i="275" s="1"/>
  <c r="H38" i="275" s="1"/>
  <c r="H39" i="275" s="1"/>
  <c r="H40" i="275" s="1"/>
  <c r="H16" i="233"/>
  <c r="H17" i="233" s="1"/>
  <c r="H18" i="233" s="1"/>
  <c r="H19" i="233" s="1"/>
  <c r="H20" i="233" s="1"/>
  <c r="H21" i="233" s="1"/>
  <c r="H22" i="233" s="1"/>
  <c r="H23" i="233" s="1"/>
  <c r="H24" i="233" s="1"/>
  <c r="H25" i="233" s="1"/>
  <c r="H26" i="233" s="1"/>
  <c r="H27" i="233" s="1"/>
  <c r="H28" i="233" s="1"/>
  <c r="H29" i="233" s="1"/>
  <c r="H30" i="233" s="1"/>
  <c r="H31" i="233" s="1"/>
  <c r="H32" i="233" s="1"/>
  <c r="H33" i="233" s="1"/>
  <c r="H34" i="233" s="1"/>
  <c r="H35" i="233" s="1"/>
  <c r="H36" i="233" s="1"/>
  <c r="H37" i="233" s="1"/>
  <c r="H38" i="233" s="1"/>
  <c r="H39" i="233" s="1"/>
  <c r="H40" i="233" s="1"/>
  <c r="H16" i="186"/>
  <c r="H16" i="187"/>
  <c r="H16" i="193"/>
  <c r="H17" i="193" s="1"/>
  <c r="H18" i="193" s="1"/>
  <c r="H19" i="193" s="1"/>
  <c r="H20" i="193" s="1"/>
  <c r="H21" i="193" s="1"/>
  <c r="H22" i="193" s="1"/>
  <c r="H23" i="193" s="1"/>
  <c r="H24" i="193" s="1"/>
  <c r="H25" i="193" s="1"/>
  <c r="H26" i="193" s="1"/>
  <c r="H27" i="193" s="1"/>
  <c r="H28" i="193" s="1"/>
  <c r="H29" i="193" s="1"/>
  <c r="H30" i="193" s="1"/>
  <c r="H31" i="193" s="1"/>
  <c r="H32" i="193" s="1"/>
  <c r="H33" i="193" s="1"/>
  <c r="H34" i="193" s="1"/>
  <c r="H35" i="193" s="1"/>
  <c r="H36" i="193" s="1"/>
  <c r="H37" i="193" s="1"/>
  <c r="H38" i="193" s="1"/>
  <c r="H39" i="193" s="1"/>
  <c r="H40" i="193" s="1"/>
  <c r="H16" i="195"/>
  <c r="H17" i="195" s="1"/>
  <c r="H18" i="195" s="1"/>
  <c r="H19" i="195" s="1"/>
  <c r="H20" i="195" s="1"/>
  <c r="H21" i="195" s="1"/>
  <c r="H22" i="195" s="1"/>
  <c r="H23" i="195" s="1"/>
  <c r="H24" i="195" s="1"/>
  <c r="H25" i="195" s="1"/>
  <c r="H26" i="195" s="1"/>
  <c r="H27" i="195" s="1"/>
  <c r="H28" i="195" s="1"/>
  <c r="H16" i="250"/>
  <c r="H17" i="250" s="1"/>
  <c r="H18" i="250" s="1"/>
  <c r="H19" i="250" s="1"/>
  <c r="H20" i="250" s="1"/>
  <c r="H21" i="250" s="1"/>
  <c r="H22" i="250" s="1"/>
  <c r="H23" i="250" s="1"/>
  <c r="H24" i="250" s="1"/>
  <c r="H25" i="250" s="1"/>
  <c r="H26" i="250" s="1"/>
  <c r="H27" i="250" s="1"/>
  <c r="H28" i="250" s="1"/>
  <c r="H29" i="250" s="1"/>
  <c r="H30" i="250" s="1"/>
  <c r="H31" i="250" s="1"/>
  <c r="H32" i="250" s="1"/>
  <c r="H33" i="250" s="1"/>
  <c r="H34" i="250" s="1"/>
  <c r="H35" i="250" s="1"/>
  <c r="H36" i="250" s="1"/>
  <c r="H37" i="250" s="1"/>
  <c r="H38" i="250" s="1"/>
  <c r="H39" i="250" s="1"/>
  <c r="H40" i="250" s="1"/>
  <c r="H16" i="248"/>
  <c r="H17" i="248" s="1"/>
  <c r="H18" i="248" s="1"/>
  <c r="H19" i="248" s="1"/>
  <c r="H20" i="248" s="1"/>
  <c r="H21" i="248" s="1"/>
  <c r="H22" i="248" s="1"/>
  <c r="H23" i="248" s="1"/>
  <c r="H24" i="248" s="1"/>
  <c r="H25" i="248" s="1"/>
  <c r="H26" i="248" s="1"/>
  <c r="H16" i="235"/>
  <c r="H17" i="235" s="1"/>
  <c r="H18" i="235" s="1"/>
  <c r="H19" i="235" s="1"/>
  <c r="H20" i="235" s="1"/>
  <c r="H21" i="235" s="1"/>
  <c r="H22" i="235" s="1"/>
  <c r="H23" i="235" s="1"/>
  <c r="H24" i="235" s="1"/>
  <c r="H25" i="235" s="1"/>
  <c r="H26" i="235" s="1"/>
  <c r="H27" i="235" s="1"/>
  <c r="H28" i="235" s="1"/>
  <c r="H29" i="235" s="1"/>
  <c r="H30" i="235" s="1"/>
  <c r="H31" i="235" s="1"/>
  <c r="H32" i="235" s="1"/>
  <c r="H33" i="235" s="1"/>
  <c r="H34" i="235" s="1"/>
  <c r="H35" i="235" s="1"/>
  <c r="H36" i="235" s="1"/>
  <c r="H37" i="235" s="1"/>
  <c r="H38" i="235" s="1"/>
  <c r="H39" i="235" s="1"/>
  <c r="H40" i="235" s="1"/>
  <c r="H16" i="290"/>
  <c r="H17" i="290" s="1"/>
  <c r="H18" i="290" s="1"/>
  <c r="H19" i="290" s="1"/>
  <c r="H20" i="290" s="1"/>
  <c r="H21" i="290" s="1"/>
  <c r="H22" i="290" s="1"/>
  <c r="H23" i="290" s="1"/>
  <c r="H24" i="290" s="1"/>
  <c r="H25" i="290" s="1"/>
  <c r="H26" i="290" s="1"/>
  <c r="H27" i="290" s="1"/>
  <c r="H28" i="290" s="1"/>
  <c r="H29" i="290" s="1"/>
  <c r="H30" i="290" s="1"/>
  <c r="H31" i="290" s="1"/>
  <c r="H32" i="290" s="1"/>
  <c r="H33" i="290" s="1"/>
  <c r="H34" i="290" s="1"/>
  <c r="H35" i="290" s="1"/>
  <c r="H36" i="290" s="1"/>
  <c r="H37" i="290" s="1"/>
  <c r="H38" i="290" s="1"/>
  <c r="H39" i="290" s="1"/>
  <c r="H40" i="290" s="1"/>
  <c r="H16" i="189"/>
  <c r="H17" i="189" s="1"/>
  <c r="H18" i="189" s="1"/>
  <c r="H19" i="189" s="1"/>
  <c r="H20" i="189" s="1"/>
  <c r="H21" i="189" s="1"/>
  <c r="H22" i="189" s="1"/>
  <c r="H23" i="189" s="1"/>
  <c r="H24" i="189" s="1"/>
  <c r="H25" i="189" s="1"/>
  <c r="H26" i="189" s="1"/>
  <c r="H27" i="189" s="1"/>
  <c r="H28" i="189" s="1"/>
  <c r="H29" i="189" s="1"/>
  <c r="H30" i="189" s="1"/>
  <c r="H31" i="189" s="1"/>
  <c r="H32" i="189" s="1"/>
  <c r="H33" i="189" s="1"/>
  <c r="H34" i="189" s="1"/>
  <c r="H35" i="189" s="1"/>
  <c r="H36" i="189" s="1"/>
  <c r="H37" i="189" s="1"/>
  <c r="H38" i="189" s="1"/>
  <c r="H16" i="271"/>
  <c r="H17" i="271" s="1"/>
  <c r="H18" i="271" s="1"/>
  <c r="H19" i="271" s="1"/>
  <c r="H20" i="271" s="1"/>
  <c r="H21" i="271" s="1"/>
  <c r="H22" i="271" s="1"/>
  <c r="H23" i="271" s="1"/>
  <c r="H24" i="271" s="1"/>
  <c r="H25" i="271" s="1"/>
  <c r="H26" i="271" s="1"/>
  <c r="H27" i="271" s="1"/>
  <c r="H28" i="271" s="1"/>
  <c r="H29" i="271" s="1"/>
  <c r="H30" i="271" s="1"/>
  <c r="H31" i="271" s="1"/>
  <c r="H32" i="271" s="1"/>
  <c r="H33" i="271" s="1"/>
  <c r="H34" i="271" s="1"/>
  <c r="H35" i="271" s="1"/>
  <c r="H36" i="271" s="1"/>
  <c r="H37" i="271" s="1"/>
  <c r="H38" i="271" s="1"/>
  <c r="H39" i="271" s="1"/>
  <c r="H40" i="271" s="1"/>
  <c r="H16" i="223"/>
  <c r="H17" i="223" s="1"/>
  <c r="H18" i="223" s="1"/>
  <c r="H19" i="223" s="1"/>
  <c r="H20" i="223" s="1"/>
  <c r="H21" i="223" s="1"/>
  <c r="H22" i="223" s="1"/>
  <c r="H23" i="223" s="1"/>
  <c r="H24" i="223" s="1"/>
  <c r="H25" i="223" s="1"/>
  <c r="H26" i="223" s="1"/>
  <c r="H27" i="223" s="1"/>
  <c r="H28" i="223" s="1"/>
  <c r="H29" i="223" s="1"/>
  <c r="H30" i="223" s="1"/>
  <c r="H31" i="223" s="1"/>
  <c r="H32" i="223" s="1"/>
  <c r="H33" i="223" s="1"/>
  <c r="H34" i="223" s="1"/>
  <c r="H35" i="223" s="1"/>
  <c r="H36" i="223" s="1"/>
  <c r="H37" i="223" s="1"/>
  <c r="H38" i="223" s="1"/>
  <c r="H39" i="223" s="1"/>
  <c r="H40" i="223" s="1"/>
  <c r="H16" i="251"/>
  <c r="H17" i="251" s="1"/>
  <c r="H18" i="251" s="1"/>
  <c r="H19" i="251" s="1"/>
  <c r="H20" i="251" s="1"/>
  <c r="H21" i="251" s="1"/>
  <c r="H22" i="251" s="1"/>
  <c r="H23" i="251" s="1"/>
  <c r="H24" i="251" s="1"/>
  <c r="H25" i="251" s="1"/>
  <c r="H26" i="251" s="1"/>
  <c r="H27" i="251" s="1"/>
  <c r="H28" i="251" s="1"/>
  <c r="H29" i="251" s="1"/>
  <c r="H30" i="251" s="1"/>
  <c r="H31" i="251" s="1"/>
  <c r="H32" i="251" s="1"/>
  <c r="H33" i="251" s="1"/>
  <c r="H34" i="251" s="1"/>
  <c r="H35" i="251" s="1"/>
  <c r="H36" i="251" s="1"/>
  <c r="H37" i="251" s="1"/>
  <c r="H38" i="251" s="1"/>
  <c r="H39" i="251" s="1"/>
  <c r="H40" i="251" s="1"/>
  <c r="H16" i="257"/>
  <c r="H17" i="257" s="1"/>
  <c r="H18" i="257" s="1"/>
  <c r="H19" i="257" s="1"/>
  <c r="H20" i="257" s="1"/>
  <c r="H21" i="257" s="1"/>
  <c r="H22" i="257" s="1"/>
  <c r="H23" i="257" s="1"/>
  <c r="H24" i="257" s="1"/>
  <c r="H25" i="257" s="1"/>
  <c r="H26" i="257" s="1"/>
  <c r="H27" i="257" s="1"/>
  <c r="H28" i="257" s="1"/>
  <c r="H29" i="257" s="1"/>
  <c r="H30" i="257" s="1"/>
  <c r="H16" i="287"/>
  <c r="H17" i="287" s="1"/>
  <c r="H18" i="287" s="1"/>
  <c r="H19" i="287" s="1"/>
  <c r="H20" i="287" s="1"/>
  <c r="H21" i="287" s="1"/>
  <c r="H22" i="287" s="1"/>
  <c r="H23" i="287" s="1"/>
  <c r="H24" i="287" s="1"/>
  <c r="H25" i="287" s="1"/>
  <c r="H26" i="287" s="1"/>
  <c r="H27" i="287" s="1"/>
  <c r="H28" i="287" s="1"/>
  <c r="H29" i="287" s="1"/>
  <c r="H30" i="287" s="1"/>
  <c r="H31" i="287" s="1"/>
  <c r="H32" i="287" s="1"/>
  <c r="H33" i="287" s="1"/>
  <c r="H34" i="287" s="1"/>
  <c r="H35" i="287" s="1"/>
  <c r="H36" i="287" s="1"/>
  <c r="H37" i="287" s="1"/>
  <c r="H38" i="287" s="1"/>
  <c r="H39" i="287" s="1"/>
  <c r="H40" i="287" s="1"/>
  <c r="H16" i="288"/>
  <c r="H17" i="288" s="1"/>
  <c r="H18" i="288" s="1"/>
  <c r="H19" i="288" s="1"/>
  <c r="H20" i="288" s="1"/>
  <c r="H21" i="288" s="1"/>
  <c r="H22" i="288" s="1"/>
  <c r="H23" i="288" s="1"/>
  <c r="H24" i="288" s="1"/>
  <c r="H25" i="288" s="1"/>
  <c r="H26" i="288" s="1"/>
  <c r="H27" i="288" s="1"/>
  <c r="H28" i="288" s="1"/>
  <c r="H29" i="288" s="1"/>
  <c r="H30" i="288" s="1"/>
  <c r="H31" i="288" s="1"/>
  <c r="H32" i="288" s="1"/>
  <c r="H33" i="288" s="1"/>
  <c r="H34" i="288" s="1"/>
  <c r="H35" i="288" s="1"/>
  <c r="H36" i="288" s="1"/>
  <c r="H37" i="288" s="1"/>
  <c r="H38" i="288" s="1"/>
  <c r="H39" i="288" s="1"/>
  <c r="H16" i="279"/>
  <c r="H17" i="279" s="1"/>
  <c r="H18" i="279" s="1"/>
  <c r="H19" i="279" s="1"/>
  <c r="H20" i="279" s="1"/>
  <c r="H21" i="279" s="1"/>
  <c r="H22" i="279" s="1"/>
  <c r="H23" i="279" s="1"/>
  <c r="H24" i="279" s="1"/>
  <c r="H25" i="279" s="1"/>
  <c r="H26" i="279" s="1"/>
  <c r="H27" i="279" s="1"/>
  <c r="H28" i="279" s="1"/>
  <c r="H29" i="279" s="1"/>
  <c r="H30" i="279" s="1"/>
  <c r="H31" i="279" s="1"/>
  <c r="H32" i="279" s="1"/>
  <c r="H33" i="279" s="1"/>
  <c r="H34" i="279" s="1"/>
  <c r="H35" i="279" s="1"/>
  <c r="H36" i="279" s="1"/>
  <c r="H37" i="279" s="1"/>
  <c r="H38" i="279" s="1"/>
  <c r="H39" i="279" s="1"/>
  <c r="H40" i="279" s="1"/>
  <c r="H16" i="247"/>
  <c r="H17" i="247" s="1"/>
  <c r="H18" i="247" s="1"/>
  <c r="H19" i="247" s="1"/>
  <c r="H20" i="247" s="1"/>
  <c r="H21" i="247" s="1"/>
  <c r="H22" i="247" s="1"/>
  <c r="H23" i="247" s="1"/>
  <c r="H24" i="247" s="1"/>
  <c r="H25" i="247" s="1"/>
  <c r="H26" i="247" s="1"/>
  <c r="H27" i="247" s="1"/>
  <c r="H28" i="247" s="1"/>
  <c r="H29" i="247" s="1"/>
  <c r="H30" i="247" s="1"/>
  <c r="H31" i="247" s="1"/>
  <c r="H32" i="247" s="1"/>
  <c r="H33" i="247" s="1"/>
  <c r="H34" i="247" s="1"/>
  <c r="H35" i="247" s="1"/>
  <c r="H36" i="247" s="1"/>
  <c r="H37" i="247" s="1"/>
  <c r="H38" i="247" s="1"/>
  <c r="H39" i="247" s="1"/>
  <c r="H40" i="247" s="1"/>
  <c r="H16" i="246"/>
  <c r="H17" i="246" s="1"/>
  <c r="H18" i="246" s="1"/>
  <c r="H19" i="246" s="1"/>
  <c r="H20" i="246" s="1"/>
  <c r="H21" i="246" s="1"/>
  <c r="H22" i="246" s="1"/>
  <c r="H23" i="246" s="1"/>
  <c r="H24" i="246" s="1"/>
  <c r="H25" i="246" s="1"/>
  <c r="H26" i="246" s="1"/>
  <c r="H27" i="246" s="1"/>
  <c r="H28" i="246" s="1"/>
  <c r="H29" i="246" s="1"/>
  <c r="H30" i="246" s="1"/>
  <c r="H16" i="245"/>
  <c r="H17" i="245" s="1"/>
  <c r="H18" i="245" s="1"/>
  <c r="H19" i="245" s="1"/>
  <c r="H20" i="245" s="1"/>
  <c r="H21" i="245" s="1"/>
  <c r="H22" i="245" s="1"/>
  <c r="H23" i="245" s="1"/>
  <c r="H24" i="245" s="1"/>
  <c r="H25" i="245" s="1"/>
  <c r="H26" i="245" s="1"/>
  <c r="H27" i="245" s="1"/>
  <c r="H28" i="245" s="1"/>
  <c r="H29" i="245" s="1"/>
  <c r="H30" i="245" s="1"/>
  <c r="H31" i="245" s="1"/>
  <c r="H32" i="245" s="1"/>
  <c r="H33" i="245" s="1"/>
  <c r="H34" i="245" s="1"/>
  <c r="H35" i="245" s="1"/>
  <c r="H36" i="245" s="1"/>
  <c r="H37" i="245" s="1"/>
  <c r="H38" i="245" s="1"/>
  <c r="H39" i="245" s="1"/>
  <c r="H40" i="245" s="1"/>
  <c r="H16" i="244"/>
  <c r="H17" i="244" s="1"/>
  <c r="H18" i="244" s="1"/>
  <c r="H19" i="244" s="1"/>
  <c r="H20" i="244" s="1"/>
  <c r="H21" i="244" s="1"/>
  <c r="H22" i="244" s="1"/>
  <c r="H23" i="244" s="1"/>
  <c r="H24" i="244" s="1"/>
  <c r="H25" i="244" s="1"/>
  <c r="H26" i="244" s="1"/>
  <c r="H27" i="244" s="1"/>
  <c r="H28" i="244" s="1"/>
  <c r="H29" i="244" s="1"/>
  <c r="H30" i="244" s="1"/>
  <c r="H31" i="244" s="1"/>
  <c r="H32" i="244" s="1"/>
  <c r="H33" i="244" s="1"/>
  <c r="H34" i="244" s="1"/>
  <c r="H35" i="244" s="1"/>
  <c r="H36" i="244" s="1"/>
  <c r="H37" i="244" s="1"/>
  <c r="H38" i="244" s="1"/>
  <c r="H39" i="244" s="1"/>
  <c r="H40" i="244" s="1"/>
  <c r="H16" i="241"/>
  <c r="H17" i="241" s="1"/>
  <c r="H18" i="241" s="1"/>
  <c r="H19" i="241" s="1"/>
  <c r="H20" i="241" s="1"/>
  <c r="H21" i="241" s="1"/>
  <c r="H22" i="241" s="1"/>
  <c r="H23" i="241" s="1"/>
  <c r="H24" i="241" s="1"/>
  <c r="H25" i="241" s="1"/>
  <c r="H26" i="241" s="1"/>
  <c r="H27" i="241" s="1"/>
  <c r="H28" i="241" s="1"/>
  <c r="H29" i="241" s="1"/>
  <c r="H30" i="241" s="1"/>
  <c r="H31" i="241" s="1"/>
  <c r="H32" i="241" s="1"/>
  <c r="H33" i="241" s="1"/>
  <c r="H34" i="241" s="1"/>
  <c r="H35" i="241" s="1"/>
  <c r="H36" i="241" s="1"/>
  <c r="H37" i="241" s="1"/>
  <c r="H38" i="241" s="1"/>
  <c r="H39" i="241" s="1"/>
  <c r="H40" i="241" s="1"/>
  <c r="H16" i="240"/>
  <c r="H17" i="240" s="1"/>
  <c r="H18" i="240" s="1"/>
  <c r="H19" i="240" s="1"/>
  <c r="H20" i="240" s="1"/>
  <c r="H21" i="240" s="1"/>
  <c r="H22" i="240" s="1"/>
  <c r="H23" i="240" s="1"/>
  <c r="H24" i="240" s="1"/>
  <c r="H25" i="240" s="1"/>
  <c r="H26" i="240" s="1"/>
  <c r="H27" i="240" s="1"/>
  <c r="H28" i="240" s="1"/>
  <c r="H29" i="240" s="1"/>
  <c r="H30" i="240" s="1"/>
  <c r="H31" i="240" s="1"/>
  <c r="H32" i="240" s="1"/>
  <c r="H33" i="240" s="1"/>
  <c r="H34" i="240" s="1"/>
  <c r="H35" i="240" s="1"/>
  <c r="H36" i="240" s="1"/>
  <c r="H37" i="240" s="1"/>
  <c r="H38" i="240" s="1"/>
  <c r="H39" i="240" s="1"/>
  <c r="H40" i="240" s="1"/>
  <c r="H16" i="238"/>
  <c r="H17" i="238" s="1"/>
  <c r="H18" i="238" s="1"/>
  <c r="H19" i="238" s="1"/>
  <c r="H20" i="238" s="1"/>
  <c r="H21" i="238" s="1"/>
  <c r="H22" i="238" s="1"/>
  <c r="H23" i="238" s="1"/>
  <c r="H24" i="238" s="1"/>
  <c r="H25" i="238" s="1"/>
  <c r="H26" i="238" s="1"/>
  <c r="H27" i="238" s="1"/>
  <c r="H28" i="238" s="1"/>
  <c r="H29" i="238" s="1"/>
  <c r="H30" i="238" s="1"/>
  <c r="H31" i="238" s="1"/>
  <c r="H32" i="238" s="1"/>
  <c r="H33" i="238" s="1"/>
  <c r="H34" i="238" s="1"/>
  <c r="H35" i="238" s="1"/>
  <c r="H36" i="238" s="1"/>
  <c r="H37" i="238" s="1"/>
  <c r="H38" i="238" s="1"/>
  <c r="H39" i="238" s="1"/>
  <c r="H40" i="238" s="1"/>
  <c r="H16" i="234"/>
  <c r="H17" i="234" s="1"/>
  <c r="H18" i="234" s="1"/>
  <c r="H19" i="234" s="1"/>
  <c r="H20" i="234" s="1"/>
  <c r="H21" i="234" s="1"/>
  <c r="H22" i="234" s="1"/>
  <c r="H23" i="234" s="1"/>
  <c r="H24" i="234" s="1"/>
  <c r="H25" i="234" s="1"/>
  <c r="H26" i="234" s="1"/>
  <c r="H27" i="234" s="1"/>
  <c r="H28" i="234" s="1"/>
  <c r="H29" i="234" s="1"/>
  <c r="H30" i="234" s="1"/>
  <c r="H31" i="234" s="1"/>
  <c r="H32" i="234" s="1"/>
  <c r="H33" i="234" s="1"/>
  <c r="H34" i="234" s="1"/>
  <c r="H35" i="234" s="1"/>
  <c r="H36" i="234" s="1"/>
  <c r="H37" i="234" s="1"/>
  <c r="H38" i="234" s="1"/>
  <c r="H39" i="234" s="1"/>
  <c r="H40" i="234" s="1"/>
  <c r="H16" i="225"/>
  <c r="H17" i="225" s="1"/>
  <c r="H18" i="225" s="1"/>
  <c r="H19" i="225" s="1"/>
  <c r="H20" i="225" s="1"/>
  <c r="H21" i="225" s="1"/>
  <c r="H22" i="225" s="1"/>
  <c r="H23" i="225" s="1"/>
  <c r="H24" i="225" s="1"/>
  <c r="H25" i="225" s="1"/>
  <c r="H26" i="225" s="1"/>
  <c r="H16" i="212"/>
  <c r="H17" i="212" s="1"/>
  <c r="H18" i="212" s="1"/>
  <c r="H19" i="212" s="1"/>
  <c r="H20" i="212" s="1"/>
  <c r="H21" i="212" s="1"/>
  <c r="H22" i="212" s="1"/>
  <c r="H23" i="212" s="1"/>
  <c r="H24" i="212" s="1"/>
  <c r="H25" i="212" s="1"/>
  <c r="H26" i="212" s="1"/>
  <c r="H27" i="212" s="1"/>
  <c r="H28" i="212" s="1"/>
  <c r="H29" i="212" s="1"/>
  <c r="H30" i="212" s="1"/>
  <c r="H31" i="212" s="1"/>
  <c r="H32" i="212" s="1"/>
  <c r="H33" i="212" s="1"/>
  <c r="H34" i="212" s="1"/>
  <c r="H35" i="212" s="1"/>
  <c r="H36" i="212" s="1"/>
  <c r="H37" i="212" s="1"/>
  <c r="H38" i="212" s="1"/>
  <c r="H39" i="212" s="1"/>
  <c r="H40" i="212" s="1"/>
  <c r="H16" i="211"/>
  <c r="H17" i="211" s="1"/>
  <c r="H18" i="211" s="1"/>
  <c r="H19" i="211" s="1"/>
  <c r="H20" i="211" s="1"/>
  <c r="H21" i="211" s="1"/>
  <c r="H22" i="211" s="1"/>
  <c r="H23" i="211" s="1"/>
  <c r="H24" i="211" s="1"/>
  <c r="H25" i="211" s="1"/>
  <c r="H26" i="211" s="1"/>
  <c r="H27" i="211" s="1"/>
  <c r="H28" i="211" s="1"/>
  <c r="H29" i="211" s="1"/>
  <c r="H30" i="211" s="1"/>
  <c r="H31" i="211" s="1"/>
  <c r="H32" i="211" s="1"/>
  <c r="H33" i="211" s="1"/>
  <c r="H34" i="211" s="1"/>
  <c r="H35" i="211" s="1"/>
  <c r="H36" i="211" s="1"/>
  <c r="H37" i="211" s="1"/>
  <c r="H38" i="211" s="1"/>
  <c r="H16" i="210"/>
  <c r="H17" i="210" s="1"/>
  <c r="H18" i="210" s="1"/>
  <c r="H19" i="210" s="1"/>
  <c r="H20" i="210" s="1"/>
  <c r="H21" i="210" s="1"/>
  <c r="H22" i="210" s="1"/>
  <c r="H23" i="210" s="1"/>
  <c r="H24" i="210" s="1"/>
  <c r="H25" i="210" s="1"/>
  <c r="H26" i="210" s="1"/>
  <c r="H27" i="210" s="1"/>
  <c r="H28" i="210" s="1"/>
  <c r="H29" i="210" s="1"/>
  <c r="H30" i="210" s="1"/>
  <c r="H31" i="210" s="1"/>
  <c r="H32" i="210" s="1"/>
  <c r="H33" i="210" s="1"/>
  <c r="H34" i="210" s="1"/>
  <c r="H16" i="209"/>
  <c r="H17" i="209" s="1"/>
  <c r="H18" i="209" s="1"/>
  <c r="H19" i="209" s="1"/>
  <c r="H20" i="209" s="1"/>
  <c r="H21" i="209" s="1"/>
  <c r="H22" i="209" s="1"/>
  <c r="H23" i="209" s="1"/>
  <c r="H24" i="209" s="1"/>
  <c r="H25" i="209" s="1"/>
  <c r="H26" i="209" s="1"/>
  <c r="H27" i="209" s="1"/>
  <c r="H28" i="209" s="1"/>
  <c r="H29" i="209" s="1"/>
  <c r="H30" i="209" s="1"/>
  <c r="H31" i="209" s="1"/>
  <c r="H32" i="209" s="1"/>
  <c r="H33" i="209" s="1"/>
  <c r="H34" i="209" s="1"/>
  <c r="H35" i="209" s="1"/>
  <c r="H36" i="209" s="1"/>
  <c r="H37" i="209" s="1"/>
  <c r="H38" i="209" s="1"/>
  <c r="H39" i="209" s="1"/>
  <c r="H40" i="209" s="1"/>
  <c r="H16" i="199"/>
  <c r="H17" i="199" s="1"/>
  <c r="H18" i="199" s="1"/>
  <c r="H19" i="199" s="1"/>
  <c r="H20" i="199" s="1"/>
  <c r="H21" i="199" s="1"/>
  <c r="H22" i="199" s="1"/>
  <c r="H23" i="199" s="1"/>
  <c r="H24" i="199" s="1"/>
  <c r="H25" i="199" s="1"/>
  <c r="H26" i="199" s="1"/>
  <c r="H27" i="199" s="1"/>
  <c r="H28" i="199" s="1"/>
  <c r="H29" i="199" s="1"/>
  <c r="H30" i="199" s="1"/>
  <c r="H31" i="199" s="1"/>
  <c r="H32" i="199" s="1"/>
  <c r="H33" i="199" s="1"/>
  <c r="H34" i="199" s="1"/>
  <c r="H35" i="199" s="1"/>
  <c r="H36" i="199" s="1"/>
  <c r="H37" i="199" s="1"/>
  <c r="H38" i="199" s="1"/>
  <c r="H39" i="199" s="1"/>
  <c r="H40" i="199" s="1"/>
  <c r="H16" i="196"/>
  <c r="H17" i="196" s="1"/>
  <c r="H18" i="196" s="1"/>
  <c r="H16" i="192"/>
  <c r="H17" i="192" s="1"/>
  <c r="H18" i="192" s="1"/>
  <c r="H19" i="192" s="1"/>
  <c r="H20" i="192" s="1"/>
  <c r="H21" i="192" s="1"/>
  <c r="H22" i="192" s="1"/>
  <c r="H23" i="192" s="1"/>
  <c r="H24" i="192" s="1"/>
  <c r="H25" i="192" s="1"/>
  <c r="H26" i="192" s="1"/>
  <c r="H27" i="192" s="1"/>
  <c r="H28" i="192" s="1"/>
  <c r="H29" i="192" s="1"/>
  <c r="H30" i="192" s="1"/>
  <c r="H31" i="192" s="1"/>
  <c r="H32" i="192" s="1"/>
  <c r="H33" i="192" s="1"/>
  <c r="H34" i="192" s="1"/>
  <c r="H35" i="192" s="1"/>
  <c r="H36" i="192" s="1"/>
  <c r="H37" i="192" s="1"/>
  <c r="H38" i="192" s="1"/>
  <c r="H39" i="192" s="1"/>
  <c r="H40" i="192" s="1"/>
  <c r="H16" i="190"/>
  <c r="H17" i="190" s="1"/>
  <c r="H18" i="190" s="1"/>
  <c r="H19" i="190" s="1"/>
  <c r="H20" i="190" s="1"/>
  <c r="H21" i="190" s="1"/>
  <c r="H22" i="190" s="1"/>
  <c r="H23" i="190" s="1"/>
  <c r="H24" i="190" s="1"/>
  <c r="H25" i="190" s="1"/>
  <c r="H26" i="190" s="1"/>
  <c r="H27" i="190" s="1"/>
  <c r="H28" i="190" s="1"/>
  <c r="H29" i="190" s="1"/>
  <c r="H30" i="190" s="1"/>
  <c r="H31" i="190" s="1"/>
  <c r="H32" i="190" s="1"/>
  <c r="H33" i="190" s="1"/>
  <c r="H34" i="190" s="1"/>
  <c r="H35" i="190" s="1"/>
  <c r="H36" i="190" s="1"/>
  <c r="H37" i="190" s="1"/>
  <c r="H38" i="190" s="1"/>
  <c r="H39" i="190" s="1"/>
  <c r="H40" i="190" s="1"/>
  <c r="H16" i="188"/>
  <c r="H17" i="188" s="1"/>
  <c r="H18" i="188" s="1"/>
  <c r="H19" i="188" s="1"/>
  <c r="H20" i="188" s="1"/>
  <c r="H21" i="188" s="1"/>
  <c r="H22" i="188" s="1"/>
  <c r="H23" i="188" s="1"/>
  <c r="H24" i="188" s="1"/>
  <c r="H25" i="188" s="1"/>
  <c r="H26" i="188" s="1"/>
  <c r="H27" i="188" s="1"/>
  <c r="H28" i="188" s="1"/>
  <c r="H29" i="188" s="1"/>
  <c r="H30" i="188" s="1"/>
  <c r="H31" i="188" s="1"/>
  <c r="H32" i="188" s="1"/>
  <c r="H33" i="188" s="1"/>
  <c r="H34" i="188" s="1"/>
  <c r="H35" i="188" s="1"/>
  <c r="H36" i="188" s="1"/>
  <c r="H37" i="188" s="1"/>
  <c r="H38" i="188" s="1"/>
  <c r="H39" i="188" s="1"/>
  <c r="H40" i="188" s="1"/>
  <c r="H16" i="286"/>
  <c r="H17" i="286" s="1"/>
  <c r="H18" i="286" s="1"/>
  <c r="H19" i="286" s="1"/>
  <c r="H20" i="286" s="1"/>
  <c r="H21" i="286" s="1"/>
  <c r="H22" i="286" s="1"/>
  <c r="H23" i="286" s="1"/>
  <c r="H24" i="286" s="1"/>
  <c r="H25" i="286" s="1"/>
  <c r="H26" i="286" s="1"/>
  <c r="H27" i="286" s="1"/>
  <c r="H28" i="286" s="1"/>
  <c r="H29" i="286" s="1"/>
  <c r="H30" i="286" s="1"/>
  <c r="H31" i="286" s="1"/>
  <c r="H32" i="286" s="1"/>
  <c r="H33" i="286" s="1"/>
  <c r="H34" i="286" s="1"/>
  <c r="H35" i="286" s="1"/>
  <c r="H36" i="286" s="1"/>
  <c r="H37" i="286" s="1"/>
  <c r="H38" i="286" s="1"/>
  <c r="H39" i="286" s="1"/>
  <c r="H40" i="286" s="1"/>
  <c r="I34" i="180"/>
  <c r="I36" i="182"/>
  <c r="I34" i="181"/>
  <c r="I34" i="232"/>
  <c r="I14" i="171"/>
  <c r="H14" i="171"/>
  <c r="H15" i="171" s="1"/>
  <c r="H17" i="171" s="1"/>
  <c r="H18" i="171" s="1"/>
  <c r="H19" i="171" s="1"/>
  <c r="H20" i="171" s="1"/>
  <c r="H21" i="171" s="1"/>
  <c r="H22" i="171" s="1"/>
  <c r="H23" i="171" s="1"/>
  <c r="H24" i="171" s="1"/>
  <c r="H25" i="171" s="1"/>
  <c r="H26" i="171" s="1"/>
  <c r="H27" i="171" s="1"/>
  <c r="H16" i="194"/>
  <c r="H17" i="194" s="1"/>
  <c r="H18" i="194" s="1"/>
  <c r="H19" i="194" s="1"/>
  <c r="H20" i="194" s="1"/>
  <c r="H21" i="194" s="1"/>
  <c r="H22" i="194" s="1"/>
  <c r="H23" i="194" s="1"/>
  <c r="H24" i="194" s="1"/>
  <c r="H25" i="194" s="1"/>
  <c r="H26" i="194" s="1"/>
  <c r="H27" i="194" s="1"/>
  <c r="H28" i="194" s="1"/>
  <c r="H29" i="194" s="1"/>
  <c r="H30" i="194" s="1"/>
  <c r="H31" i="194" s="1"/>
  <c r="H32" i="194" s="1"/>
  <c r="H33" i="194" s="1"/>
  <c r="H34" i="194" s="1"/>
  <c r="H35" i="194" s="1"/>
  <c r="H36" i="194" s="1"/>
  <c r="H37" i="194" s="1"/>
  <c r="H38" i="194" s="1"/>
  <c r="H16" i="228"/>
  <c r="H17" i="228" s="1"/>
  <c r="H18" i="228" s="1"/>
  <c r="H19" i="228" s="1"/>
  <c r="H20" i="228" s="1"/>
  <c r="H21" i="228" s="1"/>
  <c r="H22" i="228" s="1"/>
  <c r="H23" i="228" s="1"/>
  <c r="H24" i="228" s="1"/>
  <c r="H25" i="228" s="1"/>
  <c r="H26" i="228" s="1"/>
  <c r="H27" i="228" s="1"/>
  <c r="H28" i="228" s="1"/>
  <c r="H29" i="228" s="1"/>
  <c r="H30" i="228" s="1"/>
  <c r="H31" i="228" s="1"/>
  <c r="H32" i="228" s="1"/>
  <c r="H33" i="228" s="1"/>
  <c r="H34" i="228" s="1"/>
  <c r="H35" i="228" s="1"/>
  <c r="H36" i="228" s="1"/>
  <c r="H37" i="228" s="1"/>
  <c r="H38" i="228" s="1"/>
  <c r="H39" i="228" s="1"/>
  <c r="H40" i="228" s="1"/>
  <c r="H16" i="236"/>
  <c r="H17" i="236" s="1"/>
  <c r="H18" i="236" s="1"/>
  <c r="H19" i="236" s="1"/>
  <c r="H20" i="236" s="1"/>
  <c r="H21" i="236" s="1"/>
  <c r="H22" i="236" s="1"/>
  <c r="H23" i="236" s="1"/>
  <c r="H24" i="236" s="1"/>
  <c r="H25" i="236" s="1"/>
  <c r="H26" i="236" s="1"/>
  <c r="H27" i="236" s="1"/>
  <c r="H28" i="236" s="1"/>
  <c r="H29" i="236" s="1"/>
  <c r="H30" i="236" s="1"/>
  <c r="H31" i="236" s="1"/>
  <c r="H32" i="236" s="1"/>
  <c r="H33" i="236" s="1"/>
  <c r="H34" i="236" s="1"/>
  <c r="H35" i="236" s="1"/>
  <c r="H36" i="236" s="1"/>
  <c r="H37" i="236" s="1"/>
  <c r="H38" i="236" s="1"/>
  <c r="H39" i="236" s="1"/>
  <c r="H40" i="236" s="1"/>
  <c r="H16" i="239"/>
  <c r="H17" i="239" s="1"/>
  <c r="H18" i="239" s="1"/>
  <c r="H19" i="239" s="1"/>
  <c r="H20" i="239" s="1"/>
  <c r="H21" i="239" s="1"/>
  <c r="H22" i="239" s="1"/>
  <c r="H23" i="239" s="1"/>
  <c r="H24" i="239" s="1"/>
  <c r="H25" i="239" s="1"/>
  <c r="H26" i="239" s="1"/>
  <c r="H27" i="239" s="1"/>
  <c r="H28" i="239" s="1"/>
  <c r="H29" i="239" s="1"/>
  <c r="H30" i="239" s="1"/>
  <c r="H31" i="239" s="1"/>
  <c r="H32" i="239" s="1"/>
  <c r="H33" i="239" s="1"/>
  <c r="H34" i="239" s="1"/>
  <c r="H35" i="239" s="1"/>
  <c r="H36" i="239" s="1"/>
  <c r="H37" i="239" s="1"/>
  <c r="H38" i="239" s="1"/>
  <c r="H39" i="239" s="1"/>
  <c r="H40" i="239" s="1"/>
  <c r="H16" i="258"/>
  <c r="H17" i="258" s="1"/>
  <c r="H18" i="258" s="1"/>
  <c r="H19" i="258" s="1"/>
  <c r="H20" i="258" s="1"/>
  <c r="H21" i="258" s="1"/>
  <c r="H22" i="258" s="1"/>
  <c r="H23" i="258" s="1"/>
  <c r="H24" i="258" s="1"/>
  <c r="H25" i="258" s="1"/>
  <c r="H26" i="258" s="1"/>
  <c r="H27" i="258" s="1"/>
  <c r="H28" i="258" s="1"/>
  <c r="H29" i="258" s="1"/>
  <c r="H30" i="258" s="1"/>
  <c r="H31" i="258" s="1"/>
  <c r="H32" i="258" s="1"/>
  <c r="H33" i="258" s="1"/>
  <c r="H34" i="258" s="1"/>
  <c r="H35" i="258" s="1"/>
  <c r="H36" i="258" s="1"/>
  <c r="H37" i="258" s="1"/>
  <c r="H38" i="258" s="1"/>
  <c r="H39" i="258" s="1"/>
  <c r="H40" i="258" s="1"/>
  <c r="H16" i="270"/>
  <c r="H17" i="270" s="1"/>
  <c r="H18" i="270" s="1"/>
  <c r="H19" i="270" s="1"/>
  <c r="H20" i="270" s="1"/>
  <c r="H21" i="270" s="1"/>
  <c r="H22" i="270" s="1"/>
  <c r="H23" i="270" s="1"/>
  <c r="H24" i="270" s="1"/>
  <c r="H25" i="270" s="1"/>
  <c r="H26" i="270" s="1"/>
  <c r="H27" i="270" s="1"/>
  <c r="H28" i="270" s="1"/>
  <c r="H29" i="270" s="1"/>
  <c r="H30" i="270" s="1"/>
  <c r="H31" i="270" s="1"/>
  <c r="H32" i="270" s="1"/>
  <c r="H33" i="270" s="1"/>
  <c r="H34" i="270" s="1"/>
  <c r="H35" i="270" s="1"/>
  <c r="H36" i="270" s="1"/>
  <c r="H37" i="270" s="1"/>
  <c r="H38" i="270" s="1"/>
  <c r="H39" i="270" s="1"/>
  <c r="H40" i="270" s="1"/>
  <c r="H16" i="273"/>
  <c r="H17" i="273" s="1"/>
  <c r="H18" i="273" s="1"/>
  <c r="H19" i="273" s="1"/>
  <c r="H20" i="273" s="1"/>
  <c r="H21" i="273" s="1"/>
  <c r="I15" i="172"/>
  <c r="H15" i="172"/>
  <c r="H16" i="172" s="1"/>
  <c r="H17" i="172" s="1"/>
  <c r="H18" i="172" s="1"/>
  <c r="H19" i="172" s="1"/>
  <c r="H20" i="172" s="1"/>
  <c r="H21" i="172" s="1"/>
  <c r="H22" i="172" s="1"/>
  <c r="H23" i="172" s="1"/>
  <c r="H24" i="172" s="1"/>
  <c r="H25" i="172" s="1"/>
  <c r="H26" i="172" s="1"/>
  <c r="H27" i="172" s="1"/>
  <c r="H28" i="172" s="1"/>
  <c r="H29" i="172" s="1"/>
  <c r="H30" i="172" s="1"/>
  <c r="H31" i="172" s="1"/>
  <c r="H32" i="172" s="1"/>
  <c r="H33" i="172" s="1"/>
  <c r="H34" i="172" s="1"/>
  <c r="H35" i="172" s="1"/>
  <c r="H36" i="172" s="1"/>
  <c r="H37" i="172" s="1"/>
  <c r="H38" i="172" s="1"/>
  <c r="H39" i="172" s="1"/>
  <c r="H40" i="172" s="1"/>
  <c r="H16" i="213"/>
  <c r="H17" i="213" s="1"/>
  <c r="H18" i="213" s="1"/>
  <c r="H19" i="213" s="1"/>
  <c r="H20" i="213" s="1"/>
  <c r="H21" i="213" s="1"/>
  <c r="H22" i="213" s="1"/>
  <c r="H23" i="213" s="1"/>
  <c r="H24" i="213" s="1"/>
  <c r="H25" i="213" s="1"/>
  <c r="H26" i="213" s="1"/>
  <c r="H27" i="213" s="1"/>
  <c r="H28" i="213" s="1"/>
  <c r="H29" i="213" s="1"/>
  <c r="H30" i="213" s="1"/>
  <c r="H31" i="213" s="1"/>
  <c r="H32" i="213" s="1"/>
  <c r="H33" i="213" s="1"/>
  <c r="H34" i="213" s="1"/>
  <c r="H35" i="213" s="1"/>
  <c r="H36" i="213" s="1"/>
  <c r="H37" i="213" s="1"/>
  <c r="H38" i="213" s="1"/>
  <c r="H39" i="213" s="1"/>
  <c r="H40" i="213" s="1"/>
  <c r="H16" i="230"/>
  <c r="H17" i="230" s="1"/>
  <c r="H18" i="230" s="1"/>
  <c r="H19" i="230" s="1"/>
  <c r="H20" i="230" s="1"/>
  <c r="H21" i="230" s="1"/>
  <c r="H22" i="230" s="1"/>
  <c r="H23" i="230" s="1"/>
  <c r="H24" i="230" s="1"/>
  <c r="H25" i="230" s="1"/>
  <c r="H26" i="230" s="1"/>
  <c r="H27" i="230" s="1"/>
  <c r="H28" i="230" s="1"/>
  <c r="H29" i="230" s="1"/>
  <c r="H30" i="230" s="1"/>
  <c r="H31" i="230" s="1"/>
  <c r="H32" i="230" s="1"/>
  <c r="H33" i="230" s="1"/>
  <c r="H34" i="230" s="1"/>
  <c r="H35" i="230" s="1"/>
  <c r="H36" i="230" s="1"/>
  <c r="H37" i="230" s="1"/>
  <c r="H38" i="230" s="1"/>
  <c r="H39" i="230" s="1"/>
  <c r="H40" i="230" s="1"/>
  <c r="I15" i="232"/>
  <c r="H15" i="232"/>
  <c r="H16" i="232" s="1"/>
  <c r="H17" i="232" s="1"/>
  <c r="H18" i="232" s="1"/>
  <c r="H19" i="232" s="1"/>
  <c r="H20" i="232" s="1"/>
  <c r="H21" i="232" s="1"/>
  <c r="H22" i="232" s="1"/>
  <c r="H23" i="232" s="1"/>
  <c r="H24" i="232" s="1"/>
  <c r="H25" i="232" s="1"/>
  <c r="H26" i="232" s="1"/>
  <c r="H27" i="232" s="1"/>
  <c r="H28" i="232" s="1"/>
  <c r="H29" i="232" s="1"/>
  <c r="H30" i="232" s="1"/>
  <c r="H31" i="232" s="1"/>
  <c r="H32" i="232" s="1"/>
  <c r="H33" i="232" s="1"/>
  <c r="H34" i="232" s="1"/>
  <c r="H35" i="232" s="1"/>
  <c r="H36" i="232" s="1"/>
  <c r="H37" i="232" s="1"/>
  <c r="H38" i="232" s="1"/>
  <c r="H39" i="232" s="1"/>
  <c r="H16" i="256"/>
  <c r="H17" i="256" s="1"/>
  <c r="H18" i="256" s="1"/>
  <c r="H19" i="256" s="1"/>
  <c r="H20" i="256" s="1"/>
  <c r="H21" i="256" s="1"/>
  <c r="H22" i="256" s="1"/>
  <c r="H23" i="256" s="1"/>
  <c r="I15" i="263"/>
  <c r="H16" i="285"/>
  <c r="H17" i="285" s="1"/>
  <c r="H18" i="285" s="1"/>
  <c r="H19" i="285" s="1"/>
  <c r="H20" i="285" s="1"/>
  <c r="H21" i="285" s="1"/>
  <c r="H22" i="285" s="1"/>
  <c r="H23" i="285" s="1"/>
  <c r="H24" i="285" s="1"/>
  <c r="H25" i="285" s="1"/>
  <c r="H26" i="285" s="1"/>
  <c r="H27" i="285" s="1"/>
  <c r="H28" i="285" s="1"/>
  <c r="H29" i="285" s="1"/>
  <c r="H30" i="285" s="1"/>
  <c r="H31" i="285" s="1"/>
  <c r="H32" i="285" s="1"/>
  <c r="H33" i="285" s="1"/>
  <c r="H34" i="285" s="1"/>
  <c r="H35" i="285" s="1"/>
  <c r="H36" i="285" s="1"/>
  <c r="H37" i="285" s="1"/>
  <c r="H38" i="285" s="1"/>
  <c r="H39" i="285" s="1"/>
  <c r="H40" i="285" s="1"/>
  <c r="H32" i="289"/>
  <c r="H33" i="289" s="1"/>
  <c r="H34" i="289" s="1"/>
  <c r="H35" i="289" s="1"/>
  <c r="H36" i="289" s="1"/>
  <c r="H37" i="289" s="1"/>
  <c r="H38" i="289" s="1"/>
  <c r="H39" i="289" s="1"/>
  <c r="H40" i="289" s="1"/>
  <c r="H16" i="191"/>
  <c r="H17" i="191" s="1"/>
  <c r="H18" i="191" s="1"/>
  <c r="H19" i="191" s="1"/>
  <c r="H20" i="191" s="1"/>
  <c r="H21" i="191" s="1"/>
  <c r="H22" i="191" s="1"/>
  <c r="H23" i="191" s="1"/>
  <c r="H24" i="191" s="1"/>
  <c r="H25" i="191" s="1"/>
  <c r="H26" i="191" s="1"/>
  <c r="H27" i="191" s="1"/>
  <c r="H28" i="191" s="1"/>
  <c r="H29" i="191" s="1"/>
  <c r="H30" i="191" s="1"/>
  <c r="H31" i="191" s="1"/>
  <c r="H32" i="191" s="1"/>
  <c r="H33" i="191" s="1"/>
  <c r="H34" i="191" s="1"/>
  <c r="H35" i="191" s="1"/>
  <c r="H36" i="191" s="1"/>
  <c r="H37" i="191" s="1"/>
  <c r="H38" i="191" s="1"/>
  <c r="H39" i="191" s="1"/>
  <c r="H42" i="191" s="1"/>
  <c r="H16" i="197"/>
  <c r="H17" i="197" s="1"/>
  <c r="H18" i="197" s="1"/>
  <c r="H19" i="197" s="1"/>
  <c r="H20" i="197" s="1"/>
  <c r="H21" i="197" s="1"/>
  <c r="H22" i="197" s="1"/>
  <c r="H23" i="197" s="1"/>
  <c r="H24" i="197" s="1"/>
  <c r="H25" i="197" s="1"/>
  <c r="H26" i="197" s="1"/>
  <c r="H27" i="197" s="1"/>
  <c r="H28" i="197" s="1"/>
  <c r="H16" i="205"/>
  <c r="H17" i="205" s="1"/>
  <c r="H18" i="205" s="1"/>
  <c r="H16" i="216"/>
  <c r="H17" i="216" s="1"/>
  <c r="H18" i="216" s="1"/>
  <c r="H19" i="216" s="1"/>
  <c r="H20" i="216" s="1"/>
  <c r="H21" i="216" s="1"/>
  <c r="H22" i="216" s="1"/>
  <c r="H23" i="216" s="1"/>
  <c r="H24" i="216" s="1"/>
  <c r="H25" i="216" s="1"/>
  <c r="H26" i="216" s="1"/>
  <c r="H27" i="216" s="1"/>
  <c r="H28" i="216" s="1"/>
  <c r="H29" i="216" s="1"/>
  <c r="H30" i="216" s="1"/>
  <c r="I14" i="220"/>
  <c r="H14" i="220"/>
  <c r="H15" i="220" s="1"/>
  <c r="H16" i="220" s="1"/>
  <c r="H17" i="220" s="1"/>
  <c r="H18" i="220" s="1"/>
  <c r="H19" i="220" s="1"/>
  <c r="H20" i="220" s="1"/>
  <c r="H21" i="220" s="1"/>
  <c r="H22" i="220" s="1"/>
  <c r="H23" i="220" s="1"/>
  <c r="H24" i="220" s="1"/>
  <c r="H25" i="220" s="1"/>
  <c r="H26" i="220" s="1"/>
  <c r="H27" i="220" s="1"/>
  <c r="H28" i="220" s="1"/>
  <c r="H29" i="220" s="1"/>
  <c r="H30" i="220" s="1"/>
  <c r="H31" i="220" s="1"/>
  <c r="H32" i="220" s="1"/>
  <c r="H33" i="220" s="1"/>
  <c r="H34" i="220" s="1"/>
  <c r="H35" i="220" s="1"/>
  <c r="H36" i="220" s="1"/>
  <c r="H37" i="220" s="1"/>
  <c r="H38" i="220" s="1"/>
  <c r="I16" i="232"/>
  <c r="H16" i="242"/>
  <c r="H17" i="242" s="1"/>
  <c r="H18" i="242" s="1"/>
  <c r="H19" i="242" s="1"/>
  <c r="H20" i="242" s="1"/>
  <c r="H21" i="242" s="1"/>
  <c r="H22" i="242" s="1"/>
  <c r="H23" i="242" s="1"/>
  <c r="H24" i="242" s="1"/>
  <c r="H25" i="242" s="1"/>
  <c r="H26" i="242" s="1"/>
  <c r="H27" i="242" s="1"/>
  <c r="H28" i="242" s="1"/>
  <c r="H29" i="242" s="1"/>
  <c r="H30" i="242" s="1"/>
  <c r="H31" i="242" s="1"/>
  <c r="H32" i="242" s="1"/>
  <c r="H33" i="242" s="1"/>
  <c r="H34" i="242" s="1"/>
  <c r="H35" i="242" s="1"/>
  <c r="H36" i="242" s="1"/>
  <c r="H37" i="242" s="1"/>
  <c r="H38" i="242" s="1"/>
  <c r="H39" i="242" s="1"/>
  <c r="H40" i="242" s="1"/>
  <c r="H14" i="254"/>
  <c r="H15" i="254" s="1"/>
  <c r="H16" i="254" s="1"/>
  <c r="H17" i="254" s="1"/>
  <c r="H18" i="254" s="1"/>
  <c r="H19" i="254" s="1"/>
  <c r="H20" i="254" s="1"/>
  <c r="H21" i="254" s="1"/>
  <c r="H22" i="254" s="1"/>
  <c r="H23" i="254" s="1"/>
  <c r="H24" i="254" s="1"/>
  <c r="H25" i="254" s="1"/>
  <c r="H26" i="254" s="1"/>
  <c r="H27" i="254" s="1"/>
  <c r="H28" i="254" s="1"/>
  <c r="H29" i="254" s="1"/>
  <c r="H30" i="254" s="1"/>
  <c r="H31" i="254" s="1"/>
  <c r="H32" i="254" s="1"/>
  <c r="H33" i="254" s="1"/>
  <c r="H34" i="254" s="1"/>
  <c r="H35" i="254" s="1"/>
  <c r="H36" i="254" s="1"/>
  <c r="H37" i="254" s="1"/>
  <c r="H38" i="254" s="1"/>
  <c r="H16" i="255"/>
  <c r="H17" i="255" s="1"/>
  <c r="H18" i="255" s="1"/>
  <c r="H19" i="255" s="1"/>
  <c r="H20" i="255" s="1"/>
  <c r="H21" i="255" s="1"/>
  <c r="H22" i="255" s="1"/>
  <c r="H23" i="255" s="1"/>
  <c r="H24" i="255" s="1"/>
  <c r="H25" i="255" s="1"/>
  <c r="H26" i="255" s="1"/>
  <c r="H27" i="255" s="1"/>
  <c r="H28" i="255" s="1"/>
  <c r="H29" i="255" s="1"/>
  <c r="H30" i="255" s="1"/>
  <c r="H31" i="255" s="1"/>
  <c r="H32" i="255" s="1"/>
  <c r="H33" i="255" s="1"/>
  <c r="H34" i="255" s="1"/>
  <c r="H35" i="255" s="1"/>
  <c r="H36" i="255" s="1"/>
  <c r="H37" i="255" s="1"/>
  <c r="H38" i="255" s="1"/>
  <c r="H39" i="255" s="1"/>
  <c r="H40" i="255" s="1"/>
  <c r="H16" i="284"/>
  <c r="H17" i="284" s="1"/>
  <c r="H18" i="284" s="1"/>
  <c r="H19" i="284" s="1"/>
  <c r="H20" i="284" s="1"/>
  <c r="H21" i="284" s="1"/>
  <c r="H22" i="284" s="1"/>
  <c r="H23" i="284" s="1"/>
  <c r="H24" i="284" s="1"/>
  <c r="H25" i="284" s="1"/>
  <c r="H26" i="284" s="1"/>
  <c r="H27" i="284" s="1"/>
  <c r="H28" i="284" s="1"/>
  <c r="H29" i="284" s="1"/>
  <c r="H30" i="284" s="1"/>
  <c r="H31" i="284" s="1"/>
  <c r="H32" i="284" s="1"/>
  <c r="H33" i="284" s="1"/>
  <c r="H34" i="284" s="1"/>
  <c r="H35" i="284" s="1"/>
  <c r="H36" i="284" s="1"/>
  <c r="H37" i="284" s="1"/>
  <c r="H38" i="284" s="1"/>
  <c r="H39" i="284" s="1"/>
  <c r="H40" i="284" s="1"/>
  <c r="I16" i="172"/>
  <c r="H16" i="202"/>
  <c r="H17" i="202" s="1"/>
  <c r="H18" i="202" s="1"/>
  <c r="H19" i="202" s="1"/>
  <c r="H20" i="202" s="1"/>
  <c r="H21" i="202" s="1"/>
  <c r="H22" i="202" s="1"/>
  <c r="H23" i="202" s="1"/>
  <c r="H24" i="202" s="1"/>
  <c r="H25" i="202" s="1"/>
  <c r="H26" i="202" s="1"/>
  <c r="H27" i="202" s="1"/>
  <c r="H28" i="202" s="1"/>
  <c r="H29" i="202" s="1"/>
  <c r="H30" i="202" s="1"/>
  <c r="H31" i="202" s="1"/>
  <c r="H32" i="202" s="1"/>
  <c r="H33" i="202" s="1"/>
  <c r="H34" i="202" s="1"/>
  <c r="H35" i="202" s="1"/>
  <c r="H36" i="202" s="1"/>
  <c r="H37" i="202" s="1"/>
  <c r="H38" i="202" s="1"/>
  <c r="H39" i="202" s="1"/>
  <c r="H42" i="202" s="1"/>
  <c r="H16" i="204"/>
  <c r="H17" i="204" s="1"/>
  <c r="H18" i="204" s="1"/>
  <c r="H19" i="204" s="1"/>
  <c r="H20" i="204" s="1"/>
  <c r="H21" i="204" s="1"/>
  <c r="H22" i="204" s="1"/>
  <c r="H23" i="204" s="1"/>
  <c r="H24" i="204" s="1"/>
  <c r="H25" i="204" s="1"/>
  <c r="H26" i="204" s="1"/>
  <c r="H27" i="204" s="1"/>
  <c r="H28" i="204" s="1"/>
  <c r="H29" i="204" s="1"/>
  <c r="H30" i="204" s="1"/>
  <c r="H31" i="204" s="1"/>
  <c r="H32" i="204" s="1"/>
  <c r="H33" i="204" s="1"/>
  <c r="H34" i="204" s="1"/>
  <c r="H35" i="204" s="1"/>
  <c r="H36" i="204" s="1"/>
  <c r="H37" i="204" s="1"/>
  <c r="H38" i="204" s="1"/>
  <c r="H39" i="204" s="1"/>
  <c r="H40" i="204" s="1"/>
  <c r="H16" i="259"/>
  <c r="H17" i="259" s="1"/>
  <c r="H18" i="259" s="1"/>
  <c r="H19" i="259" s="1"/>
  <c r="H20" i="259" s="1"/>
  <c r="H21" i="259" s="1"/>
  <c r="H22" i="259" s="1"/>
  <c r="H23" i="259" s="1"/>
  <c r="H24" i="259" s="1"/>
  <c r="H25" i="259" s="1"/>
  <c r="H26" i="259" s="1"/>
  <c r="H27" i="259" s="1"/>
  <c r="H28" i="259" s="1"/>
  <c r="H29" i="259" s="1"/>
  <c r="H30" i="259" s="1"/>
  <c r="H31" i="259" s="1"/>
  <c r="H32" i="259" s="1"/>
  <c r="H33" i="259" s="1"/>
  <c r="H34" i="259" s="1"/>
  <c r="H35" i="259" s="1"/>
  <c r="H36" i="259" s="1"/>
  <c r="H37" i="259" s="1"/>
  <c r="H38" i="259" s="1"/>
  <c r="H39" i="259" s="1"/>
  <c r="H40" i="259" s="1"/>
  <c r="H16" i="265"/>
  <c r="H17" i="265" s="1"/>
  <c r="H18" i="265" s="1"/>
  <c r="H19" i="265" s="1"/>
  <c r="H20" i="265" s="1"/>
  <c r="H21" i="265" s="1"/>
  <c r="H22" i="265" s="1"/>
  <c r="H23" i="265" s="1"/>
  <c r="H24" i="265" s="1"/>
  <c r="H25" i="265" s="1"/>
  <c r="H26" i="265" s="1"/>
  <c r="H27" i="265" s="1"/>
  <c r="H28" i="265" s="1"/>
  <c r="H29" i="265" s="1"/>
  <c r="H30" i="265" s="1"/>
  <c r="H31" i="265" s="1"/>
  <c r="H32" i="265" s="1"/>
  <c r="H33" i="265" s="1"/>
  <c r="H34" i="265" s="1"/>
  <c r="H35" i="265" s="1"/>
  <c r="H36" i="265" s="1"/>
  <c r="H37" i="265" s="1"/>
  <c r="H38" i="265" s="1"/>
  <c r="H39" i="265" s="1"/>
  <c r="H40" i="265" s="1"/>
  <c r="H17" i="266"/>
  <c r="H18" i="266" s="1"/>
  <c r="H19" i="266" s="1"/>
  <c r="H20" i="266" s="1"/>
  <c r="H21" i="266" s="1"/>
  <c r="H22" i="266" s="1"/>
  <c r="H23" i="266" s="1"/>
  <c r="H24" i="266" s="1"/>
  <c r="H25" i="266" s="1"/>
  <c r="H26" i="266" s="1"/>
  <c r="H27" i="266" s="1"/>
  <c r="H28" i="266" s="1"/>
  <c r="H29" i="266" s="1"/>
  <c r="H30" i="266" s="1"/>
  <c r="H31" i="266" s="1"/>
  <c r="H32" i="266" s="1"/>
  <c r="H33" i="266" s="1"/>
  <c r="H34" i="266" s="1"/>
  <c r="H35" i="266" s="1"/>
  <c r="H36" i="266" s="1"/>
  <c r="H37" i="266" s="1"/>
  <c r="H38" i="266" s="1"/>
  <c r="H39" i="266" s="1"/>
  <c r="H40" i="266" s="1"/>
  <c r="H16" i="272"/>
  <c r="H17" i="272" s="1"/>
  <c r="H18" i="272" s="1"/>
  <c r="H19" i="272" s="1"/>
  <c r="H20" i="272" s="1"/>
  <c r="H21" i="272" s="1"/>
  <c r="H22" i="272" s="1"/>
  <c r="H23" i="272" s="1"/>
  <c r="H24" i="272" s="1"/>
  <c r="H25" i="272" s="1"/>
  <c r="H26" i="272" s="1"/>
  <c r="H27" i="272" s="1"/>
  <c r="H28" i="272" s="1"/>
  <c r="H16" i="278"/>
  <c r="H17" i="278" s="1"/>
  <c r="H18" i="278" s="1"/>
  <c r="H19" i="278" s="1"/>
  <c r="H20" i="278" s="1"/>
  <c r="H16" i="280"/>
  <c r="H17" i="280" s="1"/>
  <c r="H18" i="280" s="1"/>
  <c r="H19" i="280" s="1"/>
  <c r="H20" i="280" s="1"/>
  <c r="H21" i="280" s="1"/>
  <c r="H22" i="280" s="1"/>
  <c r="H23" i="280" s="1"/>
  <c r="H24" i="280" s="1"/>
  <c r="H25" i="280" s="1"/>
  <c r="H26" i="280" s="1"/>
  <c r="H27" i="280" s="1"/>
  <c r="H28" i="280" s="1"/>
  <c r="H29" i="280" s="1"/>
  <c r="H30" i="280" s="1"/>
  <c r="H31" i="280" s="1"/>
  <c r="H32" i="280" s="1"/>
  <c r="H33" i="280" s="1"/>
  <c r="H34" i="280" s="1"/>
  <c r="H35" i="280" s="1"/>
  <c r="H36" i="280" s="1"/>
  <c r="H37" i="280" s="1"/>
  <c r="H38" i="280" s="1"/>
  <c r="H39" i="280" s="1"/>
  <c r="H40" i="280" s="1"/>
  <c r="H16" i="282"/>
  <c r="H17" i="282" s="1"/>
  <c r="H18" i="282" s="1"/>
  <c r="H19" i="282" s="1"/>
  <c r="H20" i="282" s="1"/>
  <c r="H21" i="282" s="1"/>
  <c r="H22" i="282" s="1"/>
  <c r="H23" i="282" s="1"/>
  <c r="H24" i="282" s="1"/>
  <c r="H25" i="282" s="1"/>
  <c r="H26" i="282" s="1"/>
  <c r="H27" i="282" s="1"/>
  <c r="H28" i="282" s="1"/>
  <c r="H29" i="282" s="1"/>
  <c r="H30" i="282" s="1"/>
  <c r="H31" i="282" s="1"/>
  <c r="H32" i="282" s="1"/>
  <c r="H33" i="282" s="1"/>
  <c r="H34" i="282" s="1"/>
  <c r="H35" i="282" s="1"/>
  <c r="H36" i="282" s="1"/>
  <c r="H37" i="282" s="1"/>
  <c r="H38" i="282" s="1"/>
  <c r="H39" i="282" s="1"/>
  <c r="H40" i="282" s="1"/>
  <c r="H16" i="283"/>
  <c r="H17" i="283" s="1"/>
  <c r="H18" i="283" s="1"/>
  <c r="H19" i="283" s="1"/>
  <c r="H20" i="283" s="1"/>
  <c r="H21" i="283" s="1"/>
  <c r="H22" i="283" s="1"/>
  <c r="H23" i="283" s="1"/>
  <c r="H24" i="283" s="1"/>
  <c r="H25" i="283" s="1"/>
  <c r="H26" i="283" s="1"/>
  <c r="H27" i="283" s="1"/>
  <c r="H28" i="283" s="1"/>
  <c r="H29" i="283" s="1"/>
  <c r="H30" i="283" s="1"/>
  <c r="H31" i="283" s="1"/>
  <c r="H32" i="283" s="1"/>
  <c r="H33" i="283" s="1"/>
  <c r="H34" i="283" s="1"/>
  <c r="H35" i="283" s="1"/>
  <c r="H36" i="283" s="1"/>
  <c r="H37" i="283" s="1"/>
  <c r="H38" i="283" s="1"/>
  <c r="H39" i="283" s="1"/>
  <c r="H40" i="283" s="1"/>
  <c r="H16" i="173"/>
  <c r="H17" i="173" s="1"/>
  <c r="H18" i="173" s="1"/>
  <c r="H19" i="173" s="1"/>
  <c r="H20" i="173" s="1"/>
  <c r="H21" i="173" s="1"/>
  <c r="H22" i="173" s="1"/>
  <c r="H23" i="173" s="1"/>
  <c r="H24" i="173" s="1"/>
  <c r="H25" i="173" s="1"/>
  <c r="H26" i="173" s="1"/>
  <c r="H27" i="173" s="1"/>
  <c r="H28" i="173" s="1"/>
  <c r="H29" i="173" s="1"/>
  <c r="H30" i="173" s="1"/>
  <c r="H31" i="173" s="1"/>
  <c r="I34" i="264"/>
  <c r="I32" i="231"/>
  <c r="H32" i="249"/>
  <c r="H33" i="249" s="1"/>
  <c r="H34" i="249" s="1"/>
  <c r="H35" i="249" s="1"/>
  <c r="H36" i="249" s="1"/>
  <c r="H37" i="249" s="1"/>
  <c r="H38" i="249" s="1"/>
  <c r="H39" i="249" s="1"/>
  <c r="H40" i="249" s="1"/>
  <c r="H16" i="174"/>
  <c r="H17" i="174" s="1"/>
  <c r="H18" i="174" s="1"/>
  <c r="H19" i="174" s="1"/>
  <c r="H20" i="174" s="1"/>
  <c r="H21" i="174" s="1"/>
  <c r="H22" i="174" s="1"/>
  <c r="H23" i="174" s="1"/>
  <c r="H24" i="174" s="1"/>
  <c r="H25" i="174" s="1"/>
  <c r="H26" i="174" s="1"/>
  <c r="H27" i="174" s="1"/>
  <c r="H28" i="174" s="1"/>
  <c r="H29" i="174" s="1"/>
  <c r="H30" i="174" s="1"/>
  <c r="H31" i="174" s="1"/>
  <c r="H32" i="174" s="1"/>
  <c r="H33" i="174" s="1"/>
  <c r="H34" i="174" s="1"/>
  <c r="H35" i="174" s="1"/>
  <c r="H36" i="174" s="1"/>
  <c r="H37" i="174" s="1"/>
  <c r="H38" i="174" s="1"/>
  <c r="H39" i="174" s="1"/>
  <c r="H40" i="174" s="1"/>
  <c r="I31" i="220"/>
  <c r="I32" i="263"/>
  <c r="I32" i="267"/>
  <c r="I36" i="171"/>
  <c r="I15" i="264"/>
  <c r="H15" i="264"/>
  <c r="H16" i="264" s="1"/>
  <c r="H17" i="264" s="1"/>
  <c r="H18" i="264" s="1"/>
  <c r="H19" i="264" s="1"/>
  <c r="H20" i="264" s="1"/>
  <c r="H21" i="264" s="1"/>
  <c r="H22" i="264" s="1"/>
  <c r="H23" i="264" s="1"/>
  <c r="H24" i="264" s="1"/>
  <c r="H25" i="264" s="1"/>
  <c r="H26" i="264" s="1"/>
  <c r="H27" i="264" s="1"/>
  <c r="H28" i="264" s="1"/>
  <c r="H29" i="264" s="1"/>
  <c r="H30" i="264" s="1"/>
  <c r="H31" i="264" s="1"/>
  <c r="H32" i="264" s="1"/>
  <c r="H33" i="264" s="1"/>
  <c r="H34" i="264" s="1"/>
  <c r="H35" i="264" s="1"/>
  <c r="H36" i="264" s="1"/>
  <c r="H37" i="264" s="1"/>
  <c r="H38" i="264" s="1"/>
  <c r="H39" i="264" s="1"/>
  <c r="I15" i="231"/>
  <c r="H15" i="231"/>
  <c r="H16" i="231" s="1"/>
  <c r="H17" i="231" s="1"/>
  <c r="H18" i="231" s="1"/>
  <c r="H19" i="231" s="1"/>
  <c r="H20" i="231" s="1"/>
  <c r="H21" i="231" s="1"/>
  <c r="H22" i="231" s="1"/>
  <c r="H23" i="231" s="1"/>
  <c r="H24" i="231" s="1"/>
  <c r="H25" i="231" s="1"/>
  <c r="H26" i="231" s="1"/>
  <c r="H27" i="231" s="1"/>
  <c r="H28" i="231" s="1"/>
  <c r="H29" i="231" s="1"/>
  <c r="H30" i="231" s="1"/>
  <c r="H31" i="231" s="1"/>
  <c r="H32" i="231" s="1"/>
  <c r="H33" i="231" s="1"/>
  <c r="H34" i="231" s="1"/>
  <c r="H35" i="231" s="1"/>
  <c r="H36" i="231" s="1"/>
  <c r="H37" i="231" s="1"/>
  <c r="H38" i="231" s="1"/>
  <c r="I16" i="231"/>
  <c r="I15" i="215"/>
  <c r="H15" i="215"/>
  <c r="H16" i="215" s="1"/>
  <c r="H17" i="215" s="1"/>
  <c r="H18" i="215" s="1"/>
  <c r="H19" i="215" s="1"/>
  <c r="H20" i="215" s="1"/>
  <c r="H21" i="215" s="1"/>
  <c r="H22" i="215" s="1"/>
  <c r="H23" i="215" s="1"/>
  <c r="H24" i="215" s="1"/>
  <c r="H25" i="215" s="1"/>
  <c r="H26" i="215" s="1"/>
  <c r="H27" i="215" s="1"/>
  <c r="H28" i="215" s="1"/>
  <c r="H29" i="215" s="1"/>
  <c r="H30" i="215" s="1"/>
  <c r="H31" i="215" s="1"/>
  <c r="H32" i="215" s="1"/>
  <c r="H33" i="215" s="1"/>
  <c r="H34" i="215" s="1"/>
  <c r="H35" i="215" s="1"/>
  <c r="H36" i="215" s="1"/>
  <c r="H37" i="215" s="1"/>
  <c r="H38" i="215" s="1"/>
  <c r="H39" i="215" s="1"/>
  <c r="I16" i="215"/>
  <c r="I15" i="180"/>
  <c r="I15" i="182"/>
  <c r="H15" i="182"/>
  <c r="I16" i="182"/>
  <c r="I16" i="185"/>
  <c r="I15" i="185"/>
  <c r="H15" i="185"/>
  <c r="H16" i="185" s="1"/>
  <c r="H17" i="185" s="1"/>
  <c r="H18" i="185" s="1"/>
  <c r="H19" i="185" s="1"/>
  <c r="H20" i="185" s="1"/>
  <c r="H21" i="185" s="1"/>
  <c r="H22" i="185" s="1"/>
  <c r="H23" i="185" s="1"/>
  <c r="H24" i="185" s="1"/>
  <c r="H25" i="185" s="1"/>
  <c r="H26" i="185" s="1"/>
  <c r="H27" i="185" s="1"/>
  <c r="H28" i="185" s="1"/>
  <c r="H29" i="185" s="1"/>
  <c r="H30" i="185" s="1"/>
  <c r="H31" i="185" s="1"/>
  <c r="H32" i="185" s="1"/>
  <c r="H33" i="185" s="1"/>
  <c r="H34" i="185" s="1"/>
  <c r="H35" i="185" s="1"/>
  <c r="H36" i="185" s="1"/>
  <c r="H37" i="185" s="1"/>
  <c r="H38" i="185" s="1"/>
  <c r="I16" i="181"/>
  <c r="I15" i="181"/>
  <c r="H15" i="181"/>
  <c r="H16" i="181" s="1"/>
  <c r="H17" i="181" s="1"/>
  <c r="H18" i="181" s="1"/>
  <c r="H19" i="181" s="1"/>
  <c r="H20" i="181" s="1"/>
  <c r="H21" i="181" s="1"/>
  <c r="H22" i="181" s="1"/>
  <c r="H23" i="181" s="1"/>
  <c r="H24" i="181" s="1"/>
  <c r="H25" i="181" s="1"/>
  <c r="H26" i="181" s="1"/>
  <c r="H27" i="181" s="1"/>
  <c r="H28" i="181" s="1"/>
  <c r="H29" i="181" s="1"/>
  <c r="H30" i="181" s="1"/>
  <c r="H31" i="181" s="1"/>
  <c r="H32" i="181" s="1"/>
  <c r="H33" i="181" s="1"/>
  <c r="H34" i="181" s="1"/>
  <c r="H35" i="181" s="1"/>
  <c r="H36" i="181" s="1"/>
  <c r="H37" i="181" s="1"/>
  <c r="H38" i="181" s="1"/>
  <c r="H39" i="181" s="1"/>
  <c r="I15" i="176"/>
  <c r="H15" i="176"/>
  <c r="H16" i="176" s="1"/>
  <c r="H17" i="176" s="1"/>
  <c r="H18" i="176" s="1"/>
  <c r="H19" i="176" s="1"/>
  <c r="H20" i="176" s="1"/>
  <c r="H21" i="176" s="1"/>
  <c r="H22" i="176" s="1"/>
  <c r="H23" i="176" s="1"/>
  <c r="H24" i="176" s="1"/>
  <c r="H25" i="176" s="1"/>
  <c r="H26" i="176" s="1"/>
  <c r="H27" i="176" s="1"/>
  <c r="H28" i="176" s="1"/>
  <c r="H29" i="176" s="1"/>
  <c r="H30" i="176" s="1"/>
  <c r="H31" i="176" s="1"/>
  <c r="H32" i="176" s="1"/>
  <c r="H33" i="176" s="1"/>
  <c r="H34" i="176" s="1"/>
  <c r="H35" i="176" s="1"/>
  <c r="H36" i="176" s="1"/>
  <c r="H37" i="176" s="1"/>
  <c r="H38" i="176" s="1"/>
  <c r="H39" i="176" s="1"/>
  <c r="H40" i="176" s="1"/>
  <c r="H18" i="237"/>
  <c r="H19" i="237" s="1"/>
  <c r="H20" i="237" s="1"/>
  <c r="H21" i="237" s="1"/>
  <c r="H22" i="237" s="1"/>
  <c r="H23" i="237" s="1"/>
  <c r="H24" i="237" s="1"/>
  <c r="H25" i="237" s="1"/>
  <c r="H26" i="237" s="1"/>
  <c r="H27" i="237" s="1"/>
  <c r="H28" i="237" s="1"/>
  <c r="H29" i="237" s="1"/>
  <c r="H30" i="237" s="1"/>
  <c r="H31" i="237" s="1"/>
  <c r="H32" i="237" s="1"/>
  <c r="H33" i="237" s="1"/>
  <c r="H34" i="237" s="1"/>
  <c r="H35" i="237" s="1"/>
  <c r="H36" i="237" s="1"/>
  <c r="H37" i="237" s="1"/>
  <c r="H38" i="237" s="1"/>
  <c r="H39" i="237" s="1"/>
  <c r="H40" i="237" s="1"/>
  <c r="H16" i="200"/>
  <c r="H17" i="200" s="1"/>
  <c r="H18" i="200" s="1"/>
  <c r="H19" i="200" s="1"/>
  <c r="H20" i="200" s="1"/>
  <c r="H21" i="200" s="1"/>
  <c r="H22" i="200" s="1"/>
  <c r="H23" i="200" s="1"/>
  <c r="H24" i="200" s="1"/>
  <c r="H25" i="200" s="1"/>
  <c r="H26" i="200" s="1"/>
  <c r="H27" i="200" s="1"/>
  <c r="H28" i="200" s="1"/>
  <c r="H29" i="200" s="1"/>
  <c r="H30" i="200" s="1"/>
  <c r="H31" i="200" s="1"/>
  <c r="H32" i="200" s="1"/>
  <c r="H33" i="200" s="1"/>
  <c r="H34" i="200" s="1"/>
  <c r="H35" i="200" s="1"/>
  <c r="H36" i="200" s="1"/>
  <c r="H37" i="200" s="1"/>
  <c r="H38" i="200" s="1"/>
  <c r="H39" i="200" s="1"/>
  <c r="H40" i="200" s="1"/>
  <c r="H41" i="200" s="1"/>
  <c r="H42" i="200" s="1"/>
  <c r="H16" i="276"/>
  <c r="H17" i="276" s="1"/>
  <c r="I15" i="267"/>
  <c r="H15" i="267"/>
  <c r="H16" i="267" s="1"/>
  <c r="H17" i="267" s="1"/>
  <c r="H18" i="267" s="1"/>
  <c r="H19" i="267" s="1"/>
  <c r="H20" i="267" s="1"/>
  <c r="H21" i="267" s="1"/>
  <c r="H22" i="267" s="1"/>
  <c r="H23" i="267" s="1"/>
  <c r="H24" i="267" s="1"/>
  <c r="H25" i="267" s="1"/>
  <c r="H26" i="267" s="1"/>
  <c r="H27" i="267" s="1"/>
  <c r="H28" i="267" s="1"/>
  <c r="H29" i="267" s="1"/>
  <c r="H30" i="267" s="1"/>
  <c r="H31" i="267" s="1"/>
  <c r="H32" i="267" s="1"/>
  <c r="H33" i="267" s="1"/>
  <c r="H34" i="267" s="1"/>
  <c r="H35" i="267" s="1"/>
  <c r="H36" i="267" s="1"/>
  <c r="H37" i="267" s="1"/>
  <c r="H38" i="267" s="1"/>
  <c r="H39" i="267" s="1"/>
  <c r="H40" i="267" s="1"/>
  <c r="H21" i="214"/>
  <c r="H22" i="214" s="1"/>
  <c r="H23" i="214" s="1"/>
  <c r="H24" i="214" s="1"/>
  <c r="H25" i="214" s="1"/>
  <c r="H26" i="214" s="1"/>
  <c r="H27" i="214" s="1"/>
  <c r="H28" i="214" s="1"/>
  <c r="H29" i="214" s="1"/>
  <c r="H30" i="214" s="1"/>
  <c r="H31" i="214" s="1"/>
  <c r="H32" i="214" s="1"/>
  <c r="H33" i="214" s="1"/>
  <c r="H34" i="214" s="1"/>
  <c r="H35" i="214" s="1"/>
  <c r="H36" i="214" s="1"/>
  <c r="H37" i="214" s="1"/>
  <c r="H38" i="214" s="1"/>
  <c r="H39" i="214" s="1"/>
  <c r="H40" i="214" s="1"/>
  <c r="H20" i="175"/>
  <c r="H18" i="222"/>
  <c r="H19" i="222" s="1"/>
  <c r="H20" i="222" s="1"/>
  <c r="H21" i="222" s="1"/>
  <c r="H22" i="222" s="1"/>
  <c r="H23" i="222" s="1"/>
  <c r="H24" i="222" s="1"/>
  <c r="H25" i="222" s="1"/>
  <c r="H26" i="222" s="1"/>
  <c r="H27" i="222" s="1"/>
  <c r="H28" i="222" s="1"/>
  <c r="H29" i="222" s="1"/>
  <c r="H30" i="222" s="1"/>
  <c r="H31" i="222" s="1"/>
  <c r="H32" i="222" s="1"/>
  <c r="H33" i="222" s="1"/>
  <c r="H34" i="222" s="1"/>
  <c r="H35" i="222" s="1"/>
  <c r="H36" i="222" s="1"/>
  <c r="H37" i="222" s="1"/>
  <c r="H38" i="222" s="1"/>
  <c r="H39" i="222" s="1"/>
  <c r="H40" i="222" s="1"/>
  <c r="H17" i="243"/>
  <c r="H18" i="243" s="1"/>
  <c r="H19" i="243" s="1"/>
  <c r="H20" i="243" s="1"/>
  <c r="H21" i="243" s="1"/>
  <c r="H22" i="243" s="1"/>
  <c r="H23" i="243" s="1"/>
  <c r="H24" i="243" s="1"/>
  <c r="H25" i="243" s="1"/>
  <c r="H26" i="243" s="1"/>
  <c r="H27" i="243" s="1"/>
  <c r="H28" i="243" s="1"/>
  <c r="H29" i="243" s="1"/>
  <c r="H30" i="243" s="1"/>
  <c r="H31" i="243" s="1"/>
  <c r="H32" i="243" s="1"/>
  <c r="H33" i="243" s="1"/>
  <c r="H34" i="243" s="1"/>
  <c r="H35" i="243" s="1"/>
  <c r="H36" i="243" s="1"/>
  <c r="H37" i="243" s="1"/>
  <c r="H38" i="243" s="1"/>
  <c r="H39" i="243" s="1"/>
  <c r="H40" i="243" s="1"/>
  <c r="H17" i="186"/>
  <c r="H18" i="186" s="1"/>
  <c r="H19" i="186" s="1"/>
  <c r="H20" i="186" s="1"/>
  <c r="H21" i="186" s="1"/>
  <c r="H22" i="186" s="1"/>
  <c r="H23" i="186" s="1"/>
  <c r="H24" i="186" s="1"/>
  <c r="H25" i="186" s="1"/>
  <c r="H26" i="186" s="1"/>
  <c r="H27" i="186" s="1"/>
  <c r="H28" i="186" s="1"/>
  <c r="H29" i="186" s="1"/>
  <c r="H30" i="186" s="1"/>
  <c r="H31" i="186" s="1"/>
  <c r="H32" i="186" s="1"/>
  <c r="H33" i="186" s="1"/>
  <c r="H34" i="186" s="1"/>
  <c r="H35" i="186" s="1"/>
  <c r="H36" i="186" s="1"/>
  <c r="H37" i="186" s="1"/>
  <c r="H38" i="186" s="1"/>
  <c r="H39" i="186" s="1"/>
  <c r="H40" i="186" s="1"/>
  <c r="H16" i="274"/>
  <c r="H17" i="274" s="1"/>
  <c r="H18" i="274" s="1"/>
  <c r="H19" i="274" s="1"/>
  <c r="H20" i="274" s="1"/>
  <c r="H21" i="274" s="1"/>
  <c r="H22" i="274" s="1"/>
  <c r="H23" i="274" s="1"/>
  <c r="H24" i="274" s="1"/>
  <c r="H25" i="274" s="1"/>
  <c r="H26" i="274" s="1"/>
  <c r="H27" i="274" s="1"/>
  <c r="H28" i="274" s="1"/>
  <c r="H29" i="274" s="1"/>
  <c r="H30" i="274" s="1"/>
  <c r="H31" i="274" s="1"/>
  <c r="H32" i="274" s="1"/>
  <c r="H33" i="274" s="1"/>
  <c r="H34" i="274" s="1"/>
  <c r="H35" i="274" s="1"/>
  <c r="H36" i="274" s="1"/>
  <c r="H37" i="274" s="1"/>
  <c r="H38" i="274" s="1"/>
  <c r="H39" i="274" s="1"/>
  <c r="H40" i="274" s="1"/>
  <c r="H20" i="252"/>
  <c r="H21" i="252" s="1"/>
  <c r="H22" i="252" s="1"/>
  <c r="H23" i="252" s="1"/>
  <c r="H24" i="252" s="1"/>
  <c r="H25" i="252" s="1"/>
  <c r="H26" i="252" s="1"/>
  <c r="H27" i="252" s="1"/>
  <c r="H28" i="252" s="1"/>
  <c r="H29" i="252" s="1"/>
  <c r="H30" i="252" s="1"/>
  <c r="H31" i="252" s="1"/>
  <c r="H32" i="252" s="1"/>
  <c r="H33" i="252" s="1"/>
  <c r="H34" i="252" s="1"/>
  <c r="H35" i="252" s="1"/>
  <c r="H36" i="252" s="1"/>
  <c r="H37" i="252" s="1"/>
  <c r="H38" i="252" s="1"/>
  <c r="H39" i="252" s="1"/>
  <c r="H40" i="252" s="1"/>
  <c r="H16" i="260"/>
  <c r="H17" i="260" s="1"/>
  <c r="H18" i="260" s="1"/>
  <c r="H19" i="260" s="1"/>
  <c r="H20" i="260" s="1"/>
  <c r="H21" i="260" s="1"/>
  <c r="H22" i="260" s="1"/>
  <c r="H23" i="260" s="1"/>
  <c r="H24" i="260" s="1"/>
  <c r="H25" i="260" s="1"/>
  <c r="H26" i="260" s="1"/>
  <c r="H27" i="260" s="1"/>
  <c r="H28" i="260" s="1"/>
  <c r="H29" i="260" s="1"/>
  <c r="H30" i="260" s="1"/>
  <c r="H31" i="260" s="1"/>
  <c r="H32" i="260" s="1"/>
  <c r="H33" i="260" s="1"/>
  <c r="H34" i="260" s="1"/>
  <c r="H35" i="260" s="1"/>
  <c r="H36" i="260" s="1"/>
  <c r="H37" i="260" s="1"/>
  <c r="H38" i="260" s="1"/>
  <c r="H39" i="260" s="1"/>
  <c r="H40" i="260" s="1"/>
  <c r="H16" i="183"/>
  <c r="H17" i="183" s="1"/>
  <c r="H18" i="183" s="1"/>
  <c r="H19" i="183" s="1"/>
  <c r="H20" i="183" s="1"/>
  <c r="H21" i="183" s="1"/>
  <c r="H22" i="183" s="1"/>
  <c r="H23" i="183" s="1"/>
  <c r="H24" i="183" s="1"/>
  <c r="H25" i="183" s="1"/>
  <c r="H26" i="183" s="1"/>
  <c r="H27" i="183" s="1"/>
  <c r="H28" i="183" s="1"/>
  <c r="H29" i="183" s="1"/>
  <c r="H30" i="183" s="1"/>
  <c r="H31" i="183" s="1"/>
  <c r="H32" i="183" s="1"/>
  <c r="H33" i="183" s="1"/>
  <c r="H34" i="183" s="1"/>
  <c r="H35" i="183" s="1"/>
  <c r="H36" i="183" s="1"/>
  <c r="H37" i="183" s="1"/>
  <c r="H38" i="183" s="1"/>
  <c r="H39" i="183" s="1"/>
  <c r="H40" i="183" s="1"/>
  <c r="H16" i="180"/>
  <c r="H17" i="180" s="1"/>
  <c r="H18" i="180" s="1"/>
  <c r="H19" i="180" s="1"/>
  <c r="H20" i="180" s="1"/>
  <c r="H21" i="180" s="1"/>
  <c r="H22" i="180" s="1"/>
  <c r="H23" i="180" s="1"/>
  <c r="H24" i="180" s="1"/>
  <c r="H25" i="180" s="1"/>
  <c r="H26" i="180" s="1"/>
  <c r="H27" i="180" s="1"/>
  <c r="H28" i="180" s="1"/>
  <c r="H29" i="180" s="1"/>
  <c r="H30" i="180" s="1"/>
  <c r="H31" i="180" s="1"/>
  <c r="H32" i="180" s="1"/>
  <c r="H33" i="180" s="1"/>
  <c r="H34" i="180" s="1"/>
  <c r="H35" i="180" s="1"/>
  <c r="H36" i="180" s="1"/>
  <c r="H37" i="180" s="1"/>
  <c r="H38" i="180" s="1"/>
  <c r="H16" i="203"/>
  <c r="H17" i="203" s="1"/>
  <c r="H18" i="203" s="1"/>
  <c r="H19" i="203" s="1"/>
  <c r="H20" i="203" s="1"/>
  <c r="H21" i="203" s="1"/>
  <c r="H22" i="203" s="1"/>
  <c r="H23" i="203" s="1"/>
  <c r="H24" i="203" s="1"/>
  <c r="H25" i="203" s="1"/>
  <c r="H26" i="203" s="1"/>
  <c r="H27" i="203" s="1"/>
  <c r="H28" i="203" s="1"/>
  <c r="H16" i="207"/>
  <c r="H17" i="207" s="1"/>
  <c r="H18" i="207" s="1"/>
  <c r="H19" i="207" s="1"/>
  <c r="H20" i="207" s="1"/>
  <c r="H21" i="207" s="1"/>
  <c r="H22" i="207" s="1"/>
  <c r="H23" i="207" s="1"/>
  <c r="H24" i="207" s="1"/>
  <c r="H25" i="207" s="1"/>
  <c r="H26" i="207" s="1"/>
  <c r="H27" i="207" s="1"/>
  <c r="H28" i="207" s="1"/>
  <c r="H29" i="207" s="1"/>
  <c r="H30" i="207" s="1"/>
  <c r="H31" i="207" s="1"/>
  <c r="H32" i="207" s="1"/>
  <c r="H33" i="207" s="1"/>
  <c r="H34" i="207" s="1"/>
  <c r="H35" i="207" s="1"/>
  <c r="H36" i="207" s="1"/>
  <c r="H37" i="207" s="1"/>
  <c r="H38" i="207" s="1"/>
  <c r="H39" i="207" s="1"/>
  <c r="H40" i="207" s="1"/>
  <c r="H16" i="253"/>
  <c r="H17" i="253" s="1"/>
  <c r="H18" i="253" s="1"/>
  <c r="H19" i="253" s="1"/>
  <c r="H20" i="253" s="1"/>
  <c r="H21" i="253" s="1"/>
  <c r="H22" i="253" s="1"/>
  <c r="H23" i="253" s="1"/>
  <c r="H24" i="253" s="1"/>
  <c r="H25" i="253" s="1"/>
  <c r="H26" i="253" s="1"/>
  <c r="H27" i="253" s="1"/>
  <c r="H28" i="253" s="1"/>
  <c r="H29" i="253" s="1"/>
  <c r="H30" i="253" s="1"/>
  <c r="H31" i="253" s="1"/>
  <c r="H32" i="253" s="1"/>
  <c r="H33" i="253" s="1"/>
  <c r="H34" i="253" s="1"/>
  <c r="H35" i="253" s="1"/>
  <c r="H36" i="253" s="1"/>
  <c r="H37" i="253" s="1"/>
  <c r="H38" i="253" s="1"/>
  <c r="H39" i="253" s="1"/>
  <c r="H40" i="253" s="1"/>
  <c r="H16" i="263"/>
  <c r="H17" i="263" s="1"/>
  <c r="H18" i="263" s="1"/>
  <c r="H19" i="263" s="1"/>
  <c r="H20" i="263" s="1"/>
  <c r="H21" i="263" s="1"/>
  <c r="H22" i="263" s="1"/>
  <c r="H23" i="263" s="1"/>
  <c r="H24" i="263" s="1"/>
  <c r="H25" i="263" s="1"/>
  <c r="H26" i="263" s="1"/>
  <c r="H27" i="263" s="1"/>
  <c r="H28" i="263" s="1"/>
  <c r="H29" i="263" s="1"/>
  <c r="H30" i="263" s="1"/>
  <c r="H31" i="263" s="1"/>
  <c r="H32" i="263" s="1"/>
  <c r="H33" i="263" s="1"/>
  <c r="H34" i="263" s="1"/>
  <c r="H35" i="263" s="1"/>
  <c r="H36" i="263" s="1"/>
  <c r="H37" i="263" s="1"/>
  <c r="H38" i="263" s="1"/>
  <c r="H39" i="263" s="1"/>
  <c r="H40" i="263" s="1"/>
  <c r="H16" i="268"/>
  <c r="H17" i="268" s="1"/>
  <c r="H18" i="268" s="1"/>
  <c r="H19" i="268" s="1"/>
  <c r="H20" i="268" s="1"/>
  <c r="H21" i="268" s="1"/>
  <c r="H22" i="268" s="1"/>
  <c r="H23" i="268" s="1"/>
  <c r="H24" i="268" s="1"/>
  <c r="H25" i="268" s="1"/>
  <c r="H26" i="268" s="1"/>
  <c r="H27" i="268" s="1"/>
  <c r="H28" i="268" s="1"/>
  <c r="H29" i="268" s="1"/>
  <c r="H30" i="268" s="1"/>
  <c r="H31" i="268" s="1"/>
  <c r="H32" i="268" s="1"/>
  <c r="H33" i="268" s="1"/>
  <c r="H34" i="268" s="1"/>
  <c r="H35" i="268" s="1"/>
  <c r="H36" i="268" s="1"/>
  <c r="H37" i="268" s="1"/>
  <c r="H38" i="268" s="1"/>
  <c r="H39" i="268" s="1"/>
  <c r="H40" i="268" s="1"/>
  <c r="H16" i="281"/>
  <c r="H17" i="281" s="1"/>
  <c r="H18" i="281" s="1"/>
  <c r="H19" i="281" s="1"/>
  <c r="H20" i="281" s="1"/>
  <c r="H21" i="281" s="1"/>
  <c r="H22" i="281" s="1"/>
  <c r="H23" i="281" s="1"/>
  <c r="H24" i="281" s="1"/>
  <c r="H25" i="281" s="1"/>
  <c r="H26" i="281" s="1"/>
  <c r="H27" i="281" s="1"/>
  <c r="H28" i="281" s="1"/>
  <c r="H29" i="281" s="1"/>
  <c r="H30" i="281" s="1"/>
  <c r="H31" i="281" s="1"/>
  <c r="H32" i="281" s="1"/>
  <c r="H33" i="281" s="1"/>
  <c r="H34" i="281" s="1"/>
  <c r="H35" i="281" s="1"/>
  <c r="H36" i="281" s="1"/>
  <c r="H37" i="281" s="1"/>
  <c r="H38" i="281" s="1"/>
  <c r="H39" i="281" s="1"/>
  <c r="H40" i="281" s="1"/>
  <c r="H16" i="201"/>
  <c r="H17" i="201" s="1"/>
  <c r="H18" i="201" s="1"/>
  <c r="H19" i="201" s="1"/>
  <c r="H20" i="201" s="1"/>
  <c r="H21" i="201" s="1"/>
  <c r="H16" i="229"/>
  <c r="H17" i="229" s="1"/>
  <c r="H18" i="229" s="1"/>
  <c r="H19" i="229" s="1"/>
  <c r="H20" i="229" s="1"/>
  <c r="H21" i="229" s="1"/>
  <c r="H22" i="229" s="1"/>
  <c r="H23" i="229" s="1"/>
  <c r="H24" i="229" s="1"/>
  <c r="H25" i="229" s="1"/>
  <c r="H26" i="229" s="1"/>
  <c r="H27" i="229" s="1"/>
  <c r="H28" i="229" s="1"/>
  <c r="H29" i="229" s="1"/>
  <c r="H30" i="229" s="1"/>
  <c r="H31" i="229" s="1"/>
  <c r="H32" i="229" s="1"/>
  <c r="H33" i="229" s="1"/>
  <c r="H34" i="229" s="1"/>
  <c r="H35" i="229" s="1"/>
  <c r="H36" i="229" s="1"/>
  <c r="H37" i="229" s="1"/>
  <c r="H38" i="229" s="1"/>
  <c r="H39" i="229" s="1"/>
  <c r="H40" i="229" s="1"/>
  <c r="H16" i="226"/>
  <c r="I16" i="264"/>
  <c r="I16" i="263"/>
  <c r="I15" i="220"/>
  <c r="I16" i="180"/>
  <c r="I16" i="176"/>
  <c r="I36" i="224"/>
  <c r="G35" i="224"/>
  <c r="I35" i="224" s="1"/>
  <c r="G34" i="224"/>
  <c r="I34" i="224" s="1"/>
  <c r="G33" i="224"/>
  <c r="G32" i="224"/>
  <c r="G31" i="224"/>
  <c r="G30" i="224"/>
  <c r="G29" i="224"/>
  <c r="G28" i="224"/>
  <c r="G27" i="224"/>
  <c r="G26" i="224"/>
  <c r="G25" i="224"/>
  <c r="G24" i="224"/>
  <c r="G23" i="224"/>
  <c r="G22" i="224"/>
  <c r="G21" i="224"/>
  <c r="G20" i="224"/>
  <c r="G19" i="224"/>
  <c r="G18" i="224"/>
  <c r="G17" i="224"/>
  <c r="G16" i="224"/>
  <c r="G15" i="224"/>
  <c r="G14" i="224"/>
  <c r="G13" i="224"/>
  <c r="G12" i="224"/>
  <c r="R13" i="293" s="1"/>
  <c r="S13" i="293" s="1"/>
  <c r="G11" i="224"/>
  <c r="H11" i="224" s="1"/>
  <c r="G38" i="169"/>
  <c r="I38" i="169" s="1"/>
  <c r="G37" i="169"/>
  <c r="G36" i="169"/>
  <c r="G35" i="169"/>
  <c r="G34" i="169"/>
  <c r="G33" i="169"/>
  <c r="G32" i="169"/>
  <c r="G31" i="169"/>
  <c r="G30" i="169"/>
  <c r="G29" i="169"/>
  <c r="G28" i="169"/>
  <c r="G27" i="169"/>
  <c r="G26" i="169"/>
  <c r="G25" i="169"/>
  <c r="G24" i="169"/>
  <c r="G23" i="169"/>
  <c r="G22" i="169"/>
  <c r="G21" i="169"/>
  <c r="G20" i="169"/>
  <c r="G19" i="169"/>
  <c r="G18" i="169"/>
  <c r="G17" i="169"/>
  <c r="G16" i="169"/>
  <c r="S25" i="291" s="1"/>
  <c r="T25" i="291" s="1"/>
  <c r="G15" i="169"/>
  <c r="H15" i="169" s="1"/>
  <c r="G40" i="168"/>
  <c r="I40" i="168" s="1"/>
  <c r="G39" i="168"/>
  <c r="I39" i="168" s="1"/>
  <c r="G38" i="168"/>
  <c r="G37" i="168"/>
  <c r="G36" i="168"/>
  <c r="G35" i="168"/>
  <c r="G34" i="168"/>
  <c r="G33" i="168"/>
  <c r="G32" i="168"/>
  <c r="G31" i="168"/>
  <c r="G30" i="168"/>
  <c r="G29" i="168"/>
  <c r="G28" i="168"/>
  <c r="G27" i="168"/>
  <c r="G26" i="168"/>
  <c r="G25" i="168"/>
  <c r="G24" i="168"/>
  <c r="G23" i="168"/>
  <c r="G22" i="168"/>
  <c r="G21" i="168"/>
  <c r="G20" i="168"/>
  <c r="G19" i="168"/>
  <c r="G18" i="168"/>
  <c r="G17" i="168"/>
  <c r="G16" i="168"/>
  <c r="G15" i="168"/>
  <c r="H15" i="168" s="1"/>
  <c r="G38" i="167"/>
  <c r="I38" i="167" s="1"/>
  <c r="G37" i="167"/>
  <c r="I37" i="167" s="1"/>
  <c r="G36" i="167"/>
  <c r="G35" i="167"/>
  <c r="G34" i="167"/>
  <c r="G33" i="167"/>
  <c r="G32" i="167"/>
  <c r="G31" i="167"/>
  <c r="G30" i="167"/>
  <c r="G29" i="167"/>
  <c r="G28" i="167"/>
  <c r="G27" i="167"/>
  <c r="G26" i="167"/>
  <c r="G25" i="167"/>
  <c r="G24" i="167"/>
  <c r="G23" i="167"/>
  <c r="G22" i="167"/>
  <c r="G21" i="167"/>
  <c r="G20" i="167"/>
  <c r="G19" i="167"/>
  <c r="G18" i="167"/>
  <c r="G17" i="167"/>
  <c r="G16" i="167"/>
  <c r="G15" i="167"/>
  <c r="H15" i="167" s="1"/>
  <c r="G40" i="166"/>
  <c r="I40" i="166" s="1"/>
  <c r="G39" i="166"/>
  <c r="I39" i="166" s="1"/>
  <c r="G38" i="166"/>
  <c r="I38" i="166" s="1"/>
  <c r="G37" i="166"/>
  <c r="I37" i="166" s="1"/>
  <c r="G36" i="166"/>
  <c r="G35" i="166"/>
  <c r="G34" i="166"/>
  <c r="G33" i="166"/>
  <c r="G32" i="166"/>
  <c r="G31" i="166"/>
  <c r="G30" i="166"/>
  <c r="G29" i="166"/>
  <c r="G28" i="166"/>
  <c r="G27" i="166"/>
  <c r="G26" i="166"/>
  <c r="G25" i="166"/>
  <c r="G24" i="166"/>
  <c r="G23" i="166"/>
  <c r="G22" i="166"/>
  <c r="G21" i="166"/>
  <c r="G20" i="166"/>
  <c r="G19" i="166"/>
  <c r="G18" i="166"/>
  <c r="G17" i="166"/>
  <c r="G16" i="166"/>
  <c r="S22" i="291" s="1"/>
  <c r="T22" i="291" s="1"/>
  <c r="G15" i="166"/>
  <c r="H15" i="166" s="1"/>
  <c r="I11" i="165"/>
  <c r="I13" i="165"/>
  <c r="I40" i="165"/>
  <c r="G39" i="165"/>
  <c r="I39" i="165" s="1"/>
  <c r="G38" i="165"/>
  <c r="I38" i="165" s="1"/>
  <c r="G37" i="165"/>
  <c r="I37" i="165" s="1"/>
  <c r="G36" i="165"/>
  <c r="I36" i="165" s="1"/>
  <c r="G35" i="165"/>
  <c r="I35" i="165" s="1"/>
  <c r="G34" i="165"/>
  <c r="I34" i="165" s="1"/>
  <c r="G33" i="165"/>
  <c r="I33" i="165" s="1"/>
  <c r="G32" i="165"/>
  <c r="I32" i="165" s="1"/>
  <c r="G31" i="165"/>
  <c r="I31" i="165" s="1"/>
  <c r="G30" i="165"/>
  <c r="I30" i="165" s="1"/>
  <c r="G29" i="165"/>
  <c r="I29" i="165" s="1"/>
  <c r="G28" i="165"/>
  <c r="I28" i="165" s="1"/>
  <c r="G27" i="165"/>
  <c r="I27" i="165" s="1"/>
  <c r="G26" i="165"/>
  <c r="I26" i="165" s="1"/>
  <c r="G25" i="165"/>
  <c r="I25" i="165" s="1"/>
  <c r="G24" i="165"/>
  <c r="I24" i="165" s="1"/>
  <c r="G23" i="165"/>
  <c r="I23" i="165" s="1"/>
  <c r="G22" i="165"/>
  <c r="I22" i="165" s="1"/>
  <c r="G21" i="165"/>
  <c r="I21" i="165" s="1"/>
  <c r="G20" i="165"/>
  <c r="I20" i="165" s="1"/>
  <c r="G19" i="165"/>
  <c r="I19" i="165" s="1"/>
  <c r="G18" i="165"/>
  <c r="I18" i="165" s="1"/>
  <c r="G17" i="165"/>
  <c r="I17" i="165" s="1"/>
  <c r="G16" i="165"/>
  <c r="S21" i="291" s="1"/>
  <c r="T21" i="291" s="1"/>
  <c r="G15" i="165"/>
  <c r="H15" i="165" s="1"/>
  <c r="G40" i="164"/>
  <c r="I40" i="164" s="1"/>
  <c r="G39" i="164"/>
  <c r="I39" i="164" s="1"/>
  <c r="G38" i="164"/>
  <c r="I38" i="164" s="1"/>
  <c r="G37" i="164"/>
  <c r="I37" i="164" s="1"/>
  <c r="G36" i="164"/>
  <c r="G35" i="164"/>
  <c r="G34" i="164"/>
  <c r="G33" i="164"/>
  <c r="G32" i="164"/>
  <c r="G31" i="164"/>
  <c r="G30" i="164"/>
  <c r="G29" i="164"/>
  <c r="G28" i="164"/>
  <c r="G27" i="164"/>
  <c r="G26" i="164"/>
  <c r="G25" i="164"/>
  <c r="G24" i="164"/>
  <c r="G23" i="164"/>
  <c r="G22" i="164"/>
  <c r="G21" i="164"/>
  <c r="G20" i="164"/>
  <c r="G19" i="164"/>
  <c r="G18" i="164"/>
  <c r="G17" i="164"/>
  <c r="G16" i="164"/>
  <c r="S20" i="291" s="1"/>
  <c r="T20" i="291" s="1"/>
  <c r="G15" i="164"/>
  <c r="G39" i="163"/>
  <c r="G38" i="163"/>
  <c r="G37" i="163"/>
  <c r="G36" i="163"/>
  <c r="G35" i="163"/>
  <c r="G34" i="163"/>
  <c r="G33" i="163"/>
  <c r="G32" i="163"/>
  <c r="G31" i="163"/>
  <c r="G30" i="163"/>
  <c r="G29" i="163"/>
  <c r="G28" i="163"/>
  <c r="G27" i="163"/>
  <c r="G26" i="163"/>
  <c r="G25" i="163"/>
  <c r="G24" i="163"/>
  <c r="G23" i="163"/>
  <c r="G22" i="163"/>
  <c r="G21" i="163"/>
  <c r="G20" i="163"/>
  <c r="G19" i="163"/>
  <c r="G18" i="163"/>
  <c r="G17" i="163"/>
  <c r="G16" i="163"/>
  <c r="S19" i="291" s="1"/>
  <c r="T19" i="291" s="1"/>
  <c r="G15" i="163"/>
  <c r="H15" i="163" s="1"/>
  <c r="G40" i="170"/>
  <c r="I40" i="170" s="1"/>
  <c r="G39" i="170"/>
  <c r="I39" i="170" s="1"/>
  <c r="G38" i="170"/>
  <c r="I38" i="170" s="1"/>
  <c r="G37" i="170"/>
  <c r="I37" i="170" s="1"/>
  <c r="G36" i="170"/>
  <c r="G35" i="170"/>
  <c r="G34" i="170"/>
  <c r="G33" i="170"/>
  <c r="G32" i="170"/>
  <c r="G31" i="170"/>
  <c r="G30" i="170"/>
  <c r="G29" i="170"/>
  <c r="G28" i="170"/>
  <c r="G27" i="170"/>
  <c r="G26" i="170"/>
  <c r="G25" i="170"/>
  <c r="G24" i="170"/>
  <c r="G23" i="170"/>
  <c r="G22" i="170"/>
  <c r="G21" i="170"/>
  <c r="G20" i="170"/>
  <c r="G19" i="170"/>
  <c r="G18" i="170"/>
  <c r="G17" i="170"/>
  <c r="G16" i="170"/>
  <c r="G15" i="170"/>
  <c r="H15" i="170" s="1"/>
  <c r="I11" i="161"/>
  <c r="I13" i="161"/>
  <c r="I40" i="161"/>
  <c r="G39" i="161"/>
  <c r="I39" i="161" s="1"/>
  <c r="G38" i="161"/>
  <c r="I38" i="161" s="1"/>
  <c r="G37" i="161"/>
  <c r="I37" i="161" s="1"/>
  <c r="G36" i="161"/>
  <c r="I36" i="161" s="1"/>
  <c r="G35" i="161"/>
  <c r="I35" i="161" s="1"/>
  <c r="G34" i="161"/>
  <c r="I34" i="161" s="1"/>
  <c r="G33" i="161"/>
  <c r="I33" i="161" s="1"/>
  <c r="G32" i="161"/>
  <c r="G31" i="161"/>
  <c r="I31" i="161" s="1"/>
  <c r="G30" i="161"/>
  <c r="I30" i="161" s="1"/>
  <c r="G29" i="161"/>
  <c r="I29" i="161" s="1"/>
  <c r="G28" i="161"/>
  <c r="I28" i="161" s="1"/>
  <c r="G27" i="161"/>
  <c r="I27" i="161" s="1"/>
  <c r="G26" i="161"/>
  <c r="G25" i="161"/>
  <c r="I25" i="161" s="1"/>
  <c r="G24" i="161"/>
  <c r="I24" i="161" s="1"/>
  <c r="G23" i="161"/>
  <c r="I23" i="161" s="1"/>
  <c r="G22" i="161"/>
  <c r="I22" i="161" s="1"/>
  <c r="G21" i="161"/>
  <c r="G20" i="161"/>
  <c r="G19" i="161"/>
  <c r="I19" i="161" s="1"/>
  <c r="G18" i="161"/>
  <c r="G17" i="161"/>
  <c r="I17" i="161" s="1"/>
  <c r="G16" i="161"/>
  <c r="I16" i="161" s="1"/>
  <c r="G15" i="161"/>
  <c r="H15" i="161" s="1"/>
  <c r="G38" i="159"/>
  <c r="I38" i="159" s="1"/>
  <c r="G37" i="159"/>
  <c r="I37" i="159" s="1"/>
  <c r="G36" i="159"/>
  <c r="G35" i="159"/>
  <c r="G34" i="159"/>
  <c r="G33" i="159"/>
  <c r="G32" i="159"/>
  <c r="G31" i="159"/>
  <c r="G30" i="159"/>
  <c r="G29" i="159"/>
  <c r="G28" i="159"/>
  <c r="G27" i="159"/>
  <c r="G26" i="159"/>
  <c r="G25" i="159"/>
  <c r="G24" i="159"/>
  <c r="G23" i="159"/>
  <c r="G22" i="159"/>
  <c r="G21" i="159"/>
  <c r="G20" i="159"/>
  <c r="G19" i="159"/>
  <c r="G18" i="159"/>
  <c r="G17" i="159"/>
  <c r="G16" i="159"/>
  <c r="S14" i="291" s="1"/>
  <c r="T14" i="291" s="1"/>
  <c r="G15" i="159"/>
  <c r="H15" i="159" s="1"/>
  <c r="I11" i="158"/>
  <c r="I13" i="158"/>
  <c r="I40" i="158"/>
  <c r="G39" i="158"/>
  <c r="I39" i="158" s="1"/>
  <c r="G38" i="158"/>
  <c r="I38" i="158" s="1"/>
  <c r="G37" i="158"/>
  <c r="I37" i="158" s="1"/>
  <c r="G36" i="158"/>
  <c r="I36" i="158" s="1"/>
  <c r="G35" i="158"/>
  <c r="I35" i="158" s="1"/>
  <c r="G34" i="158"/>
  <c r="I34" i="158" s="1"/>
  <c r="G33" i="158"/>
  <c r="I33" i="158" s="1"/>
  <c r="G32" i="158"/>
  <c r="I32" i="158" s="1"/>
  <c r="G31" i="158"/>
  <c r="I31" i="158" s="1"/>
  <c r="G30" i="158"/>
  <c r="I30" i="158" s="1"/>
  <c r="G29" i="158"/>
  <c r="I29" i="158" s="1"/>
  <c r="G28" i="158"/>
  <c r="G27" i="158"/>
  <c r="I27" i="158" s="1"/>
  <c r="G26" i="158"/>
  <c r="I26" i="158" s="1"/>
  <c r="G25" i="158"/>
  <c r="I25" i="158" s="1"/>
  <c r="G24" i="158"/>
  <c r="I24" i="158" s="1"/>
  <c r="G23" i="158"/>
  <c r="I23" i="158" s="1"/>
  <c r="G22" i="158"/>
  <c r="I22" i="158" s="1"/>
  <c r="G21" i="158"/>
  <c r="I21" i="158" s="1"/>
  <c r="G20" i="158"/>
  <c r="I20" i="158" s="1"/>
  <c r="G19" i="158"/>
  <c r="I19" i="158" s="1"/>
  <c r="G18" i="158"/>
  <c r="I18" i="158" s="1"/>
  <c r="G17" i="158"/>
  <c r="I17" i="158" s="1"/>
  <c r="G16" i="158"/>
  <c r="S13" i="291" s="1"/>
  <c r="T13" i="291" s="1"/>
  <c r="G15" i="158"/>
  <c r="G40" i="157"/>
  <c r="I40" i="157" s="1"/>
  <c r="G39" i="157"/>
  <c r="I39" i="157" s="1"/>
  <c r="G38" i="157"/>
  <c r="I38" i="157" s="1"/>
  <c r="G37" i="157"/>
  <c r="I37" i="157" s="1"/>
  <c r="G36" i="157"/>
  <c r="G35" i="157"/>
  <c r="G34" i="157"/>
  <c r="G33" i="157"/>
  <c r="G32" i="157"/>
  <c r="G31" i="157"/>
  <c r="G30" i="157"/>
  <c r="G29" i="157"/>
  <c r="G28" i="157"/>
  <c r="G27" i="157"/>
  <c r="G26" i="157"/>
  <c r="G25" i="157"/>
  <c r="G24" i="157"/>
  <c r="G23" i="157"/>
  <c r="G22" i="157"/>
  <c r="G21" i="157"/>
  <c r="G20" i="157"/>
  <c r="G19" i="157"/>
  <c r="G18" i="157"/>
  <c r="G17" i="157"/>
  <c r="G16" i="157"/>
  <c r="G15" i="157"/>
  <c r="G40" i="156"/>
  <c r="I40" i="156" s="1"/>
  <c r="G39" i="156"/>
  <c r="I39" i="156" s="1"/>
  <c r="G38" i="156"/>
  <c r="I38" i="156" s="1"/>
  <c r="G37" i="156"/>
  <c r="I37" i="156" s="1"/>
  <c r="G36" i="156"/>
  <c r="G35" i="156"/>
  <c r="G34" i="156"/>
  <c r="G33" i="156"/>
  <c r="G32" i="156"/>
  <c r="G31" i="156"/>
  <c r="G30" i="156"/>
  <c r="G29" i="156"/>
  <c r="G28" i="156"/>
  <c r="G27" i="156"/>
  <c r="G26" i="156"/>
  <c r="G25" i="156"/>
  <c r="G24" i="156"/>
  <c r="G23" i="156"/>
  <c r="G22" i="156"/>
  <c r="G21" i="156"/>
  <c r="G20" i="156"/>
  <c r="G19" i="156"/>
  <c r="G18" i="156"/>
  <c r="G17" i="156"/>
  <c r="G16" i="156"/>
  <c r="S11" i="291" s="1"/>
  <c r="T11" i="291" s="1"/>
  <c r="G15" i="156"/>
  <c r="H15" i="156" s="1"/>
  <c r="G40" i="154"/>
  <c r="I40" i="154" s="1"/>
  <c r="G39" i="154"/>
  <c r="I39" i="154" s="1"/>
  <c r="G38" i="154"/>
  <c r="I38" i="154" s="1"/>
  <c r="G37" i="154"/>
  <c r="I37" i="154" s="1"/>
  <c r="G36" i="154"/>
  <c r="G35" i="154"/>
  <c r="G34" i="154"/>
  <c r="G33" i="154"/>
  <c r="G32" i="154"/>
  <c r="G31" i="154"/>
  <c r="G30" i="154"/>
  <c r="G29" i="154"/>
  <c r="G28" i="154"/>
  <c r="G27" i="154"/>
  <c r="G26" i="154"/>
  <c r="G25" i="154"/>
  <c r="G24" i="154"/>
  <c r="G23" i="154"/>
  <c r="G22" i="154"/>
  <c r="G21" i="154"/>
  <c r="G20" i="154"/>
  <c r="G19" i="154"/>
  <c r="G18" i="154"/>
  <c r="G17" i="154"/>
  <c r="G16" i="154"/>
  <c r="G15" i="154"/>
  <c r="H15" i="154" s="1"/>
  <c r="G36" i="153"/>
  <c r="G35" i="153"/>
  <c r="G34" i="153"/>
  <c r="G33" i="153"/>
  <c r="G32" i="153"/>
  <c r="G31" i="153"/>
  <c r="G30" i="153"/>
  <c r="G29" i="153"/>
  <c r="G28" i="153"/>
  <c r="G27" i="153"/>
  <c r="G26" i="153"/>
  <c r="G25" i="153"/>
  <c r="G24" i="153"/>
  <c r="G23" i="153"/>
  <c r="G22" i="153"/>
  <c r="G21" i="153"/>
  <c r="G20" i="153"/>
  <c r="G19" i="153"/>
  <c r="G18" i="153"/>
  <c r="G17" i="153"/>
  <c r="G16" i="153"/>
  <c r="G15" i="153"/>
  <c r="G14" i="153"/>
  <c r="G13" i="153"/>
  <c r="G12" i="153"/>
  <c r="G11" i="153"/>
  <c r="H11" i="153" s="1"/>
  <c r="S10" i="291" l="1"/>
  <c r="T10" i="291" s="1"/>
  <c r="S12" i="291"/>
  <c r="T12" i="291" s="1"/>
  <c r="I18" i="161"/>
  <c r="S16" i="291"/>
  <c r="T16" i="291" s="1"/>
  <c r="S18" i="291"/>
  <c r="T18" i="291" s="1"/>
  <c r="S23" i="291"/>
  <c r="T23" i="291" s="1"/>
  <c r="S24" i="291"/>
  <c r="T24" i="291" s="1"/>
  <c r="H18" i="276"/>
  <c r="H19" i="276" s="1"/>
  <c r="H20" i="276" s="1"/>
  <c r="H21" i="276" s="1"/>
  <c r="H22" i="276" s="1"/>
  <c r="H23" i="276" s="1"/>
  <c r="H24" i="276" s="1"/>
  <c r="H25" i="276" s="1"/>
  <c r="H26" i="276" s="1"/>
  <c r="H27" i="276" s="1"/>
  <c r="H28" i="276" s="1"/>
  <c r="H28" i="171"/>
  <c r="H29" i="171" s="1"/>
  <c r="H30" i="171" s="1"/>
  <c r="H31" i="171" s="1"/>
  <c r="H32" i="171" s="1"/>
  <c r="H33" i="171" s="1"/>
  <c r="H34" i="171" s="1"/>
  <c r="H35" i="171" s="1"/>
  <c r="H36" i="171" s="1"/>
  <c r="H37" i="171" s="1"/>
  <c r="H38" i="171" s="1"/>
  <c r="H39" i="171" s="1"/>
  <c r="H40" i="171" s="1"/>
  <c r="H41" i="171" s="1"/>
  <c r="H42" i="171" s="1"/>
  <c r="T18" i="292"/>
  <c r="T55" i="292" s="1"/>
  <c r="S55" i="292"/>
  <c r="R81" i="293"/>
  <c r="S20" i="293"/>
  <c r="S81" i="293" s="1"/>
  <c r="H21" i="198"/>
  <c r="H22" i="198" s="1"/>
  <c r="H23" i="198" s="1"/>
  <c r="H24" i="198" s="1"/>
  <c r="H25" i="198" s="1"/>
  <c r="H26" i="198" s="1"/>
  <c r="H27" i="198" s="1"/>
  <c r="H28" i="198" s="1"/>
  <c r="H29" i="198" s="1"/>
  <c r="H30" i="198" s="1"/>
  <c r="H31" i="198" s="1"/>
  <c r="H32" i="198" s="1"/>
  <c r="H33" i="198" s="1"/>
  <c r="H34" i="198" s="1"/>
  <c r="H35" i="198" s="1"/>
  <c r="H36" i="198" s="1"/>
  <c r="H37" i="198" s="1"/>
  <c r="H38" i="198" s="1"/>
  <c r="H39" i="198" s="1"/>
  <c r="H40" i="198" s="1"/>
  <c r="H41" i="198" s="1"/>
  <c r="H42" i="198" s="1"/>
  <c r="H43" i="198" s="1"/>
  <c r="H44" i="198" s="1"/>
  <c r="H33" i="221"/>
  <c r="H34" i="221" s="1"/>
  <c r="H35" i="221" s="1"/>
  <c r="H36" i="221" s="1"/>
  <c r="H37" i="221" s="1"/>
  <c r="H22" i="273"/>
  <c r="H20" i="206"/>
  <c r="H21" i="206" s="1"/>
  <c r="H22" i="206" s="1"/>
  <c r="S9" i="291"/>
  <c r="H27" i="248"/>
  <c r="H28" i="248" s="1"/>
  <c r="H29" i="248" s="1"/>
  <c r="H30" i="248" s="1"/>
  <c r="H31" i="248" s="1"/>
  <c r="H32" i="248" s="1"/>
  <c r="H33" i="248" s="1"/>
  <c r="H34" i="248" s="1"/>
  <c r="H35" i="248" s="1"/>
  <c r="H36" i="248" s="1"/>
  <c r="H37" i="248" s="1"/>
  <c r="H38" i="248" s="1"/>
  <c r="H39" i="248" s="1"/>
  <c r="H40" i="248" s="1"/>
  <c r="H41" i="248" s="1"/>
  <c r="H42" i="248" s="1"/>
  <c r="H22" i="201"/>
  <c r="H23" i="201" s="1"/>
  <c r="H24" i="201" s="1"/>
  <c r="H25" i="201" s="1"/>
  <c r="H26" i="201" s="1"/>
  <c r="H27" i="201" s="1"/>
  <c r="H28" i="201" s="1"/>
  <c r="H29" i="201" s="1"/>
  <c r="H30" i="201" s="1"/>
  <c r="H31" i="201" s="1"/>
  <c r="H32" i="201" s="1"/>
  <c r="H33" i="201" s="1"/>
  <c r="H34" i="201" s="1"/>
  <c r="H35" i="201" s="1"/>
  <c r="H36" i="201" s="1"/>
  <c r="H37" i="201" s="1"/>
  <c r="H38" i="201" s="1"/>
  <c r="H39" i="201" s="1"/>
  <c r="H40" i="201" s="1"/>
  <c r="H27" i="225"/>
  <c r="H28" i="225" s="1"/>
  <c r="H29" i="225" s="1"/>
  <c r="H30" i="225" s="1"/>
  <c r="H31" i="225" s="1"/>
  <c r="H32" i="225" s="1"/>
  <c r="H33" i="225" s="1"/>
  <c r="H34" i="225" s="1"/>
  <c r="H35" i="225" s="1"/>
  <c r="H36" i="225" s="1"/>
  <c r="H37" i="225" s="1"/>
  <c r="H38" i="225" s="1"/>
  <c r="H39" i="225" s="1"/>
  <c r="H40" i="225" s="1"/>
  <c r="H41" i="225" s="1"/>
  <c r="H42" i="225" s="1"/>
  <c r="H16" i="161"/>
  <c r="H17" i="161" s="1"/>
  <c r="H18" i="161" s="1"/>
  <c r="H19" i="161" s="1"/>
  <c r="H20" i="161" s="1"/>
  <c r="H21" i="161" s="1"/>
  <c r="H22" i="161" s="1"/>
  <c r="H23" i="161" s="1"/>
  <c r="H24" i="161" s="1"/>
  <c r="H25" i="161" s="1"/>
  <c r="H26" i="161" s="1"/>
  <c r="H27" i="161" s="1"/>
  <c r="H28" i="161" s="1"/>
  <c r="H29" i="161" s="1"/>
  <c r="H30" i="161" s="1"/>
  <c r="H31" i="161" s="1"/>
  <c r="H32" i="161" s="1"/>
  <c r="H33" i="161" s="1"/>
  <c r="H34" i="161" s="1"/>
  <c r="H35" i="161" s="1"/>
  <c r="H36" i="161" s="1"/>
  <c r="H37" i="161" s="1"/>
  <c r="H38" i="161" s="1"/>
  <c r="H39" i="161" s="1"/>
  <c r="H40" i="161" s="1"/>
  <c r="H41" i="161" s="1"/>
  <c r="H19" i="196"/>
  <c r="H20" i="196" s="1"/>
  <c r="I20" i="161"/>
  <c r="I21" i="161"/>
  <c r="H21" i="175"/>
  <c r="H22" i="175" s="1"/>
  <c r="H23" i="175" s="1"/>
  <c r="H24" i="175" s="1"/>
  <c r="H25" i="175" s="1"/>
  <c r="H26" i="175" s="1"/>
  <c r="H27" i="175" s="1"/>
  <c r="H28" i="175" s="1"/>
  <c r="H29" i="175" s="1"/>
  <c r="H30" i="175" s="1"/>
  <c r="H31" i="175" s="1"/>
  <c r="H32" i="175" s="1"/>
  <c r="H33" i="175" s="1"/>
  <c r="H34" i="175" s="1"/>
  <c r="H35" i="175" s="1"/>
  <c r="H36" i="175" s="1"/>
  <c r="H37" i="175" s="1"/>
  <c r="H38" i="175" s="1"/>
  <c r="H39" i="175" s="1"/>
  <c r="H40" i="175" s="1"/>
  <c r="H41" i="175" s="1"/>
  <c r="H42" i="175" s="1"/>
  <c r="H43" i="175" s="1"/>
  <c r="H44" i="175" s="1"/>
  <c r="H27" i="227"/>
  <c r="H28" i="227" s="1"/>
  <c r="H29" i="227" s="1"/>
  <c r="H30" i="227" s="1"/>
  <c r="H31" i="227" s="1"/>
  <c r="H32" i="227" s="1"/>
  <c r="H33" i="227" s="1"/>
  <c r="H34" i="227" s="1"/>
  <c r="H35" i="227" s="1"/>
  <c r="H36" i="227" s="1"/>
  <c r="H37" i="227" s="1"/>
  <c r="H38" i="227" s="1"/>
  <c r="H39" i="227" s="1"/>
  <c r="H40" i="227" s="1"/>
  <c r="H31" i="257"/>
  <c r="H32" i="257" s="1"/>
  <c r="H33" i="257" s="1"/>
  <c r="H34" i="257" s="1"/>
  <c r="H35" i="257" s="1"/>
  <c r="H36" i="257" s="1"/>
  <c r="H37" i="257" s="1"/>
  <c r="H38" i="257" s="1"/>
  <c r="H39" i="257" s="1"/>
  <c r="H40" i="257" s="1"/>
  <c r="H41" i="257" s="1"/>
  <c r="H42" i="257" s="1"/>
  <c r="H24" i="256"/>
  <c r="H25" i="256" s="1"/>
  <c r="H26" i="256" s="1"/>
  <c r="H27" i="256" s="1"/>
  <c r="H28" i="256" s="1"/>
  <c r="H29" i="256" s="1"/>
  <c r="H30" i="256" s="1"/>
  <c r="H31" i="256" s="1"/>
  <c r="H32" i="256" s="1"/>
  <c r="H33" i="256" s="1"/>
  <c r="H34" i="256" s="1"/>
  <c r="H35" i="256" s="1"/>
  <c r="H36" i="256" s="1"/>
  <c r="H37" i="256" s="1"/>
  <c r="H38" i="256" s="1"/>
  <c r="H39" i="256" s="1"/>
  <c r="H40" i="256" s="1"/>
  <c r="H41" i="256" s="1"/>
  <c r="H42" i="256" s="1"/>
  <c r="H29" i="203"/>
  <c r="H30" i="203" s="1"/>
  <c r="H31" i="203" s="1"/>
  <c r="H32" i="203" s="1"/>
  <c r="H33" i="203" s="1"/>
  <c r="H34" i="203" s="1"/>
  <c r="H35" i="203" s="1"/>
  <c r="H36" i="203" s="1"/>
  <c r="H37" i="203" s="1"/>
  <c r="H38" i="203" s="1"/>
  <c r="H39" i="203" s="1"/>
  <c r="H40" i="203" s="1"/>
  <c r="H41" i="203" s="1"/>
  <c r="H42" i="203" s="1"/>
  <c r="H29" i="197"/>
  <c r="H30" i="197" s="1"/>
  <c r="H31" i="197" s="1"/>
  <c r="H32" i="197" s="1"/>
  <c r="H33" i="197" s="1"/>
  <c r="H34" i="197" s="1"/>
  <c r="H35" i="197" s="1"/>
  <c r="H36" i="197" s="1"/>
  <c r="H37" i="197" s="1"/>
  <c r="H38" i="197" s="1"/>
  <c r="H39" i="197" s="1"/>
  <c r="H40" i="197" s="1"/>
  <c r="H41" i="197" s="1"/>
  <c r="H42" i="197" s="1"/>
  <c r="H43" i="197" s="1"/>
  <c r="H44" i="197" s="1"/>
  <c r="H16" i="182"/>
  <c r="H17" i="182" s="1"/>
  <c r="H18" i="182" s="1"/>
  <c r="H19" i="182" s="1"/>
  <c r="H20" i="182" s="1"/>
  <c r="H21" i="182" s="1"/>
  <c r="H22" i="182" s="1"/>
  <c r="H23" i="182" s="1"/>
  <c r="H24" i="182" s="1"/>
  <c r="H25" i="182" s="1"/>
  <c r="H26" i="182" s="1"/>
  <c r="H27" i="182" s="1"/>
  <c r="H28" i="182" s="1"/>
  <c r="H29" i="182" s="1"/>
  <c r="H30" i="182" s="1"/>
  <c r="H31" i="182" s="1"/>
  <c r="H32" i="182" s="1"/>
  <c r="H33" i="182" s="1"/>
  <c r="H34" i="182" s="1"/>
  <c r="H35" i="182" s="1"/>
  <c r="H36" i="182" s="1"/>
  <c r="H37" i="182" s="1"/>
  <c r="H38" i="182" s="1"/>
  <c r="H39" i="182" s="1"/>
  <c r="H40" i="182" s="1"/>
  <c r="H41" i="182" s="1"/>
  <c r="H16" i="168"/>
  <c r="H17" i="168" s="1"/>
  <c r="H18" i="168" s="1"/>
  <c r="H19" i="168" s="1"/>
  <c r="H20" i="168" s="1"/>
  <c r="H21" i="168" s="1"/>
  <c r="H22" i="168" s="1"/>
  <c r="H23" i="168" s="1"/>
  <c r="H24" i="168" s="1"/>
  <c r="H25" i="168" s="1"/>
  <c r="H26" i="168" s="1"/>
  <c r="H27" i="168" s="1"/>
  <c r="H35" i="210"/>
  <c r="H36" i="210" s="1"/>
  <c r="H37" i="210" s="1"/>
  <c r="H38" i="210" s="1"/>
  <c r="H39" i="210" s="1"/>
  <c r="H40" i="210" s="1"/>
  <c r="H41" i="210" s="1"/>
  <c r="H42" i="210" s="1"/>
  <c r="H19" i="205"/>
  <c r="H20" i="205" s="1"/>
  <c r="H21" i="205" s="1"/>
  <c r="H22" i="205" s="1"/>
  <c r="H23" i="205" s="1"/>
  <c r="H24" i="205" s="1"/>
  <c r="H25" i="205" s="1"/>
  <c r="H26" i="205" s="1"/>
  <c r="H27" i="205" s="1"/>
  <c r="H28" i="205" s="1"/>
  <c r="H29" i="205" s="1"/>
  <c r="H30" i="205" s="1"/>
  <c r="H31" i="205" s="1"/>
  <c r="H32" i="205" s="1"/>
  <c r="H33" i="205" s="1"/>
  <c r="H34" i="205" s="1"/>
  <c r="H35" i="205" s="1"/>
  <c r="H36" i="205" s="1"/>
  <c r="H37" i="205" s="1"/>
  <c r="H38" i="205" s="1"/>
  <c r="H39" i="205" s="1"/>
  <c r="H40" i="205" s="1"/>
  <c r="H31" i="216"/>
  <c r="H32" i="216" s="1"/>
  <c r="H33" i="216" s="1"/>
  <c r="H34" i="216" s="1"/>
  <c r="H35" i="216" s="1"/>
  <c r="H36" i="216" s="1"/>
  <c r="H37" i="216" s="1"/>
  <c r="H38" i="216" s="1"/>
  <c r="H39" i="216" s="1"/>
  <c r="H40" i="216" s="1"/>
  <c r="H41" i="216" s="1"/>
  <c r="H42" i="216" s="1"/>
  <c r="H31" i="246"/>
  <c r="H32" i="246" s="1"/>
  <c r="H33" i="246" s="1"/>
  <c r="H34" i="246" s="1"/>
  <c r="H35" i="246" s="1"/>
  <c r="H36" i="246" s="1"/>
  <c r="H37" i="246" s="1"/>
  <c r="H38" i="246" s="1"/>
  <c r="H39" i="246" s="1"/>
  <c r="H40" i="246" s="1"/>
  <c r="H41" i="246" s="1"/>
  <c r="H42" i="246" s="1"/>
  <c r="H21" i="278"/>
  <c r="H22" i="278" s="1"/>
  <c r="H23" i="278" s="1"/>
  <c r="H24" i="278" s="1"/>
  <c r="H25" i="278" s="1"/>
  <c r="H26" i="278" s="1"/>
  <c r="H27" i="278" s="1"/>
  <c r="H28" i="278" s="1"/>
  <c r="H29" i="278" s="1"/>
  <c r="H30" i="278" s="1"/>
  <c r="H31" i="278" s="1"/>
  <c r="H32" i="278" s="1"/>
  <c r="H33" i="278" s="1"/>
  <c r="H34" i="278" s="1"/>
  <c r="H35" i="278" s="1"/>
  <c r="H36" i="278" s="1"/>
  <c r="H37" i="278" s="1"/>
  <c r="H38" i="278" s="1"/>
  <c r="H39" i="278" s="1"/>
  <c r="H40" i="278" s="1"/>
  <c r="H41" i="278" s="1"/>
  <c r="H42" i="278" s="1"/>
  <c r="H16" i="159"/>
  <c r="H17" i="159" s="1"/>
  <c r="H18" i="159" s="1"/>
  <c r="H19" i="159" s="1"/>
  <c r="H20" i="159" s="1"/>
  <c r="H21" i="159" s="1"/>
  <c r="H22" i="159" s="1"/>
  <c r="H23" i="159" s="1"/>
  <c r="H24" i="159" s="1"/>
  <c r="H25" i="159" s="1"/>
  <c r="H26" i="159" s="1"/>
  <c r="H27" i="159" s="1"/>
  <c r="H28" i="159" s="1"/>
  <c r="H29" i="159" s="1"/>
  <c r="H30" i="159" s="1"/>
  <c r="H31" i="159" s="1"/>
  <c r="H32" i="159" s="1"/>
  <c r="H33" i="159" s="1"/>
  <c r="H34" i="159" s="1"/>
  <c r="H35" i="159" s="1"/>
  <c r="H36" i="159" s="1"/>
  <c r="H37" i="159" s="1"/>
  <c r="H38" i="159" s="1"/>
  <c r="H16" i="163"/>
  <c r="H17" i="163" s="1"/>
  <c r="H18" i="163" s="1"/>
  <c r="H19" i="163" s="1"/>
  <c r="H20" i="163" s="1"/>
  <c r="H21" i="163" s="1"/>
  <c r="H22" i="163" s="1"/>
  <c r="H23" i="163" s="1"/>
  <c r="H24" i="163" s="1"/>
  <c r="H25" i="163" s="1"/>
  <c r="H26" i="163" s="1"/>
  <c r="H27" i="163" s="1"/>
  <c r="H28" i="163" s="1"/>
  <c r="H29" i="163" s="1"/>
  <c r="H30" i="163" s="1"/>
  <c r="H31" i="163" s="1"/>
  <c r="H32" i="163" s="1"/>
  <c r="H33" i="163" s="1"/>
  <c r="H34" i="163" s="1"/>
  <c r="H35" i="163" s="1"/>
  <c r="H36" i="163" s="1"/>
  <c r="H37" i="163" s="1"/>
  <c r="H38" i="163" s="1"/>
  <c r="H39" i="163" s="1"/>
  <c r="H17" i="187"/>
  <c r="H18" i="187" s="1"/>
  <c r="H12" i="224"/>
  <c r="H13" i="224" s="1"/>
  <c r="H14" i="224" s="1"/>
  <c r="H15" i="224" s="1"/>
  <c r="H16" i="224" s="1"/>
  <c r="H17" i="224" s="1"/>
  <c r="H18" i="224" s="1"/>
  <c r="H19" i="224" s="1"/>
  <c r="H20" i="224" s="1"/>
  <c r="H21" i="224" s="1"/>
  <c r="H22" i="224" s="1"/>
  <c r="H23" i="224" s="1"/>
  <c r="H24" i="224" s="1"/>
  <c r="H25" i="224" s="1"/>
  <c r="H26" i="224" s="1"/>
  <c r="H27" i="224" s="1"/>
  <c r="H28" i="224" s="1"/>
  <c r="H29" i="224" s="1"/>
  <c r="H30" i="224" s="1"/>
  <c r="H31" i="224" s="1"/>
  <c r="H32" i="224" s="1"/>
  <c r="H33" i="224" s="1"/>
  <c r="H34" i="224" s="1"/>
  <c r="H35" i="224" s="1"/>
  <c r="I16" i="165"/>
  <c r="H16" i="169"/>
  <c r="H17" i="169" s="1"/>
  <c r="H18" i="169" s="1"/>
  <c r="H19" i="169" s="1"/>
  <c r="H20" i="169" s="1"/>
  <c r="H21" i="169" s="1"/>
  <c r="H22" i="169" s="1"/>
  <c r="H23" i="169" s="1"/>
  <c r="H24" i="169" s="1"/>
  <c r="H25" i="169" s="1"/>
  <c r="H26" i="169" s="1"/>
  <c r="H27" i="169" s="1"/>
  <c r="H28" i="169" s="1"/>
  <c r="H29" i="169" s="1"/>
  <c r="H30" i="169" s="1"/>
  <c r="H31" i="169" s="1"/>
  <c r="H32" i="169" s="1"/>
  <c r="H33" i="169" s="1"/>
  <c r="H34" i="169" s="1"/>
  <c r="H35" i="169" s="1"/>
  <c r="H36" i="169" s="1"/>
  <c r="H37" i="169" s="1"/>
  <c r="H38" i="169" s="1"/>
  <c r="I15" i="158"/>
  <c r="H15" i="158"/>
  <c r="H16" i="158" s="1"/>
  <c r="H17" i="158" s="1"/>
  <c r="H18" i="158" s="1"/>
  <c r="H19" i="158" s="1"/>
  <c r="H20" i="158" s="1"/>
  <c r="H21" i="158" s="1"/>
  <c r="H22" i="158" s="1"/>
  <c r="H23" i="158" s="1"/>
  <c r="H24" i="158" s="1"/>
  <c r="H25" i="158" s="1"/>
  <c r="H26" i="158" s="1"/>
  <c r="H27" i="158" s="1"/>
  <c r="H28" i="158" s="1"/>
  <c r="H29" i="158" s="1"/>
  <c r="H30" i="158" s="1"/>
  <c r="H31" i="158" s="1"/>
  <c r="H32" i="158" s="1"/>
  <c r="H33" i="158" s="1"/>
  <c r="H34" i="158" s="1"/>
  <c r="H35" i="158" s="1"/>
  <c r="H36" i="158" s="1"/>
  <c r="H37" i="158" s="1"/>
  <c r="H38" i="158" s="1"/>
  <c r="H39" i="158" s="1"/>
  <c r="H12" i="153"/>
  <c r="H13" i="153" s="1"/>
  <c r="H14" i="153" s="1"/>
  <c r="H15" i="153" s="1"/>
  <c r="H16" i="153" s="1"/>
  <c r="H17" i="153" s="1"/>
  <c r="H18" i="153" s="1"/>
  <c r="H19" i="153" s="1"/>
  <c r="H20" i="153" s="1"/>
  <c r="H21" i="153" s="1"/>
  <c r="H22" i="153" s="1"/>
  <c r="H23" i="153" s="1"/>
  <c r="H24" i="153" s="1"/>
  <c r="H25" i="153" s="1"/>
  <c r="H26" i="153" s="1"/>
  <c r="H27" i="153" s="1"/>
  <c r="H28" i="153" s="1"/>
  <c r="H29" i="153" s="1"/>
  <c r="H30" i="153" s="1"/>
  <c r="H31" i="153" s="1"/>
  <c r="H32" i="153" s="1"/>
  <c r="H33" i="153" s="1"/>
  <c r="H34" i="153" s="1"/>
  <c r="H35" i="153" s="1"/>
  <c r="H36" i="153" s="1"/>
  <c r="I15" i="161"/>
  <c r="H16" i="170"/>
  <c r="H17" i="170" s="1"/>
  <c r="H18" i="170" s="1"/>
  <c r="H19" i="170" s="1"/>
  <c r="H20" i="170" s="1"/>
  <c r="H21" i="170" s="1"/>
  <c r="H22" i="170" s="1"/>
  <c r="H23" i="170" s="1"/>
  <c r="H24" i="170" s="1"/>
  <c r="H25" i="170" s="1"/>
  <c r="H26" i="170" s="1"/>
  <c r="H27" i="170" s="1"/>
  <c r="H28" i="170" s="1"/>
  <c r="H29" i="170" s="1"/>
  <c r="H30" i="170" s="1"/>
  <c r="H31" i="170" s="1"/>
  <c r="H32" i="170" s="1"/>
  <c r="H33" i="170" s="1"/>
  <c r="H34" i="170" s="1"/>
  <c r="H35" i="170" s="1"/>
  <c r="H36" i="170" s="1"/>
  <c r="H37" i="170" s="1"/>
  <c r="H38" i="170" s="1"/>
  <c r="H39" i="170" s="1"/>
  <c r="H40" i="170" s="1"/>
  <c r="H29" i="177"/>
  <c r="H30" i="177" s="1"/>
  <c r="H31" i="177" s="1"/>
  <c r="H32" i="177" s="1"/>
  <c r="H33" i="177" s="1"/>
  <c r="H34" i="177" s="1"/>
  <c r="H35" i="177" s="1"/>
  <c r="H36" i="177" s="1"/>
  <c r="H37" i="177" s="1"/>
  <c r="H38" i="177" s="1"/>
  <c r="H39" i="177" s="1"/>
  <c r="H40" i="177" s="1"/>
  <c r="H41" i="177" s="1"/>
  <c r="H42" i="177" s="1"/>
  <c r="H29" i="195"/>
  <c r="H30" i="195" s="1"/>
  <c r="H31" i="195" s="1"/>
  <c r="H32" i="195" s="1"/>
  <c r="H33" i="195" s="1"/>
  <c r="H34" i="195" s="1"/>
  <c r="H35" i="195" s="1"/>
  <c r="H36" i="195" s="1"/>
  <c r="H37" i="195" s="1"/>
  <c r="H38" i="195" s="1"/>
  <c r="H39" i="195" s="1"/>
  <c r="H40" i="195" s="1"/>
  <c r="H41" i="195" s="1"/>
  <c r="H42" i="195" s="1"/>
  <c r="H29" i="272"/>
  <c r="H30" i="272" s="1"/>
  <c r="H31" i="272" s="1"/>
  <c r="H32" i="272" s="1"/>
  <c r="H33" i="272" s="1"/>
  <c r="H34" i="272" s="1"/>
  <c r="H35" i="272" s="1"/>
  <c r="H36" i="272" s="1"/>
  <c r="H37" i="272" s="1"/>
  <c r="H38" i="272" s="1"/>
  <c r="H39" i="272" s="1"/>
  <c r="H40" i="272" s="1"/>
  <c r="H41" i="272" s="1"/>
  <c r="H42" i="272" s="1"/>
  <c r="H16" i="167"/>
  <c r="H17" i="167" s="1"/>
  <c r="H18" i="167" s="1"/>
  <c r="H19" i="167" s="1"/>
  <c r="H20" i="167" s="1"/>
  <c r="H21" i="167" s="1"/>
  <c r="H22" i="167" s="1"/>
  <c r="H23" i="167" s="1"/>
  <c r="H24" i="167" s="1"/>
  <c r="H25" i="167" s="1"/>
  <c r="H26" i="167" s="1"/>
  <c r="H27" i="167" s="1"/>
  <c r="H28" i="167" s="1"/>
  <c r="H29" i="167" s="1"/>
  <c r="H30" i="167" s="1"/>
  <c r="H31" i="167" s="1"/>
  <c r="H32" i="167" s="1"/>
  <c r="H33" i="167" s="1"/>
  <c r="H34" i="167" s="1"/>
  <c r="H35" i="167" s="1"/>
  <c r="H36" i="167" s="1"/>
  <c r="H37" i="167" s="1"/>
  <c r="H38" i="167" s="1"/>
  <c r="I32" i="161"/>
  <c r="I28" i="158"/>
  <c r="I26" i="161"/>
  <c r="H32" i="173"/>
  <c r="H33" i="173" s="1"/>
  <c r="H34" i="173" s="1"/>
  <c r="H35" i="173" s="1"/>
  <c r="H36" i="173" s="1"/>
  <c r="H37" i="173" s="1"/>
  <c r="H38" i="173" s="1"/>
  <c r="H39" i="173" s="1"/>
  <c r="H40" i="173" s="1"/>
  <c r="H41" i="173" s="1"/>
  <c r="H42" i="173" s="1"/>
  <c r="I15" i="165"/>
  <c r="H16" i="165"/>
  <c r="H17" i="165" s="1"/>
  <c r="H18" i="165" s="1"/>
  <c r="H19" i="165" s="1"/>
  <c r="H20" i="165" s="1"/>
  <c r="H21" i="165" s="1"/>
  <c r="H22" i="165" s="1"/>
  <c r="H23" i="165" s="1"/>
  <c r="H24" i="165" s="1"/>
  <c r="H25" i="165" s="1"/>
  <c r="H26" i="165" s="1"/>
  <c r="H27" i="165" s="1"/>
  <c r="H28" i="165" s="1"/>
  <c r="H29" i="165" s="1"/>
  <c r="H30" i="165" s="1"/>
  <c r="H31" i="165" s="1"/>
  <c r="H32" i="165" s="1"/>
  <c r="H33" i="165" s="1"/>
  <c r="H34" i="165" s="1"/>
  <c r="H35" i="165" s="1"/>
  <c r="H36" i="165" s="1"/>
  <c r="H37" i="165" s="1"/>
  <c r="H38" i="165" s="1"/>
  <c r="H39" i="165" s="1"/>
  <c r="H17" i="226"/>
  <c r="H18" i="226" s="1"/>
  <c r="H19" i="226" s="1"/>
  <c r="H20" i="226" s="1"/>
  <c r="H21" i="226" s="1"/>
  <c r="H22" i="226" s="1"/>
  <c r="H23" i="226" s="1"/>
  <c r="H24" i="226" s="1"/>
  <c r="H16" i="166"/>
  <c r="H17" i="166" s="1"/>
  <c r="H18" i="166" s="1"/>
  <c r="H19" i="166" s="1"/>
  <c r="H20" i="166" s="1"/>
  <c r="H21" i="166" s="1"/>
  <c r="H22" i="166" s="1"/>
  <c r="H23" i="166" s="1"/>
  <c r="H24" i="166" s="1"/>
  <c r="H25" i="166" s="1"/>
  <c r="H26" i="166" s="1"/>
  <c r="H27" i="166" s="1"/>
  <c r="H28" i="166" s="1"/>
  <c r="H29" i="166" s="1"/>
  <c r="H30" i="166" s="1"/>
  <c r="H31" i="166" s="1"/>
  <c r="H32" i="166" s="1"/>
  <c r="H33" i="166" s="1"/>
  <c r="H34" i="166" s="1"/>
  <c r="H35" i="166" s="1"/>
  <c r="H36" i="166" s="1"/>
  <c r="H37" i="166" s="1"/>
  <c r="H38" i="166" s="1"/>
  <c r="H39" i="166" s="1"/>
  <c r="H40" i="166" s="1"/>
  <c r="H16" i="154"/>
  <c r="H17" i="154" s="1"/>
  <c r="H18" i="154" s="1"/>
  <c r="H19" i="154" s="1"/>
  <c r="H20" i="154" s="1"/>
  <c r="H21" i="154" s="1"/>
  <c r="H22" i="154" s="1"/>
  <c r="H23" i="154" s="1"/>
  <c r="H24" i="154" s="1"/>
  <c r="H25" i="154" s="1"/>
  <c r="H26" i="154" s="1"/>
  <c r="H27" i="154" s="1"/>
  <c r="H28" i="154" s="1"/>
  <c r="H29" i="154" s="1"/>
  <c r="H30" i="154" s="1"/>
  <c r="H31" i="154" s="1"/>
  <c r="H32" i="154" s="1"/>
  <c r="H33" i="154" s="1"/>
  <c r="H34" i="154" s="1"/>
  <c r="H35" i="154" s="1"/>
  <c r="H36" i="154" s="1"/>
  <c r="H37" i="154" s="1"/>
  <c r="H38" i="154" s="1"/>
  <c r="H39" i="154" s="1"/>
  <c r="H40" i="154" s="1"/>
  <c r="H16" i="156"/>
  <c r="H17" i="156" s="1"/>
  <c r="H18" i="156" s="1"/>
  <c r="H19" i="156" s="1"/>
  <c r="H20" i="156" s="1"/>
  <c r="H21" i="156" s="1"/>
  <c r="H22" i="156" s="1"/>
  <c r="H23" i="156" s="1"/>
  <c r="H24" i="156" s="1"/>
  <c r="H25" i="156" s="1"/>
  <c r="H26" i="156" s="1"/>
  <c r="H27" i="156" s="1"/>
  <c r="H28" i="156" s="1"/>
  <c r="H29" i="156" s="1"/>
  <c r="H30" i="156" s="1"/>
  <c r="H31" i="156" s="1"/>
  <c r="H32" i="156" s="1"/>
  <c r="H33" i="156" s="1"/>
  <c r="H34" i="156" s="1"/>
  <c r="H35" i="156" s="1"/>
  <c r="H36" i="156" s="1"/>
  <c r="H37" i="156" s="1"/>
  <c r="H38" i="156" s="1"/>
  <c r="H39" i="156" s="1"/>
  <c r="H40" i="156" s="1"/>
  <c r="I16" i="158"/>
  <c r="B4" i="208"/>
  <c r="B5" i="208"/>
  <c r="B6" i="208"/>
  <c r="H23" i="206" l="1"/>
  <c r="H24" i="206" s="1"/>
  <c r="H25" i="206" s="1"/>
  <c r="H26" i="206" s="1"/>
  <c r="H27" i="206" s="1"/>
  <c r="H28" i="206" s="1"/>
  <c r="H29" i="206" s="1"/>
  <c r="H30" i="206" s="1"/>
  <c r="H31" i="206" s="1"/>
  <c r="H32" i="206" s="1"/>
  <c r="H33" i="206" s="1"/>
  <c r="H34" i="206" s="1"/>
  <c r="H35" i="206" s="1"/>
  <c r="H36" i="206" s="1"/>
  <c r="H37" i="206" s="1"/>
  <c r="H38" i="206" s="1"/>
  <c r="H39" i="206" s="1"/>
  <c r="H40" i="206" s="1"/>
  <c r="H41" i="206" s="1"/>
  <c r="H42" i="206" s="1"/>
  <c r="H43" i="206" s="1"/>
  <c r="H44" i="206" s="1"/>
  <c r="H45" i="206" s="1"/>
  <c r="H46" i="206" s="1"/>
  <c r="H23" i="273"/>
  <c r="H24" i="273" s="1"/>
  <c r="H25" i="273" s="1"/>
  <c r="H26" i="273" s="1"/>
  <c r="H27" i="273" s="1"/>
  <c r="H28" i="273" s="1"/>
  <c r="H29" i="273" s="1"/>
  <c r="H30" i="273" s="1"/>
  <c r="H31" i="273" s="1"/>
  <c r="H32" i="273" s="1"/>
  <c r="H33" i="273" s="1"/>
  <c r="H34" i="273" s="1"/>
  <c r="H35" i="273" s="1"/>
  <c r="H36" i="273" s="1"/>
  <c r="H37" i="273" s="1"/>
  <c r="H38" i="273" s="1"/>
  <c r="H39" i="273" s="1"/>
  <c r="H40" i="273" s="1"/>
  <c r="T9" i="291"/>
  <c r="H21" i="196"/>
  <c r="H22" i="196" s="1"/>
  <c r="H38" i="221"/>
  <c r="H39" i="221" s="1"/>
  <c r="H40" i="221" s="1"/>
  <c r="H19" i="187"/>
  <c r="H20" i="187" s="1"/>
  <c r="H21" i="187" s="1"/>
  <c r="H22" i="187" s="1"/>
  <c r="H23" i="187" s="1"/>
  <c r="H24" i="187" s="1"/>
  <c r="H25" i="187" s="1"/>
  <c r="H26" i="187" s="1"/>
  <c r="H27" i="187" s="1"/>
  <c r="H28" i="187" s="1"/>
  <c r="H29" i="187" s="1"/>
  <c r="H30" i="187" s="1"/>
  <c r="H31" i="187" s="1"/>
  <c r="H32" i="187" s="1"/>
  <c r="H33" i="187" s="1"/>
  <c r="H34" i="187" s="1"/>
  <c r="H35" i="187" s="1"/>
  <c r="H36" i="187" s="1"/>
  <c r="H28" i="168"/>
  <c r="H29" i="168" s="1"/>
  <c r="H30" i="168" s="1"/>
  <c r="H31" i="168" s="1"/>
  <c r="H32" i="168" s="1"/>
  <c r="H33" i="168" s="1"/>
  <c r="H34" i="168" s="1"/>
  <c r="H35" i="168" s="1"/>
  <c r="H36" i="168" s="1"/>
  <c r="H37" i="168" s="1"/>
  <c r="H38" i="168" s="1"/>
  <c r="H39" i="168" s="1"/>
  <c r="H40" i="168" s="1"/>
  <c r="H29" i="276"/>
  <c r="H30" i="276" s="1"/>
  <c r="H31" i="276" s="1"/>
  <c r="H32" i="276" s="1"/>
  <c r="H33" i="276" s="1"/>
  <c r="H34" i="276" s="1"/>
  <c r="H35" i="276" s="1"/>
  <c r="H36" i="276" s="1"/>
  <c r="H37" i="276" s="1"/>
  <c r="H38" i="276" s="1"/>
  <c r="H39" i="276" s="1"/>
  <c r="H40" i="276" s="1"/>
  <c r="H41" i="276" s="1"/>
  <c r="H42" i="276" s="1"/>
  <c r="H25" i="226"/>
  <c r="H26" i="226" s="1"/>
  <c r="H27" i="226" s="1"/>
  <c r="H28" i="226" s="1"/>
  <c r="H29" i="226" s="1"/>
  <c r="H30" i="226" s="1"/>
  <c r="H31" i="226" s="1"/>
  <c r="H32" i="226" s="1"/>
  <c r="H33" i="226" s="1"/>
  <c r="H34" i="226" s="1"/>
  <c r="H35" i="226" s="1"/>
  <c r="H36" i="226" s="1"/>
  <c r="H37" i="226" s="1"/>
  <c r="H38" i="226" s="1"/>
  <c r="H39" i="226" s="1"/>
  <c r="H40" i="226" s="1"/>
  <c r="H41" i="226" s="1"/>
  <c r="H42" i="226" s="1"/>
  <c r="H43" i="226" s="1"/>
  <c r="H44" i="226" s="1"/>
  <c r="H26" i="196" l="1"/>
  <c r="H27" i="196" s="1"/>
  <c r="H28" i="196" s="1"/>
  <c r="H29" i="196" s="1"/>
  <c r="H30" i="196" s="1"/>
  <c r="H31" i="196" s="1"/>
  <c r="H32" i="196" s="1"/>
  <c r="H33" i="196" s="1"/>
  <c r="H34" i="196" s="1"/>
  <c r="H35" i="196" s="1"/>
  <c r="H36" i="196" s="1"/>
  <c r="H37" i="196" s="1"/>
  <c r="H38" i="196" s="1"/>
  <c r="H39" i="196" s="1"/>
  <c r="H40" i="196" s="1"/>
  <c r="H41" i="196" s="1"/>
  <c r="H42" i="196" s="1"/>
  <c r="H43" i="196" s="1"/>
  <c r="H44" i="196" s="1"/>
  <c r="H45" i="196" s="1"/>
  <c r="H46" i="196" s="1"/>
  <c r="H23" i="196"/>
  <c r="H24" i="196" s="1"/>
  <c r="H25" i="196" s="1"/>
  <c r="H37" i="187"/>
  <c r="H38" i="187" s="1"/>
  <c r="H39" i="187" s="1"/>
  <c r="H40" i="187" s="1"/>
  <c r="H41" i="187" s="1"/>
  <c r="H42" i="187" s="1"/>
  <c r="H43" i="187" s="1"/>
  <c r="H44" i="187" s="1"/>
  <c r="I38" i="194"/>
  <c r="I37" i="194"/>
  <c r="I41" i="187" l="1"/>
  <c r="I42" i="187"/>
  <c r="I50" i="163" l="1"/>
  <c r="I51" i="163"/>
  <c r="I52" i="163"/>
  <c r="I43" i="163"/>
  <c r="I44" i="163"/>
  <c r="I45" i="163"/>
  <c r="I46" i="163"/>
  <c r="I47" i="163"/>
  <c r="I48" i="163"/>
  <c r="I49" i="163"/>
  <c r="I39" i="163"/>
  <c r="I40" i="163"/>
  <c r="I41" i="163"/>
  <c r="I42" i="163"/>
  <c r="I37" i="163"/>
  <c r="I38" i="163"/>
  <c r="I21" i="163"/>
  <c r="I22" i="163"/>
  <c r="I23" i="163"/>
  <c r="I24" i="163"/>
  <c r="I25" i="163"/>
  <c r="I26" i="163"/>
  <c r="I27" i="163"/>
  <c r="I28" i="163"/>
  <c r="I29" i="163"/>
  <c r="I30" i="163"/>
  <c r="I31" i="163"/>
  <c r="I32" i="163"/>
  <c r="I33" i="163"/>
  <c r="I34" i="163"/>
  <c r="I35" i="163"/>
  <c r="I36" i="163"/>
  <c r="I35" i="194" l="1"/>
  <c r="I36" i="194"/>
  <c r="I33" i="194"/>
  <c r="I34" i="194"/>
  <c r="I42" i="169" l="1"/>
  <c r="I41" i="169" l="1"/>
  <c r="I42" i="226" l="1"/>
  <c r="I39" i="227" l="1"/>
  <c r="I40" i="227"/>
  <c r="G24" i="41" l="1"/>
  <c r="G25" i="41"/>
  <c r="G26" i="41"/>
  <c r="G27" i="41"/>
  <c r="G28" i="41"/>
  <c r="G29" i="41"/>
  <c r="G30" i="41"/>
  <c r="G31" i="41"/>
  <c r="G32" i="41"/>
  <c r="G33" i="41"/>
  <c r="G34" i="41"/>
  <c r="I37" i="272" l="1"/>
  <c r="I38" i="272"/>
  <c r="I33" i="253" l="1"/>
  <c r="I34" i="253"/>
  <c r="I33" i="168" l="1"/>
  <c r="I34" i="168"/>
  <c r="I31" i="210" l="1"/>
  <c r="I32" i="210"/>
  <c r="G57" i="267" l="1"/>
  <c r="G58" i="267"/>
  <c r="G59" i="267"/>
  <c r="G60" i="267"/>
  <c r="G61" i="267"/>
  <c r="G62" i="267"/>
  <c r="G63" i="267"/>
  <c r="G64" i="267"/>
  <c r="G58" i="263"/>
  <c r="G59" i="263"/>
  <c r="G60" i="263"/>
  <c r="G61" i="263"/>
  <c r="G62" i="263"/>
  <c r="G63" i="263"/>
  <c r="G64" i="263"/>
  <c r="G65" i="263"/>
  <c r="G57" i="263"/>
  <c r="I35" i="227" l="1"/>
  <c r="I36" i="227"/>
  <c r="I31" i="191" l="1"/>
  <c r="I32" i="191"/>
  <c r="G35" i="41" l="1"/>
  <c r="G36" i="41"/>
  <c r="G37" i="41"/>
  <c r="G38" i="41"/>
  <c r="I35" i="175" l="1"/>
  <c r="I36" i="175"/>
  <c r="G41" i="249" l="1"/>
  <c r="G42" i="249"/>
  <c r="G43" i="249"/>
  <c r="G44" i="249"/>
  <c r="G45" i="249"/>
  <c r="G46" i="249"/>
  <c r="G47" i="249"/>
  <c r="G48" i="249"/>
  <c r="G49" i="249"/>
  <c r="G50" i="249"/>
  <c r="G51" i="249"/>
  <c r="G52" i="249"/>
  <c r="I37" i="249"/>
  <c r="I38" i="249"/>
  <c r="I39" i="249"/>
  <c r="I40" i="249"/>
  <c r="I41" i="249"/>
  <c r="I42" i="249"/>
  <c r="I43" i="249"/>
  <c r="I44" i="249"/>
  <c r="I45" i="249"/>
  <c r="I46" i="249"/>
  <c r="I47" i="249"/>
  <c r="I48" i="249"/>
  <c r="I49" i="249"/>
  <c r="I50" i="249"/>
  <c r="I51" i="249"/>
  <c r="I52" i="249"/>
  <c r="I21" i="187" l="1"/>
  <c r="I22" i="187"/>
  <c r="I29" i="290"/>
  <c r="I30" i="290"/>
  <c r="I31" i="290"/>
  <c r="I32" i="290"/>
  <c r="I33" i="290"/>
  <c r="I34" i="290"/>
  <c r="I35" i="290"/>
  <c r="I36" i="290"/>
  <c r="I36" i="289"/>
  <c r="I29" i="289"/>
  <c r="I30" i="289"/>
  <c r="I31" i="289"/>
  <c r="I32" i="289"/>
  <c r="I33" i="289"/>
  <c r="I34" i="289"/>
  <c r="I35" i="289"/>
  <c r="I29" i="288"/>
  <c r="I30" i="288"/>
  <c r="I31" i="288"/>
  <c r="I32" i="288"/>
  <c r="I33" i="288"/>
  <c r="I34" i="288"/>
  <c r="I35" i="288"/>
  <c r="I36" i="288"/>
  <c r="I30" i="287"/>
  <c r="I33" i="287"/>
  <c r="I34" i="287"/>
  <c r="I35" i="287"/>
  <c r="I29" i="287"/>
  <c r="I31" i="287"/>
  <c r="I32" i="287"/>
  <c r="I36" i="287"/>
  <c r="I36" i="286"/>
  <c r="I29" i="286"/>
  <c r="I30" i="286"/>
  <c r="I31" i="286"/>
  <c r="I32" i="286"/>
  <c r="I33" i="286"/>
  <c r="I34" i="286"/>
  <c r="I35" i="286"/>
  <c r="I31" i="285"/>
  <c r="I32" i="285"/>
  <c r="I33" i="285"/>
  <c r="I34" i="285"/>
  <c r="I29" i="285"/>
  <c r="I30" i="285"/>
  <c r="I35" i="285"/>
  <c r="I36" i="285"/>
  <c r="I29" i="284"/>
  <c r="I30" i="284"/>
  <c r="I31" i="284"/>
  <c r="I32" i="284"/>
  <c r="I33" i="284"/>
  <c r="I34" i="284"/>
  <c r="I35" i="284"/>
  <c r="I36" i="284"/>
  <c r="I29" i="283"/>
  <c r="I30" i="283"/>
  <c r="I31" i="283"/>
  <c r="I32" i="283"/>
  <c r="I33" i="283"/>
  <c r="I34" i="283"/>
  <c r="I35" i="283"/>
  <c r="I36" i="283"/>
  <c r="I31" i="282"/>
  <c r="I32" i="282"/>
  <c r="I35" i="282"/>
  <c r="I30" i="282"/>
  <c r="I33" i="282"/>
  <c r="I34" i="282"/>
  <c r="I36" i="282"/>
  <c r="I31" i="281"/>
  <c r="I33" i="281"/>
  <c r="I34" i="281"/>
  <c r="I29" i="281"/>
  <c r="I32" i="281"/>
  <c r="I35" i="281"/>
  <c r="I36" i="281"/>
  <c r="I29" i="280"/>
  <c r="I30" i="280"/>
  <c r="I31" i="280"/>
  <c r="I32" i="280"/>
  <c r="I33" i="280"/>
  <c r="I34" i="280"/>
  <c r="I35" i="280"/>
  <c r="I36" i="280"/>
  <c r="I36" i="279"/>
  <c r="I29" i="279"/>
  <c r="I30" i="279"/>
  <c r="I31" i="279"/>
  <c r="I32" i="279"/>
  <c r="I33" i="279"/>
  <c r="I34" i="279"/>
  <c r="I35" i="279"/>
  <c r="I36" i="278"/>
  <c r="I37" i="278"/>
  <c r="I33" i="278"/>
  <c r="I34" i="278"/>
  <c r="I35" i="278"/>
  <c r="I38" i="278"/>
  <c r="I39" i="278"/>
  <c r="I40" i="278"/>
  <c r="I29" i="277"/>
  <c r="I30" i="277"/>
  <c r="I31" i="277"/>
  <c r="I32" i="277"/>
  <c r="I33" i="277"/>
  <c r="I34" i="277"/>
  <c r="I35" i="277"/>
  <c r="I36" i="277"/>
  <c r="I31" i="276"/>
  <c r="I32" i="276"/>
  <c r="I33" i="276"/>
  <c r="I34" i="276"/>
  <c r="I35" i="276"/>
  <c r="I36" i="276"/>
  <c r="I37" i="276"/>
  <c r="I38" i="276"/>
  <c r="I33" i="275"/>
  <c r="I34" i="275"/>
  <c r="I35" i="275"/>
  <c r="I36" i="275"/>
  <c r="I29" i="275"/>
  <c r="I30" i="275"/>
  <c r="I31" i="275"/>
  <c r="I32" i="275"/>
  <c r="I35" i="274"/>
  <c r="I29" i="274"/>
  <c r="I30" i="274"/>
  <c r="I31" i="274"/>
  <c r="I32" i="274"/>
  <c r="I33" i="274"/>
  <c r="I34" i="274"/>
  <c r="I36" i="274"/>
  <c r="I29" i="273"/>
  <c r="I30" i="273"/>
  <c r="I31" i="273"/>
  <c r="I32" i="273"/>
  <c r="I33" i="273"/>
  <c r="I34" i="273"/>
  <c r="I35" i="273"/>
  <c r="I36" i="273"/>
  <c r="I33" i="272"/>
  <c r="I34" i="272"/>
  <c r="I35" i="272"/>
  <c r="I36" i="272"/>
  <c r="I39" i="272"/>
  <c r="I40" i="272"/>
  <c r="I41" i="272"/>
  <c r="I42" i="272"/>
  <c r="I31" i="271"/>
  <c r="I32" i="271"/>
  <c r="I33" i="271"/>
  <c r="I34" i="271"/>
  <c r="I35" i="271"/>
  <c r="I36" i="271"/>
  <c r="I37" i="271"/>
  <c r="I38" i="271"/>
  <c r="I29" i="270"/>
  <c r="I30" i="270"/>
  <c r="I31" i="270"/>
  <c r="I32" i="270"/>
  <c r="I33" i="270"/>
  <c r="I34" i="270"/>
  <c r="I35" i="270"/>
  <c r="I36" i="270"/>
  <c r="I29" i="269"/>
  <c r="I30" i="269"/>
  <c r="I31" i="269"/>
  <c r="I32" i="269"/>
  <c r="I33" i="269"/>
  <c r="I34" i="269"/>
  <c r="I35" i="269"/>
  <c r="I36" i="269"/>
  <c r="I29" i="268"/>
  <c r="I30" i="268"/>
  <c r="I31" i="268"/>
  <c r="I32" i="268"/>
  <c r="I33" i="268"/>
  <c r="I34" i="268"/>
  <c r="I35" i="268"/>
  <c r="I36" i="268"/>
  <c r="I36" i="266"/>
  <c r="I30" i="266"/>
  <c r="I31" i="266"/>
  <c r="I32" i="266"/>
  <c r="I33" i="266"/>
  <c r="I34" i="266"/>
  <c r="I35" i="266"/>
  <c r="I37" i="266"/>
  <c r="I29" i="265"/>
  <c r="I30" i="265"/>
  <c r="I31" i="265"/>
  <c r="I32" i="265"/>
  <c r="I33" i="265"/>
  <c r="I34" i="265"/>
  <c r="I35" i="265"/>
  <c r="I36" i="265"/>
  <c r="I29" i="262"/>
  <c r="I30" i="262"/>
  <c r="I31" i="262"/>
  <c r="I32" i="262"/>
  <c r="I33" i="262"/>
  <c r="I34" i="262"/>
  <c r="I35" i="262"/>
  <c r="I36" i="262"/>
  <c r="I29" i="261"/>
  <c r="I30" i="261"/>
  <c r="I31" i="261"/>
  <c r="I32" i="261"/>
  <c r="I33" i="261"/>
  <c r="I34" i="261"/>
  <c r="I35" i="261"/>
  <c r="I36" i="261"/>
  <c r="I31" i="260"/>
  <c r="I32" i="260"/>
  <c r="I33" i="260"/>
  <c r="I34" i="260"/>
  <c r="I35" i="260"/>
  <c r="I36" i="260"/>
  <c r="I37" i="260"/>
  <c r="I38" i="260"/>
  <c r="I29" i="259"/>
  <c r="I30" i="259"/>
  <c r="I31" i="259"/>
  <c r="I32" i="259"/>
  <c r="I33" i="259"/>
  <c r="I34" i="259"/>
  <c r="I35" i="259"/>
  <c r="I36" i="259"/>
  <c r="I29" i="258"/>
  <c r="I30" i="258"/>
  <c r="I31" i="258"/>
  <c r="I32" i="258"/>
  <c r="I33" i="258"/>
  <c r="I34" i="258"/>
  <c r="I35" i="258"/>
  <c r="I36" i="258"/>
  <c r="I30" i="257"/>
  <c r="I33" i="257"/>
  <c r="I34" i="257"/>
  <c r="I35" i="257"/>
  <c r="I36" i="257"/>
  <c r="I37" i="257"/>
  <c r="I38" i="257"/>
  <c r="I31" i="256"/>
  <c r="I32" i="256"/>
  <c r="I33" i="256"/>
  <c r="I34" i="256"/>
  <c r="I35" i="256"/>
  <c r="I36" i="256"/>
  <c r="I37" i="256"/>
  <c r="I38" i="256"/>
  <c r="I29" i="255"/>
  <c r="I30" i="255"/>
  <c r="I31" i="255"/>
  <c r="I32" i="255"/>
  <c r="I33" i="255"/>
  <c r="I34" i="255"/>
  <c r="I35" i="255"/>
  <c r="I36" i="255"/>
  <c r="I27" i="254"/>
  <c r="I28" i="254"/>
  <c r="I29" i="254"/>
  <c r="I30" i="254"/>
  <c r="I31" i="254"/>
  <c r="I32" i="254"/>
  <c r="I33" i="254"/>
  <c r="I34" i="254"/>
  <c r="I29" i="253"/>
  <c r="I30" i="253"/>
  <c r="I31" i="253"/>
  <c r="I32" i="253"/>
  <c r="I35" i="253"/>
  <c r="I36" i="253"/>
  <c r="I37" i="253"/>
  <c r="I38" i="253"/>
  <c r="I29" i="252"/>
  <c r="I30" i="252"/>
  <c r="I31" i="252"/>
  <c r="I32" i="252"/>
  <c r="I33" i="252"/>
  <c r="I34" i="252"/>
  <c r="I35" i="252"/>
  <c r="I36" i="252"/>
  <c r="I29" i="250"/>
  <c r="I30" i="250"/>
  <c r="I31" i="250"/>
  <c r="I32" i="250"/>
  <c r="I33" i="250"/>
  <c r="I34" i="250"/>
  <c r="I35" i="250"/>
  <c r="I36" i="250"/>
  <c r="I29" i="249"/>
  <c r="I30" i="249"/>
  <c r="I31" i="249"/>
  <c r="I32" i="249"/>
  <c r="I33" i="249"/>
  <c r="I34" i="249"/>
  <c r="I35" i="249"/>
  <c r="I36" i="249"/>
  <c r="I31" i="248"/>
  <c r="I32" i="248"/>
  <c r="I33" i="248"/>
  <c r="I34" i="248"/>
  <c r="I35" i="248"/>
  <c r="I36" i="248"/>
  <c r="I37" i="248"/>
  <c r="I38" i="248"/>
  <c r="I29" i="247"/>
  <c r="I30" i="247"/>
  <c r="I31" i="247"/>
  <c r="I32" i="247"/>
  <c r="I33" i="247"/>
  <c r="I34" i="247"/>
  <c r="I35" i="247"/>
  <c r="I36" i="247"/>
  <c r="I31" i="246"/>
  <c r="I32" i="246"/>
  <c r="I33" i="246"/>
  <c r="I34" i="246"/>
  <c r="I35" i="246"/>
  <c r="I36" i="246"/>
  <c r="I37" i="246"/>
  <c r="I38" i="246"/>
  <c r="I29" i="245"/>
  <c r="I30" i="245"/>
  <c r="I31" i="245"/>
  <c r="I32" i="245"/>
  <c r="I33" i="245"/>
  <c r="I34" i="245"/>
  <c r="I35" i="245"/>
  <c r="I36" i="245"/>
  <c r="I31" i="244"/>
  <c r="I35" i="244"/>
  <c r="I29" i="244"/>
  <c r="I30" i="244"/>
  <c r="I32" i="244"/>
  <c r="I33" i="244"/>
  <c r="I34" i="244"/>
  <c r="I36" i="244"/>
  <c r="I29" i="243"/>
  <c r="I30" i="243"/>
  <c r="I31" i="243"/>
  <c r="I32" i="243"/>
  <c r="I33" i="243"/>
  <c r="I34" i="243"/>
  <c r="I35" i="243"/>
  <c r="I36" i="243"/>
  <c r="I29" i="242"/>
  <c r="I30" i="242"/>
  <c r="I31" i="242"/>
  <c r="I32" i="242"/>
  <c r="I33" i="242"/>
  <c r="I34" i="242"/>
  <c r="I35" i="242"/>
  <c r="I36" i="242"/>
  <c r="I29" i="241"/>
  <c r="I30" i="241"/>
  <c r="I31" i="241"/>
  <c r="I32" i="241"/>
  <c r="I33" i="241"/>
  <c r="I34" i="241"/>
  <c r="I35" i="241"/>
  <c r="I36" i="241"/>
  <c r="I31" i="240"/>
  <c r="I33" i="240"/>
  <c r="I34" i="240"/>
  <c r="I29" i="240"/>
  <c r="I30" i="240"/>
  <c r="I32" i="240"/>
  <c r="I35" i="240"/>
  <c r="I36" i="240"/>
  <c r="I29" i="239"/>
  <c r="I30" i="239"/>
  <c r="I31" i="239"/>
  <c r="I32" i="239"/>
  <c r="I33" i="239"/>
  <c r="I34" i="239"/>
  <c r="I35" i="239"/>
  <c r="I36" i="239"/>
  <c r="I34" i="238"/>
  <c r="I35" i="238"/>
  <c r="I29" i="238"/>
  <c r="I30" i="238"/>
  <c r="I31" i="238"/>
  <c r="I32" i="238"/>
  <c r="I33" i="238"/>
  <c r="I36" i="238"/>
  <c r="I29" i="237"/>
  <c r="I30" i="237"/>
  <c r="I31" i="237"/>
  <c r="I32" i="237"/>
  <c r="I33" i="237"/>
  <c r="I34" i="237"/>
  <c r="I35" i="237"/>
  <c r="I36" i="237"/>
  <c r="I29" i="236"/>
  <c r="I30" i="236"/>
  <c r="I31" i="236"/>
  <c r="I32" i="236"/>
  <c r="I33" i="236"/>
  <c r="I34" i="236"/>
  <c r="I35" i="236"/>
  <c r="I36" i="236"/>
  <c r="I29" i="235"/>
  <c r="I30" i="235"/>
  <c r="I31" i="235"/>
  <c r="I32" i="235"/>
  <c r="I33" i="235"/>
  <c r="I34" i="235"/>
  <c r="I35" i="235"/>
  <c r="I36" i="235"/>
  <c r="I29" i="234"/>
  <c r="I30" i="234"/>
  <c r="I31" i="234"/>
  <c r="I32" i="234"/>
  <c r="I33" i="234"/>
  <c r="I34" i="234"/>
  <c r="I35" i="234"/>
  <c r="I36" i="234"/>
  <c r="I29" i="233"/>
  <c r="I30" i="233"/>
  <c r="I31" i="233"/>
  <c r="I32" i="233"/>
  <c r="I33" i="233"/>
  <c r="I34" i="233"/>
  <c r="I35" i="233"/>
  <c r="I36" i="233"/>
  <c r="I31" i="230"/>
  <c r="I32" i="230"/>
  <c r="I34" i="230"/>
  <c r="I35" i="230"/>
  <c r="I29" i="230"/>
  <c r="I33" i="230"/>
  <c r="I36" i="230"/>
  <c r="I37" i="230"/>
  <c r="I29" i="229"/>
  <c r="I30" i="229"/>
  <c r="I31" i="229"/>
  <c r="I32" i="229"/>
  <c r="I33" i="229"/>
  <c r="I34" i="229"/>
  <c r="I35" i="229"/>
  <c r="I37" i="229"/>
  <c r="I36" i="229"/>
  <c r="I29" i="228"/>
  <c r="I32" i="228"/>
  <c r="I34" i="228"/>
  <c r="I35" i="228"/>
  <c r="I36" i="228"/>
  <c r="I30" i="228"/>
  <c r="I33" i="228"/>
  <c r="I37" i="228"/>
  <c r="I33" i="227"/>
  <c r="I34" i="227"/>
  <c r="I37" i="227"/>
  <c r="I38" i="227"/>
  <c r="I42" i="227"/>
  <c r="I43" i="227"/>
  <c r="I45" i="227"/>
  <c r="I44" i="227"/>
  <c r="I33" i="226"/>
  <c r="I34" i="226"/>
  <c r="I35" i="226"/>
  <c r="I36" i="226"/>
  <c r="I37" i="226"/>
  <c r="I38" i="226"/>
  <c r="I39" i="226"/>
  <c r="I40" i="226"/>
  <c r="I41" i="226"/>
  <c r="I31" i="225"/>
  <c r="I33" i="225"/>
  <c r="I34" i="225"/>
  <c r="I37" i="225"/>
  <c r="I38" i="225"/>
  <c r="I32" i="225"/>
  <c r="I35" i="225"/>
  <c r="I36" i="225"/>
  <c r="I39" i="225"/>
  <c r="I25" i="224"/>
  <c r="I26" i="224"/>
  <c r="I27" i="224"/>
  <c r="I28" i="224"/>
  <c r="I29" i="224"/>
  <c r="I31" i="224"/>
  <c r="I32" i="224"/>
  <c r="I33" i="224"/>
  <c r="I30" i="224"/>
  <c r="I29" i="222"/>
  <c r="I30" i="222"/>
  <c r="I31" i="222"/>
  <c r="I32" i="222"/>
  <c r="I34" i="222"/>
  <c r="I35" i="222"/>
  <c r="I36" i="222"/>
  <c r="I33" i="222"/>
  <c r="I37" i="222"/>
  <c r="I29" i="219"/>
  <c r="I32" i="219"/>
  <c r="I33" i="219"/>
  <c r="I35" i="219"/>
  <c r="I36" i="219"/>
  <c r="I37" i="219"/>
  <c r="I30" i="219"/>
  <c r="I31" i="219"/>
  <c r="I34" i="219"/>
  <c r="I30" i="216"/>
  <c r="I33" i="216"/>
  <c r="I35" i="216"/>
  <c r="I36" i="216"/>
  <c r="I37" i="216"/>
  <c r="I29" i="216"/>
  <c r="I34" i="216"/>
  <c r="I38" i="216"/>
  <c r="I39" i="216"/>
  <c r="I29" i="213"/>
  <c r="I33" i="213"/>
  <c r="I34" i="213"/>
  <c r="I35" i="213"/>
  <c r="I37" i="213"/>
  <c r="I30" i="213"/>
  <c r="I31" i="213"/>
  <c r="I32" i="213"/>
  <c r="I36" i="213"/>
  <c r="I29" i="212"/>
  <c r="I31" i="212"/>
  <c r="I32" i="212"/>
  <c r="I33" i="212"/>
  <c r="I35" i="212"/>
  <c r="I36" i="212"/>
  <c r="I30" i="212"/>
  <c r="I34" i="212"/>
  <c r="I37" i="212"/>
  <c r="I31" i="211"/>
  <c r="I32" i="211"/>
  <c r="I35" i="211"/>
  <c r="I36" i="211"/>
  <c r="I29" i="211"/>
  <c r="I30" i="211"/>
  <c r="I33" i="211"/>
  <c r="I34" i="211"/>
  <c r="I37" i="211"/>
  <c r="I29" i="210"/>
  <c r="I34" i="210"/>
  <c r="I37" i="210"/>
  <c r="I38" i="210"/>
  <c r="I39" i="210"/>
  <c r="I40" i="210"/>
  <c r="I41" i="210"/>
  <c r="I30" i="210"/>
  <c r="I33" i="210"/>
  <c r="I29" i="209"/>
  <c r="I31" i="209"/>
  <c r="I32" i="209"/>
  <c r="I33" i="209"/>
  <c r="I35" i="209"/>
  <c r="I36" i="209"/>
  <c r="I37" i="209"/>
  <c r="I30" i="209"/>
  <c r="I34" i="209"/>
  <c r="I31" i="207"/>
  <c r="I32" i="207"/>
  <c r="I33" i="207"/>
  <c r="I34" i="207"/>
  <c r="I35" i="207"/>
  <c r="I36" i="207"/>
  <c r="I29" i="207"/>
  <c r="I30" i="207"/>
  <c r="I37" i="207"/>
  <c r="I37" i="206"/>
  <c r="I38" i="206"/>
  <c r="I41" i="206"/>
  <c r="I42" i="206"/>
  <c r="I35" i="206"/>
  <c r="I36" i="206"/>
  <c r="I39" i="206"/>
  <c r="I40" i="206"/>
  <c r="I43" i="206"/>
  <c r="I30" i="205"/>
  <c r="I31" i="205"/>
  <c r="I32" i="205"/>
  <c r="I33" i="205"/>
  <c r="I34" i="205"/>
  <c r="I35" i="205"/>
  <c r="I36" i="205"/>
  <c r="I37" i="205"/>
  <c r="I29" i="205"/>
  <c r="I29" i="204"/>
  <c r="I31" i="204"/>
  <c r="I32" i="204"/>
  <c r="I33" i="204"/>
  <c r="I34" i="204"/>
  <c r="I35" i="204"/>
  <c r="I36" i="204"/>
  <c r="I30" i="204"/>
  <c r="I37" i="204"/>
  <c r="I32" i="203"/>
  <c r="I33" i="203"/>
  <c r="I34" i="203"/>
  <c r="I36" i="203"/>
  <c r="I37" i="203"/>
  <c r="I38" i="203"/>
  <c r="I31" i="203"/>
  <c r="I35" i="203"/>
  <c r="I39" i="203"/>
  <c r="I31" i="202"/>
  <c r="I34" i="202"/>
  <c r="I35" i="202"/>
  <c r="I36" i="202"/>
  <c r="I38" i="202"/>
  <c r="I39" i="202"/>
  <c r="I32" i="202"/>
  <c r="I33" i="202"/>
  <c r="I37" i="202"/>
  <c r="I31" i="201"/>
  <c r="I32" i="201"/>
  <c r="I33" i="201"/>
  <c r="I34" i="201"/>
  <c r="I35" i="201"/>
  <c r="I36" i="201"/>
  <c r="I29" i="201"/>
  <c r="I30" i="201"/>
  <c r="I37" i="201"/>
  <c r="I29" i="200"/>
  <c r="I30" i="200"/>
  <c r="I29" i="199"/>
  <c r="I32" i="199"/>
  <c r="I33" i="199"/>
  <c r="I35" i="199"/>
  <c r="I36" i="199"/>
  <c r="I37" i="199"/>
  <c r="I30" i="199"/>
  <c r="I31" i="199"/>
  <c r="I34" i="199"/>
  <c r="I31" i="198"/>
  <c r="I33" i="198"/>
  <c r="I34" i="198"/>
  <c r="I35" i="198"/>
  <c r="I39" i="198"/>
  <c r="I40" i="198"/>
  <c r="I32" i="198"/>
  <c r="I36" i="198"/>
  <c r="I41" i="198"/>
  <c r="I31" i="197"/>
  <c r="I32" i="197"/>
  <c r="I33" i="197"/>
  <c r="I34" i="197"/>
  <c r="I37" i="197"/>
  <c r="I38" i="197"/>
  <c r="I39" i="197"/>
  <c r="I40" i="197"/>
  <c r="I41" i="197"/>
  <c r="I37" i="196"/>
  <c r="I38" i="196"/>
  <c r="I39" i="196"/>
  <c r="I40" i="196"/>
  <c r="I42" i="196"/>
  <c r="I43" i="196"/>
  <c r="I36" i="196"/>
  <c r="I41" i="196"/>
  <c r="I44" i="196"/>
  <c r="I32" i="193"/>
  <c r="I33" i="193"/>
  <c r="I35" i="193"/>
  <c r="I36" i="193"/>
  <c r="I37" i="193"/>
  <c r="I30" i="193"/>
  <c r="I31" i="193"/>
  <c r="I34" i="193"/>
  <c r="I29" i="192"/>
  <c r="I32" i="192"/>
  <c r="I33" i="192"/>
  <c r="I34" i="192"/>
  <c r="I35" i="192"/>
  <c r="I36" i="192"/>
  <c r="I37" i="192"/>
  <c r="I30" i="192"/>
  <c r="I31" i="192"/>
  <c r="I29" i="191"/>
  <c r="I33" i="191"/>
  <c r="I34" i="191"/>
  <c r="I35" i="191"/>
  <c r="I36" i="191"/>
  <c r="I37" i="191"/>
  <c r="I38" i="191"/>
  <c r="I39" i="191"/>
  <c r="I30" i="191"/>
  <c r="I29" i="190"/>
  <c r="I32" i="190"/>
  <c r="I33" i="190"/>
  <c r="I34" i="190"/>
  <c r="I36" i="190"/>
  <c r="I37" i="190"/>
  <c r="I30" i="190"/>
  <c r="I31" i="190"/>
  <c r="I35" i="190"/>
  <c r="I39" i="189"/>
  <c r="I42" i="189"/>
  <c r="I43" i="189"/>
  <c r="I46" i="189"/>
  <c r="I47" i="189"/>
  <c r="I40" i="189"/>
  <c r="I41" i="189"/>
  <c r="I44" i="189"/>
  <c r="I45" i="189"/>
  <c r="I30" i="188"/>
  <c r="I31" i="188"/>
  <c r="I32" i="188"/>
  <c r="I33" i="188"/>
  <c r="I35" i="188"/>
  <c r="I36" i="188"/>
  <c r="I29" i="188"/>
  <c r="I34" i="188"/>
  <c r="I37" i="188"/>
  <c r="I35" i="187"/>
  <c r="I38" i="187"/>
  <c r="I39" i="187"/>
  <c r="I40" i="187"/>
  <c r="I43" i="187"/>
  <c r="I44" i="187"/>
  <c r="G45" i="187"/>
  <c r="I45" i="187" s="1"/>
  <c r="I36" i="187"/>
  <c r="I37" i="187"/>
  <c r="I30" i="186"/>
  <c r="I31" i="186"/>
  <c r="I32" i="186"/>
  <c r="I33" i="186"/>
  <c r="I35" i="186"/>
  <c r="I36" i="186"/>
  <c r="I29" i="186"/>
  <c r="I34" i="186"/>
  <c r="I37" i="186"/>
  <c r="I29" i="183"/>
  <c r="I31" i="183"/>
  <c r="I32" i="183"/>
  <c r="I33" i="183"/>
  <c r="I35" i="183"/>
  <c r="I36" i="183"/>
  <c r="I30" i="183"/>
  <c r="I34" i="183"/>
  <c r="I37" i="183"/>
  <c r="I31" i="177"/>
  <c r="I32" i="177"/>
  <c r="I33" i="177"/>
  <c r="I34" i="177"/>
  <c r="I35" i="177"/>
  <c r="I36" i="177"/>
  <c r="I37" i="177"/>
  <c r="I38" i="177"/>
  <c r="I39" i="177"/>
  <c r="I33" i="175"/>
  <c r="I34" i="175"/>
  <c r="I37" i="175"/>
  <c r="I38" i="175"/>
  <c r="I39" i="175"/>
  <c r="I40" i="175"/>
  <c r="I41" i="175"/>
  <c r="I43" i="175"/>
  <c r="I42" i="175"/>
  <c r="I29" i="174"/>
  <c r="I30" i="174"/>
  <c r="I31" i="174"/>
  <c r="I34" i="174"/>
  <c r="I35" i="174"/>
  <c r="I32" i="174"/>
  <c r="I33" i="174"/>
  <c r="I36" i="174"/>
  <c r="I37" i="174"/>
  <c r="I31" i="173"/>
  <c r="I32" i="173"/>
  <c r="I35" i="173"/>
  <c r="I36" i="173"/>
  <c r="I37" i="173"/>
  <c r="I39" i="173"/>
  <c r="I33" i="173"/>
  <c r="I34" i="173"/>
  <c r="I38" i="173"/>
  <c r="I29" i="169"/>
  <c r="I30" i="169"/>
  <c r="I31" i="169"/>
  <c r="I32" i="169"/>
  <c r="I33" i="169"/>
  <c r="I34" i="169"/>
  <c r="I36" i="169"/>
  <c r="I37" i="169"/>
  <c r="I35" i="169"/>
  <c r="I29" i="168"/>
  <c r="I30" i="168"/>
  <c r="I31" i="168"/>
  <c r="I32" i="168"/>
  <c r="I35" i="168"/>
  <c r="I36" i="168"/>
  <c r="I37" i="168"/>
  <c r="I38" i="168"/>
  <c r="I29" i="167"/>
  <c r="I30" i="167"/>
  <c r="I31" i="167"/>
  <c r="I32" i="167"/>
  <c r="I33" i="167"/>
  <c r="I34" i="167"/>
  <c r="I35" i="167"/>
  <c r="I36" i="167"/>
  <c r="I29" i="166"/>
  <c r="I30" i="166"/>
  <c r="I31" i="166"/>
  <c r="I32" i="166"/>
  <c r="I33" i="166"/>
  <c r="I34" i="166"/>
  <c r="I35" i="166"/>
  <c r="I36" i="166"/>
  <c r="I29" i="164"/>
  <c r="I30" i="164"/>
  <c r="I31" i="164"/>
  <c r="I32" i="164"/>
  <c r="I33" i="164"/>
  <c r="I34" i="164"/>
  <c r="I35" i="164"/>
  <c r="I36" i="164"/>
  <c r="I29" i="170"/>
  <c r="I30" i="170"/>
  <c r="I31" i="170"/>
  <c r="I32" i="170"/>
  <c r="I33" i="170"/>
  <c r="I34" i="170"/>
  <c r="I35" i="170"/>
  <c r="I36" i="170"/>
  <c r="I29" i="159"/>
  <c r="I30" i="159"/>
  <c r="I31" i="159"/>
  <c r="I32" i="159"/>
  <c r="I33" i="159"/>
  <c r="I34" i="159"/>
  <c r="I35" i="159"/>
  <c r="I36" i="159"/>
  <c r="I29" i="157"/>
  <c r="I30" i="157"/>
  <c r="I31" i="157"/>
  <c r="I32" i="157"/>
  <c r="I33" i="157"/>
  <c r="I34" i="157"/>
  <c r="I35" i="157"/>
  <c r="I36" i="157"/>
  <c r="I29" i="156"/>
  <c r="I30" i="156"/>
  <c r="I31" i="156"/>
  <c r="I32" i="156"/>
  <c r="I33" i="156"/>
  <c r="I34" i="156"/>
  <c r="I35" i="156"/>
  <c r="I36" i="156"/>
  <c r="I29" i="154"/>
  <c r="I30" i="154"/>
  <c r="I31" i="154"/>
  <c r="I32" i="154"/>
  <c r="I33" i="154"/>
  <c r="I34" i="154"/>
  <c r="I35" i="154"/>
  <c r="I36" i="154"/>
  <c r="I41" i="227" l="1"/>
  <c r="I31" i="228"/>
  <c r="I30" i="230"/>
  <c r="I29" i="282"/>
  <c r="I30" i="281"/>
  <c r="I29" i="257"/>
  <c r="I29" i="193"/>
  <c r="I38" i="189" l="1"/>
  <c r="I28" i="189"/>
  <c r="I32" i="189"/>
  <c r="I33" i="189"/>
  <c r="I34" i="189"/>
  <c r="I36" i="189"/>
  <c r="I25" i="189"/>
  <c r="I26" i="189"/>
  <c r="I27" i="189"/>
  <c r="I29" i="189"/>
  <c r="I30" i="189"/>
  <c r="I31" i="189"/>
  <c r="I35" i="189"/>
  <c r="I37" i="189"/>
  <c r="G23" i="41" l="1"/>
  <c r="G22" i="41"/>
  <c r="G21" i="41"/>
  <c r="G20" i="41"/>
  <c r="G19" i="41"/>
  <c r="I27" i="271" l="1"/>
  <c r="I28" i="271"/>
  <c r="I31" i="194" l="1"/>
  <c r="I30" i="194"/>
  <c r="I29" i="194"/>
  <c r="I32" i="194" l="1"/>
  <c r="I25" i="202" l="1"/>
  <c r="I26" i="202"/>
  <c r="G52" i="267" l="1"/>
  <c r="G53" i="267"/>
  <c r="G54" i="267"/>
  <c r="G55" i="267"/>
  <c r="G56" i="267"/>
  <c r="G53" i="263"/>
  <c r="G54" i="263"/>
  <c r="G55" i="263"/>
  <c r="G56" i="263"/>
  <c r="I25" i="290"/>
  <c r="I26" i="290"/>
  <c r="I27" i="290"/>
  <c r="I28" i="290"/>
  <c r="I25" i="289"/>
  <c r="I27" i="289"/>
  <c r="I26" i="289"/>
  <c r="I28" i="289"/>
  <c r="I25" i="288"/>
  <c r="I26" i="288"/>
  <c r="I27" i="288"/>
  <c r="I28" i="288"/>
  <c r="I26" i="286"/>
  <c r="I27" i="286"/>
  <c r="I25" i="286"/>
  <c r="I28" i="286"/>
  <c r="I25" i="285"/>
  <c r="I26" i="285"/>
  <c r="I27" i="285"/>
  <c r="I28" i="285"/>
  <c r="I25" i="284"/>
  <c r="I26" i="284"/>
  <c r="I27" i="284"/>
  <c r="I28" i="284"/>
  <c r="I25" i="283"/>
  <c r="I26" i="283"/>
  <c r="I27" i="283"/>
  <c r="I28" i="283"/>
  <c r="I25" i="282"/>
  <c r="I26" i="282"/>
  <c r="I27" i="282"/>
  <c r="I28" i="282"/>
  <c r="I25" i="281"/>
  <c r="I27" i="281"/>
  <c r="I28" i="281"/>
  <c r="I25" i="280"/>
  <c r="I27" i="280"/>
  <c r="I28" i="280"/>
  <c r="I26" i="280"/>
  <c r="I25" i="279"/>
  <c r="I26" i="279"/>
  <c r="I27" i="279"/>
  <c r="I28" i="279"/>
  <c r="I29" i="278"/>
  <c r="I30" i="278"/>
  <c r="I31" i="278"/>
  <c r="I32" i="278"/>
  <c r="I25" i="277"/>
  <c r="I27" i="277"/>
  <c r="I28" i="277"/>
  <c r="I26" i="277"/>
  <c r="I25" i="276"/>
  <c r="I26" i="276"/>
  <c r="I27" i="276"/>
  <c r="I28" i="276"/>
  <c r="I25" i="275"/>
  <c r="I26" i="275"/>
  <c r="I27" i="275"/>
  <c r="I28" i="275"/>
  <c r="I25" i="274"/>
  <c r="I27" i="274"/>
  <c r="I26" i="274"/>
  <c r="I28" i="274"/>
  <c r="I28" i="273"/>
  <c r="I25" i="273"/>
  <c r="I26" i="273"/>
  <c r="I27" i="273"/>
  <c r="I27" i="272"/>
  <c r="I28" i="272"/>
  <c r="I31" i="272"/>
  <c r="I32" i="272"/>
  <c r="I25" i="271"/>
  <c r="I26" i="271"/>
  <c r="I29" i="271"/>
  <c r="I30" i="271"/>
  <c r="I26" i="270"/>
  <c r="I25" i="270"/>
  <c r="I27" i="270"/>
  <c r="I28" i="270"/>
  <c r="I28" i="269"/>
  <c r="I25" i="269"/>
  <c r="I26" i="269"/>
  <c r="I27" i="269"/>
  <c r="I25" i="268"/>
  <c r="I27" i="268"/>
  <c r="I26" i="268"/>
  <c r="I28" i="268"/>
  <c r="I26" i="266"/>
  <c r="I27" i="266"/>
  <c r="I28" i="266"/>
  <c r="I29" i="266"/>
  <c r="I26" i="265"/>
  <c r="I27" i="265"/>
  <c r="I28" i="265"/>
  <c r="I25" i="265"/>
  <c r="I25" i="262"/>
  <c r="I26" i="262"/>
  <c r="I27" i="262"/>
  <c r="I28" i="262"/>
  <c r="I28" i="261"/>
  <c r="I27" i="261"/>
  <c r="I28" i="260"/>
  <c r="I29" i="260"/>
  <c r="I27" i="260"/>
  <c r="I30" i="260"/>
  <c r="I27" i="259"/>
  <c r="I25" i="259"/>
  <c r="I26" i="259"/>
  <c r="I28" i="259"/>
  <c r="I25" i="258"/>
  <c r="I26" i="258"/>
  <c r="I27" i="258"/>
  <c r="I28" i="258"/>
  <c r="I26" i="257"/>
  <c r="I27" i="257"/>
  <c r="I28" i="257"/>
  <c r="I25" i="257"/>
  <c r="I29" i="256"/>
  <c r="I30" i="256"/>
  <c r="I27" i="256"/>
  <c r="I28" i="256"/>
  <c r="I25" i="255"/>
  <c r="I27" i="255"/>
  <c r="I28" i="255"/>
  <c r="I23" i="254"/>
  <c r="I24" i="254"/>
  <c r="I25" i="254"/>
  <c r="I26" i="254"/>
  <c r="I25" i="253"/>
  <c r="I28" i="253"/>
  <c r="I26" i="253"/>
  <c r="I27" i="253"/>
  <c r="I25" i="252"/>
  <c r="I26" i="252"/>
  <c r="I27" i="252"/>
  <c r="I25" i="250"/>
  <c r="I26" i="250"/>
  <c r="I27" i="250"/>
  <c r="I25" i="249"/>
  <c r="I26" i="249"/>
  <c r="I27" i="249"/>
  <c r="I28" i="249"/>
  <c r="I25" i="248"/>
  <c r="I26" i="248"/>
  <c r="I29" i="248"/>
  <c r="I30" i="248"/>
  <c r="I25" i="247"/>
  <c r="I26" i="247"/>
  <c r="I27" i="247"/>
  <c r="I28" i="247"/>
  <c r="I27" i="246"/>
  <c r="I28" i="246"/>
  <c r="I29" i="246"/>
  <c r="I25" i="245"/>
  <c r="I26" i="245"/>
  <c r="I27" i="245"/>
  <c r="I25" i="244"/>
  <c r="I26" i="244"/>
  <c r="I27" i="244"/>
  <c r="I28" i="244"/>
  <c r="I25" i="243"/>
  <c r="I26" i="243"/>
  <c r="I27" i="243"/>
  <c r="I25" i="242"/>
  <c r="I26" i="242"/>
  <c r="I27" i="242"/>
  <c r="I27" i="241"/>
  <c r="I28" i="241"/>
  <c r="I25" i="241"/>
  <c r="I26" i="241"/>
  <c r="I25" i="240"/>
  <c r="I26" i="240"/>
  <c r="I25" i="239"/>
  <c r="I28" i="239"/>
  <c r="I26" i="239"/>
  <c r="I27" i="239"/>
  <c r="I27" i="238"/>
  <c r="I28" i="238"/>
  <c r="I25" i="238"/>
  <c r="I26" i="238"/>
  <c r="I25" i="237"/>
  <c r="I26" i="237"/>
  <c r="I27" i="237"/>
  <c r="I28" i="237"/>
  <c r="I25" i="236"/>
  <c r="I26" i="236"/>
  <c r="I27" i="236"/>
  <c r="I28" i="236"/>
  <c r="I25" i="235"/>
  <c r="I26" i="235"/>
  <c r="I27" i="235"/>
  <c r="I28" i="235"/>
  <c r="I27" i="234"/>
  <c r="I25" i="234"/>
  <c r="I26" i="234"/>
  <c r="I28" i="234"/>
  <c r="I25" i="233"/>
  <c r="I26" i="233"/>
  <c r="I27" i="233"/>
  <c r="I25" i="230"/>
  <c r="I26" i="230"/>
  <c r="I27" i="230"/>
  <c r="I28" i="230"/>
  <c r="I25" i="229"/>
  <c r="I26" i="229"/>
  <c r="I27" i="229"/>
  <c r="I28" i="229"/>
  <c r="I29" i="227"/>
  <c r="I30" i="227"/>
  <c r="I31" i="227"/>
  <c r="I32" i="227"/>
  <c r="I30" i="226"/>
  <c r="I31" i="226"/>
  <c r="I32" i="226"/>
  <c r="I29" i="226"/>
  <c r="I25" i="225"/>
  <c r="I26" i="225"/>
  <c r="I29" i="225"/>
  <c r="I30" i="225"/>
  <c r="I23" i="224"/>
  <c r="I24" i="224"/>
  <c r="I21" i="224"/>
  <c r="I22" i="224"/>
  <c r="I25" i="222"/>
  <c r="I26" i="222"/>
  <c r="I27" i="222"/>
  <c r="I28" i="222"/>
  <c r="I28" i="243" l="1"/>
  <c r="I30" i="246"/>
  <c r="I28" i="242"/>
  <c r="I28" i="245"/>
  <c r="I28" i="252"/>
  <c r="I28" i="250"/>
  <c r="I28" i="240"/>
  <c r="I26" i="281"/>
  <c r="I26" i="255"/>
  <c r="I27" i="240"/>
  <c r="I28" i="233"/>
  <c r="G52" i="263" l="1"/>
  <c r="G51" i="263" l="1"/>
  <c r="I25" i="219" l="1"/>
  <c r="I26" i="219"/>
  <c r="I27" i="219"/>
  <c r="I28" i="219"/>
  <c r="I25" i="216"/>
  <c r="I26" i="216"/>
  <c r="I27" i="216"/>
  <c r="I28" i="216"/>
  <c r="I26" i="213"/>
  <c r="I27" i="213"/>
  <c r="I25" i="213"/>
  <c r="I28" i="213"/>
  <c r="I25" i="212"/>
  <c r="I26" i="212"/>
  <c r="I27" i="212"/>
  <c r="I28" i="212"/>
  <c r="I25" i="211"/>
  <c r="I26" i="211"/>
  <c r="I27" i="211"/>
  <c r="I28" i="211"/>
  <c r="I25" i="210"/>
  <c r="I26" i="210"/>
  <c r="I27" i="210"/>
  <c r="I28" i="210"/>
  <c r="I25" i="209"/>
  <c r="I26" i="209"/>
  <c r="I27" i="209"/>
  <c r="I28" i="209"/>
  <c r="I27" i="207"/>
  <c r="I25" i="207"/>
  <c r="I26" i="207"/>
  <c r="I28" i="207"/>
  <c r="I31" i="206"/>
  <c r="I32" i="206"/>
  <c r="I33" i="206"/>
  <c r="I34" i="206"/>
  <c r="I25" i="205"/>
  <c r="I26" i="205"/>
  <c r="I27" i="205"/>
  <c r="I28" i="205"/>
  <c r="I25" i="204"/>
  <c r="I26" i="204"/>
  <c r="I27" i="204"/>
  <c r="I28" i="204"/>
  <c r="I25" i="203"/>
  <c r="I26" i="203"/>
  <c r="I27" i="203"/>
  <c r="I28" i="203"/>
  <c r="I27" i="202"/>
  <c r="I28" i="202"/>
  <c r="I29" i="202"/>
  <c r="I30" i="202"/>
  <c r="I26" i="201"/>
  <c r="I27" i="201"/>
  <c r="I28" i="201"/>
  <c r="I25" i="201"/>
  <c r="I25" i="200"/>
  <c r="I26" i="200"/>
  <c r="I27" i="200"/>
  <c r="I28" i="200"/>
  <c r="I25" i="199"/>
  <c r="I26" i="199"/>
  <c r="I27" i="199"/>
  <c r="I28" i="199"/>
  <c r="I27" i="198"/>
  <c r="I28" i="198"/>
  <c r="I29" i="198"/>
  <c r="I30" i="198"/>
  <c r="I25" i="197"/>
  <c r="I26" i="197"/>
  <c r="I28" i="197"/>
  <c r="I27" i="197"/>
  <c r="I32" i="196"/>
  <c r="I33" i="196"/>
  <c r="I34" i="196"/>
  <c r="I35" i="196"/>
  <c r="I25" i="194"/>
  <c r="I26" i="194"/>
  <c r="I27" i="194"/>
  <c r="I28" i="194"/>
  <c r="I25" i="193"/>
  <c r="I26" i="193"/>
  <c r="I27" i="193"/>
  <c r="I28" i="193"/>
  <c r="I25" i="192"/>
  <c r="I26" i="192"/>
  <c r="I27" i="192"/>
  <c r="I28" i="192"/>
  <c r="I26" i="191"/>
  <c r="I27" i="191"/>
  <c r="I28" i="191"/>
  <c r="I25" i="191"/>
  <c r="I26" i="190"/>
  <c r="I28" i="190"/>
  <c r="I25" i="190"/>
  <c r="I27" i="190"/>
  <c r="I27" i="188"/>
  <c r="I25" i="188"/>
  <c r="I26" i="188"/>
  <c r="I28" i="188"/>
  <c r="I31" i="187"/>
  <c r="I29" i="187"/>
  <c r="I30" i="187"/>
  <c r="I25" i="186"/>
  <c r="I26" i="186"/>
  <c r="I27" i="186"/>
  <c r="I28" i="186"/>
  <c r="I25" i="183"/>
  <c r="I26" i="183"/>
  <c r="I27" i="183"/>
  <c r="I28" i="183"/>
  <c r="I25" i="177"/>
  <c r="I26" i="177"/>
  <c r="I27" i="177"/>
  <c r="I28" i="177"/>
  <c r="I29" i="175"/>
  <c r="I30" i="175"/>
  <c r="I31" i="175"/>
  <c r="I32" i="175"/>
  <c r="I25" i="174"/>
  <c r="I26" i="174"/>
  <c r="I27" i="174"/>
  <c r="I28" i="174"/>
  <c r="I27" i="173"/>
  <c r="I28" i="173"/>
  <c r="I29" i="173"/>
  <c r="I30" i="173"/>
  <c r="I27" i="169"/>
  <c r="I28" i="169"/>
  <c r="I25" i="169"/>
  <c r="I26" i="169"/>
  <c r="I25" i="168"/>
  <c r="I26" i="168"/>
  <c r="I27" i="168"/>
  <c r="I28" i="168"/>
  <c r="I26" i="167"/>
  <c r="I27" i="167"/>
  <c r="I25" i="167"/>
  <c r="I28" i="167"/>
  <c r="I25" i="166"/>
  <c r="I26" i="166"/>
  <c r="I27" i="166"/>
  <c r="I28" i="166"/>
  <c r="I25" i="164"/>
  <c r="I26" i="164"/>
  <c r="I27" i="164"/>
  <c r="I28" i="164"/>
  <c r="I25" i="170"/>
  <c r="I26" i="170"/>
  <c r="I27" i="170"/>
  <c r="I28" i="170"/>
  <c r="I25" i="159"/>
  <c r="I26" i="159"/>
  <c r="I27" i="159"/>
  <c r="I28" i="159"/>
  <c r="I25" i="157"/>
  <c r="I26" i="157"/>
  <c r="I27" i="157"/>
  <c r="I25" i="156"/>
  <c r="I26" i="156"/>
  <c r="I27" i="156"/>
  <c r="I28" i="156"/>
  <c r="I25" i="154"/>
  <c r="I26" i="154"/>
  <c r="I27" i="154"/>
  <c r="I28" i="154"/>
  <c r="I24" i="153"/>
  <c r="I25" i="153"/>
  <c r="I26" i="153"/>
  <c r="I27" i="153"/>
  <c r="I11" i="153"/>
  <c r="I12" i="153"/>
  <c r="I14" i="153"/>
  <c r="I15" i="153"/>
  <c r="I16" i="153"/>
  <c r="I19" i="153"/>
  <c r="I20" i="153"/>
  <c r="I22" i="153"/>
  <c r="I23" i="153"/>
  <c r="I28" i="153"/>
  <c r="I29" i="153"/>
  <c r="I31" i="153"/>
  <c r="I32" i="153"/>
  <c r="I34" i="153"/>
  <c r="I35" i="153"/>
  <c r="I36" i="153"/>
  <c r="G37" i="153"/>
  <c r="G38" i="153"/>
  <c r="I38" i="153" s="1"/>
  <c r="G39" i="153"/>
  <c r="I39" i="153" s="1"/>
  <c r="G40" i="153"/>
  <c r="I40" i="153" s="1"/>
  <c r="G41" i="153"/>
  <c r="I41" i="153" s="1"/>
  <c r="I13" i="153"/>
  <c r="I17" i="153"/>
  <c r="I18" i="153"/>
  <c r="I21" i="153"/>
  <c r="I30" i="153"/>
  <c r="I37" i="153"/>
  <c r="B46" i="177"/>
  <c r="I32" i="187" l="1"/>
  <c r="I33" i="153"/>
  <c r="I28" i="157"/>
  <c r="G18" i="41"/>
  <c r="G50" i="263" l="1"/>
  <c r="I23" i="260" l="1"/>
  <c r="I24" i="260"/>
  <c r="G49" i="267" l="1"/>
  <c r="G50" i="267"/>
  <c r="G51" i="267"/>
  <c r="G49" i="263"/>
  <c r="G39" i="180" l="1"/>
  <c r="G40" i="180"/>
  <c r="I40" i="180" s="1"/>
  <c r="I39" i="180" l="1"/>
  <c r="H39" i="180"/>
  <c r="H40" i="180" s="1"/>
  <c r="I19" i="163"/>
  <c r="I20" i="163"/>
  <c r="I22" i="290"/>
  <c r="I21" i="290"/>
  <c r="I23" i="290"/>
  <c r="I24" i="290"/>
  <c r="I21" i="289"/>
  <c r="I23" i="289"/>
  <c r="I22" i="289"/>
  <c r="I24" i="289"/>
  <c r="I21" i="288"/>
  <c r="I22" i="288"/>
  <c r="I23" i="288"/>
  <c r="I24" i="288"/>
  <c r="I21" i="286"/>
  <c r="I24" i="286"/>
  <c r="I22" i="286"/>
  <c r="I23" i="286"/>
  <c r="I21" i="285"/>
  <c r="I22" i="285"/>
  <c r="I23" i="285"/>
  <c r="I24" i="285"/>
  <c r="I22" i="284"/>
  <c r="I21" i="284"/>
  <c r="I23" i="284"/>
  <c r="I24" i="284"/>
  <c r="I21" i="283"/>
  <c r="I22" i="283"/>
  <c r="I23" i="283"/>
  <c r="I24" i="283"/>
  <c r="I22" i="282"/>
  <c r="I21" i="282"/>
  <c r="I23" i="282"/>
  <c r="I24" i="282"/>
  <c r="I22" i="281"/>
  <c r="I24" i="281"/>
  <c r="I21" i="281"/>
  <c r="I23" i="281"/>
  <c r="I21" i="280"/>
  <c r="I22" i="280"/>
  <c r="I23" i="280"/>
  <c r="I24" i="280"/>
  <c r="I22" i="279"/>
  <c r="I23" i="279"/>
  <c r="I21" i="279"/>
  <c r="I24" i="279"/>
  <c r="I25" i="278"/>
  <c r="I26" i="278"/>
  <c r="I27" i="278"/>
  <c r="I28" i="278"/>
  <c r="I21" i="277"/>
  <c r="I22" i="277"/>
  <c r="I23" i="277"/>
  <c r="I24" i="277"/>
  <c r="I22" i="276"/>
  <c r="I23" i="276"/>
  <c r="I21" i="276"/>
  <c r="I24" i="276"/>
  <c r="I21" i="275"/>
  <c r="I22" i="275"/>
  <c r="I23" i="275"/>
  <c r="I24" i="275"/>
  <c r="I21" i="274"/>
  <c r="I23" i="274"/>
  <c r="I24" i="274"/>
  <c r="I22" i="274"/>
  <c r="I21" i="273"/>
  <c r="I22" i="273"/>
  <c r="I23" i="273"/>
  <c r="I24" i="273"/>
  <c r="I23" i="272"/>
  <c r="I24" i="272"/>
  <c r="I25" i="272"/>
  <c r="I26" i="272"/>
  <c r="I21" i="271"/>
  <c r="I22" i="271"/>
  <c r="I23" i="271"/>
  <c r="I24" i="271"/>
  <c r="I21" i="270"/>
  <c r="I22" i="270"/>
  <c r="I23" i="270"/>
  <c r="I24" i="270"/>
  <c r="I23" i="269"/>
  <c r="I24" i="269"/>
  <c r="I21" i="269"/>
  <c r="I22" i="269"/>
  <c r="I21" i="268"/>
  <c r="I22" i="268"/>
  <c r="I23" i="268"/>
  <c r="I24" i="268"/>
  <c r="I22" i="266"/>
  <c r="I23" i="266"/>
  <c r="I24" i="266"/>
  <c r="I25" i="266"/>
  <c r="I21" i="265"/>
  <c r="I22" i="265"/>
  <c r="I23" i="265"/>
  <c r="I24" i="265"/>
  <c r="I23" i="262"/>
  <c r="I24" i="262"/>
  <c r="I21" i="262"/>
  <c r="I22" i="262"/>
  <c r="I24" i="261"/>
  <c r="I23" i="261"/>
  <c r="I25" i="261"/>
  <c r="I26" i="261"/>
  <c r="I21" i="260"/>
  <c r="I22" i="260"/>
  <c r="I25" i="260"/>
  <c r="I26" i="260"/>
  <c r="I21" i="259"/>
  <c r="I22" i="259"/>
  <c r="I23" i="259"/>
  <c r="I24" i="259"/>
  <c r="I24" i="258"/>
  <c r="I21" i="258"/>
  <c r="I22" i="258"/>
  <c r="I23" i="258"/>
  <c r="I21" i="257"/>
  <c r="I22" i="257"/>
  <c r="I23" i="257"/>
  <c r="I24" i="257"/>
  <c r="I21" i="256"/>
  <c r="I22" i="256"/>
  <c r="I23" i="256"/>
  <c r="I24" i="256"/>
  <c r="I21" i="255"/>
  <c r="I22" i="255"/>
  <c r="I23" i="255"/>
  <c r="I24" i="255"/>
  <c r="I20" i="254"/>
  <c r="I19" i="254"/>
  <c r="I21" i="254"/>
  <c r="I22" i="254"/>
  <c r="I21" i="253"/>
  <c r="I22" i="253"/>
  <c r="I23" i="253"/>
  <c r="I24" i="253"/>
  <c r="I21" i="252"/>
  <c r="I22" i="252"/>
  <c r="I23" i="252"/>
  <c r="I24" i="252"/>
  <c r="I21" i="250"/>
  <c r="I22" i="250"/>
  <c r="I23" i="250"/>
  <c r="I24" i="250"/>
  <c r="I21" i="249"/>
  <c r="I22" i="249"/>
  <c r="I23" i="249"/>
  <c r="I24" i="249"/>
  <c r="I21" i="248"/>
  <c r="I22" i="248"/>
  <c r="I23" i="248"/>
  <c r="I24" i="248"/>
  <c r="I21" i="247"/>
  <c r="I22" i="247"/>
  <c r="I23" i="247"/>
  <c r="I24" i="247"/>
  <c r="I21" i="246"/>
  <c r="I22" i="246"/>
  <c r="I23" i="246"/>
  <c r="I24" i="246"/>
  <c r="I22" i="245"/>
  <c r="I23" i="245"/>
  <c r="I24" i="245"/>
  <c r="I22" i="244"/>
  <c r="I21" i="244"/>
  <c r="I23" i="244"/>
  <c r="I24" i="244"/>
  <c r="I21" i="243"/>
  <c r="I22" i="243"/>
  <c r="I23" i="243"/>
  <c r="I24" i="243"/>
  <c r="I21" i="242"/>
  <c r="I22" i="242"/>
  <c r="I23" i="242"/>
  <c r="I24" i="242"/>
  <c r="I21" i="241"/>
  <c r="I22" i="241"/>
  <c r="I23" i="241"/>
  <c r="I24" i="241"/>
  <c r="I21" i="240"/>
  <c r="I22" i="240"/>
  <c r="I23" i="240"/>
  <c r="I24" i="240"/>
  <c r="I21" i="239"/>
  <c r="I23" i="239"/>
  <c r="I24" i="239"/>
  <c r="I22" i="239"/>
  <c r="I24" i="238"/>
  <c r="I21" i="238"/>
  <c r="I22" i="238"/>
  <c r="I23" i="238"/>
  <c r="I23" i="237"/>
  <c r="I21" i="237"/>
  <c r="I22" i="237"/>
  <c r="I24" i="237"/>
  <c r="I21" i="236"/>
  <c r="I22" i="236"/>
  <c r="I23" i="236"/>
  <c r="I24" i="236"/>
  <c r="I21" i="235"/>
  <c r="I22" i="235"/>
  <c r="I23" i="235"/>
  <c r="I24" i="235"/>
  <c r="I24" i="234"/>
  <c r="I21" i="234"/>
  <c r="I22" i="234"/>
  <c r="I23" i="234"/>
  <c r="I22" i="233"/>
  <c r="I21" i="233"/>
  <c r="I23" i="233"/>
  <c r="I24" i="233"/>
  <c r="I21" i="230"/>
  <c r="I22" i="230"/>
  <c r="I23" i="230"/>
  <c r="I24" i="230"/>
  <c r="I21" i="229"/>
  <c r="I22" i="229"/>
  <c r="I23" i="229"/>
  <c r="I24" i="229"/>
  <c r="I25" i="227"/>
  <c r="I27" i="227"/>
  <c r="I26" i="227"/>
  <c r="I28" i="227"/>
  <c r="I23" i="226"/>
  <c r="I24" i="226"/>
  <c r="I27" i="226"/>
  <c r="I28" i="226"/>
  <c r="I21" i="225"/>
  <c r="I22" i="225"/>
  <c r="I23" i="225"/>
  <c r="I24" i="225"/>
  <c r="I17" i="224"/>
  <c r="I18" i="224"/>
  <c r="I19" i="224"/>
  <c r="I20" i="224"/>
  <c r="I21" i="222"/>
  <c r="I22" i="222"/>
  <c r="I23" i="222"/>
  <c r="I24" i="222"/>
  <c r="I21" i="219"/>
  <c r="I22" i="219"/>
  <c r="I23" i="219"/>
  <c r="I24" i="219"/>
  <c r="I21" i="216"/>
  <c r="I22" i="216"/>
  <c r="I23" i="216"/>
  <c r="I24" i="216"/>
  <c r="I24" i="213"/>
  <c r="I21" i="213"/>
  <c r="I22" i="213"/>
  <c r="I23" i="213"/>
  <c r="I22" i="212"/>
  <c r="I23" i="212"/>
  <c r="I24" i="212"/>
  <c r="I21" i="212"/>
  <c r="I21" i="211"/>
  <c r="I22" i="211"/>
  <c r="I23" i="211"/>
  <c r="I24" i="211"/>
  <c r="I21" i="210"/>
  <c r="I22" i="210"/>
  <c r="I23" i="210"/>
  <c r="I24" i="210"/>
  <c r="I21" i="209"/>
  <c r="I22" i="209"/>
  <c r="I23" i="209"/>
  <c r="I24" i="209"/>
  <c r="I21" i="207"/>
  <c r="I22" i="207"/>
  <c r="I23" i="207"/>
  <c r="I24" i="207"/>
  <c r="I27" i="206"/>
  <c r="I28" i="206"/>
  <c r="I29" i="206"/>
  <c r="I30" i="206"/>
  <c r="I21" i="205"/>
  <c r="I22" i="205"/>
  <c r="I23" i="205"/>
  <c r="I24" i="205"/>
  <c r="I21" i="204"/>
  <c r="I22" i="204"/>
  <c r="I23" i="204"/>
  <c r="I24" i="204"/>
  <c r="I21" i="203"/>
  <c r="I22" i="203"/>
  <c r="I23" i="203"/>
  <c r="I24" i="203"/>
  <c r="I21" i="202"/>
  <c r="I22" i="202"/>
  <c r="I23" i="202"/>
  <c r="I24" i="202"/>
  <c r="I23" i="201"/>
  <c r="I24" i="201"/>
  <c r="I21" i="201"/>
  <c r="I22" i="201"/>
  <c r="I21" i="200"/>
  <c r="I22" i="200"/>
  <c r="I23" i="200"/>
  <c r="I24" i="200"/>
  <c r="I21" i="199"/>
  <c r="I22" i="199"/>
  <c r="I23" i="199"/>
  <c r="I24" i="199"/>
  <c r="I24" i="198"/>
  <c r="I23" i="198"/>
  <c r="I25" i="198"/>
  <c r="I26" i="198"/>
  <c r="I21" i="197"/>
  <c r="I22" i="197"/>
  <c r="I23" i="197"/>
  <c r="I24" i="197"/>
  <c r="I30" i="196"/>
  <c r="I31" i="196"/>
  <c r="I28" i="196"/>
  <c r="I29" i="196"/>
  <c r="I21" i="194"/>
  <c r="I22" i="194"/>
  <c r="I23" i="194"/>
  <c r="I24" i="194"/>
  <c r="I21" i="193"/>
  <c r="I22" i="193"/>
  <c r="I23" i="193"/>
  <c r="I24" i="193"/>
  <c r="I23" i="192"/>
  <c r="I24" i="192"/>
  <c r="I21" i="192"/>
  <c r="I22" i="192"/>
  <c r="I21" i="191"/>
  <c r="I22" i="191"/>
  <c r="I23" i="191"/>
  <c r="I24" i="191"/>
  <c r="I21" i="190"/>
  <c r="I22" i="190"/>
  <c r="I23" i="190"/>
  <c r="I24" i="190"/>
  <c r="I21" i="189"/>
  <c r="I22" i="189"/>
  <c r="I23" i="189"/>
  <c r="I24" i="189"/>
  <c r="I24" i="188"/>
  <c r="I21" i="188"/>
  <c r="I22" i="188"/>
  <c r="I23" i="188"/>
  <c r="I25" i="187"/>
  <c r="I26" i="187"/>
  <c r="I27" i="187"/>
  <c r="I28" i="187"/>
  <c r="I21" i="186"/>
  <c r="I22" i="186"/>
  <c r="I23" i="186"/>
  <c r="I24" i="186"/>
  <c r="I23" i="183"/>
  <c r="I21" i="183"/>
  <c r="I22" i="183"/>
  <c r="I24" i="183"/>
  <c r="I22" i="177"/>
  <c r="I23" i="177"/>
  <c r="I24" i="177"/>
  <c r="I21" i="177"/>
  <c r="I25" i="175"/>
  <c r="I26" i="175"/>
  <c r="I27" i="175"/>
  <c r="I21" i="174"/>
  <c r="I22" i="174"/>
  <c r="I23" i="174"/>
  <c r="I24" i="174"/>
  <c r="I21" i="173"/>
  <c r="I22" i="173"/>
  <c r="I24" i="173"/>
  <c r="I23" i="173"/>
  <c r="I21" i="168"/>
  <c r="I22" i="168"/>
  <c r="I23" i="168"/>
  <c r="I24" i="168"/>
  <c r="I22" i="167"/>
  <c r="I23" i="167"/>
  <c r="I21" i="167"/>
  <c r="I21" i="166"/>
  <c r="I22" i="166"/>
  <c r="I23" i="166"/>
  <c r="I24" i="166"/>
  <c r="I23" i="164"/>
  <c r="I21" i="164"/>
  <c r="I22" i="164"/>
  <c r="I21" i="170"/>
  <c r="I22" i="170"/>
  <c r="I23" i="170"/>
  <c r="I24" i="170"/>
  <c r="I21" i="159"/>
  <c r="I22" i="159"/>
  <c r="I23" i="159"/>
  <c r="I24" i="159"/>
  <c r="I21" i="157"/>
  <c r="I22" i="157"/>
  <c r="I23" i="157"/>
  <c r="I21" i="156"/>
  <c r="I22" i="156"/>
  <c r="I23" i="156"/>
  <c r="I24" i="156"/>
  <c r="I21" i="154"/>
  <c r="I22" i="154"/>
  <c r="I23" i="154"/>
  <c r="I24" i="154"/>
  <c r="I28" i="175" l="1"/>
  <c r="I24" i="167"/>
  <c r="I24" i="157"/>
  <c r="I24" i="164"/>
  <c r="I21" i="245"/>
  <c r="I19" i="166" l="1"/>
  <c r="I20" i="166"/>
  <c r="I11" i="211" l="1"/>
  <c r="I10" i="272"/>
  <c r="G48" i="267"/>
  <c r="G47" i="267"/>
  <c r="G46" i="267"/>
  <c r="G45" i="267"/>
  <c r="G48" i="263"/>
  <c r="G47" i="263"/>
  <c r="G46" i="263"/>
  <c r="G45" i="263"/>
  <c r="I19" i="183" l="1"/>
  <c r="I18" i="183"/>
  <c r="I10" i="177"/>
  <c r="I10" i="232"/>
  <c r="I10" i="226"/>
  <c r="I10" i="219"/>
  <c r="I10" i="215"/>
  <c r="I10" i="213"/>
  <c r="I11" i="212"/>
  <c r="I10" i="210"/>
  <c r="I10" i="207"/>
  <c r="I11" i="163"/>
  <c r="I13" i="163"/>
  <c r="I15" i="163"/>
  <c r="I16" i="163"/>
  <c r="I17" i="163"/>
  <c r="I18" i="163"/>
  <c r="I10" i="163"/>
  <c r="I19" i="41"/>
  <c r="I21" i="41"/>
  <c r="I23" i="41"/>
  <c r="I24" i="41"/>
  <c r="I25" i="41"/>
  <c r="I26" i="41"/>
  <c r="I27" i="41"/>
  <c r="I28" i="41"/>
  <c r="I29" i="41"/>
  <c r="I30" i="41"/>
  <c r="I31" i="41"/>
  <c r="I32" i="41"/>
  <c r="I33" i="41"/>
  <c r="I34" i="41"/>
  <c r="I35" i="41"/>
  <c r="I37" i="41"/>
  <c r="I38" i="41"/>
  <c r="G39" i="41"/>
  <c r="I39" i="41" s="1"/>
  <c r="G40" i="41"/>
  <c r="I40" i="41" s="1"/>
  <c r="G41" i="41"/>
  <c r="I41" i="41" s="1"/>
  <c r="G42" i="41"/>
  <c r="I42" i="41" s="1"/>
  <c r="G43" i="41"/>
  <c r="I43" i="41" s="1"/>
  <c r="G44" i="41"/>
  <c r="G45" i="41"/>
  <c r="I45" i="41" s="1"/>
  <c r="I20" i="41"/>
  <c r="I36" i="41"/>
  <c r="I44" i="41"/>
  <c r="I18" i="41"/>
  <c r="G14" i="41"/>
  <c r="I14" i="41" s="1"/>
  <c r="G12" i="41"/>
  <c r="S8" i="291" s="1"/>
  <c r="G13" i="41"/>
  <c r="I13" i="41" s="1"/>
  <c r="G15" i="41"/>
  <c r="G16" i="41"/>
  <c r="I16" i="41" s="1"/>
  <c r="G17" i="41"/>
  <c r="I17" i="41" s="1"/>
  <c r="I15" i="41"/>
  <c r="T8" i="291" l="1"/>
  <c r="T27" i="291" s="1"/>
  <c r="S27" i="291"/>
  <c r="Q126" i="293"/>
  <c r="H12" i="41"/>
  <c r="H13" i="41" s="1"/>
  <c r="H14" i="41" s="1"/>
  <c r="H15" i="41" s="1"/>
  <c r="H16" i="41" s="1"/>
  <c r="H17" i="41" s="1"/>
  <c r="I12" i="41"/>
  <c r="I13" i="159"/>
  <c r="I11" i="159"/>
  <c r="I22" i="41"/>
  <c r="E126" i="293"/>
  <c r="I10" i="212"/>
  <c r="I10" i="211"/>
  <c r="P127" i="293" l="1"/>
  <c r="H18" i="41"/>
  <c r="H19" i="41" s="1"/>
  <c r="H20" i="41" s="1"/>
  <c r="H21" i="41" s="1"/>
  <c r="H22" i="41" s="1"/>
  <c r="H23" i="41" s="1"/>
  <c r="H24" i="41" s="1"/>
  <c r="H25" i="41" s="1"/>
  <c r="H26" i="41" s="1"/>
  <c r="H27" i="41" s="1"/>
  <c r="H28" i="41" s="1"/>
  <c r="H29" i="41" s="1"/>
  <c r="H30" i="41" s="1"/>
  <c r="H31" i="41" s="1"/>
  <c r="H32" i="41" s="1"/>
  <c r="H33" i="41" s="1"/>
  <c r="H34" i="41" s="1"/>
  <c r="H35" i="41" s="1"/>
  <c r="H36" i="41" s="1"/>
  <c r="H37" i="41" s="1"/>
  <c r="H38" i="41" s="1"/>
  <c r="H39" i="41" s="1"/>
  <c r="H40" i="41" s="1"/>
  <c r="H41" i="41" s="1"/>
  <c r="H42" i="41" s="1"/>
  <c r="H43" i="41" s="1"/>
  <c r="H44" i="41" s="1"/>
  <c r="H45" i="41" s="1"/>
  <c r="I21" i="287"/>
  <c r="I22" i="287"/>
  <c r="I23" i="287"/>
  <c r="I24" i="287"/>
  <c r="I25" i="287"/>
  <c r="I26" i="287"/>
  <c r="I27" i="287"/>
  <c r="I28" i="287"/>
  <c r="I22" i="228" l="1"/>
  <c r="I23" i="228"/>
  <c r="I25" i="228"/>
  <c r="I26" i="228"/>
  <c r="I27" i="228"/>
  <c r="I28" i="228"/>
  <c r="I24" i="228"/>
  <c r="I21" i="228"/>
  <c r="I17" i="290" l="1"/>
  <c r="I18" i="290"/>
  <c r="I19" i="290"/>
  <c r="I20" i="290"/>
  <c r="I17" i="289"/>
  <c r="I18" i="289"/>
  <c r="I19" i="289"/>
  <c r="I20" i="289"/>
  <c r="I17" i="288"/>
  <c r="I18" i="288"/>
  <c r="I19" i="288"/>
  <c r="I20" i="288"/>
  <c r="I20" i="287"/>
  <c r="I17" i="287"/>
  <c r="I18" i="287"/>
  <c r="I19" i="287"/>
  <c r="I17" i="286"/>
  <c r="I18" i="286"/>
  <c r="I19" i="286"/>
  <c r="I20" i="286"/>
  <c r="I19" i="285"/>
  <c r="I20" i="285"/>
  <c r="I17" i="285"/>
  <c r="I17" i="284"/>
  <c r="I18" i="284"/>
  <c r="I19" i="284"/>
  <c r="I20" i="284"/>
  <c r="I17" i="283"/>
  <c r="I18" i="283"/>
  <c r="I19" i="283"/>
  <c r="I20" i="283"/>
  <c r="I17" i="282"/>
  <c r="I18" i="282"/>
  <c r="I19" i="282"/>
  <c r="I20" i="282"/>
  <c r="I19" i="281"/>
  <c r="I20" i="281"/>
  <c r="I17" i="281"/>
  <c r="I18" i="281"/>
  <c r="I17" i="280"/>
  <c r="I18" i="280"/>
  <c r="I19" i="280"/>
  <c r="I20" i="280"/>
  <c r="I17" i="279"/>
  <c r="I18" i="279"/>
  <c r="I19" i="279"/>
  <c r="I20" i="279"/>
  <c r="I20" i="278"/>
  <c r="I19" i="278"/>
  <c r="I17" i="277"/>
  <c r="I18" i="277"/>
  <c r="I19" i="277"/>
  <c r="I20" i="277"/>
  <c r="I20" i="276"/>
  <c r="I17" i="276"/>
  <c r="I18" i="276"/>
  <c r="I19" i="276"/>
  <c r="I17" i="275"/>
  <c r="I18" i="275"/>
  <c r="I19" i="275"/>
  <c r="I20" i="275"/>
  <c r="I20" i="274"/>
  <c r="I18" i="273"/>
  <c r="I19" i="273"/>
  <c r="I20" i="273"/>
  <c r="I17" i="273"/>
  <c r="I19" i="272"/>
  <c r="I20" i="272"/>
  <c r="I21" i="272"/>
  <c r="I22" i="272"/>
  <c r="I17" i="271"/>
  <c r="I18" i="271"/>
  <c r="I19" i="271"/>
  <c r="I20" i="271"/>
  <c r="I17" i="270"/>
  <c r="I18" i="270"/>
  <c r="I19" i="270"/>
  <c r="I20" i="270"/>
  <c r="I17" i="269"/>
  <c r="I18" i="269"/>
  <c r="I19" i="269"/>
  <c r="I20" i="269"/>
  <c r="I17" i="268"/>
  <c r="I18" i="268"/>
  <c r="I19" i="268"/>
  <c r="I20" i="268"/>
  <c r="I18" i="266"/>
  <c r="I19" i="266"/>
  <c r="I20" i="266"/>
  <c r="I21" i="266"/>
  <c r="I19" i="265"/>
  <c r="I20" i="265"/>
  <c r="I17" i="265"/>
  <c r="I18" i="265"/>
  <c r="I17" i="262"/>
  <c r="I18" i="262"/>
  <c r="I19" i="262"/>
  <c r="I20" i="262"/>
  <c r="I20" i="261"/>
  <c r="I21" i="261"/>
  <c r="I22" i="261"/>
  <c r="I17" i="260"/>
  <c r="I18" i="260"/>
  <c r="I19" i="260"/>
  <c r="I20" i="260"/>
  <c r="I17" i="259"/>
  <c r="I18" i="259"/>
  <c r="I19" i="259"/>
  <c r="I20" i="259"/>
  <c r="I17" i="258"/>
  <c r="I18" i="258"/>
  <c r="I19" i="258"/>
  <c r="I20" i="258"/>
  <c r="I17" i="257"/>
  <c r="I18" i="257"/>
  <c r="I19" i="257"/>
  <c r="I20" i="257"/>
  <c r="I17" i="256"/>
  <c r="I18" i="256"/>
  <c r="I19" i="256"/>
  <c r="I20" i="256"/>
  <c r="I19" i="255"/>
  <c r="I20" i="255"/>
  <c r="I17" i="255"/>
  <c r="I15" i="254"/>
  <c r="I16" i="254"/>
  <c r="I17" i="254"/>
  <c r="I18" i="254"/>
  <c r="I17" i="253"/>
  <c r="I18" i="253"/>
  <c r="I19" i="253"/>
  <c r="I20" i="253"/>
  <c r="I17" i="252"/>
  <c r="I18" i="252"/>
  <c r="I19" i="252"/>
  <c r="I20" i="252"/>
  <c r="I17" i="250"/>
  <c r="I18" i="250"/>
  <c r="I19" i="250"/>
  <c r="I20" i="250"/>
  <c r="I17" i="249"/>
  <c r="I18" i="249"/>
  <c r="I19" i="249"/>
  <c r="I20" i="249"/>
  <c r="I17" i="248"/>
  <c r="I18" i="248"/>
  <c r="I19" i="248"/>
  <c r="I20" i="248"/>
  <c r="I19" i="247"/>
  <c r="I20" i="247"/>
  <c r="I17" i="247"/>
  <c r="I18" i="247"/>
  <c r="I17" i="246"/>
  <c r="I18" i="246"/>
  <c r="I19" i="246"/>
  <c r="I20" i="246"/>
  <c r="I17" i="245"/>
  <c r="I18" i="245"/>
  <c r="I19" i="245"/>
  <c r="I20" i="245"/>
  <c r="I17" i="244"/>
  <c r="I18" i="244"/>
  <c r="I19" i="244"/>
  <c r="I20" i="244"/>
  <c r="I17" i="243"/>
  <c r="I18" i="243"/>
  <c r="I19" i="243"/>
  <c r="I20" i="243"/>
  <c r="I17" i="242"/>
  <c r="I18" i="242"/>
  <c r="I19" i="242"/>
  <c r="I20" i="242"/>
  <c r="I17" i="241"/>
  <c r="I18" i="241"/>
  <c r="I19" i="241"/>
  <c r="I20" i="241"/>
  <c r="I17" i="240"/>
  <c r="I18" i="240"/>
  <c r="I19" i="240"/>
  <c r="I20" i="240"/>
  <c r="I17" i="239"/>
  <c r="I18" i="239"/>
  <c r="I19" i="239"/>
  <c r="I20" i="239"/>
  <c r="I17" i="238"/>
  <c r="I19" i="238"/>
  <c r="I20" i="238"/>
  <c r="I18" i="237"/>
  <c r="I19" i="237"/>
  <c r="I17" i="237"/>
  <c r="I20" i="237"/>
  <c r="I17" i="236"/>
  <c r="I18" i="236"/>
  <c r="I19" i="236"/>
  <c r="I20" i="236"/>
  <c r="I17" i="235"/>
  <c r="I18" i="235"/>
  <c r="I19" i="235"/>
  <c r="I20" i="235"/>
  <c r="I17" i="234"/>
  <c r="I18" i="234"/>
  <c r="I19" i="234"/>
  <c r="I20" i="234"/>
  <c r="I17" i="233"/>
  <c r="I18" i="233"/>
  <c r="I19" i="233"/>
  <c r="I20" i="233"/>
  <c r="I19" i="230"/>
  <c r="I17" i="230"/>
  <c r="I18" i="230"/>
  <c r="I20" i="230"/>
  <c r="I20" i="229"/>
  <c r="I17" i="229"/>
  <c r="I18" i="229"/>
  <c r="I19" i="229"/>
  <c r="I18" i="228"/>
  <c r="I19" i="228"/>
  <c r="I20" i="228"/>
  <c r="I17" i="228"/>
  <c r="I21" i="227"/>
  <c r="I22" i="227"/>
  <c r="I23" i="227"/>
  <c r="I24" i="227"/>
  <c r="I21" i="226"/>
  <c r="I22" i="226"/>
  <c r="I19" i="226"/>
  <c r="I20" i="225"/>
  <c r="I17" i="225"/>
  <c r="I18" i="225"/>
  <c r="I19" i="225"/>
  <c r="I13" i="224"/>
  <c r="I14" i="224"/>
  <c r="I15" i="224"/>
  <c r="I16" i="224"/>
  <c r="I17" i="222"/>
  <c r="I18" i="222"/>
  <c r="I19" i="222"/>
  <c r="I20" i="222"/>
  <c r="I18" i="219"/>
  <c r="I19" i="219"/>
  <c r="I20" i="219"/>
  <c r="I17" i="219"/>
  <c r="I17" i="216"/>
  <c r="I18" i="216"/>
  <c r="I19" i="216"/>
  <c r="I20" i="216"/>
  <c r="I19" i="213"/>
  <c r="I20" i="213"/>
  <c r="I17" i="213"/>
  <c r="I18" i="213"/>
  <c r="I17" i="212"/>
  <c r="I18" i="212"/>
  <c r="I19" i="212"/>
  <c r="I20" i="212"/>
  <c r="I17" i="211"/>
  <c r="I18" i="211"/>
  <c r="I19" i="211"/>
  <c r="I20" i="211"/>
  <c r="I17" i="210"/>
  <c r="I19" i="210"/>
  <c r="I18" i="210"/>
  <c r="I20" i="209"/>
  <c r="I17" i="209"/>
  <c r="I18" i="209"/>
  <c r="I19" i="209"/>
  <c r="I20" i="207"/>
  <c r="I17" i="207"/>
  <c r="I18" i="207"/>
  <c r="I19" i="207"/>
  <c r="I17" i="206"/>
  <c r="I18" i="206"/>
  <c r="I25" i="206"/>
  <c r="I26" i="206"/>
  <c r="I17" i="205"/>
  <c r="I18" i="205"/>
  <c r="I20" i="205"/>
  <c r="I19" i="205"/>
  <c r="I19" i="204"/>
  <c r="I20" i="204"/>
  <c r="I17" i="204"/>
  <c r="I18" i="204"/>
  <c r="I17" i="203"/>
  <c r="I19" i="203"/>
  <c r="I20" i="203"/>
  <c r="I18" i="203"/>
  <c r="I20" i="202"/>
  <c r="I17" i="202"/>
  <c r="I18" i="202"/>
  <c r="I19" i="202"/>
  <c r="I17" i="201"/>
  <c r="I18" i="201"/>
  <c r="I19" i="201"/>
  <c r="I20" i="201"/>
  <c r="I18" i="200"/>
  <c r="I19" i="200"/>
  <c r="I20" i="200"/>
  <c r="I17" i="200"/>
  <c r="I18" i="199"/>
  <c r="I19" i="199"/>
  <c r="I20" i="199"/>
  <c r="I17" i="199"/>
  <c r="I17" i="198"/>
  <c r="I18" i="198"/>
  <c r="I19" i="198"/>
  <c r="I20" i="198"/>
  <c r="I18" i="197"/>
  <c r="I19" i="197"/>
  <c r="I20" i="197"/>
  <c r="I17" i="197"/>
  <c r="I26" i="196"/>
  <c r="I27" i="196"/>
  <c r="I18" i="196"/>
  <c r="I25" i="196"/>
  <c r="I17" i="194"/>
  <c r="I18" i="194"/>
  <c r="I19" i="194"/>
  <c r="I20" i="194"/>
  <c r="I17" i="193"/>
  <c r="I18" i="193"/>
  <c r="I19" i="193"/>
  <c r="I20" i="193"/>
  <c r="I17" i="192"/>
  <c r="I18" i="192"/>
  <c r="I19" i="192"/>
  <c r="I20" i="192"/>
  <c r="I17" i="191"/>
  <c r="I19" i="191"/>
  <c r="I20" i="191"/>
  <c r="I18" i="191"/>
  <c r="I17" i="190"/>
  <c r="I18" i="190"/>
  <c r="I20" i="190"/>
  <c r="I19" i="190"/>
  <c r="I20" i="189"/>
  <c r="I17" i="189"/>
  <c r="I18" i="189"/>
  <c r="I19" i="189"/>
  <c r="I17" i="188"/>
  <c r="I18" i="188"/>
  <c r="I19" i="188"/>
  <c r="I20" i="188"/>
  <c r="I19" i="187"/>
  <c r="I20" i="187"/>
  <c r="I17" i="187"/>
  <c r="I18" i="187"/>
  <c r="I17" i="186"/>
  <c r="I18" i="186"/>
  <c r="I19" i="186"/>
  <c r="I20" i="186"/>
  <c r="I17" i="183"/>
  <c r="I17" i="177"/>
  <c r="I18" i="177"/>
  <c r="I19" i="177"/>
  <c r="I20" i="177"/>
  <c r="I23" i="175"/>
  <c r="I24" i="175"/>
  <c r="I19" i="175"/>
  <c r="I20" i="175"/>
  <c r="I20" i="174"/>
  <c r="I17" i="174"/>
  <c r="I19" i="174"/>
  <c r="I17" i="173"/>
  <c r="I18" i="173"/>
  <c r="I19" i="173"/>
  <c r="I20" i="173"/>
  <c r="I17" i="170"/>
  <c r="I18" i="170"/>
  <c r="I19" i="170"/>
  <c r="I20" i="170"/>
  <c r="I23" i="169"/>
  <c r="I24" i="169"/>
  <c r="I21" i="169"/>
  <c r="I17" i="168"/>
  <c r="I18" i="168"/>
  <c r="I20" i="168"/>
  <c r="I19" i="168"/>
  <c r="I17" i="167"/>
  <c r="I18" i="167"/>
  <c r="I19" i="167"/>
  <c r="I20" i="167"/>
  <c r="I17" i="164"/>
  <c r="I18" i="164"/>
  <c r="I19" i="164"/>
  <c r="I20" i="164"/>
  <c r="I17" i="159"/>
  <c r="I18" i="159"/>
  <c r="I19" i="159"/>
  <c r="I20" i="159"/>
  <c r="I17" i="157"/>
  <c r="I18" i="157"/>
  <c r="I19" i="157"/>
  <c r="I20" i="157"/>
  <c r="I18" i="156"/>
  <c r="I20" i="156"/>
  <c r="I17" i="156"/>
  <c r="I19" i="156"/>
  <c r="I17" i="154"/>
  <c r="I18" i="154"/>
  <c r="I19" i="154"/>
  <c r="I20" i="154"/>
  <c r="I18" i="261"/>
  <c r="I17" i="261"/>
  <c r="I19" i="261"/>
  <c r="I20" i="210" l="1"/>
  <c r="I18" i="174"/>
  <c r="I22" i="169"/>
  <c r="I20" i="183"/>
  <c r="I18" i="285"/>
  <c r="I20" i="226"/>
  <c r="I18" i="238"/>
  <c r="I18" i="255"/>
  <c r="I17" i="169"/>
  <c r="I18" i="169"/>
  <c r="I19" i="169"/>
  <c r="I20" i="169"/>
  <c r="I15" i="272" l="1"/>
  <c r="I16" i="272"/>
  <c r="I20" i="227" l="1"/>
  <c r="I19" i="227"/>
  <c r="I15" i="273" l="1"/>
  <c r="I16" i="273"/>
  <c r="G42" i="267"/>
  <c r="G43" i="267"/>
  <c r="G44" i="267"/>
  <c r="G41" i="267"/>
  <c r="H41" i="267" s="1"/>
  <c r="G42" i="263"/>
  <c r="G43" i="263"/>
  <c r="G44" i="263"/>
  <c r="G41" i="263"/>
  <c r="H41" i="263" s="1"/>
  <c r="I15" i="261"/>
  <c r="I16" i="261"/>
  <c r="I15" i="241"/>
  <c r="I16" i="241"/>
  <c r="I16" i="238"/>
  <c r="I15" i="230"/>
  <c r="I16" i="230"/>
  <c r="I15" i="229"/>
  <c r="I16" i="229"/>
  <c r="I15" i="228"/>
  <c r="I16" i="228"/>
  <c r="I15" i="226"/>
  <c r="I16" i="226"/>
  <c r="I16" i="225"/>
  <c r="I11" i="224"/>
  <c r="I15" i="222"/>
  <c r="I15" i="219"/>
  <c r="I16" i="219"/>
  <c r="I15" i="216"/>
  <c r="I16" i="216"/>
  <c r="I15" i="213"/>
  <c r="I16" i="213"/>
  <c r="I15" i="212"/>
  <c r="I15" i="211"/>
  <c r="I16" i="211"/>
  <c r="I15" i="210"/>
  <c r="I16" i="210"/>
  <c r="I15" i="209"/>
  <c r="I16" i="209"/>
  <c r="I15" i="207"/>
  <c r="I16" i="207"/>
  <c r="I11" i="205"/>
  <c r="I15" i="205"/>
  <c r="I16" i="205"/>
  <c r="I15" i="204"/>
  <c r="I16" i="204"/>
  <c r="I11" i="203"/>
  <c r="I15" i="203"/>
  <c r="I16" i="203"/>
  <c r="I11" i="202"/>
  <c r="I15" i="202"/>
  <c r="I15" i="201"/>
  <c r="I15" i="200"/>
  <c r="I16" i="200"/>
  <c r="I15" i="199"/>
  <c r="I16" i="199"/>
  <c r="I16" i="196"/>
  <c r="I17" i="196"/>
  <c r="I15" i="194"/>
  <c r="I16" i="194"/>
  <c r="I11" i="192"/>
  <c r="I15" i="192"/>
  <c r="I16" i="192"/>
  <c r="I16" i="191"/>
  <c r="I15" i="190"/>
  <c r="I15" i="189"/>
  <c r="I16" i="189"/>
  <c r="I15" i="188"/>
  <c r="I15" i="187"/>
  <c r="I16" i="187"/>
  <c r="I15" i="186"/>
  <c r="I16" i="186"/>
  <c r="I13" i="183"/>
  <c r="I15" i="183"/>
  <c r="I16" i="183"/>
  <c r="I15" i="168"/>
  <c r="I16" i="168"/>
  <c r="I15" i="167"/>
  <c r="I16" i="167"/>
  <c r="H11" i="164"/>
  <c r="H12" i="164" s="1"/>
  <c r="I15" i="164"/>
  <c r="I16" i="164"/>
  <c r="I15" i="159"/>
  <c r="I15" i="157"/>
  <c r="I15" i="156"/>
  <c r="I16" i="156"/>
  <c r="I15" i="154"/>
  <c r="I11" i="290"/>
  <c r="I13" i="290"/>
  <c r="I15" i="290"/>
  <c r="I16" i="290"/>
  <c r="I11" i="289"/>
  <c r="I15" i="289"/>
  <c r="I13" i="289"/>
  <c r="I16" i="289"/>
  <c r="I11" i="288"/>
  <c r="I13" i="288"/>
  <c r="I15" i="288"/>
  <c r="I16" i="288"/>
  <c r="I11" i="285"/>
  <c r="I15" i="285"/>
  <c r="I16" i="285"/>
  <c r="I13" i="285"/>
  <c r="I11" i="284"/>
  <c r="I13" i="284"/>
  <c r="I15" i="284"/>
  <c r="I16" i="284"/>
  <c r="I11" i="283"/>
  <c r="I13" i="283"/>
  <c r="I15" i="283"/>
  <c r="I16" i="283"/>
  <c r="I11" i="282"/>
  <c r="I13" i="282"/>
  <c r="I16" i="282"/>
  <c r="I15" i="282"/>
  <c r="I11" i="281"/>
  <c r="I13" i="281"/>
  <c r="I15" i="281"/>
  <c r="I16" i="281"/>
  <c r="I11" i="280"/>
  <c r="I13" i="280"/>
  <c r="I15" i="280"/>
  <c r="I16" i="280"/>
  <c r="I11" i="279"/>
  <c r="I13" i="279"/>
  <c r="I15" i="279"/>
  <c r="I16" i="279"/>
  <c r="I15" i="278"/>
  <c r="I16" i="278"/>
  <c r="I17" i="278"/>
  <c r="I18" i="278"/>
  <c r="I11" i="277"/>
  <c r="I13" i="277"/>
  <c r="I15" i="277"/>
  <c r="I16" i="277"/>
  <c r="I15" i="276"/>
  <c r="I16" i="276"/>
  <c r="I13" i="275"/>
  <c r="I16" i="275"/>
  <c r="I11" i="275"/>
  <c r="I15" i="275"/>
  <c r="I17" i="272"/>
  <c r="I18" i="272"/>
  <c r="I13" i="272"/>
  <c r="I15" i="271"/>
  <c r="I16" i="271"/>
  <c r="I11" i="270"/>
  <c r="I13" i="270"/>
  <c r="I15" i="270"/>
  <c r="I13" i="269"/>
  <c r="I15" i="269"/>
  <c r="I11" i="268"/>
  <c r="I13" i="268"/>
  <c r="I15" i="268"/>
  <c r="I16" i="268"/>
  <c r="I14" i="266"/>
  <c r="I16" i="266"/>
  <c r="I17" i="266"/>
  <c r="I12" i="266"/>
  <c r="I15" i="265"/>
  <c r="I16" i="265"/>
  <c r="I15" i="262"/>
  <c r="I11" i="262"/>
  <c r="I13" i="262"/>
  <c r="I16" i="262"/>
  <c r="I15" i="260"/>
  <c r="I16" i="260"/>
  <c r="I11" i="259"/>
  <c r="I13" i="259"/>
  <c r="I15" i="259"/>
  <c r="I11" i="258"/>
  <c r="I16" i="258"/>
  <c r="I13" i="258"/>
  <c r="I15" i="258"/>
  <c r="I15" i="257"/>
  <c r="I11" i="257"/>
  <c r="I13" i="257"/>
  <c r="I16" i="257"/>
  <c r="I11" i="256"/>
  <c r="I13" i="256"/>
  <c r="I15" i="256"/>
  <c r="I16" i="256"/>
  <c r="I11" i="255"/>
  <c r="I13" i="255"/>
  <c r="I15" i="255"/>
  <c r="I16" i="255"/>
  <c r="I13" i="254"/>
  <c r="I15" i="253"/>
  <c r="I11" i="253"/>
  <c r="I11" i="252"/>
  <c r="I13" i="252"/>
  <c r="I15" i="252"/>
  <c r="I16" i="252"/>
  <c r="I15" i="250"/>
  <c r="I11" i="250"/>
  <c r="I13" i="250"/>
  <c r="I16" i="250"/>
  <c r="I15" i="249"/>
  <c r="I16" i="249"/>
  <c r="I11" i="248"/>
  <c r="I13" i="248"/>
  <c r="I15" i="248"/>
  <c r="I16" i="248"/>
  <c r="I11" i="247"/>
  <c r="I13" i="247"/>
  <c r="I15" i="247"/>
  <c r="I11" i="246"/>
  <c r="I13" i="246"/>
  <c r="I15" i="246"/>
  <c r="I16" i="246"/>
  <c r="I11" i="245"/>
  <c r="I15" i="245"/>
  <c r="I16" i="245"/>
  <c r="I11" i="244"/>
  <c r="I13" i="244"/>
  <c r="I15" i="244"/>
  <c r="I16" i="244"/>
  <c r="I11" i="243"/>
  <c r="I15" i="243"/>
  <c r="I13" i="243"/>
  <c r="I16" i="242"/>
  <c r="I11" i="242"/>
  <c r="I15" i="242"/>
  <c r="I13" i="240"/>
  <c r="I11" i="240"/>
  <c r="I15" i="240"/>
  <c r="I15" i="239"/>
  <c r="I16" i="239"/>
  <c r="I13" i="239"/>
  <c r="I11" i="237"/>
  <c r="I13" i="237"/>
  <c r="I15" i="237"/>
  <c r="I16" i="237"/>
  <c r="I13" i="236"/>
  <c r="I11" i="236"/>
  <c r="I15" i="236"/>
  <c r="I16" i="236"/>
  <c r="I15" i="235"/>
  <c r="I16" i="235"/>
  <c r="I11" i="235"/>
  <c r="I13" i="235"/>
  <c r="I13" i="234"/>
  <c r="I15" i="234"/>
  <c r="I15" i="233"/>
  <c r="I11" i="233"/>
  <c r="I13" i="233"/>
  <c r="I16" i="233"/>
  <c r="I13" i="228"/>
  <c r="I13" i="227"/>
  <c r="I17" i="227"/>
  <c r="I18" i="227"/>
  <c r="I15" i="225"/>
  <c r="I12" i="224"/>
  <c r="I16" i="212"/>
  <c r="I13" i="207"/>
  <c r="I15" i="206"/>
  <c r="I16" i="206"/>
  <c r="I11" i="206"/>
  <c r="I16" i="202"/>
  <c r="I11" i="201"/>
  <c r="I15" i="198"/>
  <c r="I16" i="198"/>
  <c r="I11" i="197"/>
  <c r="I15" i="197"/>
  <c r="I16" i="197"/>
  <c r="I15" i="193"/>
  <c r="I16" i="193"/>
  <c r="I11" i="193"/>
  <c r="I15" i="191"/>
  <c r="I36" i="184"/>
  <c r="I37" i="184"/>
  <c r="I38" i="184"/>
  <c r="I39" i="184"/>
  <c r="I15" i="177"/>
  <c r="I16" i="177"/>
  <c r="I14" i="175"/>
  <c r="I15" i="174"/>
  <c r="I16" i="174"/>
  <c r="I11" i="174"/>
  <c r="I11" i="173"/>
  <c r="I15" i="173"/>
  <c r="I16" i="173"/>
  <c r="I11" i="170"/>
  <c r="I15" i="170"/>
  <c r="I16" i="170"/>
  <c r="I15" i="169"/>
  <c r="I16" i="169"/>
  <c r="I13" i="167"/>
  <c r="I16" i="157"/>
  <c r="I11" i="276" l="1"/>
  <c r="I11" i="272"/>
  <c r="I13" i="253"/>
  <c r="I11" i="249"/>
  <c r="I15" i="175"/>
  <c r="I16" i="286"/>
  <c r="I13" i="225"/>
  <c r="I13" i="201"/>
  <c r="I13" i="190"/>
  <c r="I13" i="186"/>
  <c r="I16" i="159"/>
  <c r="I11" i="169"/>
  <c r="I13" i="169"/>
  <c r="I13" i="174"/>
  <c r="I13" i="173"/>
  <c r="I13" i="271"/>
  <c r="I11" i="271"/>
  <c r="I11" i="269"/>
  <c r="I11" i="210"/>
  <c r="I11" i="209"/>
  <c r="I11" i="194"/>
  <c r="I11" i="190"/>
  <c r="I11" i="167"/>
  <c r="I16" i="222"/>
  <c r="I13" i="249"/>
  <c r="I13" i="260"/>
  <c r="I13" i="193"/>
  <c r="I13" i="273"/>
  <c r="I13" i="261"/>
  <c r="I11" i="261"/>
  <c r="I11" i="241"/>
  <c r="I13" i="241"/>
  <c r="I11" i="230"/>
  <c r="I13" i="229"/>
  <c r="I11" i="222"/>
  <c r="I11" i="219"/>
  <c r="I13" i="219"/>
  <c r="I13" i="216"/>
  <c r="I11" i="216"/>
  <c r="I13" i="213"/>
  <c r="I11" i="213"/>
  <c r="I13" i="211"/>
  <c r="I13" i="209"/>
  <c r="I11" i="207"/>
  <c r="I13" i="205"/>
  <c r="I13" i="204"/>
  <c r="I13" i="203"/>
  <c r="I13" i="202"/>
  <c r="I16" i="201"/>
  <c r="I13" i="200"/>
  <c r="I11" i="200"/>
  <c r="I11" i="199"/>
  <c r="I13" i="197"/>
  <c r="I13" i="192"/>
  <c r="I11" i="188"/>
  <c r="I11" i="186"/>
  <c r="I11" i="168"/>
  <c r="I13" i="164"/>
  <c r="I13" i="157"/>
  <c r="I13" i="156"/>
  <c r="I11" i="156"/>
  <c r="I13" i="154"/>
  <c r="I13" i="194"/>
  <c r="I16" i="287"/>
  <c r="I16" i="269"/>
  <c r="I16" i="253"/>
  <c r="I13" i="177"/>
  <c r="I13" i="210"/>
  <c r="I13" i="199"/>
  <c r="I16" i="247"/>
  <c r="I13" i="226"/>
  <c r="I11" i="226"/>
  <c r="I11" i="265"/>
  <c r="I13" i="265"/>
  <c r="I11" i="239"/>
  <c r="I11" i="234"/>
  <c r="I16" i="234"/>
  <c r="I13" i="206"/>
  <c r="I16" i="243"/>
  <c r="I13" i="245"/>
  <c r="I13" i="187"/>
  <c r="I11" i="187"/>
  <c r="I13" i="242"/>
  <c r="I13" i="168"/>
  <c r="I16" i="188"/>
  <c r="I16" i="240"/>
  <c r="I13" i="276"/>
  <c r="I16" i="270"/>
  <c r="H42" i="267"/>
  <c r="I16" i="259"/>
  <c r="I16" i="190"/>
  <c r="I11" i="183"/>
  <c r="I11" i="177"/>
  <c r="I11" i="260"/>
  <c r="I11" i="157"/>
  <c r="H11" i="157"/>
  <c r="I16" i="154"/>
  <c r="I13" i="212"/>
  <c r="I13" i="188"/>
  <c r="I13" i="230"/>
  <c r="H42" i="263"/>
  <c r="H43" i="263" s="1"/>
  <c r="H44" i="263" s="1"/>
  <c r="H45" i="263" s="1"/>
  <c r="H46" i="263" s="1"/>
  <c r="H47" i="263" s="1"/>
  <c r="H48" i="263" s="1"/>
  <c r="H49" i="263" s="1"/>
  <c r="H50" i="263" s="1"/>
  <c r="H51" i="263" s="1"/>
  <c r="H52" i="263" s="1"/>
  <c r="H53" i="263" s="1"/>
  <c r="H54" i="263" s="1"/>
  <c r="H55" i="263" s="1"/>
  <c r="H56" i="263" s="1"/>
  <c r="H57" i="263" s="1"/>
  <c r="H58" i="263" s="1"/>
  <c r="H59" i="263" s="1"/>
  <c r="H60" i="263" s="1"/>
  <c r="H61" i="263" s="1"/>
  <c r="H62" i="263" s="1"/>
  <c r="H63" i="263" s="1"/>
  <c r="H64" i="263" s="1"/>
  <c r="I13" i="191"/>
  <c r="I13" i="222"/>
  <c r="I13" i="170"/>
  <c r="I11" i="227"/>
  <c r="H13" i="157" l="1"/>
  <c r="H14" i="157" s="1"/>
  <c r="H12" i="157"/>
  <c r="I15" i="286"/>
  <c r="I13" i="286" l="1"/>
  <c r="I11" i="286"/>
  <c r="I11" i="191" l="1"/>
  <c r="I40" i="214" l="1"/>
  <c r="I13" i="189" l="1"/>
  <c r="I15" i="287" l="1"/>
  <c r="I11" i="287"/>
  <c r="I13" i="287"/>
  <c r="I11" i="164" l="1"/>
  <c r="I11" i="154"/>
  <c r="I15" i="196" l="1"/>
  <c r="I13" i="196"/>
  <c r="I11" i="229"/>
  <c r="I11" i="225" l="1"/>
  <c r="I11" i="204"/>
  <c r="I11" i="189" l="1"/>
  <c r="I86" i="221"/>
  <c r="I87" i="221"/>
  <c r="I11" i="228" l="1"/>
  <c r="I78" i="217" l="1"/>
  <c r="I79" i="217"/>
  <c r="I80" i="217"/>
  <c r="I81" i="217"/>
  <c r="I82" i="217"/>
  <c r="I83" i="217"/>
  <c r="I84" i="217"/>
  <c r="I85" i="217"/>
  <c r="W37" i="292" l="1"/>
  <c r="Q20" i="251" l="1"/>
  <c r="X54" i="292" l="1"/>
  <c r="I11" i="41" l="1"/>
  <c r="I11" i="273" l="1"/>
  <c r="I11" i="238" l="1"/>
  <c r="I13" i="238"/>
  <c r="I15" i="238"/>
  <c r="I62" i="217" l="1"/>
  <c r="I63" i="217"/>
  <c r="I66" i="217"/>
  <c r="I67" i="217"/>
  <c r="I70" i="217"/>
  <c r="I71" i="217"/>
  <c r="I74" i="217"/>
  <c r="I75" i="217"/>
  <c r="I60" i="217"/>
  <c r="I61" i="217"/>
  <c r="I64" i="217"/>
  <c r="I65" i="217"/>
  <c r="I68" i="217"/>
  <c r="I69" i="217"/>
  <c r="I72" i="217"/>
  <c r="I73" i="217"/>
  <c r="I76" i="217"/>
  <c r="I77" i="217"/>
  <c r="I78" i="221" l="1"/>
  <c r="I79" i="221"/>
  <c r="I82" i="221"/>
  <c r="I83" i="221"/>
  <c r="I76" i="221"/>
  <c r="I77" i="221"/>
  <c r="I80" i="221"/>
  <c r="I81" i="221"/>
  <c r="I84" i="221"/>
  <c r="I85" i="221"/>
  <c r="I68" i="221" l="1"/>
  <c r="I69" i="221"/>
  <c r="I70" i="221"/>
  <c r="I71" i="221"/>
  <c r="I72" i="221"/>
  <c r="I73" i="221"/>
  <c r="I74" i="221"/>
  <c r="I75" i="221"/>
  <c r="I64" i="221" l="1"/>
  <c r="I65" i="221"/>
  <c r="I67" i="221"/>
  <c r="I66" i="221"/>
  <c r="I62" i="221" l="1"/>
  <c r="I63" i="221"/>
  <c r="B7" i="290" l="1"/>
  <c r="B6" i="290"/>
  <c r="B5" i="290"/>
  <c r="B4" i="290"/>
  <c r="B7" i="289"/>
  <c r="B6" i="289"/>
  <c r="B5" i="289"/>
  <c r="B4" i="289"/>
  <c r="B3" i="289"/>
  <c r="B7" i="288"/>
  <c r="B6" i="288"/>
  <c r="B5" i="288"/>
  <c r="B4" i="288"/>
  <c r="B3" i="288"/>
  <c r="B7" i="287"/>
  <c r="B6" i="287"/>
  <c r="B5" i="287"/>
  <c r="B4" i="287"/>
  <c r="B3" i="287"/>
  <c r="B6" i="286"/>
  <c r="B5" i="286"/>
  <c r="B4" i="286"/>
  <c r="I10" i="285"/>
  <c r="B7" i="285"/>
  <c r="B6" i="285"/>
  <c r="B5" i="285"/>
  <c r="B4" i="285"/>
  <c r="I10" i="284"/>
  <c r="B7" i="284"/>
  <c r="B6" i="284"/>
  <c r="B5" i="284"/>
  <c r="B4" i="284"/>
  <c r="B3" i="284"/>
  <c r="B7" i="283"/>
  <c r="B6" i="283"/>
  <c r="B5" i="283"/>
  <c r="B4" i="283"/>
  <c r="B3" i="283"/>
  <c r="B7" i="282"/>
  <c r="B6" i="282"/>
  <c r="B5" i="282"/>
  <c r="I10" i="281"/>
  <c r="B7" i="281"/>
  <c r="B6" i="281"/>
  <c r="B5" i="281"/>
  <c r="B4" i="281"/>
  <c r="B3" i="281"/>
  <c r="B7" i="280"/>
  <c r="B6" i="280"/>
  <c r="B5" i="280"/>
  <c r="B4" i="280"/>
  <c r="B3" i="280"/>
  <c r="B7" i="279"/>
  <c r="B6" i="279"/>
  <c r="B5" i="279"/>
  <c r="B4" i="279"/>
  <c r="B3" i="279"/>
  <c r="I10" i="278"/>
  <c r="B7" i="278"/>
  <c r="B6" i="278"/>
  <c r="B5" i="278"/>
  <c r="B4" i="278"/>
  <c r="B3" i="278"/>
  <c r="I10" i="277"/>
  <c r="B6" i="277"/>
  <c r="B5" i="277"/>
  <c r="B4" i="277"/>
  <c r="B3" i="277"/>
  <c r="I10" i="276"/>
  <c r="B7" i="276"/>
  <c r="B6" i="276"/>
  <c r="B5" i="276"/>
  <c r="B4" i="276"/>
  <c r="B3" i="276"/>
  <c r="I10" i="275"/>
  <c r="B7" i="275"/>
  <c r="B6" i="275"/>
  <c r="B5" i="275"/>
  <c r="B4" i="275"/>
  <c r="B3" i="275"/>
  <c r="I10" i="273"/>
  <c r="B7" i="273"/>
  <c r="B6" i="273"/>
  <c r="B5" i="273"/>
  <c r="B4" i="273"/>
  <c r="B7" i="272"/>
  <c r="B6" i="272"/>
  <c r="B5" i="272"/>
  <c r="B4" i="272"/>
  <c r="B3" i="272"/>
  <c r="B7" i="274"/>
  <c r="B6" i="274"/>
  <c r="B5" i="274"/>
  <c r="B4" i="274"/>
  <c r="B3" i="274"/>
  <c r="I10" i="271"/>
  <c r="B7" i="271"/>
  <c r="B6" i="271"/>
  <c r="B5" i="271"/>
  <c r="B4" i="271"/>
  <c r="B3" i="271"/>
  <c r="B7" i="270"/>
  <c r="B6" i="270"/>
  <c r="B5" i="270"/>
  <c r="B4" i="270"/>
  <c r="B3" i="270"/>
  <c r="I10" i="269"/>
  <c r="B7" i="269"/>
  <c r="B6" i="269"/>
  <c r="B5" i="269"/>
  <c r="B4" i="269"/>
  <c r="I10" i="268"/>
  <c r="B7" i="268"/>
  <c r="B6" i="268"/>
  <c r="B5" i="268"/>
  <c r="B4" i="268"/>
  <c r="B3" i="268"/>
  <c r="B7" i="267"/>
  <c r="B6" i="267"/>
  <c r="B5" i="267"/>
  <c r="B4" i="267"/>
  <c r="I11" i="266"/>
  <c r="B7" i="266"/>
  <c r="B6" i="266"/>
  <c r="B5" i="266"/>
  <c r="B4" i="266"/>
  <c r="B3" i="266"/>
  <c r="I10" i="265"/>
  <c r="B7" i="265"/>
  <c r="B6" i="265"/>
  <c r="B5" i="265"/>
  <c r="B4" i="265"/>
  <c r="B3" i="265"/>
  <c r="I10" i="264"/>
  <c r="I10" i="263"/>
  <c r="B7" i="263"/>
  <c r="B6" i="263"/>
  <c r="B5" i="263"/>
  <c r="B4" i="263"/>
  <c r="B3" i="263"/>
  <c r="B7" i="262"/>
  <c r="B6" i="262"/>
  <c r="B5" i="262"/>
  <c r="B4" i="262"/>
  <c r="B3" i="262"/>
  <c r="I10" i="261"/>
  <c r="B7" i="261"/>
  <c r="B6" i="261"/>
  <c r="B5" i="261"/>
  <c r="B4" i="261"/>
  <c r="B3" i="261"/>
  <c r="I10" i="260"/>
  <c r="B7" i="260"/>
  <c r="B6" i="260"/>
  <c r="B5" i="260"/>
  <c r="B4" i="260"/>
  <c r="B3" i="260"/>
  <c r="I10" i="259"/>
  <c r="B7" i="259"/>
  <c r="B6" i="259"/>
  <c r="B5" i="259"/>
  <c r="B4" i="259"/>
  <c r="B3" i="259"/>
  <c r="I10" i="258"/>
  <c r="B7" i="258"/>
  <c r="B6" i="258"/>
  <c r="B5" i="258"/>
  <c r="B4" i="258"/>
  <c r="B3" i="258"/>
  <c r="I10" i="257"/>
  <c r="B7" i="257"/>
  <c r="B6" i="257"/>
  <c r="B5" i="257"/>
  <c r="B4" i="257"/>
  <c r="B3" i="257"/>
  <c r="I10" i="256"/>
  <c r="B7" i="256"/>
  <c r="B6" i="256"/>
  <c r="B5" i="256"/>
  <c r="B4" i="256"/>
  <c r="B3" i="256"/>
  <c r="I10" i="255"/>
  <c r="B7" i="255"/>
  <c r="B6" i="255"/>
  <c r="B5" i="255"/>
  <c r="B4" i="255"/>
  <c r="B3" i="255"/>
  <c r="B7" i="254"/>
  <c r="B6" i="254"/>
  <c r="B5" i="254"/>
  <c r="B4" i="254"/>
  <c r="B3" i="254"/>
  <c r="B7" i="253"/>
  <c r="B6" i="253"/>
  <c r="B5" i="253"/>
  <c r="B4" i="253"/>
  <c r="B3" i="253"/>
  <c r="I10" i="252"/>
  <c r="B7" i="252"/>
  <c r="B6" i="252"/>
  <c r="B5" i="252"/>
  <c r="B4" i="252"/>
  <c r="B3" i="252"/>
  <c r="I39" i="251"/>
  <c r="I38" i="251"/>
  <c r="I37" i="251"/>
  <c r="I36" i="251"/>
  <c r="I35" i="251"/>
  <c r="I34" i="251"/>
  <c r="I33" i="251"/>
  <c r="I32" i="251"/>
  <c r="I31" i="251"/>
  <c r="I30" i="251"/>
  <c r="I29" i="251"/>
  <c r="I28" i="251"/>
  <c r="I27" i="251"/>
  <c r="I26" i="251"/>
  <c r="I25" i="251"/>
  <c r="I24" i="251"/>
  <c r="I23" i="251"/>
  <c r="I22" i="251"/>
  <c r="I21" i="251"/>
  <c r="I19" i="251"/>
  <c r="I18" i="251"/>
  <c r="I16" i="251"/>
  <c r="I15" i="251"/>
  <c r="B7" i="251"/>
  <c r="B6" i="251"/>
  <c r="B5" i="251"/>
  <c r="B4" i="251"/>
  <c r="I10" i="250"/>
  <c r="B7" i="250"/>
  <c r="B6" i="250"/>
  <c r="B5" i="250"/>
  <c r="B4" i="250"/>
  <c r="B3" i="250"/>
  <c r="B7" i="249"/>
  <c r="B6" i="249"/>
  <c r="B5" i="249"/>
  <c r="B4" i="249"/>
  <c r="B3" i="249"/>
  <c r="B7" i="248"/>
  <c r="B6" i="248"/>
  <c r="B5" i="248"/>
  <c r="B4" i="248"/>
  <c r="B3" i="248"/>
  <c r="I10" i="247"/>
  <c r="B4" i="247"/>
  <c r="B7" i="246"/>
  <c r="B6" i="246"/>
  <c r="B5" i="246"/>
  <c r="B4" i="246"/>
  <c r="B3" i="246"/>
  <c r="I10" i="245"/>
  <c r="B7" i="245"/>
  <c r="B5" i="245"/>
  <c r="B4" i="245"/>
  <c r="B3" i="245"/>
  <c r="I10" i="244"/>
  <c r="B7" i="244"/>
  <c r="B6" i="244"/>
  <c r="B5" i="244"/>
  <c r="B4" i="244"/>
  <c r="B3" i="244"/>
  <c r="B7" i="243"/>
  <c r="B6" i="243"/>
  <c r="B5" i="243"/>
  <c r="B4" i="243"/>
  <c r="B3" i="243"/>
  <c r="I10" i="242"/>
  <c r="B7" i="242"/>
  <c r="B6" i="242"/>
  <c r="B5" i="242"/>
  <c r="B4" i="242"/>
  <c r="B3" i="242"/>
  <c r="I10" i="241"/>
  <c r="B7" i="241"/>
  <c r="B6" i="241"/>
  <c r="B5" i="241"/>
  <c r="B4" i="241"/>
  <c r="B3" i="241"/>
  <c r="I10" i="240"/>
  <c r="B7" i="240"/>
  <c r="B6" i="240"/>
  <c r="B5" i="240"/>
  <c r="B4" i="240"/>
  <c r="B3" i="240"/>
  <c r="I10" i="239"/>
  <c r="B7" i="239"/>
  <c r="B6" i="239"/>
  <c r="B5" i="239"/>
  <c r="B4" i="239"/>
  <c r="B3" i="239"/>
  <c r="B7" i="238"/>
  <c r="B6" i="238"/>
  <c r="B5" i="238"/>
  <c r="B4" i="238"/>
  <c r="B3" i="238"/>
  <c r="I10" i="237"/>
  <c r="B7" i="237"/>
  <c r="B6" i="237"/>
  <c r="B5" i="237"/>
  <c r="B4" i="237"/>
  <c r="B3" i="237"/>
  <c r="B7" i="236"/>
  <c r="B6" i="236"/>
  <c r="B5" i="236"/>
  <c r="B4" i="236"/>
  <c r="B3" i="236"/>
  <c r="I10" i="235"/>
  <c r="B7" i="235"/>
  <c r="B6" i="235"/>
  <c r="B5" i="235"/>
  <c r="B4" i="235"/>
  <c r="I10" i="234"/>
  <c r="B7" i="234"/>
  <c r="B6" i="234"/>
  <c r="B5" i="234"/>
  <c r="B4" i="234"/>
  <c r="B3" i="234"/>
  <c r="I10" i="233"/>
  <c r="B7" i="233"/>
  <c r="B6" i="233"/>
  <c r="B5" i="233"/>
  <c r="B4" i="233"/>
  <c r="B3" i="233"/>
  <c r="B7" i="232"/>
  <c r="B6" i="232"/>
  <c r="B5" i="232"/>
  <c r="B4" i="232"/>
  <c r="B3" i="232"/>
  <c r="I10" i="231"/>
  <c r="B7" i="231"/>
  <c r="B6" i="231"/>
  <c r="B5" i="231"/>
  <c r="B4" i="231"/>
  <c r="B3" i="231"/>
  <c r="I10" i="230"/>
  <c r="B7" i="230"/>
  <c r="B6" i="230"/>
  <c r="B5" i="230"/>
  <c r="B4" i="230"/>
  <c r="B3" i="230"/>
  <c r="I10" i="229"/>
  <c r="B7" i="229"/>
  <c r="B6" i="229"/>
  <c r="B5" i="229"/>
  <c r="B4" i="229"/>
  <c r="B3" i="229"/>
  <c r="I10" i="228"/>
  <c r="B7" i="228"/>
  <c r="B6" i="228"/>
  <c r="B5" i="228"/>
  <c r="B4" i="228"/>
  <c r="B3" i="228"/>
  <c r="I10" i="227"/>
  <c r="B7" i="227"/>
  <c r="B6" i="227"/>
  <c r="B5" i="227"/>
  <c r="B4" i="227"/>
  <c r="B3" i="227"/>
  <c r="B7" i="226"/>
  <c r="B6" i="226"/>
  <c r="B5" i="226"/>
  <c r="B4" i="226"/>
  <c r="B3" i="226"/>
  <c r="B7" i="225"/>
  <c r="B6" i="225"/>
  <c r="B5" i="225"/>
  <c r="B4" i="225"/>
  <c r="I10" i="224"/>
  <c r="B7" i="224"/>
  <c r="B6" i="224"/>
  <c r="B5" i="224"/>
  <c r="B7" i="223"/>
  <c r="B6" i="223"/>
  <c r="B5" i="223"/>
  <c r="B4" i="223"/>
  <c r="B3" i="223"/>
  <c r="I10" i="222"/>
  <c r="B7" i="222"/>
  <c r="B6" i="222"/>
  <c r="B5" i="222"/>
  <c r="B4" i="222"/>
  <c r="B3" i="222"/>
  <c r="I61" i="221"/>
  <c r="I60" i="221"/>
  <c r="I59" i="221"/>
  <c r="I58" i="221"/>
  <c r="I57" i="221"/>
  <c r="I56" i="221"/>
  <c r="I55" i="221"/>
  <c r="I54" i="221"/>
  <c r="I53" i="221"/>
  <c r="I52" i="221"/>
  <c r="I51" i="221"/>
  <c r="I50" i="221"/>
  <c r="I49" i="221"/>
  <c r="I48" i="221"/>
  <c r="I47" i="221"/>
  <c r="I46" i="221"/>
  <c r="I45" i="221"/>
  <c r="I44" i="221"/>
  <c r="I43" i="221"/>
  <c r="I42" i="221"/>
  <c r="I41" i="221"/>
  <c r="I40" i="221"/>
  <c r="I39" i="221"/>
  <c r="I38" i="221"/>
  <c r="I37" i="221"/>
  <c r="I36" i="221"/>
  <c r="I35" i="221"/>
  <c r="I34" i="221"/>
  <c r="I33" i="221"/>
  <c r="I32" i="221"/>
  <c r="I31" i="221"/>
  <c r="I30" i="221"/>
  <c r="I29" i="221"/>
  <c r="I28" i="221"/>
  <c r="I27" i="221"/>
  <c r="I26" i="221"/>
  <c r="I25" i="221"/>
  <c r="I24" i="221"/>
  <c r="I23" i="221"/>
  <c r="I22" i="221"/>
  <c r="I21" i="221"/>
  <c r="I20" i="221"/>
  <c r="I19" i="221"/>
  <c r="I17" i="221"/>
  <c r="I16" i="221"/>
  <c r="I15" i="221"/>
  <c r="I13" i="221"/>
  <c r="I11" i="221"/>
  <c r="I10" i="221"/>
  <c r="B7" i="221"/>
  <c r="B6" i="221"/>
  <c r="B5" i="221"/>
  <c r="I9" i="220"/>
  <c r="B7" i="220"/>
  <c r="B6" i="220"/>
  <c r="B5" i="220"/>
  <c r="B4" i="220"/>
  <c r="I58" i="218"/>
  <c r="I57" i="218"/>
  <c r="I56" i="218"/>
  <c r="I55" i="218"/>
  <c r="I54" i="218"/>
  <c r="I53" i="218"/>
  <c r="I52" i="218"/>
  <c r="I51" i="218"/>
  <c r="I50" i="218"/>
  <c r="I49" i="218"/>
  <c r="I48" i="218"/>
  <c r="I47" i="218"/>
  <c r="I46" i="218"/>
  <c r="I45" i="218"/>
  <c r="I44" i="218"/>
  <c r="I43" i="218"/>
  <c r="I42" i="218"/>
  <c r="I41" i="218"/>
  <c r="I40" i="218"/>
  <c r="I39" i="218"/>
  <c r="I38" i="218"/>
  <c r="I37" i="218"/>
  <c r="I36" i="218"/>
  <c r="I35" i="218"/>
  <c r="I34" i="218"/>
  <c r="I33" i="218"/>
  <c r="I32" i="218"/>
  <c r="I31" i="218"/>
  <c r="I30" i="218"/>
  <c r="I29" i="218"/>
  <c r="I28" i="218"/>
  <c r="I27" i="218"/>
  <c r="I26" i="218"/>
  <c r="I25" i="218"/>
  <c r="I24" i="218"/>
  <c r="I23" i="218"/>
  <c r="I22" i="218"/>
  <c r="I21" i="218"/>
  <c r="I20" i="218"/>
  <c r="I19" i="218"/>
  <c r="I18" i="218"/>
  <c r="I16" i="218"/>
  <c r="I15" i="218"/>
  <c r="I13" i="218"/>
  <c r="I11" i="218"/>
  <c r="I10" i="218"/>
  <c r="B7" i="218"/>
  <c r="B6" i="218"/>
  <c r="B5" i="218"/>
  <c r="B4" i="218"/>
  <c r="I59" i="217"/>
  <c r="I58" i="217"/>
  <c r="I57" i="217"/>
  <c r="I56" i="217"/>
  <c r="I55" i="217"/>
  <c r="I54" i="217"/>
  <c r="I53" i="217"/>
  <c r="I52" i="217"/>
  <c r="I51" i="217"/>
  <c r="I50" i="217"/>
  <c r="I49" i="217"/>
  <c r="I48" i="217"/>
  <c r="I47" i="217"/>
  <c r="I46" i="217"/>
  <c r="I45" i="217"/>
  <c r="I44" i="217"/>
  <c r="I43" i="217"/>
  <c r="I42" i="217"/>
  <c r="I41" i="217"/>
  <c r="I40" i="217"/>
  <c r="I39" i="217"/>
  <c r="I38" i="217"/>
  <c r="I37" i="217"/>
  <c r="I36" i="217"/>
  <c r="I35" i="217"/>
  <c r="I34" i="217"/>
  <c r="I33" i="217"/>
  <c r="I32" i="217"/>
  <c r="I31" i="217"/>
  <c r="I30" i="217"/>
  <c r="I29" i="217"/>
  <c r="I28" i="217"/>
  <c r="I27" i="217"/>
  <c r="I26" i="217"/>
  <c r="I25" i="217"/>
  <c r="I24" i="217"/>
  <c r="I23" i="217"/>
  <c r="I22" i="217"/>
  <c r="I21" i="217"/>
  <c r="I20" i="217"/>
  <c r="I19" i="217"/>
  <c r="I18" i="217"/>
  <c r="I17" i="217"/>
  <c r="I16" i="217"/>
  <c r="I15" i="217"/>
  <c r="I13" i="217"/>
  <c r="I11" i="217"/>
  <c r="I10" i="217"/>
  <c r="B7" i="217"/>
  <c r="B6" i="217"/>
  <c r="B5" i="217"/>
  <c r="B4" i="217"/>
  <c r="I10" i="216"/>
  <c r="B7" i="216"/>
  <c r="B6" i="216"/>
  <c r="B5" i="216"/>
  <c r="I60" i="214"/>
  <c r="I59" i="214"/>
  <c r="I58" i="214"/>
  <c r="I57" i="214"/>
  <c r="I56" i="214"/>
  <c r="I55" i="214"/>
  <c r="I54" i="214"/>
  <c r="I53" i="214"/>
  <c r="I52" i="214"/>
  <c r="I51" i="214"/>
  <c r="I50" i="214"/>
  <c r="I49" i="214"/>
  <c r="I48" i="214"/>
  <c r="I47" i="214"/>
  <c r="I46" i="214"/>
  <c r="I45" i="214"/>
  <c r="I44" i="214"/>
  <c r="I43" i="214"/>
  <c r="I42" i="214"/>
  <c r="I41" i="214"/>
  <c r="I39" i="214"/>
  <c r="I38" i="214"/>
  <c r="I37" i="214"/>
  <c r="I36" i="214"/>
  <c r="I35" i="214"/>
  <c r="I34" i="214"/>
  <c r="I33" i="214"/>
  <c r="I32" i="214"/>
  <c r="I31" i="214"/>
  <c r="I30" i="214"/>
  <c r="I29" i="214"/>
  <c r="I28" i="214"/>
  <c r="I27" i="214"/>
  <c r="I26" i="214"/>
  <c r="I25" i="214"/>
  <c r="I24" i="214"/>
  <c r="I23" i="214"/>
  <c r="I22" i="214"/>
  <c r="I21" i="214"/>
  <c r="I20" i="214"/>
  <c r="I19" i="214"/>
  <c r="I18" i="214"/>
  <c r="I16" i="214"/>
  <c r="I15" i="214"/>
  <c r="I13" i="214"/>
  <c r="I10" i="214"/>
  <c r="B7" i="214"/>
  <c r="B6" i="214"/>
  <c r="B5" i="214"/>
  <c r="B4" i="214"/>
  <c r="B7" i="213"/>
  <c r="B6" i="213"/>
  <c r="B5" i="213"/>
  <c r="B4" i="213"/>
  <c r="B7" i="211"/>
  <c r="B6" i="211"/>
  <c r="B5" i="211"/>
  <c r="B7" i="210"/>
  <c r="B6" i="210"/>
  <c r="B5" i="210"/>
  <c r="B6" i="209"/>
  <c r="B5" i="209"/>
  <c r="B4" i="209"/>
  <c r="B7" i="207"/>
  <c r="B6" i="207"/>
  <c r="B5" i="207"/>
  <c r="B4" i="207"/>
  <c r="I10" i="206"/>
  <c r="B7" i="206"/>
  <c r="B6" i="206"/>
  <c r="B5" i="206"/>
  <c r="I10" i="204"/>
  <c r="B7" i="203"/>
  <c r="B6" i="203"/>
  <c r="B5" i="203"/>
  <c r="B4" i="203"/>
  <c r="I10" i="202"/>
  <c r="I10" i="200"/>
  <c r="B7" i="200"/>
  <c r="B6" i="200"/>
  <c r="B5" i="200"/>
  <c r="B4" i="200"/>
  <c r="B7" i="199"/>
  <c r="B6" i="199"/>
  <c r="B5" i="199"/>
  <c r="B4" i="199"/>
  <c r="B3" i="199"/>
  <c r="I13" i="198"/>
  <c r="I11" i="198"/>
  <c r="B7" i="198"/>
  <c r="B6" i="198"/>
  <c r="B5" i="198"/>
  <c r="B4" i="198"/>
  <c r="B3" i="198"/>
  <c r="G60" i="197"/>
  <c r="I11" i="196"/>
  <c r="I10" i="196"/>
  <c r="B7" i="196"/>
  <c r="B6" i="196"/>
  <c r="B5" i="196"/>
  <c r="B4" i="196"/>
  <c r="B3" i="196"/>
  <c r="B7" i="195"/>
  <c r="B6" i="195"/>
  <c r="B5" i="195"/>
  <c r="B4" i="195"/>
  <c r="B3" i="195"/>
  <c r="D45" i="194"/>
  <c r="F42" i="194"/>
  <c r="B7" i="194"/>
  <c r="B6" i="194"/>
  <c r="B5" i="194"/>
  <c r="B4" i="194"/>
  <c r="I10" i="193"/>
  <c r="B7" i="193"/>
  <c r="B6" i="193"/>
  <c r="B5" i="193"/>
  <c r="B4" i="193"/>
  <c r="I10" i="191"/>
  <c r="B7" i="191"/>
  <c r="B6" i="191"/>
  <c r="B5" i="191"/>
  <c r="B4" i="191"/>
  <c r="I10" i="190"/>
  <c r="B7" i="190"/>
  <c r="B6" i="190"/>
  <c r="B5" i="190"/>
  <c r="B4" i="190"/>
  <c r="I10" i="189"/>
  <c r="I10" i="188"/>
  <c r="B7" i="188"/>
  <c r="B6" i="188"/>
  <c r="B5" i="188"/>
  <c r="B4" i="188"/>
  <c r="B7" i="187"/>
  <c r="B6" i="187"/>
  <c r="B5" i="187"/>
  <c r="B4" i="187"/>
  <c r="I10" i="186"/>
  <c r="B7" i="186"/>
  <c r="B6" i="186"/>
  <c r="B5" i="186"/>
  <c r="B4" i="186"/>
  <c r="B7" i="185"/>
  <c r="B6" i="185"/>
  <c r="B5" i="185"/>
  <c r="B4" i="185"/>
  <c r="I35" i="184"/>
  <c r="I34" i="184"/>
  <c r="I33" i="184"/>
  <c r="I32" i="184"/>
  <c r="I31" i="184"/>
  <c r="I30" i="184"/>
  <c r="I29" i="184"/>
  <c r="I28" i="184"/>
  <c r="I27" i="184"/>
  <c r="I26" i="184"/>
  <c r="I25" i="184"/>
  <c r="I24" i="184"/>
  <c r="I23" i="184"/>
  <c r="I22" i="184"/>
  <c r="I21" i="184"/>
  <c r="I20" i="184"/>
  <c r="I19" i="184"/>
  <c r="I18" i="184"/>
  <c r="I17" i="184"/>
  <c r="I16" i="184"/>
  <c r="I15" i="184"/>
  <c r="I13" i="184"/>
  <c r="I11" i="184"/>
  <c r="B7" i="184"/>
  <c r="B6" i="184"/>
  <c r="B5" i="184"/>
  <c r="B4" i="184"/>
  <c r="B7" i="183"/>
  <c r="B6" i="183"/>
  <c r="B5" i="183"/>
  <c r="B4" i="183"/>
  <c r="I10" i="182"/>
  <c r="B7" i="182"/>
  <c r="B6" i="182"/>
  <c r="B5" i="182"/>
  <c r="B4" i="182"/>
  <c r="I10" i="181"/>
  <c r="B7" i="181"/>
  <c r="B6" i="181"/>
  <c r="B5" i="181"/>
  <c r="I10" i="180"/>
  <c r="B7" i="180"/>
  <c r="B6" i="180"/>
  <c r="B5" i="180"/>
  <c r="B4" i="180"/>
  <c r="B7" i="177"/>
  <c r="B6" i="177"/>
  <c r="B5" i="177"/>
  <c r="B4" i="177"/>
  <c r="I10" i="176"/>
  <c r="B7" i="176"/>
  <c r="B6" i="176"/>
  <c r="B5" i="176"/>
  <c r="B4" i="176"/>
  <c r="I10" i="175"/>
  <c r="B4" i="175"/>
  <c r="I10" i="174"/>
  <c r="B7" i="174"/>
  <c r="B6" i="174"/>
  <c r="B5" i="174"/>
  <c r="B4" i="174"/>
  <c r="I10" i="173"/>
  <c r="B7" i="173"/>
  <c r="B6" i="173"/>
  <c r="B5" i="173"/>
  <c r="B4" i="173"/>
  <c r="B7" i="172"/>
  <c r="B6" i="172"/>
  <c r="B5" i="172"/>
  <c r="B4" i="172"/>
  <c r="B7" i="171"/>
  <c r="B6" i="171"/>
  <c r="B5" i="171"/>
  <c r="B4" i="171"/>
  <c r="I10" i="170"/>
  <c r="B7" i="170"/>
  <c r="B6" i="170"/>
  <c r="B5" i="170"/>
  <c r="B4" i="170"/>
  <c r="I10" i="169"/>
  <c r="B7" i="169"/>
  <c r="B6" i="169"/>
  <c r="B5" i="169"/>
  <c r="B4" i="169"/>
  <c r="B3" i="169"/>
  <c r="B7" i="168"/>
  <c r="B6" i="168"/>
  <c r="B5" i="168"/>
  <c r="B4" i="168"/>
  <c r="E44" i="167"/>
  <c r="D44" i="167"/>
  <c r="I10" i="167"/>
  <c r="B7" i="167"/>
  <c r="B6" i="167"/>
  <c r="B5" i="167"/>
  <c r="B4" i="167"/>
  <c r="B3" i="167"/>
  <c r="I18" i="166"/>
  <c r="I17" i="166"/>
  <c r="I15" i="166"/>
  <c r="I13" i="166"/>
  <c r="I11" i="166"/>
  <c r="I10" i="166"/>
  <c r="B7" i="166"/>
  <c r="B6" i="166"/>
  <c r="B5" i="166"/>
  <c r="B4" i="166"/>
  <c r="B3" i="166"/>
  <c r="I10" i="165"/>
  <c r="B7" i="165"/>
  <c r="B6" i="165"/>
  <c r="B5" i="165"/>
  <c r="B4" i="165"/>
  <c r="B3" i="165"/>
  <c r="I10" i="164"/>
  <c r="B7" i="164"/>
  <c r="B6" i="164"/>
  <c r="B5" i="164"/>
  <c r="B4" i="164"/>
  <c r="B3" i="164"/>
  <c r="B7" i="163"/>
  <c r="B6" i="163"/>
  <c r="B5" i="163"/>
  <c r="B4" i="163"/>
  <c r="I10" i="161"/>
  <c r="B7" i="161"/>
  <c r="B6" i="161"/>
  <c r="B5" i="161"/>
  <c r="B4" i="161"/>
  <c r="B3" i="161"/>
  <c r="F46" i="159"/>
  <c r="I10" i="159"/>
  <c r="B7" i="159"/>
  <c r="B6" i="159"/>
  <c r="B5" i="159"/>
  <c r="B4" i="159"/>
  <c r="B3" i="159"/>
  <c r="I10" i="158"/>
  <c r="B6" i="158"/>
  <c r="B5" i="158"/>
  <c r="B4" i="158"/>
  <c r="B3" i="158"/>
  <c r="I10" i="157"/>
  <c r="B7" i="157"/>
  <c r="B6" i="157"/>
  <c r="B5" i="157"/>
  <c r="B4" i="157"/>
  <c r="I10" i="156"/>
  <c r="B7" i="156"/>
  <c r="B6" i="156"/>
  <c r="B5" i="156"/>
  <c r="B4" i="156"/>
  <c r="B6" i="154"/>
  <c r="B5" i="154"/>
  <c r="B4" i="154"/>
  <c r="B6" i="153"/>
  <c r="B5" i="153"/>
  <c r="B4" i="153"/>
  <c r="B7" i="41"/>
  <c r="B6" i="41"/>
  <c r="B5" i="41"/>
  <c r="B4" i="41"/>
  <c r="B3" i="41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H10" i="9" s="1"/>
  <c r="B7" i="9"/>
  <c r="B6" i="9"/>
  <c r="B5" i="9"/>
  <c r="B4" i="9"/>
  <c r="B3" i="9"/>
  <c r="H11" i="9" l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H33" i="9" s="1"/>
  <c r="H34" i="9" s="1"/>
  <c r="H35" i="9" s="1"/>
  <c r="H36" i="9" s="1"/>
  <c r="H37" i="9" s="1"/>
  <c r="H38" i="9" s="1"/>
  <c r="H39" i="9" s="1"/>
  <c r="I40" i="211"/>
  <c r="G39" i="194"/>
  <c r="G40" i="194"/>
  <c r="I40" i="194" s="1"/>
  <c r="G40" i="167"/>
  <c r="I40" i="167" s="1"/>
  <c r="G39" i="167"/>
  <c r="G40" i="159"/>
  <c r="I40" i="159" s="1"/>
  <c r="G39" i="159"/>
  <c r="P126" i="293"/>
  <c r="I11" i="278"/>
  <c r="I16" i="166"/>
  <c r="I17" i="218"/>
  <c r="F27" i="291"/>
  <c r="I17" i="251"/>
  <c r="I11" i="251"/>
  <c r="I13" i="251"/>
  <c r="H43" i="267"/>
  <c r="H44" i="267" s="1"/>
  <c r="H45" i="267" s="1"/>
  <c r="H46" i="267" s="1"/>
  <c r="H47" i="267" s="1"/>
  <c r="H48" i="267" s="1"/>
  <c r="H49" i="267" s="1"/>
  <c r="H50" i="267" s="1"/>
  <c r="H51" i="267" s="1"/>
  <c r="H52" i="267" s="1"/>
  <c r="H53" i="267" s="1"/>
  <c r="H54" i="267" s="1"/>
  <c r="H55" i="267" s="1"/>
  <c r="H56" i="267" s="1"/>
  <c r="H57" i="267" s="1"/>
  <c r="H58" i="267" s="1"/>
  <c r="H59" i="267" s="1"/>
  <c r="H60" i="267" s="1"/>
  <c r="H61" i="267" s="1"/>
  <c r="H62" i="267" s="1"/>
  <c r="H63" i="267" s="1"/>
  <c r="H64" i="267" s="1"/>
  <c r="G45" i="159"/>
  <c r="I10" i="172"/>
  <c r="H41" i="249"/>
  <c r="H42" i="249" s="1"/>
  <c r="H43" i="249" s="1"/>
  <c r="H44" i="249" s="1"/>
  <c r="H45" i="249" s="1"/>
  <c r="H46" i="249" s="1"/>
  <c r="H47" i="249" s="1"/>
  <c r="H48" i="249" s="1"/>
  <c r="H49" i="249" s="1"/>
  <c r="H50" i="249" s="1"/>
  <c r="H51" i="249" s="1"/>
  <c r="H52" i="249" s="1"/>
  <c r="H15" i="157"/>
  <c r="H16" i="157" s="1"/>
  <c r="H17" i="157" s="1"/>
  <c r="H18" i="157" s="1"/>
  <c r="H19" i="157" s="1"/>
  <c r="H20" i="157" s="1"/>
  <c r="H21" i="157" s="1"/>
  <c r="H22" i="157" s="1"/>
  <c r="H23" i="157" s="1"/>
  <c r="H24" i="157" s="1"/>
  <c r="H25" i="157" s="1"/>
  <c r="H26" i="157" s="1"/>
  <c r="H27" i="157" s="1"/>
  <c r="H28" i="157" s="1"/>
  <c r="H29" i="157" s="1"/>
  <c r="H30" i="157" s="1"/>
  <c r="H31" i="157" s="1"/>
  <c r="H32" i="157" s="1"/>
  <c r="H33" i="157" s="1"/>
  <c r="H34" i="157" s="1"/>
  <c r="H35" i="157" s="1"/>
  <c r="H36" i="157" s="1"/>
  <c r="H37" i="157" s="1"/>
  <c r="H38" i="157" s="1"/>
  <c r="H39" i="157" s="1"/>
  <c r="H40" i="157" s="1"/>
  <c r="I10" i="203"/>
  <c r="I18" i="221"/>
  <c r="I10" i="201"/>
  <c r="I10" i="171"/>
  <c r="I20" i="251"/>
  <c r="I10" i="205"/>
  <c r="I10" i="208"/>
  <c r="H44" i="186"/>
  <c r="I11" i="214"/>
  <c r="I17" i="214"/>
  <c r="I13" i="278"/>
  <c r="I39" i="211" l="1"/>
  <c r="I39" i="194"/>
  <c r="H39" i="194"/>
  <c r="H40" i="194" s="1"/>
  <c r="I39" i="167"/>
  <c r="H39" i="167"/>
  <c r="H40" i="167" s="1"/>
  <c r="I39" i="159"/>
  <c r="H39" i="159"/>
  <c r="H40" i="159" s="1"/>
  <c r="H37" i="153"/>
  <c r="H38" i="153" s="1"/>
  <c r="H39" i="153" s="1"/>
  <c r="H40" i="153" s="1"/>
  <c r="H41" i="153" s="1"/>
  <c r="E55" i="292"/>
  <c r="D128" i="293" s="1"/>
  <c r="H13" i="164"/>
  <c r="H15" i="164" l="1"/>
  <c r="H16" i="164" s="1"/>
  <c r="H17" i="164" s="1"/>
  <c r="H18" i="164" s="1"/>
  <c r="H19" i="164" s="1"/>
  <c r="H20" i="164" s="1"/>
  <c r="H21" i="164" s="1"/>
  <c r="H22" i="164" s="1"/>
  <c r="H23" i="164" s="1"/>
  <c r="H24" i="164" s="1"/>
  <c r="H25" i="164" s="1"/>
  <c r="H26" i="164" s="1"/>
  <c r="H27" i="164" s="1"/>
  <c r="H28" i="164" s="1"/>
  <c r="H29" i="164" s="1"/>
  <c r="H30" i="164" s="1"/>
  <c r="H31" i="164" s="1"/>
  <c r="H32" i="164" s="1"/>
  <c r="H33" i="164" s="1"/>
  <c r="H34" i="164" s="1"/>
  <c r="H35" i="164" s="1"/>
  <c r="H36" i="164" s="1"/>
  <c r="H37" i="164" s="1"/>
  <c r="H38" i="164" s="1"/>
  <c r="H39" i="164" s="1"/>
  <c r="H40" i="164" s="1"/>
  <c r="H14" i="164"/>
  <c r="H45" i="187"/>
  <c r="E128" i="293"/>
  <c r="Q128" i="293" l="1"/>
  <c r="E127" i="293"/>
  <c r="Q127" i="293"/>
  <c r="D129" i="293"/>
  <c r="E129" i="293" l="1"/>
  <c r="Q129" i="293" l="1"/>
  <c r="P128" i="293" l="1"/>
  <c r="P129" i="293" s="1"/>
  <c r="P144" i="293" s="1"/>
</calcChain>
</file>

<file path=xl/comments1.xml><?xml version="1.0" encoding="utf-8"?>
<comments xmlns="http://schemas.openxmlformats.org/spreadsheetml/2006/main">
  <authors>
    <author>Virginia</author>
  </authors>
  <commentList>
    <comment ref="C45" authorId="0" shapeId="0">
      <text>
        <r>
          <rPr>
            <b/>
            <sz val="9"/>
            <color indexed="81"/>
            <rFont val="Tahoma"/>
            <family val="2"/>
          </rPr>
          <t>Virginia:</t>
        </r>
        <r>
          <rPr>
            <sz val="9"/>
            <color indexed="81"/>
            <rFont val="Tahoma"/>
            <family val="2"/>
          </rPr>
          <t xml:space="preserve">
aaaaaa</t>
        </r>
      </text>
    </comment>
  </commentList>
</comments>
</file>

<file path=xl/sharedStrings.xml><?xml version="1.0" encoding="utf-8"?>
<sst xmlns="http://schemas.openxmlformats.org/spreadsheetml/2006/main" count="7333" uniqueCount="686">
  <si>
    <t>Departamento</t>
  </si>
  <si>
    <t>Concepto</t>
  </si>
  <si>
    <t>Saldo deudor al 31/10/2016</t>
  </si>
  <si>
    <t>Fecha</t>
  </si>
  <si>
    <t>Agua</t>
  </si>
  <si>
    <t>Total</t>
  </si>
  <si>
    <t>Pago mantenimiento octubre/2016</t>
  </si>
  <si>
    <t>Mantenimiento noviembre/2016</t>
  </si>
  <si>
    <t>Mantenimiento diciembre/2016</t>
  </si>
  <si>
    <t>Pago mantenimiento noviembre/2016</t>
  </si>
  <si>
    <t>Pago mantenimiento diciembre/2016</t>
  </si>
  <si>
    <t>Mantenimiento enero/2017</t>
  </si>
  <si>
    <t>Mantenimiento febrero/2017</t>
  </si>
  <si>
    <t>Mantenimiento marzo/2017</t>
  </si>
  <si>
    <t>Mantenimiento abril/2017</t>
  </si>
  <si>
    <t>Mantenimiento mayo/2017</t>
  </si>
  <si>
    <t>Pago mantenimiento febrero/2017</t>
  </si>
  <si>
    <t>Pago mantenimiento enero/2017</t>
  </si>
  <si>
    <t>Pago mantenimiento marzo/2017</t>
  </si>
  <si>
    <t>Pago mantenimiento abril/2017</t>
  </si>
  <si>
    <t>Pago mantenimiento mayo/2017</t>
  </si>
  <si>
    <t>Expensas</t>
  </si>
  <si>
    <t>04/0372017</t>
  </si>
  <si>
    <t>Recibo</t>
  </si>
  <si>
    <t>Nombre</t>
  </si>
  <si>
    <t>D1</t>
  </si>
  <si>
    <t>Column6</t>
  </si>
  <si>
    <t>Mantenimiento junio/2017</t>
  </si>
  <si>
    <t>Deuda</t>
  </si>
  <si>
    <t>Mantenimiento julio/2017</t>
  </si>
  <si>
    <t xml:space="preserve">Resumen           </t>
  </si>
  <si>
    <t>Propietario :</t>
  </si>
  <si>
    <t>Inquilino :</t>
  </si>
  <si>
    <t>Teléfono :</t>
  </si>
  <si>
    <t>Celular :</t>
  </si>
  <si>
    <t>Correo :</t>
  </si>
  <si>
    <t>Departamento :</t>
  </si>
  <si>
    <t>Mantenimiento agosto/2017</t>
  </si>
  <si>
    <t>Mantenimiento septiembre/2017</t>
  </si>
  <si>
    <t>Mantenimiento octubre/2017</t>
  </si>
  <si>
    <t>Pago mantenimiento junio/2017</t>
  </si>
  <si>
    <t>Pago mantenimiento julio/2017</t>
  </si>
  <si>
    <t>Pago mantenimiento agosto/2017</t>
  </si>
  <si>
    <t>Pago mantenimiento septiembre/2017</t>
  </si>
  <si>
    <t>Pago mantenimiento octubre/2017</t>
  </si>
  <si>
    <t>Mantenimiento noviembre/2017</t>
  </si>
  <si>
    <t>Pago mantenimiento noviembre/2017</t>
  </si>
  <si>
    <t>Mantenimiento diciembre/2017</t>
  </si>
  <si>
    <t>Pago mantenimiento diciembre/2017</t>
  </si>
  <si>
    <t>Pagado</t>
  </si>
  <si>
    <t>Multa</t>
  </si>
  <si>
    <t>EMPRESA</t>
  </si>
  <si>
    <t>SR. JOSE ORGAZ</t>
  </si>
  <si>
    <t>LOCAL 10</t>
  </si>
  <si>
    <t>LOCAL 14</t>
  </si>
  <si>
    <t>LOCAL 15</t>
  </si>
  <si>
    <t>LOCAL 16</t>
  </si>
  <si>
    <t>LOCAL 17</t>
  </si>
  <si>
    <t>LOCAL 18</t>
  </si>
  <si>
    <t>LOCAL 19</t>
  </si>
  <si>
    <t>OF.3A</t>
  </si>
  <si>
    <t>OF.3B</t>
  </si>
  <si>
    <t>OF.3C</t>
  </si>
  <si>
    <t>OF.3D</t>
  </si>
  <si>
    <t>OF.4A</t>
  </si>
  <si>
    <t>OF.4B</t>
  </si>
  <si>
    <t>OF.4C</t>
  </si>
  <si>
    <t>OF.5A</t>
  </si>
  <si>
    <t>OF.5B</t>
  </si>
  <si>
    <t>OF.5C</t>
  </si>
  <si>
    <t>OF.5D</t>
  </si>
  <si>
    <t>OF.5E</t>
  </si>
  <si>
    <t>OF.5F</t>
  </si>
  <si>
    <t>LOCAL 12-13</t>
  </si>
  <si>
    <t>LOCAL 02</t>
  </si>
  <si>
    <t>LOCAL 01</t>
  </si>
  <si>
    <t>LOCAL 03</t>
  </si>
  <si>
    <t>LOCAL 04</t>
  </si>
  <si>
    <t>LOCAL 05</t>
  </si>
  <si>
    <t>LOCAL 06</t>
  </si>
  <si>
    <t>LOCAL 08</t>
  </si>
  <si>
    <t>LOCAL 07</t>
  </si>
  <si>
    <t>LOCAL 09</t>
  </si>
  <si>
    <t>OF.5G</t>
  </si>
  <si>
    <t>OF.6A</t>
  </si>
  <si>
    <t>OF.6B</t>
  </si>
  <si>
    <t>OF.6C</t>
  </si>
  <si>
    <t>OF.6D</t>
  </si>
  <si>
    <t>OF.6E</t>
  </si>
  <si>
    <t>OF.6F</t>
  </si>
  <si>
    <t>OF.6G</t>
  </si>
  <si>
    <t>OF.7A</t>
  </si>
  <si>
    <t>OF.7B</t>
  </si>
  <si>
    <t>OF.7C</t>
  </si>
  <si>
    <t>OF.7D</t>
  </si>
  <si>
    <t>OF.7E</t>
  </si>
  <si>
    <t>OF.7F</t>
  </si>
  <si>
    <t>OF.7G</t>
  </si>
  <si>
    <t>OF.8A</t>
  </si>
  <si>
    <t>OF.8B</t>
  </si>
  <si>
    <t>OF.8C</t>
  </si>
  <si>
    <t>OF.8D</t>
  </si>
  <si>
    <t>OF.8E</t>
  </si>
  <si>
    <t>OF.8F</t>
  </si>
  <si>
    <t>OF.8G</t>
  </si>
  <si>
    <t>OF.9A</t>
  </si>
  <si>
    <t>OF.9B</t>
  </si>
  <si>
    <t>OF.9C</t>
  </si>
  <si>
    <t>OF.9D</t>
  </si>
  <si>
    <t>OF.9E</t>
  </si>
  <si>
    <t>OF.9F</t>
  </si>
  <si>
    <t>OF.9G</t>
  </si>
  <si>
    <t>OF.10A</t>
  </si>
  <si>
    <t>OF.10B</t>
  </si>
  <si>
    <t>OF.10C</t>
  </si>
  <si>
    <t>OF.10D</t>
  </si>
  <si>
    <t>OF.10E</t>
  </si>
  <si>
    <t>OF.10F</t>
  </si>
  <si>
    <t>OF.10G</t>
  </si>
  <si>
    <t>DEP.11A</t>
  </si>
  <si>
    <t>DEP.11B</t>
  </si>
  <si>
    <t>DEP.11C</t>
  </si>
  <si>
    <t>DEP.11D</t>
  </si>
  <si>
    <t>DEP.12A</t>
  </si>
  <si>
    <t>DEP.12B</t>
  </si>
  <si>
    <t>DEP.12C</t>
  </si>
  <si>
    <t>DEP.12D</t>
  </si>
  <si>
    <t>DEP.13A</t>
  </si>
  <si>
    <t>DEP.13B</t>
  </si>
  <si>
    <t>DEP.13C</t>
  </si>
  <si>
    <t>DEP.13D</t>
  </si>
  <si>
    <t>DEP.14A</t>
  </si>
  <si>
    <t>DEP.14B</t>
  </si>
  <si>
    <t>DEP.14C</t>
  </si>
  <si>
    <t>DEP.14D</t>
  </si>
  <si>
    <t>DEP.15A</t>
  </si>
  <si>
    <t>DEP.15B</t>
  </si>
  <si>
    <t>DEP.15C</t>
  </si>
  <si>
    <t>DEP.15D</t>
  </si>
  <si>
    <t>DEP.16A</t>
  </si>
  <si>
    <t>DEP.16B</t>
  </si>
  <si>
    <t>DEP.16C</t>
  </si>
  <si>
    <t>DEP.16D</t>
  </si>
  <si>
    <t>DEP.17A</t>
  </si>
  <si>
    <t>DEP.17B</t>
  </si>
  <si>
    <t>DEP.17C</t>
  </si>
  <si>
    <t>DEP.17D</t>
  </si>
  <si>
    <t>DEP.18A</t>
  </si>
  <si>
    <t>DEP.18B</t>
  </si>
  <si>
    <t>DEP.18C</t>
  </si>
  <si>
    <t>DEP.18D</t>
  </si>
  <si>
    <t>DEP.19A</t>
  </si>
  <si>
    <t>DEP.19B</t>
  </si>
  <si>
    <t>DEP.19C</t>
  </si>
  <si>
    <t>DEP.19D</t>
  </si>
  <si>
    <t>DEP.20A</t>
  </si>
  <si>
    <t>DEP.20B</t>
  </si>
  <si>
    <t>DEP.20C</t>
  </si>
  <si>
    <t>DEP.20D</t>
  </si>
  <si>
    <t>DEP.21A</t>
  </si>
  <si>
    <t>DEP.21B</t>
  </si>
  <si>
    <t>DEP.21C</t>
  </si>
  <si>
    <t>DEP.21D</t>
  </si>
  <si>
    <t>DEP.22A</t>
  </si>
  <si>
    <t>DEP.22B</t>
  </si>
  <si>
    <t>DEP.22C</t>
  </si>
  <si>
    <t>DEP.22D</t>
  </si>
  <si>
    <t>DEP.23A</t>
  </si>
  <si>
    <t>DEP.23B</t>
  </si>
  <si>
    <t>DEP.23C</t>
  </si>
  <si>
    <t>DEP.23D</t>
  </si>
  <si>
    <t>DEP.24A</t>
  </si>
  <si>
    <t>DEP.24B</t>
  </si>
  <si>
    <t>DEP.24C</t>
  </si>
  <si>
    <t>DEP.24D</t>
  </si>
  <si>
    <t>DEP.25A</t>
  </si>
  <si>
    <t>DEP.25B</t>
  </si>
  <si>
    <t>DEP.25C</t>
  </si>
  <si>
    <t>DEP.25D</t>
  </si>
  <si>
    <t>DEP.26A</t>
  </si>
  <si>
    <t>DEP.26B</t>
  </si>
  <si>
    <t>DEP.26C</t>
  </si>
  <si>
    <t>DEP.26D</t>
  </si>
  <si>
    <t>DEP.27A</t>
  </si>
  <si>
    <t>DEP.27B</t>
  </si>
  <si>
    <t>DEP.27C</t>
  </si>
  <si>
    <t>DEP.28A</t>
  </si>
  <si>
    <t>DEP.28B</t>
  </si>
  <si>
    <t>Columna1</t>
  </si>
  <si>
    <t>RODRIGO FLORES</t>
  </si>
  <si>
    <t>NO SE LE COBRA POR QUE ESTA A LA VENTA NUEVAMENTE</t>
  </si>
  <si>
    <t>Columna2</t>
  </si>
  <si>
    <t xml:space="preserve"> SR.  JOSE LUIS MACIAS </t>
  </si>
  <si>
    <t>FALTA ENTREGAR</t>
  </si>
  <si>
    <t xml:space="preserve">    ENRIQUE  MANZILLA</t>
  </si>
  <si>
    <t xml:space="preserve">  ENRIQUE MANZILLA</t>
  </si>
  <si>
    <t>APRINTEL SRL</t>
  </si>
  <si>
    <t>EDUARDO MEJIA</t>
  </si>
  <si>
    <t>ALBERTO BLEICHNER</t>
  </si>
  <si>
    <t>LOCAL 11</t>
  </si>
  <si>
    <t>CARLOS SALINAS</t>
  </si>
  <si>
    <t>MARIEL SALINAS</t>
  </si>
  <si>
    <t xml:space="preserve">  FELIX RAMIREZ</t>
  </si>
  <si>
    <t>ROXANA  CHAVEZ</t>
  </si>
  <si>
    <t>MARIA DEL CARMEN ROCA</t>
  </si>
  <si>
    <t>CESAR ANGERELY</t>
  </si>
  <si>
    <t>LUISA FABIAN</t>
  </si>
  <si>
    <t>ANA LLERENA</t>
  </si>
  <si>
    <t>JHOSEP CASTRO</t>
  </si>
  <si>
    <t>ROBERTO KOCK</t>
  </si>
  <si>
    <t>GLORIA ARCE</t>
  </si>
  <si>
    <t>MARCO SALCEDO</t>
  </si>
  <si>
    <t>RAFAEL BURGOS</t>
  </si>
  <si>
    <t>MARIA ELENA CRESPO</t>
  </si>
  <si>
    <t>MARTHA HOYOS</t>
  </si>
  <si>
    <t>MARCO JORDAN</t>
  </si>
  <si>
    <t>IVANA  HONOR</t>
  </si>
  <si>
    <t>RUDY CARDOZO</t>
  </si>
  <si>
    <t>XIMENA VAZQUEZ</t>
  </si>
  <si>
    <t>MARIA ELENA CRUZ</t>
  </si>
  <si>
    <t>AYDE VALENZUELA</t>
  </si>
  <si>
    <t>JOSE ORGAZ</t>
  </si>
  <si>
    <t>ANGELA CARPIO</t>
  </si>
  <si>
    <t>LOLIA ALCOREZA</t>
  </si>
  <si>
    <t>GABRIELA GUTIERREZ</t>
  </si>
  <si>
    <t>ANA MARIA TRIGO</t>
  </si>
  <si>
    <t>VICTOR  TORRICO</t>
  </si>
  <si>
    <t>ELIANA ABASTO</t>
  </si>
  <si>
    <t>LILIAN GUARDIA</t>
  </si>
  <si>
    <t>MANUEL AJATA</t>
  </si>
  <si>
    <t>NILDA VDA. DE LLANOS</t>
  </si>
  <si>
    <t>ROXANA CHAVEZ</t>
  </si>
  <si>
    <t>ERMES  ROMERO</t>
  </si>
  <si>
    <t>ORLANDO SALAZAR</t>
  </si>
  <si>
    <t>ROBERTO ROQUE</t>
  </si>
  <si>
    <t>BEATRIZ VILLEGAS</t>
  </si>
  <si>
    <t>MONICA MURILLO</t>
  </si>
  <si>
    <t>SANDRA  SERRATE</t>
  </si>
  <si>
    <t>MARIA CESPEDES</t>
  </si>
  <si>
    <t>LUIS LOZA PARI</t>
  </si>
  <si>
    <t>MAURICIO SALAZAR</t>
  </si>
  <si>
    <t>PAGO UNICO</t>
  </si>
  <si>
    <t>DANIELA TERAN</t>
  </si>
  <si>
    <t>CAROLA PEREZ</t>
  </si>
  <si>
    <t>ERLAN LLANOS</t>
  </si>
  <si>
    <t>SERGIO ALBORTA</t>
  </si>
  <si>
    <t>IBLYN TRIGO</t>
  </si>
  <si>
    <t>DEPTO 17 D</t>
  </si>
  <si>
    <t>RODRIGO  FLORES</t>
  </si>
  <si>
    <t>FATIMA GONZALES</t>
  </si>
  <si>
    <t>FEDORA CARREÑO</t>
  </si>
  <si>
    <t>CRISTINA INOFUENTES</t>
  </si>
  <si>
    <t>MANUEL ANDRES COSSIO NACIF</t>
  </si>
  <si>
    <t>MARIA CALVETY</t>
  </si>
  <si>
    <t>JUSTINIANO ZEGARRA</t>
  </si>
  <si>
    <t>NANCI C0NDORI</t>
  </si>
  <si>
    <t>CESAR ANGELERY</t>
  </si>
  <si>
    <t>LUZ FLORES VILLALTA</t>
  </si>
  <si>
    <t>PATRICIA ORRICO</t>
  </si>
  <si>
    <t>NANCI CONDORI</t>
  </si>
  <si>
    <t>MUDANZA</t>
  </si>
  <si>
    <t>local 10</t>
  </si>
  <si>
    <t>Columna3</t>
  </si>
  <si>
    <t>TOTAL</t>
  </si>
  <si>
    <t>TOTAL PAGADO</t>
  </si>
  <si>
    <t>JAVIER GUTIERREZ</t>
  </si>
  <si>
    <t>EDIFICIO  TORRE FAITH</t>
  </si>
  <si>
    <t>ANA CAROLINA ZALLES REYES</t>
  </si>
  <si>
    <t>ROXANA JOSEFINA CHAVEZ TORREZ</t>
  </si>
  <si>
    <t>EVA LUCIANA ZEGARRA CHOQUE</t>
  </si>
  <si>
    <t>RAUL QUIÑONES MARQUEZ</t>
  </si>
  <si>
    <t>RENE BLACUT MAMANI</t>
  </si>
  <si>
    <t>NELSON ERMES ROMERO ARMATA</t>
  </si>
  <si>
    <t>MARTHA HOYOS RODAS</t>
  </si>
  <si>
    <t>LILIAN GISELA ESPEJO SEJAS</t>
  </si>
  <si>
    <t>VICTOR CENTENO</t>
  </si>
  <si>
    <t>DENIS GONZALO MENA REVOLLO</t>
  </si>
  <si>
    <t>JAIME WALTER BRAVO MOLLINEDO</t>
  </si>
  <si>
    <t>JOSE LUIS MACIAS LOVERA</t>
  </si>
  <si>
    <t>RENE ORLANDO SALAZAR SOSSA</t>
  </si>
  <si>
    <t>ROBERTO ROQUE CHOQUE</t>
  </si>
  <si>
    <t>BEATRIZ BRABER VILLEGAS VDA DE MARTINEZ</t>
  </si>
  <si>
    <t>MARIA DEL CARMEN ROCA STEVERLYNCK</t>
  </si>
  <si>
    <t>EDUARDO SEBASTIAN MEJIA SILVA</t>
  </si>
  <si>
    <t>ALBERTO GERARDO BLEICHNER VISCARRA</t>
  </si>
  <si>
    <t>MARIA SANDRA SERRATE DE FIORI</t>
  </si>
  <si>
    <t>JUAN CARLOS UGARTE LAZO</t>
  </si>
  <si>
    <t>MARIA ELIZABETH CESPEDES DE COL</t>
  </si>
  <si>
    <t>LUIS FERNANDO LOZA PARI</t>
  </si>
  <si>
    <t>MAURICIO SALAZAR SOSSA</t>
  </si>
  <si>
    <t>DANIELA VALENTINA TERAN PEÑARANDA</t>
  </si>
  <si>
    <t>JAVIER EDGAR GUTIERREZ HERRERA</t>
  </si>
  <si>
    <t>ANA CAROLA PEREZ CUETO SUAREZ</t>
  </si>
  <si>
    <t>ERLAN RENATO LLANOS RIZZO</t>
  </si>
  <si>
    <t>SERGIO ALBORTA GONCALVES</t>
  </si>
  <si>
    <t>SONIA YAÑEZ GUTIERRES</t>
  </si>
  <si>
    <t>MARCO ANTONIO AJATA LUCANA</t>
  </si>
  <si>
    <t>JUAN CESAR ANGELERI BERNAL</t>
  </si>
  <si>
    <t>FERNANDO ALBORTA DE VILLEGAS- MARIA DEL CARMEN  INARRA DE ALBORTA</t>
  </si>
  <si>
    <t>TATIANA ROSARIO CRUZ ARANIBAR</t>
  </si>
  <si>
    <t>LUISA FABIAN MAMANI</t>
  </si>
  <si>
    <t>ELIZABETH WENDELINE SARAVA PEREZ</t>
  </si>
  <si>
    <t>ANA JAQUELINE LLERENA URIA</t>
  </si>
  <si>
    <t>CARLOS RAMIRO TUBBAX OTERO</t>
  </si>
  <si>
    <t>JOSEHP RONALD CASTRO BALDERRAMA</t>
  </si>
  <si>
    <t>ELISA FEDORA CARREÑO</t>
  </si>
  <si>
    <t>ROBERTO KOCK RODRIGUEZ</t>
  </si>
  <si>
    <t>RAMIRO PINELL ZALLES</t>
  </si>
  <si>
    <t>MARCO ANTONIO GREGORIO SALCEDO GONZALES</t>
  </si>
  <si>
    <t>MARIA ELENA CRESPO MACIEL</t>
  </si>
  <si>
    <t>LAURA ISABEL BUENO GONZALES</t>
  </si>
  <si>
    <t>MELISA VALDIVIA VARGAS</t>
  </si>
  <si>
    <t>LISSETTE MAGGY CARREON RUIZ</t>
  </si>
  <si>
    <t>NOEMI MAGALY SALAZAR RODRIGUEZ-YUMANZ ANDRADE ORDOÑEZ</t>
  </si>
  <si>
    <t>IVANA MELISSA HONOR SANJINES</t>
  </si>
  <si>
    <t>CAMILO SERGIO QUIROGA VELASCO</t>
  </si>
  <si>
    <t>NELLY COMBS</t>
  </si>
  <si>
    <t>XIMENA VASQUEZ PINTO</t>
  </si>
  <si>
    <t>MARIA ELENA CRUZ ROMANO</t>
  </si>
  <si>
    <t>ROSA ELENA PIJUAN ANGELERI VDA DE BELMONTE</t>
  </si>
  <si>
    <t>JUSTINA AYDE VALENZUELA TERRAZAS DE MONRROY</t>
  </si>
  <si>
    <t>MARIO HUGO ALBA MONTERO</t>
  </si>
  <si>
    <t>MIGUELINA JANNET LOPEZ VDA DE GONZALES</t>
  </si>
  <si>
    <t>ANA MARIA MONTERREY RIOS</t>
  </si>
  <si>
    <t>ROSARIO FATIMA GONZALES MURILLO</t>
  </si>
  <si>
    <t>MARIA DEL CARMEN CALVETY AMBONI-JAIME FELIX ZUBIETA QUINTANILLA</t>
  </si>
  <si>
    <t>RODRIGO FLORES MELGAJERO</t>
  </si>
  <si>
    <t>JOSE BENJAMIN ORGAZ ZAVALETA</t>
  </si>
  <si>
    <t>ANGELA ERMINIA CARPIO MORENO</t>
  </si>
  <si>
    <t>LOLIA BEATRIZ ALCOREZA ZAMORANO</t>
  </si>
  <si>
    <t>GABRIELA MIRIAM GUTIERREZ LARA</t>
  </si>
  <si>
    <t>MARIA DE LOS ANGELES VARGAS DE TAVERA</t>
  </si>
  <si>
    <t>SOHRAB TAWACKOLI</t>
  </si>
  <si>
    <t>ELIANA ALVAREZ ABASTO</t>
  </si>
  <si>
    <t>LILIAN SELMA GUARDIA MIRANDA</t>
  </si>
  <si>
    <t>MARCO ANTONIO JORDAN MENDOZA</t>
  </si>
  <si>
    <t>MANUEL ANDRES COSIO NASIF</t>
  </si>
  <si>
    <t>LIZ MARIELA MORALES DE SALINAS</t>
  </si>
  <si>
    <t>LOCALES</t>
  </si>
  <si>
    <t>OFICINAS</t>
  </si>
  <si>
    <t>DEPARTAMENTOS</t>
  </si>
  <si>
    <t>NILDA RUSA CENTENO VDA. DE LLANOS</t>
  </si>
  <si>
    <t>VICTOR RENE CENTENO PALACIOS</t>
  </si>
  <si>
    <t>MARCELA GABRIELA TERAN DE PALMA</t>
  </si>
  <si>
    <t>REBECA SYLVIA LUISA BJORLING</t>
  </si>
  <si>
    <t>PATRICIA ORRICO PAPALEO</t>
  </si>
  <si>
    <t>RODRIGO FLORES MELGAREJO</t>
  </si>
  <si>
    <t>JOSE ANTONIO RIOS MENDOZA</t>
  </si>
  <si>
    <t>JUSTINIANO ZEGARRA VERASTEGUI</t>
  </si>
  <si>
    <t>RAFAEL BURGOS  FLORES</t>
  </si>
  <si>
    <t>RUDY ALEJANDRO CARDOZO FERNANDEZ</t>
  </si>
  <si>
    <t>IRMA ORTEGA PABON</t>
  </si>
  <si>
    <t>SR. ROBERTO VISCAFE UREÑA</t>
  </si>
  <si>
    <t>INES FRIDA VELEZ ASTRO</t>
  </si>
  <si>
    <t>ANA MARIA TRIGO MARTINEZ DE MONTAÑO</t>
  </si>
  <si>
    <t>VICTOR PEDRO  TORRICO VARGAS</t>
  </si>
  <si>
    <t>JUDITH CRISTINA RIVERO  DE INOFUENTES</t>
  </si>
  <si>
    <t>ALEJANDRA TERESA ALESSANDRI SORIANO</t>
  </si>
  <si>
    <t xml:space="preserve">C              </t>
  </si>
  <si>
    <t>UNIDADES</t>
  </si>
  <si>
    <t>EMPRESA POR  COBRAR</t>
  </si>
  <si>
    <t>EXPENSAS POR COBRAR</t>
  </si>
  <si>
    <t>TOTAL EXPENSAS COBRADAS EFECTIVO Y BANCO</t>
  </si>
  <si>
    <t>OFICINA</t>
  </si>
  <si>
    <t>MARCO AJATA</t>
  </si>
  <si>
    <t xml:space="preserve"> DUEÑO CARLOS TUBBAX OTERO</t>
  </si>
  <si>
    <t xml:space="preserve"> </t>
  </si>
  <si>
    <t>FECHA</t>
  </si>
  <si>
    <t>GARY ZEGARRA AYLLON</t>
  </si>
  <si>
    <t xml:space="preserve">DEP.28A </t>
  </si>
  <si>
    <t>MARIA FERNANDA SALAME</t>
  </si>
  <si>
    <t>DETALLE</t>
  </si>
  <si>
    <t>IMPORTE</t>
  </si>
  <si>
    <t>RECIBO</t>
  </si>
  <si>
    <t>J</t>
  </si>
  <si>
    <t>RECIBIDO</t>
  </si>
  <si>
    <t>LUPE LECOÑA</t>
  </si>
  <si>
    <t>CAROLA OSSIO</t>
  </si>
  <si>
    <t>EVA LUCIANA ZEGARRA</t>
  </si>
  <si>
    <t>FRESIA C. FLORES</t>
  </si>
  <si>
    <t>LUPE MARCELA LECOÑA</t>
  </si>
  <si>
    <t>MARCELA LUPE LECOÑA</t>
  </si>
  <si>
    <t>MONICA  XIMENA INOFUENTES RIVERO</t>
  </si>
  <si>
    <t>Columna4</t>
  </si>
  <si>
    <t>( EXPRESADO EN BOLIVIANOS )</t>
  </si>
  <si>
    <t>ESTADO DE INGRESOS Y EGRESOS</t>
  </si>
  <si>
    <t>TOTAL INGRESOS</t>
  </si>
  <si>
    <t>INQULINO:</t>
  </si>
  <si>
    <t>Columna22</t>
  </si>
  <si>
    <t>LUPE MARCELA  LECOÑA</t>
  </si>
  <si>
    <t>MARIELA FERNANDEZ</t>
  </si>
  <si>
    <t>LISTA DE DEUDORES LOCALES</t>
  </si>
  <si>
    <t>LISTA DE DEUDORES OFICINAS</t>
  </si>
  <si>
    <t>NANCI LOURDEZ CONDORI</t>
  </si>
  <si>
    <t xml:space="preserve">MARIEL SALINAS </t>
  </si>
  <si>
    <t xml:space="preserve">LUIS CALDERON </t>
  </si>
  <si>
    <t>DEPTO</t>
  </si>
  <si>
    <t>LISTA DE DEUDORES DEPARTAMENTOS</t>
  </si>
  <si>
    <t>MARCO ANTONIO VALDIVIA URIA</t>
  </si>
  <si>
    <t>SIMCORT / APRINTEL SRL</t>
  </si>
  <si>
    <t>CELIA POMA /APRINTEL SRL</t>
  </si>
  <si>
    <t>VERONICA SOLEDAD RODRIGUEZ PIMENTEL</t>
  </si>
  <si>
    <t>LOURDES  BARRIENTOS - RODRIGO ALMARAZ BARRIENTOS</t>
  </si>
  <si>
    <t>JESICA AJATA</t>
  </si>
  <si>
    <t>Copropietarios que apoyaran a el cobro de expensas  según acta:</t>
  </si>
  <si>
    <t xml:space="preserve">          Lic. Cristina R. Inofuentes  Depto. 26-D</t>
  </si>
  <si>
    <t xml:space="preserve">          Sra. Ana Llerena Uria  Depto 13-A</t>
  </si>
  <si>
    <t>La Paz, 14 de enero de 2021</t>
  </si>
  <si>
    <t>BORIS ZAMBRANA</t>
  </si>
  <si>
    <t xml:space="preserve">contrario se tomara  las medidas que aconseja el caso, según acordado en Asamblea </t>
  </si>
  <si>
    <t xml:space="preserve">General de fecha 10/12/2021. </t>
  </si>
  <si>
    <t>Copropietarios que apoyaran al   cobro de expensas  según acta:</t>
  </si>
  <si>
    <t>MARIELA FERNANDEZ MALDONADO</t>
  </si>
  <si>
    <t>JUAN JOSE TRIGO</t>
  </si>
  <si>
    <t>ANDRE TEJERINA</t>
  </si>
  <si>
    <t>NOTA : La deuda deberá  ser cancelada hasta el 21/01/2021 impostergablemente caso</t>
  </si>
  <si>
    <t>NOTA : La deuda deberá ser cancelada hasta el 21/01/2021 impostergablemente caso</t>
  </si>
  <si>
    <t>UNIDAD</t>
  </si>
  <si>
    <t>OF.6b</t>
  </si>
  <si>
    <t>BEYMAR CHUQUIMIA</t>
  </si>
  <si>
    <t xml:space="preserve">EVA URIA  </t>
  </si>
  <si>
    <t>andree tejerina</t>
  </si>
  <si>
    <t xml:space="preserve">CAMILO QUIROGA </t>
  </si>
  <si>
    <t xml:space="preserve"> LAURA ISABEL BUENO</t>
  </si>
  <si>
    <t>CARMEN SUSANA LINO</t>
  </si>
  <si>
    <t>OF.4C-PARQUEO 125-BAULERA 78</t>
  </si>
  <si>
    <t>JUAN CARLOS BALLON</t>
  </si>
  <si>
    <t xml:space="preserve">mas parqueo 46 del 12A desde julio </t>
  </si>
  <si>
    <t>LISSETT  CARREON</t>
  </si>
  <si>
    <t>DEPARTAMENTO</t>
  </si>
  <si>
    <t>Inquilino ACTUAL:</t>
  </si>
  <si>
    <t>DEUDA GESTION 2017-2020</t>
  </si>
  <si>
    <t>DEUDA GESTION 2021</t>
  </si>
  <si>
    <t>Columna6</t>
  </si>
  <si>
    <t>ROBERTO VISCAFE/LUCIA VALDA VALDIBIEZO</t>
  </si>
  <si>
    <t>ROBERTO TEJADA</t>
  </si>
  <si>
    <t>MARCO ANTONIO SALCEDO</t>
  </si>
  <si>
    <t>EDIFICIO TORRE FAITH</t>
  </si>
  <si>
    <t xml:space="preserve">LUPE MARCELA </t>
  </si>
  <si>
    <t>EMPRESA  MANCILLA</t>
  </si>
  <si>
    <t>EMPRESA / VENTA</t>
  </si>
  <si>
    <t>XIMENA ESPRELLA</t>
  </si>
  <si>
    <t>LUPE LECOÑA GREENROAD</t>
  </si>
  <si>
    <t>EMPRESA / EN VENTA</t>
  </si>
  <si>
    <t xml:space="preserve">LUPE LECOÑA </t>
  </si>
  <si>
    <t>GASTOS  2018</t>
  </si>
  <si>
    <t>GASTOS 2019</t>
  </si>
  <si>
    <t>GASTOS 2020</t>
  </si>
  <si>
    <t>GASTOS 2021</t>
  </si>
  <si>
    <t>GASTOS 2022 ENERO A  SEPTIEMBRE</t>
  </si>
  <si>
    <t>SALDO</t>
  </si>
  <si>
    <t>TOTAL DEUDA</t>
  </si>
  <si>
    <t>DEUDA</t>
  </si>
  <si>
    <t>TOTAL EXP-MUD</t>
  </si>
  <si>
    <t>SALDO EFECTIVO 2018-2020</t>
  </si>
  <si>
    <t>SALDO EFECTIVO 2021</t>
  </si>
  <si>
    <t>SALDO EFECTIVO 2022</t>
  </si>
  <si>
    <t>MENOS</t>
  </si>
  <si>
    <t xml:space="preserve">  EFECTIVO BANCO 26/10/2022</t>
  </si>
  <si>
    <t>TOTAL SALDO EN EFECTIVO ADM FATIH</t>
  </si>
  <si>
    <t>SALDO A DEPOSITAR</t>
  </si>
  <si>
    <t xml:space="preserve">   </t>
  </si>
  <si>
    <t>MAURICIO FARFAN ESPINOZA</t>
  </si>
  <si>
    <t>LOURDEZ CONDORI</t>
  </si>
  <si>
    <t>MERY ADELINA MELGAREJO DE FLORES</t>
  </si>
  <si>
    <t xml:space="preserve">  </t>
  </si>
  <si>
    <t>VIOLETA PARRA</t>
  </si>
  <si>
    <t>DEUDA GESTION 2022</t>
  </si>
  <si>
    <t>SIMCORT LTDA</t>
  </si>
  <si>
    <t xml:space="preserve"> RAUL QUIÑONES </t>
  </si>
  <si>
    <t>INQUILINO VERONICA RODRIGUEZ</t>
  </si>
  <si>
    <t>Columna5</t>
  </si>
  <si>
    <t>Columna7</t>
  </si>
  <si>
    <t>Columna8</t>
  </si>
  <si>
    <t>Columna9</t>
  </si>
  <si>
    <t>Columna10</t>
  </si>
  <si>
    <t>Columna11</t>
  </si>
  <si>
    <t>Columna12</t>
  </si>
  <si>
    <t xml:space="preserve"> MAURICIO ERNESTO FARFAN ESPINOZA</t>
  </si>
  <si>
    <t>KATHERINE ARAOZ</t>
  </si>
  <si>
    <t>PROPIETARIO</t>
  </si>
  <si>
    <t>PAGO POR MUDANZA</t>
  </si>
  <si>
    <t>RODRIGO ALBORTA</t>
  </si>
  <si>
    <t>MERY FERNANDEZ</t>
  </si>
  <si>
    <t>PAULA BURGOS</t>
  </si>
  <si>
    <t xml:space="preserve"> vania iturri</t>
  </si>
  <si>
    <t xml:space="preserve">, </t>
  </si>
  <si>
    <t>LILIAN TEJERINA</t>
  </si>
  <si>
    <t>x</t>
  </si>
  <si>
    <t>TANHIA MONTERREY</t>
  </si>
  <si>
    <t>MARLENE EXENI, JAIME ROZO</t>
  </si>
  <si>
    <t>JAIME ROZO</t>
  </si>
  <si>
    <t>marcela castro rivera</t>
  </si>
  <si>
    <t>JOSE LUIS PAEZ</t>
  </si>
  <si>
    <t>LIONEL PRADA</t>
  </si>
  <si>
    <t>RESUMEN DEL 01/01/2023  AL 31/08/2023</t>
  </si>
  <si>
    <t>PATRICIA JORDAN</t>
  </si>
  <si>
    <t>MAS PARQUEO 36</t>
  </si>
  <si>
    <t>ROSARIO MONTERO DE ALBA</t>
  </si>
  <si>
    <t>rosario bonilla</t>
  </si>
  <si>
    <t>CATESIA  SRL</t>
  </si>
  <si>
    <t>76560000 yazmin quiroga</t>
  </si>
  <si>
    <t>DEUDA GESTION 2023</t>
  </si>
  <si>
    <t>MARCELA TERAN</t>
  </si>
  <si>
    <t>LUIS MAURICIO VASQUEZ GUZMAN</t>
  </si>
  <si>
    <t>NUEVO INQUILINO, SOLO DEPTO</t>
  </si>
  <si>
    <t>MAS 2 PARQUEOS DEL 19D</t>
  </si>
  <si>
    <t>MENOS DOS PARQUEOS EN VENTA</t>
  </si>
  <si>
    <t>ALVARO ZAPATA</t>
  </si>
  <si>
    <t>PARQUEO EN SOTANO 1</t>
  </si>
  <si>
    <t>TECHBUILD GROUP</t>
  </si>
  <si>
    <t>se cobra expensas sin parqueos desde enero a dueña,hasta solucionar con la empresa</t>
  </si>
  <si>
    <t>SBS SECURITY SRL</t>
  </si>
  <si>
    <t>LUIS PACHECO</t>
  </si>
  <si>
    <t>DEPARTAMENTOS 2024</t>
  </si>
  <si>
    <t>LOCALES  2024</t>
  </si>
  <si>
    <t>OFICINAS  2024</t>
  </si>
  <si>
    <t>MUDANZA 2024</t>
  </si>
  <si>
    <t>TOTAL EXPENSAS  COOPROPIETARIOS 2024</t>
  </si>
  <si>
    <t>XIMENAMICHEL</t>
  </si>
  <si>
    <t>DEP.30</t>
  </si>
  <si>
    <t>MAS BAULERA DESDE JUNIO</t>
  </si>
  <si>
    <t>nuevo inquilino desde julio</t>
  </si>
  <si>
    <t>DORIS SAAVEDRA</t>
  </si>
  <si>
    <t>11 agua pasa a junio</t>
  </si>
  <si>
    <t>146 DEUDA 2023</t>
  </si>
  <si>
    <t>MIGUEL SALCEDO</t>
  </si>
  <si>
    <t>roxana camacho</t>
  </si>
  <si>
    <t>PIA GAMBARTE</t>
  </si>
  <si>
    <t>DEUDA GESTION 2024</t>
  </si>
  <si>
    <t>Mantenimiento enero/2025</t>
  </si>
  <si>
    <t>Pago mantenimiento enero/2025</t>
  </si>
  <si>
    <t>Mantenimiento febrero/2025</t>
  </si>
  <si>
    <t>Pago mantenimiento febrero/2025</t>
  </si>
  <si>
    <t>Mantenimiento marzo/2025</t>
  </si>
  <si>
    <t>Pago matenimiento marzo/2025</t>
  </si>
  <si>
    <t>Mantenimiento abril/2025</t>
  </si>
  <si>
    <t>Pago mantenimiento abril/2025</t>
  </si>
  <si>
    <t>Mantenimiento mayo/2025</t>
  </si>
  <si>
    <t>Pago mantenimiento mayo/2025</t>
  </si>
  <si>
    <t>Mantenimiento junio/2025</t>
  </si>
  <si>
    <t>Pago mantenimiento junio/2025</t>
  </si>
  <si>
    <t>Mantenimiento julio/2025</t>
  </si>
  <si>
    <t>Pago mantenimient julio/2025</t>
  </si>
  <si>
    <t>Mantenimiento agosto/2025</t>
  </si>
  <si>
    <t>Pago mantenimiento agosto/2025</t>
  </si>
  <si>
    <t>Mantenimiento septiembre/2025</t>
  </si>
  <si>
    <t>Pago mantenimiento septiembre/2025</t>
  </si>
  <si>
    <t>Mantenimiento octubre /2025</t>
  </si>
  <si>
    <t>Pago mantenimiento octubre/2025</t>
  </si>
  <si>
    <t>Mantenimiento noviembre/2025</t>
  </si>
  <si>
    <t>Pago mantenimiento noviembre/2025</t>
  </si>
  <si>
    <t>Mantenimiento diciembre/2025</t>
  </si>
  <si>
    <t>Pago de Mantenimiento diciembre/2025</t>
  </si>
  <si>
    <t>LUIS SORIA</t>
  </si>
  <si>
    <t>PARQUEO 128</t>
  </si>
  <si>
    <t>EIBRAHEEN KHALEEL</t>
  </si>
  <si>
    <t>Mudanza</t>
  </si>
  <si>
    <t>Pago por mudanza</t>
  </si>
  <si>
    <t>silvia machicado perez-aluminios de bolivia</t>
  </si>
  <si>
    <t>TRASLADO</t>
  </si>
  <si>
    <t>PAGO POR TRASLADO</t>
  </si>
  <si>
    <t>DALETH ROMERO</t>
  </si>
  <si>
    <t>STEFANIE JALDIN</t>
  </si>
  <si>
    <t>TTBM SRL</t>
  </si>
  <si>
    <t>ROXANA CAMACHO</t>
  </si>
  <si>
    <t>DESTINAGRO SRL</t>
  </si>
  <si>
    <t>TATIANA JIMENEZ</t>
  </si>
  <si>
    <t>ALVARO POMA</t>
  </si>
  <si>
    <t>SOLO DEPTO 88</t>
  </si>
  <si>
    <t>41 DEPTO 9 AGUA</t>
  </si>
  <si>
    <t>BS 47 EMPRESADEUDA</t>
  </si>
  <si>
    <t xml:space="preserve">                                                                                             </t>
  </si>
  <si>
    <t>carlos del aguila 63041739</t>
  </si>
  <si>
    <t>JULIO GRANADOS</t>
  </si>
  <si>
    <t>15 DIAS DE AGOSTO</t>
  </si>
  <si>
    <t>ROSTFORD SRL</t>
  </si>
  <si>
    <t>SABRINA ARDAYA</t>
  </si>
  <si>
    <t>JULIO CESAR VALERO</t>
  </si>
  <si>
    <t>VLADIMIR VILTE SORIA</t>
  </si>
  <si>
    <t>DIEGO BUSTAMANTE</t>
  </si>
  <si>
    <t>MAURICIO VEJARANO</t>
  </si>
  <si>
    <t>G</t>
  </si>
  <si>
    <t>mudanza</t>
  </si>
  <si>
    <t>No</t>
  </si>
  <si>
    <t>AL 30 DE NOVIEMBRE   2025</t>
  </si>
  <si>
    <t xml:space="preserve">pago de 18 dias de diciembre </t>
  </si>
  <si>
    <t>ENERO,2026 ADELANTO</t>
  </si>
  <si>
    <t>mes de febrero 2026</t>
  </si>
  <si>
    <t xml:space="preserve">mes de enero 2026 </t>
  </si>
  <si>
    <t>Mantenimiento enero/2026</t>
  </si>
  <si>
    <t>Pago mantenimiento enero/2026</t>
  </si>
  <si>
    <t>Mantenimiento febrero/2026</t>
  </si>
  <si>
    <t>Pago mantenimiento febrero/2026</t>
  </si>
  <si>
    <t>Mantenimiento marzo/2026</t>
  </si>
  <si>
    <t>Pago matenimiento marzo/2026</t>
  </si>
  <si>
    <t>Mantenimiento abril/2026</t>
  </si>
  <si>
    <t>Pago mantenimiento abril/2026</t>
  </si>
  <si>
    <t>Mantenimiento mayo/2026</t>
  </si>
  <si>
    <t>Pago mantenimiento mayo/2026</t>
  </si>
  <si>
    <t>Mantenimiento junio/2026</t>
  </si>
  <si>
    <t>Pago mantenimiento junio/2026</t>
  </si>
  <si>
    <t>Mantenimiento julio/2026</t>
  </si>
  <si>
    <t>Pago mantenimient julio/2026</t>
  </si>
  <si>
    <t>Mantenimiento agosto/2026</t>
  </si>
  <si>
    <t>Pago mantenimiento agosto/2026</t>
  </si>
  <si>
    <t>Mantenimiento septiembre/2026</t>
  </si>
  <si>
    <t>Pago mantenimiento septiembre/2026</t>
  </si>
  <si>
    <t>Mantenimiento octubre /2026</t>
  </si>
  <si>
    <t>Pago mantenimiento octubre/2026</t>
  </si>
  <si>
    <t>Mantenimiento noviembre/2026</t>
  </si>
  <si>
    <t>Pago mantenimiento noviembre/2026</t>
  </si>
  <si>
    <t>Mantenimiento diciembre/2026</t>
  </si>
  <si>
    <t>Pago de Mantenimiento diciembre/2026</t>
  </si>
  <si>
    <t>8374-8537</t>
  </si>
  <si>
    <t>8380-8536</t>
  </si>
  <si>
    <t>MIGUELINA JANNET LOPEZ DE GONZALES</t>
  </si>
  <si>
    <t>parqueo nfr</t>
  </si>
  <si>
    <t>30/1/202</t>
  </si>
  <si>
    <t>8544- 8603</t>
  </si>
  <si>
    <t>8521-7897</t>
  </si>
  <si>
    <t>8556-8625</t>
  </si>
  <si>
    <t>8665-8699</t>
  </si>
  <si>
    <t>8733-8734</t>
  </si>
  <si>
    <t>pago mudanza</t>
  </si>
  <si>
    <t>Se hizo depositode marzo</t>
  </si>
  <si>
    <t>8729-8636</t>
  </si>
  <si>
    <t>8729-8638</t>
  </si>
  <si>
    <t>VER RECIBO</t>
  </si>
  <si>
    <t>DANIEL LECONA</t>
  </si>
  <si>
    <t>JOSE RIOS</t>
  </si>
  <si>
    <t>paga la dueña</t>
  </si>
  <si>
    <t xml:space="preserve">adelantado </t>
  </si>
  <si>
    <t>el inquilino solo agua</t>
  </si>
  <si>
    <t>Ç0</t>
  </si>
  <si>
    <t>8380-8801</t>
  </si>
  <si>
    <t>8374-8802</t>
  </si>
  <si>
    <t>8797-8812</t>
  </si>
  <si>
    <t>8786-8836</t>
  </si>
  <si>
    <t>ver saldo para abril 2026</t>
  </si>
  <si>
    <t>8496-8827</t>
  </si>
  <si>
    <t>PAGO MUDANZA</t>
  </si>
  <si>
    <t>CARMEN CASTRO</t>
  </si>
  <si>
    <t>8456-8546</t>
  </si>
  <si>
    <t>8626-8841</t>
  </si>
  <si>
    <t>8759-8840</t>
  </si>
  <si>
    <t>8590-8814-8854</t>
  </si>
  <si>
    <t>8814-8854</t>
  </si>
  <si>
    <t>Pago mantenimiento marzol/2026</t>
  </si>
  <si>
    <t>7897-8713-8712-8863</t>
  </si>
  <si>
    <t>8455-8846</t>
  </si>
  <si>
    <t>8560-8881</t>
  </si>
  <si>
    <t>8740-8881</t>
  </si>
  <si>
    <t>8811-8881</t>
  </si>
  <si>
    <t>8887-8846</t>
  </si>
  <si>
    <t>8891-8881</t>
  </si>
  <si>
    <t>8525-8892</t>
  </si>
  <si>
    <t>8893-8892</t>
  </si>
  <si>
    <t>8892-8893</t>
  </si>
  <si>
    <t>8893-8895</t>
  </si>
  <si>
    <t>8898-8851</t>
  </si>
  <si>
    <t>8496-8827-8913</t>
  </si>
  <si>
    <t>8928-8931</t>
  </si>
  <si>
    <t>AL 30/12/2026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</si>
  <si>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</si>
  <si>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</si>
  <si>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</si>
  <si>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</si>
  <si>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</si>
  <si>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</si>
  <si>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</si>
  <si>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</si>
  <si>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</si>
  <si>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</si>
  <si>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</si>
  <si>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</si>
  <si>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FRESIA FLORES</t>
  </si>
  <si>
    <t>SANDRA SORIANO</t>
  </si>
  <si>
    <t>AL 31 DE DICIEMB RE  DE 2025</t>
  </si>
  <si>
    <t>ROSARIO BONILLA</t>
  </si>
  <si>
    <t>DEP, 30</t>
  </si>
  <si>
    <t xml:space="preserve">SONIA </t>
  </si>
  <si>
    <t>MARIO TEJEDA</t>
  </si>
  <si>
    <t>8863-8957-8958</t>
  </si>
  <si>
    <t>8959-8960</t>
  </si>
  <si>
    <t>8968-8752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</si>
</sst>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-* #,##0.00_-;\-* #,##0.00_-;_-* &quot;-&quot;??_-;_-@_-"/>
    <numFmt numFmtId="164" formatCode="_-* #,##0.00\ _B_s_-;\-* #,##0.00\ _B_s_-;_-* &quot;-&quot;??\ _B_s_-;_-@_-"/>
    <numFmt numFmtId="165" formatCode="0_ ;\-0\ "/>
    <numFmt numFmtId="166" formatCode="#,##0.00_ ;\-#,##0.00\ "/>
    <numFmt numFmtId="167" formatCode="#,##0\ &quot;€&quot;;[Red]#,##0\ &quot;€&quot;"/>
    <numFmt numFmtId="168" formatCode="0.00_ ;\-0.00\ "/>
    <numFmt numFmtId="169" formatCode="dd/mm/yyyy"/>
  </numFmts>
  <fonts count="10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2"/>
      <name val="Calibri"/>
      <family val="2"/>
      <scheme val="minor"/>
    </font>
    <font>
      <b/>
      <sz val="30"/>
      <color theme="4"/>
      <name val="Calibri Light"/>
      <family val="2"/>
      <scheme val="major"/>
    </font>
    <font>
      <sz val="15"/>
      <color theme="3"/>
      <name val="Calibri Light"/>
      <family val="2"/>
      <scheme val="major"/>
    </font>
    <font>
      <b/>
      <sz val="11"/>
      <color theme="4"/>
      <name val="Calibri"/>
      <family val="2"/>
      <scheme val="minor"/>
    </font>
    <font>
      <sz val="10"/>
      <color theme="10"/>
      <name val="Calibri"/>
      <family val="2"/>
      <scheme val="minor"/>
    </font>
    <font>
      <b/>
      <sz val="11"/>
      <color theme="10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1"/>
      <name val="Arial"/>
      <family val="2"/>
    </font>
    <font>
      <b/>
      <sz val="16"/>
      <name val="Calibri"/>
      <family val="2"/>
      <scheme val="minor"/>
    </font>
    <font>
      <b/>
      <sz val="12"/>
      <name val="Calibri Light"/>
      <family val="2"/>
      <scheme val="maj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2499465926084170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theme="8"/>
      </patternFill>
    </fill>
    <fill>
      <patternFill patternType="solid">
        <fgColor theme="4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theme="4" tint="0.39997558519241921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6" fillId="3" borderId="0">
      <alignment vertical="center"/>
    </xf>
    <xf numFmtId="0" fontId="7" fillId="0" borderId="0" applyNumberFormat="0" applyFill="0" applyBorder="0" applyAlignment="0" applyProtection="0"/>
    <xf numFmtId="0" fontId="8" fillId="0" borderId="0" applyNumberFormat="0" applyFill="0" applyAlignment="0" applyProtection="0"/>
    <xf numFmtId="0" fontId="10" fillId="0" borderId="0" applyNumberFormat="0" applyFill="0" applyBorder="0" applyAlignment="0" applyProtection="0"/>
  </cellStyleXfs>
  <cellXfs count="643">
    <xf numFmtId="0" fontId="0" fillId="0" borderId="0" xfId="0"/>
    <xf numFmtId="43" fontId="0" fillId="0" borderId="0" xfId="1" applyFont="1"/>
    <xf numFmtId="43" fontId="0" fillId="0" borderId="1" xfId="1" applyFont="1" applyBorder="1"/>
    <xf numFmtId="0" fontId="0" fillId="0" borderId="1" xfId="0" applyBorder="1"/>
    <xf numFmtId="165" fontId="0" fillId="0" borderId="0" xfId="1" applyNumberFormat="1" applyFont="1"/>
    <xf numFmtId="165" fontId="2" fillId="0" borderId="0" xfId="1" applyNumberFormat="1" applyFont="1"/>
    <xf numFmtId="165" fontId="0" fillId="0" borderId="1" xfId="1" applyNumberFormat="1" applyFont="1" applyBorder="1"/>
    <xf numFmtId="166" fontId="0" fillId="0" borderId="1" xfId="1" applyNumberFormat="1" applyFont="1" applyBorder="1"/>
    <xf numFmtId="14" fontId="0" fillId="0" borderId="4" xfId="0" applyNumberFormat="1" applyBorder="1" applyAlignment="1">
      <alignment horizontal="right"/>
    </xf>
    <xf numFmtId="14" fontId="0" fillId="0" borderId="4" xfId="0" applyNumberFormat="1" applyBorder="1"/>
    <xf numFmtId="166" fontId="5" fillId="0" borderId="3" xfId="1" applyNumberFormat="1" applyFont="1" applyBorder="1"/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43" fontId="3" fillId="2" borderId="8" xfId="1" applyFont="1" applyFill="1" applyBorder="1" applyAlignment="1">
      <alignment horizontal="center"/>
    </xf>
    <xf numFmtId="43" fontId="3" fillId="2" borderId="9" xfId="1" applyFont="1" applyFill="1" applyBorder="1" applyAlignment="1">
      <alignment horizontal="center"/>
    </xf>
    <xf numFmtId="43" fontId="3" fillId="2" borderId="6" xfId="1" applyFont="1" applyFill="1" applyBorder="1" applyAlignment="1">
      <alignment horizontal="center"/>
    </xf>
    <xf numFmtId="43" fontId="3" fillId="2" borderId="8" xfId="1" applyFont="1" applyFill="1" applyBorder="1" applyAlignment="1">
      <alignment horizontal="center" wrapText="1"/>
    </xf>
    <xf numFmtId="14" fontId="0" fillId="0" borderId="5" xfId="0" applyNumberFormat="1" applyBorder="1"/>
    <xf numFmtId="0" fontId="0" fillId="0" borderId="2" xfId="0" applyBorder="1"/>
    <xf numFmtId="165" fontId="0" fillId="0" borderId="2" xfId="1" applyNumberFormat="1" applyFont="1" applyBorder="1"/>
    <xf numFmtId="166" fontId="0" fillId="0" borderId="2" xfId="1" applyNumberFormat="1" applyFont="1" applyBorder="1"/>
    <xf numFmtId="0" fontId="5" fillId="0" borderId="0" xfId="0" applyFont="1"/>
    <xf numFmtId="167" fontId="9" fillId="0" borderId="0" xfId="3" applyNumberFormat="1" applyFont="1" applyFill="1" applyAlignment="1">
      <alignment horizontal="left" vertical="center"/>
    </xf>
    <xf numFmtId="0" fontId="13" fillId="0" borderId="0" xfId="3" applyFont="1" applyFill="1">
      <alignment vertical="center"/>
    </xf>
    <xf numFmtId="0" fontId="0" fillId="0" borderId="0" xfId="0" applyAlignment="1">
      <alignment vertical="center"/>
    </xf>
    <xf numFmtId="43" fontId="5" fillId="0" borderId="0" xfId="1" applyFont="1"/>
    <xf numFmtId="0" fontId="11" fillId="0" borderId="0" xfId="2" applyFont="1" applyAlignment="1">
      <alignment horizontal="left" indent="1"/>
    </xf>
    <xf numFmtId="0" fontId="4" fillId="4" borderId="0" xfId="0" applyFont="1" applyFill="1"/>
    <xf numFmtId="0" fontId="5" fillId="5" borderId="0" xfId="0" applyFont="1" applyFill="1" applyAlignment="1">
      <alignment horizontal="left" indent="1"/>
    </xf>
    <xf numFmtId="0" fontId="12" fillId="5" borderId="0" xfId="2" applyFont="1" applyFill="1" applyBorder="1" applyAlignment="1">
      <alignment horizontal="left" indent="1"/>
    </xf>
    <xf numFmtId="165" fontId="14" fillId="0" borderId="1" xfId="1" applyNumberFormat="1" applyFont="1" applyBorder="1"/>
    <xf numFmtId="166" fontId="14" fillId="0" borderId="1" xfId="1" applyNumberFormat="1" applyFont="1" applyBorder="1"/>
    <xf numFmtId="165" fontId="14" fillId="0" borderId="2" xfId="1" applyNumberFormat="1" applyFont="1" applyBorder="1"/>
    <xf numFmtId="166" fontId="14" fillId="0" borderId="2" xfId="1" applyNumberFormat="1" applyFont="1" applyBorder="1"/>
    <xf numFmtId="0" fontId="15" fillId="2" borderId="10" xfId="0" applyFont="1" applyFill="1" applyBorder="1" applyAlignment="1">
      <alignment horizontal="center"/>
    </xf>
    <xf numFmtId="165" fontId="16" fillId="0" borderId="1" xfId="1" applyNumberFormat="1" applyFont="1" applyBorder="1"/>
    <xf numFmtId="165" fontId="17" fillId="0" borderId="1" xfId="1" applyNumberFormat="1" applyFont="1" applyBorder="1"/>
    <xf numFmtId="166" fontId="17" fillId="0" borderId="1" xfId="1" applyNumberFormat="1" applyFont="1" applyBorder="1"/>
    <xf numFmtId="165" fontId="17" fillId="0" borderId="2" xfId="1" applyNumberFormat="1" applyFont="1" applyBorder="1"/>
    <xf numFmtId="166" fontId="17" fillId="0" borderId="2" xfId="1" applyNumberFormat="1" applyFont="1" applyBorder="1"/>
    <xf numFmtId="14" fontId="0" fillId="0" borderId="1" xfId="0" applyNumberFormat="1" applyBorder="1"/>
    <xf numFmtId="0" fontId="18" fillId="0" borderId="1" xfId="0" applyFont="1" applyBorder="1" applyAlignment="1">
      <alignment horizontal="left"/>
    </xf>
    <xf numFmtId="0" fontId="18" fillId="6" borderId="1" xfId="0" applyFont="1" applyFill="1" applyBorder="1" applyAlignment="1">
      <alignment vertical="center"/>
    </xf>
    <xf numFmtId="0" fontId="18" fillId="6" borderId="1" xfId="0" applyFont="1" applyFill="1" applyBorder="1"/>
    <xf numFmtId="0" fontId="18" fillId="6" borderId="1" xfId="0" applyFont="1" applyFill="1" applyBorder="1" applyAlignment="1">
      <alignment horizontal="left"/>
    </xf>
    <xf numFmtId="0" fontId="4" fillId="0" borderId="0" xfId="3" applyFont="1" applyFill="1" applyAlignment="1">
      <alignment horizontal="center" vertical="center"/>
    </xf>
    <xf numFmtId="0" fontId="13" fillId="0" borderId="0" xfId="3" applyFont="1" applyFill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8" fillId="6" borderId="1" xfId="0" applyFont="1" applyFill="1" applyBorder="1" applyAlignment="1">
      <alignment horizontal="center"/>
    </xf>
    <xf numFmtId="0" fontId="18" fillId="6" borderId="1" xfId="0" applyFont="1" applyFill="1" applyBorder="1" applyAlignment="1">
      <alignment horizontal="center" vertical="center"/>
    </xf>
    <xf numFmtId="0" fontId="18" fillId="6" borderId="11" xfId="0" applyFont="1" applyFill="1" applyBorder="1" applyAlignment="1">
      <alignment horizontal="center"/>
    </xf>
    <xf numFmtId="166" fontId="20" fillId="0" borderId="1" xfId="0" applyNumberFormat="1" applyFont="1" applyBorder="1"/>
    <xf numFmtId="166" fontId="20" fillId="0" borderId="7" xfId="0" applyNumberFormat="1" applyFont="1" applyBorder="1"/>
    <xf numFmtId="166" fontId="20" fillId="0" borderId="2" xfId="0" applyNumberFormat="1" applyFont="1" applyBorder="1"/>
    <xf numFmtId="0" fontId="21" fillId="2" borderId="10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43" fontId="3" fillId="8" borderId="8" xfId="1" applyFont="1" applyFill="1" applyBorder="1" applyAlignment="1">
      <alignment horizontal="center"/>
    </xf>
    <xf numFmtId="43" fontId="3" fillId="8" borderId="9" xfId="1" applyFont="1" applyFill="1" applyBorder="1" applyAlignment="1">
      <alignment horizontal="center"/>
    </xf>
    <xf numFmtId="43" fontId="3" fillId="8" borderId="6" xfId="1" applyFont="1" applyFill="1" applyBorder="1" applyAlignment="1">
      <alignment horizontal="center"/>
    </xf>
    <xf numFmtId="43" fontId="3" fillId="8" borderId="8" xfId="1" applyFont="1" applyFill="1" applyBorder="1" applyAlignment="1">
      <alignment horizontal="center" wrapText="1"/>
    </xf>
    <xf numFmtId="166" fontId="22" fillId="0" borderId="7" xfId="0" applyNumberFormat="1" applyFont="1" applyBorder="1"/>
    <xf numFmtId="0" fontId="23" fillId="2" borderId="10" xfId="0" applyFont="1" applyFill="1" applyBorder="1" applyAlignment="1">
      <alignment horizontal="center"/>
    </xf>
    <xf numFmtId="0" fontId="0" fillId="6" borderId="0" xfId="0" applyFill="1"/>
    <xf numFmtId="166" fontId="5" fillId="0" borderId="12" xfId="1" applyNumberFormat="1" applyFont="1" applyBorder="1"/>
    <xf numFmtId="166" fontId="24" fillId="0" borderId="7" xfId="0" applyNumberFormat="1" applyFont="1" applyBorder="1"/>
    <xf numFmtId="0" fontId="25" fillId="2" borderId="10" xfId="0" applyFont="1" applyFill="1" applyBorder="1" applyAlignment="1">
      <alignment horizontal="center"/>
    </xf>
    <xf numFmtId="166" fontId="26" fillId="0" borderId="1" xfId="0" applyNumberFormat="1" applyFont="1" applyBorder="1"/>
    <xf numFmtId="166" fontId="26" fillId="0" borderId="7" xfId="0" applyNumberFormat="1" applyFont="1" applyBorder="1"/>
    <xf numFmtId="0" fontId="27" fillId="2" borderId="10" xfId="0" applyFont="1" applyFill="1" applyBorder="1" applyAlignment="1">
      <alignment horizontal="center"/>
    </xf>
    <xf numFmtId="166" fontId="0" fillId="0" borderId="2" xfId="0" applyNumberFormat="1" applyBorder="1"/>
    <xf numFmtId="166" fontId="5" fillId="0" borderId="13" xfId="0" applyNumberFormat="1" applyFont="1" applyBorder="1"/>
    <xf numFmtId="0" fontId="5" fillId="7" borderId="0" xfId="0" applyFont="1" applyFill="1" applyAlignment="1">
      <alignment horizontal="left" indent="1"/>
    </xf>
    <xf numFmtId="166" fontId="20" fillId="0" borderId="1" xfId="1" applyNumberFormat="1" applyFont="1" applyBorder="1"/>
    <xf numFmtId="166" fontId="20" fillId="0" borderId="7" xfId="1" applyNumberFormat="1" applyFont="1" applyBorder="1"/>
    <xf numFmtId="0" fontId="3" fillId="2" borderId="10" xfId="0" applyFont="1" applyFill="1" applyBorder="1" applyAlignment="1">
      <alignment horizontal="center"/>
    </xf>
    <xf numFmtId="0" fontId="0" fillId="0" borderId="15" xfId="0" applyBorder="1"/>
    <xf numFmtId="0" fontId="26" fillId="0" borderId="0" xfId="0" applyFont="1"/>
    <xf numFmtId="166" fontId="26" fillId="0" borderId="7" xfId="1" applyNumberFormat="1" applyFont="1" applyBorder="1"/>
    <xf numFmtId="0" fontId="20" fillId="0" borderId="0" xfId="0" applyFont="1"/>
    <xf numFmtId="166" fontId="5" fillId="0" borderId="16" xfId="1" applyNumberFormat="1" applyFont="1" applyBorder="1"/>
    <xf numFmtId="166" fontId="28" fillId="0" borderId="1" xfId="1" applyNumberFormat="1" applyFont="1" applyBorder="1"/>
    <xf numFmtId="0" fontId="0" fillId="9" borderId="1" xfId="0" applyFill="1" applyBorder="1"/>
    <xf numFmtId="14" fontId="0" fillId="9" borderId="17" xfId="0" applyNumberFormat="1" applyFill="1" applyBorder="1"/>
    <xf numFmtId="166" fontId="5" fillId="0" borderId="1" xfId="1" applyNumberFormat="1" applyFont="1" applyBorder="1"/>
    <xf numFmtId="0" fontId="29" fillId="0" borderId="0" xfId="0" applyFont="1"/>
    <xf numFmtId="14" fontId="0" fillId="0" borderId="5" xfId="0" applyNumberFormat="1" applyBorder="1" applyAlignment="1">
      <alignment horizontal="right"/>
    </xf>
    <xf numFmtId="165" fontId="30" fillId="0" borderId="2" xfId="0" applyNumberFormat="1" applyFont="1" applyBorder="1"/>
    <xf numFmtId="166" fontId="30" fillId="0" borderId="2" xfId="0" applyNumberFormat="1" applyFont="1" applyBorder="1"/>
    <xf numFmtId="166" fontId="32" fillId="0" borderId="2" xfId="0" applyNumberFormat="1" applyFont="1" applyBorder="1"/>
    <xf numFmtId="165" fontId="30" fillId="0" borderId="1" xfId="1" applyNumberFormat="1" applyFont="1" applyBorder="1"/>
    <xf numFmtId="166" fontId="30" fillId="0" borderId="1" xfId="1" applyNumberFormat="1" applyFont="1" applyBorder="1"/>
    <xf numFmtId="166" fontId="31" fillId="0" borderId="3" xfId="1" applyNumberFormat="1" applyFont="1" applyBorder="1"/>
    <xf numFmtId="166" fontId="32" fillId="0" borderId="1" xfId="0" applyNumberFormat="1" applyFont="1" applyBorder="1"/>
    <xf numFmtId="166" fontId="32" fillId="0" borderId="1" xfId="1" applyNumberFormat="1" applyFont="1" applyBorder="1"/>
    <xf numFmtId="166" fontId="32" fillId="0" borderId="7" xfId="1" applyNumberFormat="1" applyFont="1" applyBorder="1"/>
    <xf numFmtId="0" fontId="33" fillId="2" borderId="10" xfId="0" applyFont="1" applyFill="1" applyBorder="1" applyAlignment="1">
      <alignment horizontal="center"/>
    </xf>
    <xf numFmtId="0" fontId="32" fillId="0" borderId="0" xfId="0" applyFont="1"/>
    <xf numFmtId="165" fontId="30" fillId="0" borderId="2" xfId="1" applyNumberFormat="1" applyFont="1" applyBorder="1"/>
    <xf numFmtId="166" fontId="30" fillId="0" borderId="2" xfId="1" applyNumberFormat="1" applyFont="1" applyBorder="1"/>
    <xf numFmtId="166" fontId="31" fillId="0" borderId="12" xfId="1" applyNumberFormat="1" applyFont="1" applyBorder="1"/>
    <xf numFmtId="14" fontId="0" fillId="9" borderId="17" xfId="0" applyNumberFormat="1" applyFill="1" applyBorder="1" applyAlignment="1">
      <alignment horizontal="right"/>
    </xf>
    <xf numFmtId="14" fontId="0" fillId="0" borderId="18" xfId="0" applyNumberFormat="1" applyBorder="1"/>
    <xf numFmtId="0" fontId="0" fillId="0" borderId="13" xfId="0" applyBorder="1"/>
    <xf numFmtId="0" fontId="32" fillId="0" borderId="1" xfId="0" applyFont="1" applyBorder="1"/>
    <xf numFmtId="14" fontId="0" fillId="9" borderId="4" xfId="0" applyNumberFormat="1" applyFill="1" applyBorder="1"/>
    <xf numFmtId="166" fontId="32" fillId="0" borderId="7" xfId="0" applyNumberFormat="1" applyFont="1" applyBorder="1"/>
    <xf numFmtId="14" fontId="0" fillId="9" borderId="19" xfId="0" applyNumberFormat="1" applyFill="1" applyBorder="1"/>
    <xf numFmtId="165" fontId="0" fillId="9" borderId="20" xfId="1" applyNumberFormat="1" applyFont="1" applyFill="1" applyBorder="1"/>
    <xf numFmtId="166" fontId="0" fillId="9" borderId="20" xfId="1" applyNumberFormat="1" applyFont="1" applyFill="1" applyBorder="1"/>
    <xf numFmtId="0" fontId="0" fillId="9" borderId="13" xfId="0" applyFill="1" applyBorder="1"/>
    <xf numFmtId="166" fontId="0" fillId="9" borderId="13" xfId="1" applyNumberFormat="1" applyFont="1" applyFill="1" applyBorder="1"/>
    <xf numFmtId="166" fontId="5" fillId="9" borderId="16" xfId="1" applyNumberFormat="1" applyFont="1" applyFill="1" applyBorder="1"/>
    <xf numFmtId="166" fontId="0" fillId="0" borderId="13" xfId="1" applyNumberFormat="1" applyFont="1" applyBorder="1"/>
    <xf numFmtId="0" fontId="20" fillId="6" borderId="0" xfId="0" applyFont="1" applyFill="1"/>
    <xf numFmtId="43" fontId="0" fillId="6" borderId="0" xfId="1" applyFont="1" applyFill="1"/>
    <xf numFmtId="0" fontId="32" fillId="6" borderId="0" xfId="0" applyFont="1" applyFill="1"/>
    <xf numFmtId="14" fontId="3" fillId="2" borderId="4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6" fontId="32" fillId="2" borderId="1" xfId="0" applyNumberFormat="1" applyFont="1" applyFill="1" applyBorder="1" applyAlignment="1">
      <alignment horizontal="center"/>
    </xf>
    <xf numFmtId="166" fontId="32" fillId="2" borderId="1" xfId="1" applyNumberFormat="1" applyFont="1" applyFill="1" applyBorder="1" applyAlignment="1">
      <alignment horizontal="center"/>
    </xf>
    <xf numFmtId="165" fontId="0" fillId="0" borderId="2" xfId="0" applyNumberFormat="1" applyBorder="1"/>
    <xf numFmtId="166" fontId="5" fillId="9" borderId="21" xfId="1" applyNumberFormat="1" applyFont="1" applyFill="1" applyBorder="1"/>
    <xf numFmtId="43" fontId="18" fillId="6" borderId="1" xfId="1" applyFont="1" applyFill="1" applyBorder="1" applyAlignment="1">
      <alignment horizontal="center" vertical="center"/>
    </xf>
    <xf numFmtId="43" fontId="34" fillId="0" borderId="1" xfId="1" applyFont="1" applyBorder="1" applyAlignment="1">
      <alignment horizontal="center"/>
    </xf>
    <xf numFmtId="2" fontId="34" fillId="0" borderId="1" xfId="0" applyNumberFormat="1" applyFont="1" applyBorder="1"/>
    <xf numFmtId="2" fontId="34" fillId="0" borderId="1" xfId="0" quotePrefix="1" applyNumberFormat="1" applyFont="1" applyBorder="1"/>
    <xf numFmtId="0" fontId="0" fillId="9" borderId="20" xfId="0" applyFill="1" applyBorder="1"/>
    <xf numFmtId="164" fontId="0" fillId="0" borderId="0" xfId="0" applyNumberFormat="1"/>
    <xf numFmtId="166" fontId="37" fillId="0" borderId="2" xfId="0" applyNumberFormat="1" applyFont="1" applyBorder="1"/>
    <xf numFmtId="165" fontId="35" fillId="0" borderId="1" xfId="1" applyNumberFormat="1" applyFont="1" applyBorder="1"/>
    <xf numFmtId="166" fontId="35" fillId="0" borderId="1" xfId="1" applyNumberFormat="1" applyFont="1" applyBorder="1"/>
    <xf numFmtId="166" fontId="37" fillId="0" borderId="1" xfId="0" applyNumberFormat="1" applyFont="1" applyBorder="1"/>
    <xf numFmtId="166" fontId="36" fillId="0" borderId="3" xfId="1" applyNumberFormat="1" applyFont="1" applyBorder="1"/>
    <xf numFmtId="165" fontId="35" fillId="0" borderId="2" xfId="1" applyNumberFormat="1" applyFont="1" applyBorder="1"/>
    <xf numFmtId="166" fontId="35" fillId="0" borderId="2" xfId="1" applyNumberFormat="1" applyFont="1" applyBorder="1"/>
    <xf numFmtId="166" fontId="36" fillId="0" borderId="12" xfId="1" applyNumberFormat="1" applyFont="1" applyBorder="1"/>
    <xf numFmtId="0" fontId="0" fillId="9" borderId="2" xfId="0" applyFill="1" applyBorder="1"/>
    <xf numFmtId="14" fontId="0" fillId="9" borderId="5" xfId="0" applyNumberFormat="1" applyFill="1" applyBorder="1"/>
    <xf numFmtId="0" fontId="18" fillId="6" borderId="22" xfId="0" applyFont="1" applyFill="1" applyBorder="1"/>
    <xf numFmtId="0" fontId="18" fillId="6" borderId="3" xfId="0" applyFont="1" applyFill="1" applyBorder="1" applyAlignment="1">
      <alignment vertical="center"/>
    </xf>
    <xf numFmtId="166" fontId="0" fillId="0" borderId="1" xfId="0" applyNumberFormat="1" applyBorder="1"/>
    <xf numFmtId="0" fontId="34" fillId="0" borderId="1" xfId="0" applyFont="1" applyBorder="1"/>
    <xf numFmtId="43" fontId="0" fillId="0" borderId="0" xfId="0" applyNumberFormat="1"/>
    <xf numFmtId="165" fontId="0" fillId="10" borderId="1" xfId="1" applyNumberFormat="1" applyFont="1" applyFill="1" applyBorder="1"/>
    <xf numFmtId="165" fontId="0" fillId="0" borderId="4" xfId="1" applyNumberFormat="1" applyFont="1" applyBorder="1"/>
    <xf numFmtId="166" fontId="5" fillId="10" borderId="1" xfId="1" applyNumberFormat="1" applyFont="1" applyFill="1" applyBorder="1"/>
    <xf numFmtId="0" fontId="0" fillId="10" borderId="1" xfId="0" applyFill="1" applyBorder="1"/>
    <xf numFmtId="0" fontId="39" fillId="4" borderId="0" xfId="0" applyFont="1" applyFill="1"/>
    <xf numFmtId="0" fontId="40" fillId="2" borderId="10" xfId="0" applyFont="1" applyFill="1" applyBorder="1" applyAlignment="1">
      <alignment horizontal="center"/>
    </xf>
    <xf numFmtId="2" fontId="0" fillId="0" borderId="1" xfId="0" applyNumberFormat="1" applyBorder="1"/>
    <xf numFmtId="43" fontId="0" fillId="0" borderId="3" xfId="1" applyFont="1" applyBorder="1"/>
    <xf numFmtId="43" fontId="18" fillId="0" borderId="1" xfId="0" applyNumberFormat="1" applyFont="1" applyBorder="1"/>
    <xf numFmtId="2" fontId="0" fillId="0" borderId="0" xfId="0" applyNumberFormat="1"/>
    <xf numFmtId="2" fontId="18" fillId="0" borderId="0" xfId="0" applyNumberFormat="1" applyFont="1"/>
    <xf numFmtId="0" fontId="5" fillId="0" borderId="1" xfId="0" applyFont="1" applyBorder="1"/>
    <xf numFmtId="2" fontId="18" fillId="6" borderId="1" xfId="0" applyNumberFormat="1" applyFont="1" applyFill="1" applyBorder="1"/>
    <xf numFmtId="43" fontId="18" fillId="0" borderId="1" xfId="1" applyFont="1" applyBorder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64" fontId="5" fillId="0" borderId="1" xfId="0" applyNumberFormat="1" applyFont="1" applyBorder="1"/>
    <xf numFmtId="0" fontId="0" fillId="0" borderId="20" xfId="0" applyBorder="1"/>
    <xf numFmtId="165" fontId="0" fillId="0" borderId="20" xfId="1" applyNumberFormat="1" applyFont="1" applyBorder="1"/>
    <xf numFmtId="166" fontId="0" fillId="0" borderId="20" xfId="1" applyNumberFormat="1" applyFont="1" applyBorder="1"/>
    <xf numFmtId="14" fontId="0" fillId="0" borderId="17" xfId="0" applyNumberFormat="1" applyBorder="1"/>
    <xf numFmtId="14" fontId="5" fillId="0" borderId="18" xfId="0" applyNumberFormat="1" applyFont="1" applyBorder="1"/>
    <xf numFmtId="165" fontId="5" fillId="0" borderId="13" xfId="0" applyNumberFormat="1" applyFont="1" applyBorder="1"/>
    <xf numFmtId="165" fontId="0" fillId="0" borderId="20" xfId="0" applyNumberFormat="1" applyBorder="1"/>
    <xf numFmtId="166" fontId="0" fillId="0" borderId="20" xfId="0" applyNumberFormat="1" applyBorder="1"/>
    <xf numFmtId="165" fontId="0" fillId="0" borderId="1" xfId="0" applyNumberFormat="1" applyBorder="1"/>
    <xf numFmtId="14" fontId="5" fillId="0" borderId="5" xfId="0" applyNumberFormat="1" applyFont="1" applyBorder="1"/>
    <xf numFmtId="0" fontId="20" fillId="0" borderId="1" xfId="0" applyFont="1" applyBorder="1"/>
    <xf numFmtId="0" fontId="44" fillId="0" borderId="0" xfId="0" applyFont="1"/>
    <xf numFmtId="0" fontId="45" fillId="2" borderId="10" xfId="0" applyFont="1" applyFill="1" applyBorder="1" applyAlignment="1">
      <alignment horizontal="center"/>
    </xf>
    <xf numFmtId="0" fontId="44" fillId="6" borderId="0" xfId="0" applyFont="1" applyFill="1"/>
    <xf numFmtId="166" fontId="44" fillId="0" borderId="7" xfId="1" applyNumberFormat="1" applyFont="1" applyBorder="1"/>
    <xf numFmtId="165" fontId="0" fillId="9" borderId="1" xfId="1" applyNumberFormat="1" applyFont="1" applyFill="1" applyBorder="1"/>
    <xf numFmtId="166" fontId="0" fillId="9" borderId="1" xfId="1" applyNumberFormat="1" applyFont="1" applyFill="1" applyBorder="1"/>
    <xf numFmtId="14" fontId="0" fillId="0" borderId="0" xfId="0" applyNumberFormat="1"/>
    <xf numFmtId="166" fontId="47" fillId="0" borderId="2" xfId="0" applyNumberFormat="1" applyFont="1" applyBorder="1"/>
    <xf numFmtId="166" fontId="20" fillId="6" borderId="7" xfId="0" applyNumberFormat="1" applyFont="1" applyFill="1" applyBorder="1"/>
    <xf numFmtId="0" fontId="47" fillId="0" borderId="0" xfId="0" applyFont="1"/>
    <xf numFmtId="0" fontId="48" fillId="2" borderId="10" xfId="0" applyFont="1" applyFill="1" applyBorder="1" applyAlignment="1">
      <alignment horizontal="center"/>
    </xf>
    <xf numFmtId="165" fontId="5" fillId="0" borderId="2" xfId="0" applyNumberFormat="1" applyFont="1" applyBorder="1"/>
    <xf numFmtId="166" fontId="5" fillId="0" borderId="2" xfId="0" applyNumberFormat="1" applyFont="1" applyBorder="1"/>
    <xf numFmtId="14" fontId="5" fillId="0" borderId="1" xfId="0" applyNumberFormat="1" applyFont="1" applyBorder="1"/>
    <xf numFmtId="166" fontId="31" fillId="0" borderId="1" xfId="1" applyNumberFormat="1" applyFont="1" applyBorder="1"/>
    <xf numFmtId="14" fontId="5" fillId="0" borderId="24" xfId="0" applyNumberFormat="1" applyFont="1" applyBorder="1"/>
    <xf numFmtId="14" fontId="0" fillId="0" borderId="19" xfId="0" applyNumberFormat="1" applyBorder="1"/>
    <xf numFmtId="165" fontId="46" fillId="0" borderId="1" xfId="1" applyNumberFormat="1" applyFont="1" applyBorder="1"/>
    <xf numFmtId="166" fontId="46" fillId="0" borderId="1" xfId="1" applyNumberFormat="1" applyFont="1" applyBorder="1"/>
    <xf numFmtId="166" fontId="49" fillId="0" borderId="3" xfId="1" applyNumberFormat="1" applyFont="1" applyBorder="1"/>
    <xf numFmtId="166" fontId="47" fillId="0" borderId="1" xfId="0" applyNumberFormat="1" applyFont="1" applyBorder="1"/>
    <xf numFmtId="165" fontId="46" fillId="0" borderId="2" xfId="1" applyNumberFormat="1" applyFont="1" applyBorder="1"/>
    <xf numFmtId="166" fontId="46" fillId="0" borderId="2" xfId="1" applyNumberFormat="1" applyFont="1" applyBorder="1"/>
    <xf numFmtId="166" fontId="49" fillId="0" borderId="12" xfId="1" applyNumberFormat="1" applyFont="1" applyBorder="1"/>
    <xf numFmtId="165" fontId="46" fillId="0" borderId="1" xfId="0" applyNumberFormat="1" applyFont="1" applyBorder="1"/>
    <xf numFmtId="166" fontId="46" fillId="0" borderId="1" xfId="0" applyNumberFormat="1" applyFont="1" applyBorder="1"/>
    <xf numFmtId="166" fontId="5" fillId="9" borderId="12" xfId="1" applyNumberFormat="1" applyFont="1" applyFill="1" applyBorder="1"/>
    <xf numFmtId="166" fontId="5" fillId="9" borderId="25" xfId="1" applyNumberFormat="1" applyFont="1" applyFill="1" applyBorder="1"/>
    <xf numFmtId="166" fontId="5" fillId="0" borderId="25" xfId="1" applyNumberFormat="1" applyFont="1" applyBorder="1"/>
    <xf numFmtId="166" fontId="47" fillId="0" borderId="7" xfId="0" applyNumberFormat="1" applyFont="1" applyBorder="1"/>
    <xf numFmtId="166" fontId="5" fillId="0" borderId="1" xfId="0" applyNumberFormat="1" applyFont="1" applyBorder="1"/>
    <xf numFmtId="168" fontId="0" fillId="0" borderId="1" xfId="1" applyNumberFormat="1" applyFont="1" applyBorder="1"/>
    <xf numFmtId="43" fontId="3" fillId="2" borderId="27" xfId="1" applyFont="1" applyFill="1" applyBorder="1" applyAlignment="1">
      <alignment horizontal="center" wrapText="1"/>
    </xf>
    <xf numFmtId="0" fontId="15" fillId="2" borderId="0" xfId="0" applyFont="1" applyFill="1" applyAlignment="1">
      <alignment horizontal="center"/>
    </xf>
    <xf numFmtId="0" fontId="33" fillId="2" borderId="0" xfId="0" applyFont="1" applyFill="1" applyAlignment="1">
      <alignment horizontal="center"/>
    </xf>
    <xf numFmtId="0" fontId="47" fillId="0" borderId="1" xfId="0" applyFont="1" applyBorder="1"/>
    <xf numFmtId="0" fontId="48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7" fillId="6" borderId="0" xfId="0" applyFont="1" applyFill="1"/>
    <xf numFmtId="166" fontId="47" fillId="0" borderId="7" xfId="1" applyNumberFormat="1" applyFont="1" applyBorder="1"/>
    <xf numFmtId="43" fontId="0" fillId="0" borderId="2" xfId="1" applyFont="1" applyBorder="1"/>
    <xf numFmtId="166" fontId="32" fillId="6" borderId="7" xfId="0" applyNumberFormat="1" applyFont="1" applyFill="1" applyBorder="1"/>
    <xf numFmtId="168" fontId="0" fillId="0" borderId="0" xfId="0" applyNumberFormat="1"/>
    <xf numFmtId="168" fontId="15" fillId="2" borderId="10" xfId="0" applyNumberFormat="1" applyFont="1" applyFill="1" applyBorder="1" applyAlignment="1">
      <alignment horizontal="center"/>
    </xf>
    <xf numFmtId="166" fontId="5" fillId="9" borderId="28" xfId="1" applyNumberFormat="1" applyFont="1" applyFill="1" applyBorder="1"/>
    <xf numFmtId="166" fontId="5" fillId="0" borderId="28" xfId="1" applyNumberFormat="1" applyFont="1" applyBorder="1"/>
    <xf numFmtId="165" fontId="0" fillId="0" borderId="13" xfId="1" applyNumberFormat="1" applyFont="1" applyBorder="1"/>
    <xf numFmtId="165" fontId="0" fillId="9" borderId="13" xfId="1" applyNumberFormat="1" applyFont="1" applyFill="1" applyBorder="1"/>
    <xf numFmtId="165" fontId="50" fillId="0" borderId="1" xfId="1" applyNumberFormat="1" applyFont="1" applyBorder="1"/>
    <xf numFmtId="166" fontId="50" fillId="0" borderId="1" xfId="1" applyNumberFormat="1" applyFont="1" applyBorder="1"/>
    <xf numFmtId="166" fontId="51" fillId="0" borderId="1" xfId="0" applyNumberFormat="1" applyFont="1" applyBorder="1"/>
    <xf numFmtId="166" fontId="51" fillId="0" borderId="1" xfId="1" applyNumberFormat="1" applyFont="1" applyBorder="1"/>
    <xf numFmtId="0" fontId="51" fillId="0" borderId="0" xfId="0" applyFont="1"/>
    <xf numFmtId="166" fontId="51" fillId="0" borderId="7" xfId="0" applyNumberFormat="1" applyFont="1" applyBorder="1"/>
    <xf numFmtId="0" fontId="52" fillId="2" borderId="10" xfId="0" applyFont="1" applyFill="1" applyBorder="1" applyAlignment="1">
      <alignment horizontal="center"/>
    </xf>
    <xf numFmtId="166" fontId="51" fillId="0" borderId="7" xfId="1" applyNumberFormat="1" applyFont="1" applyBorder="1"/>
    <xf numFmtId="0" fontId="0" fillId="0" borderId="14" xfId="0" applyBorder="1"/>
    <xf numFmtId="165" fontId="53" fillId="0" borderId="1" xfId="1" applyNumberFormat="1" applyFont="1" applyBorder="1"/>
    <xf numFmtId="166" fontId="53" fillId="0" borderId="1" xfId="1" applyNumberFormat="1" applyFont="1" applyBorder="1"/>
    <xf numFmtId="166" fontId="54" fillId="0" borderId="1" xfId="1" applyNumberFormat="1" applyFont="1" applyBorder="1"/>
    <xf numFmtId="0" fontId="54" fillId="0" borderId="0" xfId="0" applyFont="1"/>
    <xf numFmtId="166" fontId="55" fillId="0" borderId="3" xfId="1" applyNumberFormat="1" applyFont="1" applyBorder="1"/>
    <xf numFmtId="0" fontId="41" fillId="6" borderId="1" xfId="0" applyFont="1" applyFill="1" applyBorder="1" applyAlignment="1">
      <alignment horizontal="center" vertical="center"/>
    </xf>
    <xf numFmtId="0" fontId="41" fillId="6" borderId="3" xfId="0" applyFont="1" applyFill="1" applyBorder="1" applyAlignment="1">
      <alignment vertical="center"/>
    </xf>
    <xf numFmtId="43" fontId="19" fillId="0" borderId="1" xfId="1" applyFont="1" applyBorder="1"/>
    <xf numFmtId="43" fontId="0" fillId="6" borderId="1" xfId="1" applyFont="1" applyFill="1" applyBorder="1"/>
    <xf numFmtId="17" fontId="0" fillId="0" borderId="0" xfId="0" applyNumberFormat="1"/>
    <xf numFmtId="166" fontId="54" fillId="0" borderId="2" xfId="0" applyNumberFormat="1" applyFont="1" applyBorder="1"/>
    <xf numFmtId="166" fontId="54" fillId="0" borderId="1" xfId="0" applyNumberFormat="1" applyFont="1" applyBorder="1"/>
    <xf numFmtId="166" fontId="54" fillId="0" borderId="7" xfId="0" applyNumberFormat="1" applyFont="1" applyBorder="1"/>
    <xf numFmtId="0" fontId="56" fillId="2" borderId="10" xfId="0" applyFont="1" applyFill="1" applyBorder="1" applyAlignment="1">
      <alignment horizontal="center"/>
    </xf>
    <xf numFmtId="166" fontId="53" fillId="0" borderId="2" xfId="1" applyNumberFormat="1" applyFont="1" applyBorder="1"/>
    <xf numFmtId="166" fontId="55" fillId="0" borderId="12" xfId="1" applyNumberFormat="1" applyFont="1" applyBorder="1"/>
    <xf numFmtId="0" fontId="0" fillId="0" borderId="0" xfId="0" applyAlignment="1">
      <alignment horizontal="center"/>
    </xf>
    <xf numFmtId="0" fontId="57" fillId="6" borderId="1" xfId="0" applyFont="1" applyFill="1" applyBorder="1"/>
    <xf numFmtId="0" fontId="57" fillId="6" borderId="1" xfId="0" applyFont="1" applyFill="1" applyBorder="1" applyAlignment="1">
      <alignment vertical="center"/>
    </xf>
    <xf numFmtId="0" fontId="58" fillId="0" borderId="1" xfId="0" applyFont="1" applyBorder="1" applyAlignment="1">
      <alignment horizontal="right"/>
    </xf>
    <xf numFmtId="43" fontId="18" fillId="12" borderId="1" xfId="1" applyFont="1" applyFill="1" applyBorder="1"/>
    <xf numFmtId="43" fontId="18" fillId="7" borderId="1" xfId="1" applyFont="1" applyFill="1" applyBorder="1"/>
    <xf numFmtId="43" fontId="18" fillId="13" borderId="1" xfId="1" applyFont="1" applyFill="1" applyBorder="1"/>
    <xf numFmtId="166" fontId="54" fillId="0" borderId="7" xfId="1" applyNumberFormat="1" applyFont="1" applyBorder="1"/>
    <xf numFmtId="165" fontId="53" fillId="0" borderId="1" xfId="0" applyNumberFormat="1" applyFont="1" applyBorder="1"/>
    <xf numFmtId="166" fontId="53" fillId="0" borderId="1" xfId="0" applyNumberFormat="1" applyFont="1" applyBorder="1"/>
    <xf numFmtId="166" fontId="55" fillId="0" borderId="3" xfId="0" applyNumberFormat="1" applyFont="1" applyBorder="1"/>
    <xf numFmtId="0" fontId="0" fillId="0" borderId="0" xfId="0" applyAlignment="1">
      <alignment horizontal="right"/>
    </xf>
    <xf numFmtId="14" fontId="0" fillId="9" borderId="18" xfId="0" applyNumberFormat="1" applyFill="1" applyBorder="1"/>
    <xf numFmtId="165" fontId="53" fillId="9" borderId="2" xfId="1" applyNumberFormat="1" applyFont="1" applyFill="1" applyBorder="1"/>
    <xf numFmtId="166" fontId="53" fillId="9" borderId="2" xfId="1" applyNumberFormat="1" applyFont="1" applyFill="1" applyBorder="1"/>
    <xf numFmtId="0" fontId="54" fillId="0" borderId="1" xfId="0" applyFont="1" applyBorder="1"/>
    <xf numFmtId="168" fontId="54" fillId="0" borderId="1" xfId="0" applyNumberFormat="1" applyFont="1" applyBorder="1"/>
    <xf numFmtId="0" fontId="54" fillId="0" borderId="2" xfId="0" applyFont="1" applyBorder="1"/>
    <xf numFmtId="166" fontId="20" fillId="0" borderId="5" xfId="0" applyNumberFormat="1" applyFont="1" applyBorder="1"/>
    <xf numFmtId="166" fontId="20" fillId="0" borderId="4" xfId="1" applyNumberFormat="1" applyFont="1" applyBorder="1"/>
    <xf numFmtId="166" fontId="32" fillId="0" borderId="4" xfId="1" applyNumberFormat="1" applyFont="1" applyBorder="1"/>
    <xf numFmtId="166" fontId="20" fillId="0" borderId="4" xfId="0" applyNumberFormat="1" applyFont="1" applyBorder="1"/>
    <xf numFmtId="166" fontId="47" fillId="0" borderId="4" xfId="0" applyNumberFormat="1" applyFont="1" applyBorder="1"/>
    <xf numFmtId="43" fontId="3" fillId="2" borderId="1" xfId="1" applyFont="1" applyFill="1" applyBorder="1" applyAlignment="1">
      <alignment horizontal="center" wrapText="1"/>
    </xf>
    <xf numFmtId="0" fontId="19" fillId="6" borderId="0" xfId="0" applyFont="1" applyFill="1"/>
    <xf numFmtId="4" fontId="61" fillId="14" borderId="1" xfId="3" applyNumberFormat="1" applyFont="1" applyFill="1" applyBorder="1" applyAlignment="1">
      <alignment horizontal="right" vertical="center" wrapText="1"/>
    </xf>
    <xf numFmtId="4" fontId="61" fillId="14" borderId="1" xfId="3" applyNumberFormat="1" applyFont="1" applyFill="1" applyBorder="1" applyAlignment="1">
      <alignment horizontal="center" vertical="center" wrapText="1"/>
    </xf>
    <xf numFmtId="0" fontId="61" fillId="14" borderId="1" xfId="3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wrapText="1"/>
    </xf>
    <xf numFmtId="0" fontId="3" fillId="6" borderId="1" xfId="0" applyFont="1" applyFill="1" applyBorder="1"/>
    <xf numFmtId="0" fontId="3" fillId="6" borderId="1" xfId="0" applyFont="1" applyFill="1" applyBorder="1" applyAlignment="1">
      <alignment horizontal="center" wrapText="1"/>
    </xf>
    <xf numFmtId="0" fontId="18" fillId="6" borderId="0" xfId="0" applyFont="1" applyFill="1" applyAlignment="1">
      <alignment horizontal="left" vertical="center"/>
    </xf>
    <xf numFmtId="0" fontId="18" fillId="0" borderId="0" xfId="0" applyFont="1"/>
    <xf numFmtId="0" fontId="34" fillId="0" borderId="0" xfId="0" applyFont="1"/>
    <xf numFmtId="0" fontId="39" fillId="6" borderId="0" xfId="0" applyFont="1" applyFill="1"/>
    <xf numFmtId="0" fontId="63" fillId="6" borderId="1" xfId="4" applyFont="1" applyFill="1" applyBorder="1" applyAlignment="1">
      <alignment horizontal="left" vertical="center"/>
    </xf>
    <xf numFmtId="166" fontId="0" fillId="9" borderId="2" xfId="1" applyNumberFormat="1" applyFont="1" applyFill="1" applyBorder="1"/>
    <xf numFmtId="166" fontId="5" fillId="9" borderId="1" xfId="1" applyNumberFormat="1" applyFont="1" applyFill="1" applyBorder="1"/>
    <xf numFmtId="165" fontId="0" fillId="9" borderId="1" xfId="0" applyNumberFormat="1" applyFill="1" applyBorder="1"/>
    <xf numFmtId="165" fontId="0" fillId="2" borderId="1" xfId="1" applyNumberFormat="1" applyFont="1" applyFill="1" applyBorder="1" applyAlignment="1">
      <alignment horizontal="center"/>
    </xf>
    <xf numFmtId="166" fontId="0" fillId="2" borderId="1" xfId="1" applyNumberFormat="1" applyFont="1" applyFill="1" applyBorder="1" applyAlignment="1">
      <alignment horizontal="center"/>
    </xf>
    <xf numFmtId="166" fontId="20" fillId="2" borderId="1" xfId="0" applyNumberFormat="1" applyFont="1" applyFill="1" applyBorder="1" applyAlignment="1">
      <alignment horizontal="center"/>
    </xf>
    <xf numFmtId="166" fontId="20" fillId="2" borderId="1" xfId="1" applyNumberFormat="1" applyFont="1" applyFill="1" applyBorder="1" applyAlignment="1">
      <alignment horizontal="center"/>
    </xf>
    <xf numFmtId="14" fontId="3" fillId="2" borderId="19" xfId="0" applyNumberFormat="1" applyFont="1" applyFill="1" applyBorder="1" applyAlignment="1">
      <alignment horizontal="center"/>
    </xf>
    <xf numFmtId="165" fontId="53" fillId="2" borderId="1" xfId="1" applyNumberFormat="1" applyFont="1" applyFill="1" applyBorder="1" applyAlignment="1">
      <alignment horizontal="center"/>
    </xf>
    <xf numFmtId="166" fontId="53" fillId="2" borderId="1" xfId="1" applyNumberFormat="1" applyFont="1" applyFill="1" applyBorder="1" applyAlignment="1">
      <alignment horizontal="center"/>
    </xf>
    <xf numFmtId="166" fontId="55" fillId="2" borderId="3" xfId="1" applyNumberFormat="1" applyFont="1" applyFill="1" applyBorder="1" applyAlignment="1">
      <alignment horizontal="center" wrapText="1"/>
    </xf>
    <xf numFmtId="166" fontId="54" fillId="2" borderId="1" xfId="0" applyNumberFormat="1" applyFont="1" applyFill="1" applyBorder="1" applyAlignment="1">
      <alignment horizontal="center"/>
    </xf>
    <xf numFmtId="166" fontId="20" fillId="9" borderId="29" xfId="0" applyNumberFormat="1" applyFont="1" applyFill="1" applyBorder="1"/>
    <xf numFmtId="166" fontId="5" fillId="10" borderId="2" xfId="0" applyNumberFormat="1" applyFont="1" applyFill="1" applyBorder="1"/>
    <xf numFmtId="166" fontId="5" fillId="10" borderId="2" xfId="1" applyNumberFormat="1" applyFont="1" applyFill="1" applyBorder="1"/>
    <xf numFmtId="0" fontId="0" fillId="10" borderId="2" xfId="0" applyFill="1" applyBorder="1"/>
    <xf numFmtId="166" fontId="20" fillId="0" borderId="26" xfId="0" applyNumberFormat="1" applyFont="1" applyBorder="1"/>
    <xf numFmtId="166" fontId="5" fillId="10" borderId="1" xfId="0" applyNumberFormat="1" applyFont="1" applyFill="1" applyBorder="1"/>
    <xf numFmtId="0" fontId="20" fillId="2" borderId="0" xfId="0" applyFont="1" applyFill="1" applyAlignment="1">
      <alignment horizontal="center"/>
    </xf>
    <xf numFmtId="166" fontId="20" fillId="0" borderId="26" xfId="1" applyNumberFormat="1" applyFont="1" applyBorder="1"/>
    <xf numFmtId="14" fontId="0" fillId="6" borderId="0" xfId="0" applyNumberFormat="1" applyFill="1"/>
    <xf numFmtId="166" fontId="54" fillId="6" borderId="1" xfId="0" applyNumberFormat="1" applyFont="1" applyFill="1" applyBorder="1"/>
    <xf numFmtId="166" fontId="54" fillId="6" borderId="2" xfId="0" applyNumberFormat="1" applyFont="1" applyFill="1" applyBorder="1"/>
    <xf numFmtId="0" fontId="54" fillId="2" borderId="0" xfId="0" applyFont="1" applyFill="1" applyAlignment="1">
      <alignment horizontal="center"/>
    </xf>
    <xf numFmtId="43" fontId="18" fillId="0" borderId="0" xfId="1" applyFont="1"/>
    <xf numFmtId="166" fontId="20" fillId="6" borderId="1" xfId="0" applyNumberFormat="1" applyFont="1" applyFill="1" applyBorder="1" applyAlignment="1">
      <alignment horizontal="center"/>
    </xf>
    <xf numFmtId="166" fontId="20" fillId="6" borderId="1" xfId="1" applyNumberFormat="1" applyFont="1" applyFill="1" applyBorder="1" applyAlignment="1">
      <alignment horizontal="center"/>
    </xf>
    <xf numFmtId="166" fontId="20" fillId="7" borderId="1" xfId="0" applyNumberFormat="1" applyFont="1" applyFill="1" applyBorder="1"/>
    <xf numFmtId="166" fontId="64" fillId="0" borderId="1" xfId="0" applyNumberFormat="1" applyFont="1" applyBorder="1"/>
    <xf numFmtId="166" fontId="64" fillId="0" borderId="7" xfId="0" applyNumberFormat="1" applyFont="1" applyBorder="1"/>
    <xf numFmtId="166" fontId="64" fillId="0" borderId="2" xfId="0" applyNumberFormat="1" applyFont="1" applyBorder="1"/>
    <xf numFmtId="0" fontId="65" fillId="2" borderId="10" xfId="0" applyFont="1" applyFill="1" applyBorder="1" applyAlignment="1">
      <alignment horizontal="center"/>
    </xf>
    <xf numFmtId="0" fontId="64" fillId="0" borderId="0" xfId="0" applyFont="1"/>
    <xf numFmtId="165" fontId="66" fillId="0" borderId="1" xfId="1" applyNumberFormat="1" applyFont="1" applyBorder="1"/>
    <xf numFmtId="166" fontId="66" fillId="0" borderId="1" xfId="1" applyNumberFormat="1" applyFont="1" applyBorder="1"/>
    <xf numFmtId="166" fontId="67" fillId="0" borderId="3" xfId="1" applyNumberFormat="1" applyFont="1" applyBorder="1"/>
    <xf numFmtId="165" fontId="66" fillId="0" borderId="2" xfId="1" applyNumberFormat="1" applyFont="1" applyBorder="1"/>
    <xf numFmtId="166" fontId="66" fillId="0" borderId="2" xfId="1" applyNumberFormat="1" applyFont="1" applyBorder="1"/>
    <xf numFmtId="166" fontId="67" fillId="0" borderId="12" xfId="1" applyNumberFormat="1" applyFont="1" applyBorder="1"/>
    <xf numFmtId="166" fontId="64" fillId="0" borderId="1" xfId="1" applyNumberFormat="1" applyFont="1" applyBorder="1"/>
    <xf numFmtId="165" fontId="66" fillId="0" borderId="1" xfId="0" applyNumberFormat="1" applyFont="1" applyBorder="1"/>
    <xf numFmtId="166" fontId="66" fillId="0" borderId="1" xfId="0" applyNumberFormat="1" applyFont="1" applyBorder="1"/>
    <xf numFmtId="166" fontId="67" fillId="0" borderId="3" xfId="0" applyNumberFormat="1" applyFont="1" applyBorder="1"/>
    <xf numFmtId="166" fontId="64" fillId="0" borderId="2" xfId="1" applyNumberFormat="1" applyFont="1" applyBorder="1"/>
    <xf numFmtId="166" fontId="67" fillId="0" borderId="1" xfId="0" applyNumberFormat="1" applyFont="1" applyBorder="1"/>
    <xf numFmtId="0" fontId="64" fillId="0" borderId="1" xfId="0" applyFont="1" applyBorder="1"/>
    <xf numFmtId="168" fontId="64" fillId="0" borderId="1" xfId="0" applyNumberFormat="1" applyFont="1" applyBorder="1"/>
    <xf numFmtId="0" fontId="64" fillId="0" borderId="2" xfId="0" applyFont="1" applyBorder="1"/>
    <xf numFmtId="166" fontId="20" fillId="9" borderId="30" xfId="0" applyNumberFormat="1" applyFont="1" applyFill="1" applyBorder="1"/>
    <xf numFmtId="165" fontId="0" fillId="9" borderId="2" xfId="0" applyNumberFormat="1" applyFill="1" applyBorder="1"/>
    <xf numFmtId="0" fontId="18" fillId="0" borderId="1" xfId="0" applyFont="1" applyBorder="1" applyAlignment="1">
      <alignment horizontal="right"/>
    </xf>
    <xf numFmtId="20" fontId="0" fillId="0" borderId="0" xfId="0" applyNumberFormat="1"/>
    <xf numFmtId="165" fontId="5" fillId="0" borderId="0" xfId="1" applyNumberFormat="1" applyFont="1"/>
    <xf numFmtId="14" fontId="0" fillId="9" borderId="0" xfId="0" applyNumberFormat="1" applyFill="1"/>
    <xf numFmtId="0" fontId="0" fillId="9" borderId="0" xfId="0" applyFill="1"/>
    <xf numFmtId="166" fontId="0" fillId="0" borderId="0" xfId="0" applyNumberFormat="1"/>
    <xf numFmtId="0" fontId="5" fillId="0" borderId="13" xfId="0" applyFont="1" applyBorder="1"/>
    <xf numFmtId="166" fontId="64" fillId="6" borderId="1" xfId="0" applyNumberFormat="1" applyFont="1" applyFill="1" applyBorder="1"/>
    <xf numFmtId="0" fontId="64" fillId="6" borderId="0" xfId="0" applyFont="1" applyFill="1"/>
    <xf numFmtId="2" fontId="0" fillId="6" borderId="1" xfId="0" applyNumberFormat="1" applyFill="1" applyBorder="1"/>
    <xf numFmtId="0" fontId="41" fillId="6" borderId="1" xfId="0" applyFont="1" applyFill="1" applyBorder="1" applyAlignment="1">
      <alignment horizontal="center"/>
    </xf>
    <xf numFmtId="0" fontId="68" fillId="6" borderId="1" xfId="0" applyFont="1" applyFill="1" applyBorder="1"/>
    <xf numFmtId="2" fontId="19" fillId="0" borderId="1" xfId="0" applyNumberFormat="1" applyFont="1" applyBorder="1"/>
    <xf numFmtId="0" fontId="19" fillId="0" borderId="0" xfId="0" applyFont="1"/>
    <xf numFmtId="0" fontId="0" fillId="15" borderId="0" xfId="0" applyFill="1"/>
    <xf numFmtId="0" fontId="2" fillId="0" borderId="0" xfId="2"/>
    <xf numFmtId="166" fontId="69" fillId="0" borderId="1" xfId="0" applyNumberFormat="1" applyFont="1" applyBorder="1"/>
    <xf numFmtId="0" fontId="69" fillId="0" borderId="1" xfId="0" applyFont="1" applyBorder="1"/>
    <xf numFmtId="0" fontId="69" fillId="0" borderId="0" xfId="0" applyFont="1"/>
    <xf numFmtId="0" fontId="70" fillId="2" borderId="10" xfId="0" applyFont="1" applyFill="1" applyBorder="1" applyAlignment="1">
      <alignment horizontal="center"/>
    </xf>
    <xf numFmtId="166" fontId="69" fillId="0" borderId="1" xfId="1" applyNumberFormat="1" applyFont="1" applyBorder="1"/>
    <xf numFmtId="166" fontId="0" fillId="9" borderId="1" xfId="0" applyNumberFormat="1" applyFill="1" applyBorder="1"/>
    <xf numFmtId="166" fontId="71" fillId="0" borderId="1" xfId="0" applyNumberFormat="1" applyFont="1" applyBorder="1"/>
    <xf numFmtId="0" fontId="71" fillId="0" borderId="0" xfId="0" applyFont="1"/>
    <xf numFmtId="166" fontId="71" fillId="0" borderId="1" xfId="1" applyNumberFormat="1" applyFont="1" applyBorder="1"/>
    <xf numFmtId="166" fontId="73" fillId="0" borderId="3" xfId="1" applyNumberFormat="1" applyFont="1" applyBorder="1"/>
    <xf numFmtId="166" fontId="73" fillId="0" borderId="3" xfId="0" applyNumberFormat="1" applyFont="1" applyBorder="1"/>
    <xf numFmtId="165" fontId="0" fillId="11" borderId="0" xfId="0" applyNumberFormat="1" applyFill="1"/>
    <xf numFmtId="166" fontId="0" fillId="11" borderId="0" xfId="0" applyNumberFormat="1" applyFill="1"/>
    <xf numFmtId="0" fontId="71" fillId="0" borderId="1" xfId="0" applyFont="1" applyBorder="1"/>
    <xf numFmtId="14" fontId="3" fillId="9" borderId="19" xfId="0" applyNumberFormat="1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0" fillId="11" borderId="1" xfId="0" applyFill="1" applyBorder="1"/>
    <xf numFmtId="165" fontId="53" fillId="6" borderId="1" xfId="1" applyNumberFormat="1" applyFont="1" applyFill="1" applyBorder="1" applyAlignment="1">
      <alignment horizontal="center"/>
    </xf>
    <xf numFmtId="166" fontId="53" fillId="6" borderId="1" xfId="1" applyNumberFormat="1" applyFont="1" applyFill="1" applyBorder="1" applyAlignment="1">
      <alignment horizontal="center"/>
    </xf>
    <xf numFmtId="166" fontId="55" fillId="6" borderId="3" xfId="1" applyNumberFormat="1" applyFont="1" applyFill="1" applyBorder="1" applyAlignment="1">
      <alignment horizontal="center" wrapText="1"/>
    </xf>
    <xf numFmtId="0" fontId="70" fillId="2" borderId="0" xfId="0" applyFont="1" applyFill="1" applyAlignment="1">
      <alignment horizontal="center"/>
    </xf>
    <xf numFmtId="9" fontId="69" fillId="0" borderId="1" xfId="0" applyNumberFormat="1" applyFont="1" applyBorder="1"/>
    <xf numFmtId="0" fontId="33" fillId="6" borderId="10" xfId="0" applyFont="1" applyFill="1" applyBorder="1" applyAlignment="1">
      <alignment horizontal="center"/>
    </xf>
    <xf numFmtId="166" fontId="71" fillId="6" borderId="1" xfId="0" applyNumberFormat="1" applyFont="1" applyFill="1" applyBorder="1"/>
    <xf numFmtId="165" fontId="1" fillId="0" borderId="1" xfId="1" applyNumberFormat="1" applyFont="1" applyBorder="1"/>
    <xf numFmtId="166" fontId="1" fillId="0" borderId="1" xfId="1" applyNumberFormat="1" applyFont="1" applyBorder="1"/>
    <xf numFmtId="166" fontId="1" fillId="0" borderId="2" xfId="1" applyNumberFormat="1" applyFont="1" applyBorder="1"/>
    <xf numFmtId="0" fontId="74" fillId="2" borderId="10" xfId="0" applyFont="1" applyFill="1" applyBorder="1" applyAlignment="1">
      <alignment horizontal="center"/>
    </xf>
    <xf numFmtId="14" fontId="71" fillId="0" borderId="0" xfId="0" applyNumberFormat="1" applyFont="1"/>
    <xf numFmtId="165" fontId="72" fillId="0" borderId="1" xfId="1" applyNumberFormat="1" applyFont="1" applyBorder="1"/>
    <xf numFmtId="166" fontId="72" fillId="0" borderId="1" xfId="1" applyNumberFormat="1" applyFont="1" applyBorder="1"/>
    <xf numFmtId="166" fontId="73" fillId="0" borderId="1" xfId="1" applyNumberFormat="1" applyFont="1" applyBorder="1"/>
    <xf numFmtId="166" fontId="20" fillId="0" borderId="2" xfId="1" applyNumberFormat="1" applyFont="1" applyBorder="1"/>
    <xf numFmtId="166" fontId="0" fillId="2" borderId="1" xfId="1" applyNumberFormat="1" applyFont="1" applyFill="1" applyBorder="1" applyAlignment="1">
      <alignment horizontal="right"/>
    </xf>
    <xf numFmtId="165" fontId="72" fillId="0" borderId="1" xfId="1" applyNumberFormat="1" applyFont="1" applyBorder="1" applyAlignment="1">
      <alignment horizontal="center" vertical="center"/>
    </xf>
    <xf numFmtId="166" fontId="71" fillId="0" borderId="7" xfId="1" applyNumberFormat="1" applyFont="1" applyBorder="1"/>
    <xf numFmtId="166" fontId="71" fillId="0" borderId="2" xfId="1" applyNumberFormat="1" applyFont="1" applyBorder="1"/>
    <xf numFmtId="0" fontId="60" fillId="6" borderId="0" xfId="0" applyFont="1" applyFill="1" applyAlignment="1">
      <alignment horizontal="center" wrapText="1"/>
    </xf>
    <xf numFmtId="0" fontId="57" fillId="0" borderId="1" xfId="0" applyFont="1" applyBorder="1"/>
    <xf numFmtId="0" fontId="41" fillId="6" borderId="1" xfId="0" applyFont="1" applyFill="1" applyBorder="1" applyAlignment="1">
      <alignment vertical="center"/>
    </xf>
    <xf numFmtId="2" fontId="75" fillId="0" borderId="1" xfId="0" applyNumberFormat="1" applyFont="1" applyBorder="1"/>
    <xf numFmtId="43" fontId="0" fillId="0" borderId="0" xfId="1" applyFont="1" applyBorder="1"/>
    <xf numFmtId="43" fontId="18" fillId="0" borderId="0" xfId="1" applyFont="1" applyBorder="1"/>
    <xf numFmtId="0" fontId="57" fillId="6" borderId="1" xfId="0" applyFont="1" applyFill="1" applyBorder="1" applyAlignment="1">
      <alignment horizontal="left" wrapText="1"/>
    </xf>
    <xf numFmtId="0" fontId="76" fillId="0" borderId="0" xfId="0" applyFont="1"/>
    <xf numFmtId="0" fontId="77" fillId="2" borderId="10" xfId="0" applyFont="1" applyFill="1" applyBorder="1" applyAlignment="1">
      <alignment horizontal="center"/>
    </xf>
    <xf numFmtId="166" fontId="76" fillId="0" borderId="2" xfId="0" applyNumberFormat="1" applyFont="1" applyBorder="1"/>
    <xf numFmtId="166" fontId="76" fillId="0" borderId="1" xfId="0" applyNumberFormat="1" applyFont="1" applyBorder="1"/>
    <xf numFmtId="166" fontId="76" fillId="0" borderId="7" xfId="0" applyNumberFormat="1" applyFont="1" applyBorder="1"/>
    <xf numFmtId="0" fontId="38" fillId="0" borderId="0" xfId="0" applyFont="1"/>
    <xf numFmtId="43" fontId="38" fillId="0" borderId="0" xfId="0" applyNumberFormat="1" applyFont="1"/>
    <xf numFmtId="0" fontId="4" fillId="0" borderId="0" xfId="0" applyFont="1"/>
    <xf numFmtId="43" fontId="4" fillId="0" borderId="0" xfId="0" applyNumberFormat="1" applyFont="1"/>
    <xf numFmtId="0" fontId="4" fillId="6" borderId="1" xfId="0" applyFont="1" applyFill="1" applyBorder="1"/>
    <xf numFmtId="43" fontId="4" fillId="6" borderId="1" xfId="1" applyFont="1" applyFill="1" applyBorder="1" applyAlignment="1"/>
    <xf numFmtId="43" fontId="4" fillId="6" borderId="1" xfId="1" applyFont="1" applyFill="1" applyBorder="1" applyAlignment="1">
      <alignment horizontal="center"/>
    </xf>
    <xf numFmtId="43" fontId="4" fillId="6" borderId="2" xfId="1" applyFont="1" applyFill="1" applyBorder="1" applyAlignment="1">
      <alignment horizontal="center"/>
    </xf>
    <xf numFmtId="0" fontId="78" fillId="6" borderId="1" xfId="0" applyFont="1" applyFill="1" applyBorder="1" applyAlignment="1">
      <alignment horizontal="right"/>
    </xf>
    <xf numFmtId="43" fontId="79" fillId="6" borderId="2" xfId="1" applyFont="1" applyFill="1" applyBorder="1"/>
    <xf numFmtId="0" fontId="4" fillId="6" borderId="1" xfId="0" applyFont="1" applyFill="1" applyBorder="1" applyAlignment="1">
      <alignment horizontal="right"/>
    </xf>
    <xf numFmtId="0" fontId="38" fillId="6" borderId="1" xfId="0" applyFont="1" applyFill="1" applyBorder="1"/>
    <xf numFmtId="0" fontId="38" fillId="6" borderId="3" xfId="0" applyFont="1" applyFill="1" applyBorder="1"/>
    <xf numFmtId="43" fontId="78" fillId="6" borderId="23" xfId="0" applyNumberFormat="1" applyFont="1" applyFill="1" applyBorder="1"/>
    <xf numFmtId="0" fontId="38" fillId="6" borderId="4" xfId="0" applyFont="1" applyFill="1" applyBorder="1"/>
    <xf numFmtId="0" fontId="38" fillId="6" borderId="0" xfId="0" applyFont="1" applyFill="1"/>
    <xf numFmtId="43" fontId="38" fillId="6" borderId="0" xfId="0" applyNumberFormat="1" applyFont="1" applyFill="1"/>
    <xf numFmtId="166" fontId="80" fillId="2" borderId="1" xfId="1" applyNumberFormat="1" applyFont="1" applyFill="1" applyBorder="1" applyAlignment="1">
      <alignment horizontal="center"/>
    </xf>
    <xf numFmtId="166" fontId="80" fillId="2" borderId="7" xfId="1" applyNumberFormat="1" applyFont="1" applyFill="1" applyBorder="1" applyAlignment="1">
      <alignment horizontal="center"/>
    </xf>
    <xf numFmtId="166" fontId="80" fillId="2" borderId="2" xfId="1" applyNumberFormat="1" applyFont="1" applyFill="1" applyBorder="1" applyAlignment="1">
      <alignment horizontal="center"/>
    </xf>
    <xf numFmtId="0" fontId="81" fillId="2" borderId="10" xfId="0" applyFont="1" applyFill="1" applyBorder="1" applyAlignment="1">
      <alignment horizontal="center"/>
    </xf>
    <xf numFmtId="166" fontId="55" fillId="7" borderId="3" xfId="1" applyNumberFormat="1" applyFont="1" applyFill="1" applyBorder="1"/>
    <xf numFmtId="0" fontId="5" fillId="7" borderId="0" xfId="0" applyFont="1" applyFill="1"/>
    <xf numFmtId="0" fontId="80" fillId="0" borderId="0" xfId="0" applyFont="1"/>
    <xf numFmtId="0" fontId="18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66" fontId="20" fillId="2" borderId="7" xfId="1" applyNumberFormat="1" applyFont="1" applyFill="1" applyBorder="1" applyAlignment="1">
      <alignment horizontal="center"/>
    </xf>
    <xf numFmtId="166" fontId="20" fillId="2" borderId="2" xfId="1" applyNumberFormat="1" applyFont="1" applyFill="1" applyBorder="1" applyAlignment="1">
      <alignment horizontal="center"/>
    </xf>
    <xf numFmtId="165" fontId="83" fillId="2" borderId="1" xfId="1" applyNumberFormat="1" applyFont="1" applyFill="1" applyBorder="1" applyAlignment="1">
      <alignment horizontal="center"/>
    </xf>
    <xf numFmtId="166" fontId="83" fillId="2" borderId="1" xfId="1" applyNumberFormat="1" applyFont="1" applyFill="1" applyBorder="1" applyAlignment="1">
      <alignment horizontal="center"/>
    </xf>
    <xf numFmtId="166" fontId="84" fillId="0" borderId="3" xfId="1" applyNumberFormat="1" applyFont="1" applyBorder="1"/>
    <xf numFmtId="166" fontId="80" fillId="0" borderId="1" xfId="1" applyNumberFormat="1" applyFont="1" applyBorder="1"/>
    <xf numFmtId="166" fontId="80" fillId="0" borderId="2" xfId="0" applyNumberFormat="1" applyFont="1" applyBorder="1"/>
    <xf numFmtId="166" fontId="84" fillId="0" borderId="3" xfId="0" applyNumberFormat="1" applyFont="1" applyBorder="1"/>
    <xf numFmtId="166" fontId="80" fillId="0" borderId="1" xfId="0" applyNumberFormat="1" applyFont="1" applyBorder="1"/>
    <xf numFmtId="166" fontId="83" fillId="2" borderId="1" xfId="1" applyNumberFormat="1" applyFont="1" applyFill="1" applyBorder="1" applyAlignment="1">
      <alignment horizontal="right"/>
    </xf>
    <xf numFmtId="14" fontId="3" fillId="2" borderId="5" xfId="0" applyNumberFormat="1" applyFont="1" applyFill="1" applyBorder="1" applyAlignment="1">
      <alignment horizontal="center"/>
    </xf>
    <xf numFmtId="165" fontId="83" fillId="2" borderId="1" xfId="1" applyNumberFormat="1" applyFont="1" applyFill="1" applyBorder="1" applyAlignment="1">
      <alignment horizontal="center" vertical="center"/>
    </xf>
    <xf numFmtId="14" fontId="81" fillId="2" borderId="19" xfId="0" applyNumberFormat="1" applyFont="1" applyFill="1" applyBorder="1" applyAlignment="1">
      <alignment horizontal="center"/>
    </xf>
    <xf numFmtId="166" fontId="84" fillId="0" borderId="1" xfId="1" applyNumberFormat="1" applyFont="1" applyBorder="1"/>
    <xf numFmtId="0" fontId="80" fillId="0" borderId="1" xfId="0" applyFont="1" applyBorder="1"/>
    <xf numFmtId="168" fontId="80" fillId="0" borderId="1" xfId="0" applyNumberFormat="1" applyFont="1" applyBorder="1"/>
    <xf numFmtId="166" fontId="80" fillId="6" borderId="1" xfId="0" applyNumberFormat="1" applyFont="1" applyFill="1" applyBorder="1" applyAlignment="1">
      <alignment horizontal="center"/>
    </xf>
    <xf numFmtId="166" fontId="80" fillId="6" borderId="1" xfId="1" applyNumberFormat="1" applyFont="1" applyFill="1" applyBorder="1" applyAlignment="1">
      <alignment horizontal="center"/>
    </xf>
    <xf numFmtId="166" fontId="20" fillId="6" borderId="1" xfId="0" applyNumberFormat="1" applyFont="1" applyFill="1" applyBorder="1"/>
    <xf numFmtId="166" fontId="80" fillId="6" borderId="1" xfId="0" applyNumberFormat="1" applyFont="1" applyFill="1" applyBorder="1"/>
    <xf numFmtId="165" fontId="38" fillId="6" borderId="0" xfId="1" applyNumberFormat="1" applyFont="1" applyFill="1"/>
    <xf numFmtId="165" fontId="83" fillId="0" borderId="1" xfId="1" applyNumberFormat="1" applyFont="1" applyBorder="1"/>
    <xf numFmtId="166" fontId="83" fillId="0" borderId="1" xfId="1" applyNumberFormat="1" applyFont="1" applyBorder="1"/>
    <xf numFmtId="166" fontId="80" fillId="0" borderId="7" xfId="1" applyNumberFormat="1" applyFont="1" applyBorder="1"/>
    <xf numFmtId="166" fontId="80" fillId="0" borderId="2" xfId="1" applyNumberFormat="1" applyFont="1" applyBorder="1"/>
    <xf numFmtId="166" fontId="20" fillId="2" borderId="28" xfId="1" applyNumberFormat="1" applyFont="1" applyFill="1" applyBorder="1" applyAlignment="1">
      <alignment horizontal="center"/>
    </xf>
    <xf numFmtId="165" fontId="83" fillId="0" borderId="2" xfId="1" applyNumberFormat="1" applyFont="1" applyBorder="1"/>
    <xf numFmtId="166" fontId="83" fillId="0" borderId="2" xfId="1" applyNumberFormat="1" applyFont="1" applyBorder="1"/>
    <xf numFmtId="166" fontId="84" fillId="0" borderId="12" xfId="1" applyNumberFormat="1" applyFont="1" applyBorder="1"/>
    <xf numFmtId="4" fontId="0" fillId="0" borderId="1" xfId="1" applyNumberFormat="1" applyFont="1" applyBorder="1"/>
    <xf numFmtId="4" fontId="0" fillId="0" borderId="2" xfId="1" applyNumberFormat="1" applyFont="1" applyBorder="1"/>
    <xf numFmtId="4" fontId="53" fillId="0" borderId="1" xfId="1" applyNumberFormat="1" applyFont="1" applyBorder="1"/>
    <xf numFmtId="4" fontId="53" fillId="2" borderId="1" xfId="1" applyNumberFormat="1" applyFont="1" applyFill="1" applyBorder="1" applyAlignment="1">
      <alignment horizontal="center"/>
    </xf>
    <xf numFmtId="4" fontId="55" fillId="2" borderId="3" xfId="1" applyNumberFormat="1" applyFont="1" applyFill="1" applyBorder="1" applyAlignment="1">
      <alignment horizontal="center" wrapText="1"/>
    </xf>
    <xf numFmtId="4" fontId="55" fillId="0" borderId="3" xfId="1" applyNumberFormat="1" applyFont="1" applyBorder="1"/>
    <xf numFmtId="0" fontId="0" fillId="0" borderId="1" xfId="1" applyNumberFormat="1" applyFont="1" applyBorder="1"/>
    <xf numFmtId="0" fontId="53" fillId="0" borderId="1" xfId="1" applyNumberFormat="1" applyFont="1" applyBorder="1"/>
    <xf numFmtId="0" fontId="85" fillId="6" borderId="0" xfId="0" applyFont="1" applyFill="1"/>
    <xf numFmtId="0" fontId="85" fillId="0" borderId="0" xfId="0" applyFont="1"/>
    <xf numFmtId="0" fontId="86" fillId="2" borderId="10" xfId="0" applyFont="1" applyFill="1" applyBorder="1" applyAlignment="1">
      <alignment horizontal="center"/>
    </xf>
    <xf numFmtId="165" fontId="87" fillId="0" borderId="1" xfId="1" applyNumberFormat="1" applyFont="1" applyBorder="1"/>
    <xf numFmtId="166" fontId="87" fillId="0" borderId="1" xfId="1" applyNumberFormat="1" applyFont="1" applyBorder="1"/>
    <xf numFmtId="166" fontId="85" fillId="0" borderId="1" xfId="0" applyNumberFormat="1" applyFont="1" applyBorder="1"/>
    <xf numFmtId="166" fontId="85" fillId="0" borderId="1" xfId="1" applyNumberFormat="1" applyFont="1" applyBorder="1"/>
    <xf numFmtId="165" fontId="88" fillId="0" borderId="2" xfId="0" applyNumberFormat="1" applyFont="1" applyBorder="1"/>
    <xf numFmtId="166" fontId="88" fillId="0" borderId="2" xfId="0" applyNumberFormat="1" applyFont="1" applyBorder="1"/>
    <xf numFmtId="166" fontId="89" fillId="0" borderId="27" xfId="0" applyNumberFormat="1" applyFont="1" applyBorder="1"/>
    <xf numFmtId="166" fontId="90" fillId="0" borderId="26" xfId="0" applyNumberFormat="1" applyFont="1" applyBorder="1"/>
    <xf numFmtId="0" fontId="88" fillId="0" borderId="26" xfId="0" applyFont="1" applyBorder="1"/>
    <xf numFmtId="165" fontId="88" fillId="0" borderId="1" xfId="1" applyNumberFormat="1" applyFont="1" applyBorder="1"/>
    <xf numFmtId="166" fontId="88" fillId="0" borderId="1" xfId="1" applyNumberFormat="1" applyFont="1" applyBorder="1"/>
    <xf numFmtId="166" fontId="90" fillId="0" borderId="1" xfId="0" applyNumberFormat="1" applyFont="1" applyBorder="1"/>
    <xf numFmtId="166" fontId="89" fillId="0" borderId="12" xfId="0" applyNumberFormat="1" applyFont="1" applyBorder="1"/>
    <xf numFmtId="166" fontId="90" fillId="0" borderId="2" xfId="0" applyNumberFormat="1" applyFont="1" applyBorder="1"/>
    <xf numFmtId="166" fontId="90" fillId="0" borderId="1" xfId="1" applyNumberFormat="1" applyFont="1" applyBorder="1"/>
    <xf numFmtId="166" fontId="90" fillId="0" borderId="7" xfId="1" applyNumberFormat="1" applyFont="1" applyBorder="1"/>
    <xf numFmtId="166" fontId="90" fillId="0" borderId="2" xfId="1" applyNumberFormat="1" applyFont="1" applyBorder="1"/>
    <xf numFmtId="0" fontId="91" fillId="2" borderId="10" xfId="0" applyFont="1" applyFill="1" applyBorder="1" applyAlignment="1">
      <alignment horizontal="center"/>
    </xf>
    <xf numFmtId="0" fontId="88" fillId="0" borderId="14" xfId="0" applyFont="1" applyBorder="1"/>
    <xf numFmtId="165" fontId="88" fillId="2" borderId="1" xfId="1" applyNumberFormat="1" applyFont="1" applyFill="1" applyBorder="1" applyAlignment="1">
      <alignment horizontal="center"/>
    </xf>
    <xf numFmtId="166" fontId="88" fillId="2" borderId="1" xfId="1" applyNumberFormat="1" applyFont="1" applyFill="1" applyBorder="1" applyAlignment="1">
      <alignment horizontal="center"/>
    </xf>
    <xf numFmtId="166" fontId="89" fillId="0" borderId="3" xfId="1" applyNumberFormat="1" applyFont="1" applyBorder="1"/>
    <xf numFmtId="166" fontId="89" fillId="2" borderId="3" xfId="1" applyNumberFormat="1" applyFont="1" applyFill="1" applyBorder="1" applyAlignment="1">
      <alignment horizontal="center" wrapText="1"/>
    </xf>
    <xf numFmtId="0" fontId="90" fillId="0" borderId="0" xfId="0" applyFont="1"/>
    <xf numFmtId="166" fontId="89" fillId="0" borderId="3" xfId="0" applyNumberFormat="1" applyFont="1" applyBorder="1"/>
    <xf numFmtId="166" fontId="90" fillId="2" borderId="1" xfId="1" applyNumberFormat="1" applyFont="1" applyFill="1" applyBorder="1" applyAlignment="1">
      <alignment horizontal="center"/>
    </xf>
    <xf numFmtId="165" fontId="88" fillId="2" borderId="1" xfId="1" applyNumberFormat="1" applyFont="1" applyFill="1" applyBorder="1" applyAlignment="1">
      <alignment horizontal="center" vertical="center"/>
    </xf>
    <xf numFmtId="166" fontId="89" fillId="0" borderId="1" xfId="1" applyNumberFormat="1" applyFont="1" applyBorder="1"/>
    <xf numFmtId="0" fontId="90" fillId="0" borderId="1" xfId="0" applyFont="1" applyBorder="1"/>
    <xf numFmtId="168" fontId="90" fillId="0" borderId="1" xfId="0" applyNumberFormat="1" applyFont="1" applyBorder="1"/>
    <xf numFmtId="14" fontId="89" fillId="0" borderId="5" xfId="0" applyNumberFormat="1" applyFont="1" applyBorder="1"/>
    <xf numFmtId="0" fontId="88" fillId="0" borderId="2" xfId="0" applyFont="1" applyBorder="1"/>
    <xf numFmtId="14" fontId="88" fillId="9" borderId="19" xfId="0" applyNumberFormat="1" applyFont="1" applyFill="1" applyBorder="1"/>
    <xf numFmtId="0" fontId="88" fillId="9" borderId="1" xfId="0" applyFont="1" applyFill="1" applyBorder="1"/>
    <xf numFmtId="165" fontId="88" fillId="0" borderId="1" xfId="0" applyNumberFormat="1" applyFont="1" applyBorder="1"/>
    <xf numFmtId="166" fontId="88" fillId="0" borderId="1" xfId="0" applyNumberFormat="1" applyFont="1" applyBorder="1"/>
    <xf numFmtId="168" fontId="90" fillId="0" borderId="2" xfId="0" applyNumberFormat="1" applyFont="1" applyBorder="1"/>
    <xf numFmtId="4" fontId="88" fillId="0" borderId="2" xfId="0" applyNumberFormat="1" applyFont="1" applyBorder="1"/>
    <xf numFmtId="4" fontId="89" fillId="0" borderId="12" xfId="0" applyNumberFormat="1" applyFont="1" applyBorder="1"/>
    <xf numFmtId="0" fontId="88" fillId="10" borderId="1" xfId="0" applyFont="1" applyFill="1" applyBorder="1"/>
    <xf numFmtId="166" fontId="90" fillId="6" borderId="1" xfId="0" applyNumberFormat="1" applyFont="1" applyFill="1" applyBorder="1"/>
    <xf numFmtId="165" fontId="88" fillId="6" borderId="1" xfId="1" applyNumberFormat="1" applyFont="1" applyFill="1" applyBorder="1" applyAlignment="1">
      <alignment horizontal="center"/>
    </xf>
    <xf numFmtId="166" fontId="88" fillId="6" borderId="1" xfId="1" applyNumberFormat="1" applyFont="1" applyFill="1" applyBorder="1" applyAlignment="1">
      <alignment horizontal="center"/>
    </xf>
    <xf numFmtId="166" fontId="89" fillId="6" borderId="3" xfId="1" applyNumberFormat="1" applyFont="1" applyFill="1" applyBorder="1" applyAlignment="1">
      <alignment horizontal="center" wrapText="1"/>
    </xf>
    <xf numFmtId="166" fontId="88" fillId="6" borderId="2" xfId="0" applyNumberFormat="1" applyFont="1" applyFill="1" applyBorder="1"/>
    <xf numFmtId="43" fontId="88" fillId="0" borderId="14" xfId="0" applyNumberFormat="1" applyFont="1" applyBorder="1"/>
    <xf numFmtId="166" fontId="5" fillId="0" borderId="12" xfId="0" applyNumberFormat="1" applyFont="1" applyBorder="1"/>
    <xf numFmtId="169" fontId="0" fillId="0" borderId="4" xfId="0" applyNumberFormat="1" applyBorder="1"/>
    <xf numFmtId="169" fontId="0" fillId="0" borderId="5" xfId="0" applyNumberFormat="1" applyBorder="1"/>
    <xf numFmtId="169" fontId="0" fillId="9" borderId="19" xfId="0" applyNumberFormat="1" applyFill="1" applyBorder="1"/>
    <xf numFmtId="165" fontId="93" fillId="0" borderId="1" xfId="1" applyNumberFormat="1" applyFont="1" applyBorder="1"/>
    <xf numFmtId="166" fontId="93" fillId="0" borderId="1" xfId="1" applyNumberFormat="1" applyFont="1" applyBorder="1"/>
    <xf numFmtId="166" fontId="94" fillId="0" borderId="1" xfId="0" applyNumberFormat="1" applyFont="1" applyBorder="1"/>
    <xf numFmtId="17" fontId="0" fillId="9" borderId="1" xfId="0" applyNumberFormat="1" applyFill="1" applyBorder="1"/>
    <xf numFmtId="165" fontId="93" fillId="0" borderId="2" xfId="1" applyNumberFormat="1" applyFont="1" applyBorder="1"/>
    <xf numFmtId="166" fontId="93" fillId="0" borderId="2" xfId="1" applyNumberFormat="1" applyFont="1" applyBorder="1"/>
    <xf numFmtId="166" fontId="95" fillId="0" borderId="12" xfId="1" applyNumberFormat="1" applyFont="1" applyBorder="1"/>
    <xf numFmtId="166" fontId="94" fillId="0" borderId="2" xfId="0" applyNumberFormat="1" applyFont="1" applyBorder="1"/>
    <xf numFmtId="0" fontId="94" fillId="0" borderId="0" xfId="0" applyFont="1"/>
    <xf numFmtId="165" fontId="0" fillId="0" borderId="1" xfId="1" applyNumberFormat="1" applyFont="1" applyBorder="1" applyAlignment="1">
      <alignment horizontal="left"/>
    </xf>
    <xf numFmtId="0" fontId="18" fillId="1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/>
    </xf>
    <xf numFmtId="0" fontId="18" fillId="6" borderId="4" xfId="0" applyFont="1" applyFill="1" applyBorder="1" applyAlignment="1">
      <alignment horizontal="center"/>
    </xf>
    <xf numFmtId="0" fontId="41" fillId="6" borderId="4" xfId="0" applyFont="1" applyFill="1" applyBorder="1" applyAlignment="1">
      <alignment horizontal="center"/>
    </xf>
    <xf numFmtId="0" fontId="18" fillId="6" borderId="4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/>
    </xf>
    <xf numFmtId="166" fontId="53" fillId="6" borderId="1" xfId="1" applyNumberFormat="1" applyFont="1" applyFill="1" applyBorder="1"/>
    <xf numFmtId="166" fontId="96" fillId="6" borderId="2" xfId="1" applyNumberFormat="1" applyFont="1" applyFill="1" applyBorder="1"/>
    <xf numFmtId="166" fontId="96" fillId="10" borderId="2" xfId="1" applyNumberFormat="1" applyFont="1" applyFill="1" applyBorder="1"/>
    <xf numFmtId="165" fontId="96" fillId="6" borderId="1" xfId="1" applyNumberFormat="1" applyFont="1" applyFill="1" applyBorder="1"/>
    <xf numFmtId="166" fontId="96" fillId="6" borderId="1" xfId="1" applyNumberFormat="1" applyFont="1" applyFill="1" applyBorder="1"/>
    <xf numFmtId="0" fontId="0" fillId="0" borderId="2" xfId="0" applyFont="1" applyBorder="1"/>
    <xf numFmtId="165" fontId="0" fillId="0" borderId="2" xfId="0" applyNumberFormat="1" applyFont="1" applyBorder="1"/>
    <xf numFmtId="166" fontId="0" fillId="0" borderId="2" xfId="0" applyNumberFormat="1" applyFont="1" applyBorder="1"/>
    <xf numFmtId="0" fontId="0" fillId="0" borderId="14" xfId="0" applyFont="1" applyBorder="1"/>
    <xf numFmtId="165" fontId="96" fillId="2" borderId="1" xfId="1" applyNumberFormat="1" applyFont="1" applyFill="1" applyBorder="1" applyAlignment="1">
      <alignment horizontal="center"/>
    </xf>
    <xf numFmtId="166" fontId="96" fillId="2" borderId="1" xfId="1" applyNumberFormat="1" applyFont="1" applyFill="1" applyBorder="1" applyAlignment="1">
      <alignment horizontal="center"/>
    </xf>
    <xf numFmtId="166" fontId="97" fillId="2" borderId="3" xfId="1" applyNumberFormat="1" applyFont="1" applyFill="1" applyBorder="1" applyAlignment="1">
      <alignment horizontal="center" wrapText="1"/>
    </xf>
    <xf numFmtId="166" fontId="98" fillId="2" borderId="1" xfId="0" applyNumberFormat="1" applyFont="1" applyFill="1" applyBorder="1" applyAlignment="1">
      <alignment horizontal="center"/>
    </xf>
    <xf numFmtId="0" fontId="98" fillId="2" borderId="0" xfId="0" applyFont="1" applyFill="1" applyBorder="1" applyAlignment="1">
      <alignment horizontal="center"/>
    </xf>
    <xf numFmtId="165" fontId="1" fillId="6" borderId="1" xfId="1" applyNumberFormat="1" applyFont="1" applyFill="1" applyBorder="1"/>
    <xf numFmtId="166" fontId="1" fillId="6" borderId="1" xfId="1" applyNumberFormat="1" applyFont="1" applyFill="1" applyBorder="1"/>
    <xf numFmtId="165" fontId="1" fillId="10" borderId="1" xfId="1" applyNumberFormat="1" applyFont="1" applyFill="1" applyBorder="1"/>
    <xf numFmtId="166" fontId="1" fillId="10" borderId="1" xfId="1" applyNumberFormat="1" applyFont="1" applyFill="1" applyBorder="1"/>
    <xf numFmtId="0" fontId="98" fillId="0" borderId="0" xfId="0" applyFont="1"/>
    <xf numFmtId="0" fontId="99" fillId="2" borderId="10" xfId="0" applyFont="1" applyFill="1" applyBorder="1" applyAlignment="1">
      <alignment horizontal="center"/>
    </xf>
    <xf numFmtId="165" fontId="83" fillId="6" borderId="1" xfId="1" applyNumberFormat="1" applyFont="1" applyFill="1" applyBorder="1" applyAlignment="1">
      <alignment horizontal="center"/>
    </xf>
    <xf numFmtId="166" fontId="83" fillId="6" borderId="1" xfId="1" applyNumberFormat="1" applyFont="1" applyFill="1" applyBorder="1" applyAlignment="1">
      <alignment horizontal="center"/>
    </xf>
    <xf numFmtId="165" fontId="0" fillId="6" borderId="1" xfId="1" applyNumberFormat="1" applyFont="1" applyFill="1" applyBorder="1"/>
    <xf numFmtId="0" fontId="0" fillId="11" borderId="1" xfId="0" applyFont="1" applyFill="1" applyBorder="1"/>
    <xf numFmtId="165" fontId="0" fillId="11" borderId="1" xfId="1" applyNumberFormat="1" applyFont="1" applyFill="1" applyBorder="1"/>
    <xf numFmtId="166" fontId="0" fillId="11" borderId="1" xfId="1" applyNumberFormat="1" applyFont="1" applyFill="1" applyBorder="1"/>
    <xf numFmtId="0" fontId="5" fillId="6" borderId="13" xfId="0" applyFont="1" applyFill="1" applyBorder="1"/>
    <xf numFmtId="165" fontId="5" fillId="6" borderId="13" xfId="0" applyNumberFormat="1" applyFont="1" applyFill="1" applyBorder="1"/>
    <xf numFmtId="166" fontId="5" fillId="6" borderId="13" xfId="0" applyNumberFormat="1" applyFont="1" applyFill="1" applyBorder="1"/>
    <xf numFmtId="165" fontId="0" fillId="6" borderId="1" xfId="1" applyNumberFormat="1" applyFont="1" applyFill="1" applyBorder="1" applyAlignment="1">
      <alignment horizontal="center"/>
    </xf>
    <xf numFmtId="166" fontId="0" fillId="6" borderId="1" xfId="1" applyNumberFormat="1" applyFont="1" applyFill="1" applyBorder="1" applyAlignment="1">
      <alignment horizontal="center"/>
    </xf>
    <xf numFmtId="0" fontId="4" fillId="6" borderId="0" xfId="0" applyFont="1" applyFill="1"/>
    <xf numFmtId="165" fontId="0" fillId="6" borderId="0" xfId="1" applyNumberFormat="1" applyFont="1" applyFill="1"/>
    <xf numFmtId="0" fontId="5" fillId="6" borderId="0" xfId="0" applyFont="1" applyFill="1" applyAlignment="1">
      <alignment horizontal="left" indent="1"/>
    </xf>
    <xf numFmtId="43" fontId="5" fillId="6" borderId="0" xfId="1" applyFont="1" applyFill="1"/>
    <xf numFmtId="0" fontId="12" fillId="6" borderId="0" xfId="2" applyFont="1" applyFill="1" applyBorder="1" applyAlignment="1">
      <alignment horizontal="left" indent="1"/>
    </xf>
    <xf numFmtId="165" fontId="2" fillId="6" borderId="0" xfId="1" applyNumberFormat="1" applyFont="1" applyFill="1"/>
    <xf numFmtId="0" fontId="11" fillId="6" borderId="0" xfId="2" applyFont="1" applyFill="1" applyAlignment="1">
      <alignment horizontal="left" indent="1"/>
    </xf>
    <xf numFmtId="0" fontId="0" fillId="6" borderId="0" xfId="0" applyFill="1" applyAlignment="1">
      <alignment vertical="center"/>
    </xf>
    <xf numFmtId="0" fontId="5" fillId="6" borderId="0" xfId="0" applyFont="1" applyFill="1"/>
    <xf numFmtId="0" fontId="3" fillId="6" borderId="6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43" fontId="3" fillId="6" borderId="8" xfId="1" applyFont="1" applyFill="1" applyBorder="1" applyAlignment="1">
      <alignment horizontal="center"/>
    </xf>
    <xf numFmtId="43" fontId="3" fillId="6" borderId="9" xfId="1" applyFont="1" applyFill="1" applyBorder="1" applyAlignment="1">
      <alignment horizontal="center"/>
    </xf>
    <xf numFmtId="43" fontId="3" fillId="6" borderId="6" xfId="1" applyFont="1" applyFill="1" applyBorder="1" applyAlignment="1">
      <alignment horizontal="center"/>
    </xf>
    <xf numFmtId="43" fontId="3" fillId="6" borderId="8" xfId="1" applyFont="1" applyFill="1" applyBorder="1" applyAlignment="1">
      <alignment horizontal="center" wrapText="1"/>
    </xf>
    <xf numFmtId="0" fontId="15" fillId="6" borderId="10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14" fontId="3" fillId="6" borderId="19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166" fontId="55" fillId="6" borderId="3" xfId="1" applyNumberFormat="1" applyFont="1" applyFill="1" applyBorder="1"/>
    <xf numFmtId="166" fontId="5" fillId="6" borderId="3" xfId="1" applyNumberFormat="1" applyFont="1" applyFill="1" applyBorder="1"/>
    <xf numFmtId="14" fontId="3" fillId="6" borderId="4" xfId="0" applyNumberFormat="1" applyFont="1" applyFill="1" applyBorder="1" applyAlignment="1">
      <alignment horizontal="center"/>
    </xf>
    <xf numFmtId="14" fontId="0" fillId="6" borderId="5" xfId="0" applyNumberFormat="1" applyFill="1" applyBorder="1"/>
    <xf numFmtId="0" fontId="0" fillId="6" borderId="2" xfId="0" applyFill="1" applyBorder="1"/>
    <xf numFmtId="166" fontId="0" fillId="6" borderId="2" xfId="1" applyNumberFormat="1" applyFont="1" applyFill="1" applyBorder="1"/>
    <xf numFmtId="14" fontId="0" fillId="6" borderId="17" xfId="0" applyNumberFormat="1" applyFill="1" applyBorder="1"/>
    <xf numFmtId="0" fontId="0" fillId="6" borderId="20" xfId="0" applyFill="1" applyBorder="1"/>
    <xf numFmtId="14" fontId="5" fillId="6" borderId="24" xfId="0" applyNumberFormat="1" applyFont="1" applyFill="1" applyBorder="1"/>
    <xf numFmtId="14" fontId="0" fillId="6" borderId="19" xfId="0" applyNumberFormat="1" applyFill="1" applyBorder="1"/>
    <xf numFmtId="0" fontId="0" fillId="6" borderId="1" xfId="0" applyFill="1" applyBorder="1"/>
    <xf numFmtId="166" fontId="98" fillId="0" borderId="1" xfId="1" applyNumberFormat="1" applyFont="1" applyBorder="1"/>
    <xf numFmtId="166" fontId="98" fillId="2" borderId="1" xfId="1" applyNumberFormat="1" applyFont="1" applyFill="1" applyBorder="1" applyAlignment="1">
      <alignment horizontal="center"/>
    </xf>
    <xf numFmtId="165" fontId="96" fillId="0" borderId="2" xfId="0" applyNumberFormat="1" applyFont="1" applyBorder="1"/>
    <xf numFmtId="166" fontId="96" fillId="0" borderId="2" xfId="0" applyNumberFormat="1" applyFont="1" applyBorder="1"/>
    <xf numFmtId="166" fontId="97" fillId="0" borderId="12" xfId="0" applyNumberFormat="1" applyFont="1" applyBorder="1"/>
    <xf numFmtId="166" fontId="98" fillId="0" borderId="2" xfId="0" applyNumberFormat="1" applyFont="1" applyBorder="1"/>
    <xf numFmtId="0" fontId="96" fillId="0" borderId="14" xfId="0" applyFont="1" applyBorder="1"/>
    <xf numFmtId="166" fontId="98" fillId="0" borderId="1" xfId="0" applyNumberFormat="1" applyFont="1" applyBorder="1"/>
    <xf numFmtId="165" fontId="96" fillId="6" borderId="1" xfId="1" applyNumberFormat="1" applyFont="1" applyFill="1" applyBorder="1" applyAlignment="1">
      <alignment horizontal="center"/>
    </xf>
    <xf numFmtId="166" fontId="96" fillId="6" borderId="1" xfId="1" applyNumberFormat="1" applyFont="1" applyFill="1" applyBorder="1" applyAlignment="1">
      <alignment horizontal="center"/>
    </xf>
    <xf numFmtId="166" fontId="97" fillId="6" borderId="1" xfId="1" applyNumberFormat="1" applyFont="1" applyFill="1" applyBorder="1" applyAlignment="1">
      <alignment horizontal="center" wrapText="1"/>
    </xf>
    <xf numFmtId="12" fontId="0" fillId="0" borderId="1" xfId="1" applyNumberFormat="1" applyFont="1" applyBorder="1"/>
    <xf numFmtId="165" fontId="100" fillId="0" borderId="1" xfId="1" applyNumberFormat="1" applyFont="1" applyBorder="1"/>
    <xf numFmtId="166" fontId="100" fillId="0" borderId="1" xfId="1" applyNumberFormat="1" applyFont="1" applyBorder="1"/>
    <xf numFmtId="166" fontId="101" fillId="0" borderId="1" xfId="0" applyNumberFormat="1" applyFont="1" applyBorder="1"/>
    <xf numFmtId="0" fontId="101" fillId="0" borderId="0" xfId="0" applyFont="1"/>
    <xf numFmtId="166" fontId="101" fillId="0" borderId="1" xfId="1" applyNumberFormat="1" applyFont="1" applyBorder="1"/>
    <xf numFmtId="165" fontId="100" fillId="0" borderId="2" xfId="0" applyNumberFormat="1" applyFont="1" applyBorder="1"/>
    <xf numFmtId="166" fontId="100" fillId="0" borderId="2" xfId="0" applyNumberFormat="1" applyFont="1" applyBorder="1"/>
    <xf numFmtId="166" fontId="102" fillId="0" borderId="12" xfId="0" applyNumberFormat="1" applyFont="1" applyBorder="1"/>
    <xf numFmtId="166" fontId="101" fillId="0" borderId="2" xfId="0" applyNumberFormat="1" applyFont="1" applyBorder="1"/>
    <xf numFmtId="0" fontId="100" fillId="0" borderId="14" xfId="0" applyFont="1" applyBorder="1"/>
    <xf numFmtId="14" fontId="102" fillId="0" borderId="5" xfId="0" applyNumberFormat="1" applyFont="1" applyBorder="1"/>
    <xf numFmtId="166" fontId="102" fillId="0" borderId="3" xfId="0" applyNumberFormat="1" applyFont="1" applyBorder="1"/>
    <xf numFmtId="0" fontId="60" fillId="6" borderId="0" xfId="0" applyFont="1" applyFill="1" applyAlignment="1">
      <alignment horizontal="center" wrapText="1"/>
    </xf>
    <xf numFmtId="0" fontId="60" fillId="6" borderId="0" xfId="0" applyFont="1" applyFill="1" applyAlignment="1">
      <alignment horizontal="center" wrapText="1"/>
    </xf>
    <xf numFmtId="0" fontId="60" fillId="6" borderId="0" xfId="0" applyFont="1" applyFill="1" applyAlignment="1">
      <alignment horizontal="center"/>
    </xf>
    <xf numFmtId="0" fontId="62" fillId="6" borderId="0" xfId="0" applyFont="1" applyFill="1" applyAlignment="1">
      <alignment horizontal="center"/>
    </xf>
    <xf numFmtId="0" fontId="59" fillId="6" borderId="0" xfId="0" applyFont="1" applyFill="1" applyAlignment="1">
      <alignment horizontal="center"/>
    </xf>
    <xf numFmtId="166" fontId="100" fillId="2" borderId="1" xfId="1" applyNumberFormat="1" applyFont="1" applyFill="1" applyBorder="1" applyAlignment="1">
      <alignment horizontal="center"/>
    </xf>
    <xf numFmtId="166" fontId="83" fillId="6" borderId="1" xfId="1" applyNumberFormat="1" applyFont="1" applyFill="1" applyBorder="1" applyAlignment="1">
      <alignment horizontal="right"/>
    </xf>
    <xf numFmtId="0" fontId="4" fillId="6" borderId="2" xfId="0" applyFont="1" applyFill="1" applyBorder="1"/>
    <xf numFmtId="0" fontId="38" fillId="6" borderId="0" xfId="0" applyFont="1" applyFill="1" applyBorder="1"/>
    <xf numFmtId="2" fontId="0" fillId="0" borderId="2" xfId="0" applyNumberFormat="1" applyBorder="1"/>
    <xf numFmtId="0" fontId="58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5" fillId="0" borderId="0" xfId="0" applyFont="1" applyBorder="1"/>
    <xf numFmtId="0" fontId="4" fillId="6" borderId="0" xfId="0" applyFont="1" applyFill="1" applyBorder="1"/>
    <xf numFmtId="0" fontId="0" fillId="0" borderId="2" xfId="0" applyBorder="1" applyAlignment="1">
      <alignment horizontal="center"/>
    </xf>
    <xf numFmtId="0" fontId="18" fillId="6" borderId="5" xfId="0" applyFont="1" applyFill="1" applyBorder="1" applyAlignment="1">
      <alignment horizontal="center"/>
    </xf>
    <xf numFmtId="0" fontId="57" fillId="6" borderId="2" xfId="0" applyFont="1" applyFill="1" applyBorder="1"/>
    <xf numFmtId="2" fontId="18" fillId="0" borderId="7" xfId="0" applyNumberFormat="1" applyFont="1" applyBorder="1"/>
    <xf numFmtId="0" fontId="60" fillId="6" borderId="0" xfId="0" applyFont="1" applyFill="1" applyAlignment="1">
      <alignment horizontal="center" wrapText="1"/>
    </xf>
    <xf numFmtId="0" fontId="5" fillId="0" borderId="0" xfId="0" applyFont="1" applyAlignment="1">
      <alignment horizontal="center" wrapText="1"/>
    </xf>
    <xf numFmtId="0" fontId="82" fillId="6" borderId="0" xfId="0" applyFont="1" applyFill="1" applyAlignment="1">
      <alignment horizontal="center" wrapText="1"/>
    </xf>
    <xf numFmtId="0" fontId="62" fillId="6" borderId="0" xfId="0" applyFont="1" applyFill="1" applyAlignment="1">
      <alignment horizontal="center"/>
    </xf>
    <xf numFmtId="17" fontId="60" fillId="6" borderId="0" xfId="0" applyNumberFormat="1" applyFont="1" applyFill="1" applyAlignment="1">
      <alignment horizontal="center"/>
    </xf>
    <xf numFmtId="0" fontId="60" fillId="6" borderId="0" xfId="0" applyFont="1" applyFill="1" applyAlignment="1">
      <alignment horizontal="center"/>
    </xf>
    <xf numFmtId="0" fontId="59" fillId="6" borderId="0" xfId="0" applyFont="1" applyFill="1" applyAlignment="1">
      <alignment horizontal="center"/>
    </xf>
    <xf numFmtId="0" fontId="58" fillId="0" borderId="9" xfId="0" applyFont="1" applyBorder="1" applyAlignment="1">
      <alignment horizontal="center" wrapText="1"/>
    </xf>
  </cellXfs>
  <cellStyles count="7">
    <cellStyle name="Heading 1 2" xfId="5"/>
    <cellStyle name="Hipervínculo" xfId="2" builtinId="8"/>
    <cellStyle name="Hyperlink 2" xfId="6"/>
    <cellStyle name="Millares" xfId="1" builtinId="3"/>
    <cellStyle name="Normal" xfId="0" builtinId="0"/>
    <cellStyle name="Normal 2" xfId="3"/>
    <cellStyle name="Title 2" xfId="4"/>
  </cellStyles>
  <dxfs count="26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/>
        <top style="thin">
          <color rgb="FF000000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color auto="1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color auto="1"/>
      </font>
      <numFmt numFmtId="19" formatCode="d/m/yyyy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color auto="1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color auto="1"/>
      </font>
      <numFmt numFmtId="19" formatCode="d/m/yyyy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color auto="1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color auto="1"/>
      </font>
      <numFmt numFmtId="19" formatCode="d/m/yyyy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color auto="1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color auto="1"/>
      </font>
      <numFmt numFmtId="19" formatCode="d/m/yyyy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color auto="1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color auto="1"/>
      </font>
      <numFmt numFmtId="19" formatCode="d/m/yyyy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/>
        <top style="thin">
          <color rgb="FF000000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/>
        <top style="thin">
          <color rgb="FF000000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/yyyy"/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color auto="1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color auto="1"/>
      </font>
      <numFmt numFmtId="19" formatCode="d/m/yyyy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color auto="1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color auto="1"/>
      </font>
      <numFmt numFmtId="19" formatCode="d/m/yyyy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/yyyy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/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8" formatCode="0.00_ ;\-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8" formatCode="0.00_ ;\-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/yyyy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/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9" formatCode="d/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/yyyy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/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9" formatCode="d/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9" formatCode="d/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color auto="1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9" formatCode="dd/mm/yyyy"/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/m/yyyy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color auto="1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color auto="1"/>
      </font>
      <numFmt numFmtId="19" formatCode="d/m/yyyy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color auto="1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color auto="1"/>
      </font>
      <numFmt numFmtId="19" formatCode="d/m/yyyy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color auto="1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color auto="1"/>
      </font>
      <numFmt numFmtId="19" formatCode="d/m/yyyy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color auto="1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color auto="1"/>
      </font>
      <numFmt numFmtId="19" formatCode="d/m/yyyy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color auto="1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color auto="1"/>
      </font>
      <numFmt numFmtId="19" formatCode="d/m/yyyy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color auto="1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color auto="1"/>
      </font>
      <numFmt numFmtId="19" formatCode="d/m/yyyy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color auto="1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color auto="1"/>
      </font>
      <numFmt numFmtId="19" formatCode="d/m/yyyy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color auto="1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color auto="1"/>
      </font>
      <numFmt numFmtId="19" formatCode="d/m/yyyy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color auto="1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color auto="1"/>
      </font>
      <numFmt numFmtId="19" formatCode="d/m/yyyy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9" formatCode="d/m/yyyy"/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\-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_ ;\-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/>
        <i val="0"/>
        <color theme="1" tint="0.24994659260841701"/>
      </font>
      <fill>
        <patternFill>
          <bgColor theme="2"/>
        </patternFill>
      </fill>
    </dxf>
    <dxf>
      <font>
        <b/>
        <i val="0"/>
        <color theme="1" tint="0.24994659260841701"/>
      </font>
      <fill>
        <patternFill>
          <bgColor theme="2"/>
        </patternFill>
      </fill>
    </dxf>
    <dxf>
      <border>
        <horizontal style="thin">
          <color theme="2" tint="-0.24994659260841701"/>
        </horizontal>
      </border>
    </dxf>
  </dxfs>
  <tableStyles count="1" defaultTableStyle="TableStyleMedium2" defaultPivotStyle="PivotStyleLight16">
    <tableStyle name="Seguidor de cuotas" pivot="0" count="3">
      <tableStyleElement type="wholeTable" dxfId="2629"/>
      <tableStyleElement type="headerRow" dxfId="2628"/>
      <tableStyleElement type="totalRow" dxfId="2627"/>
    </tableStyle>
  </tableStyles>
  <colors>
    <mruColors>
      <color rgb="FFF9FB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hyperlink" Target="#Resume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296150" y="1162050"/>
          <a:ext cx="4667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058025" y="1162050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73</xdr:row>
      <xdr:rowOff>19050</xdr:rowOff>
    </xdr:from>
    <xdr:to>
      <xdr:col>7</xdr:col>
      <xdr:colOff>47625</xdr:colOff>
      <xdr:row>73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SpPr/>
      </xdr:nvSpPr>
      <xdr:spPr>
        <a:xfrm>
          <a:off x="6419850" y="361950"/>
          <a:ext cx="285750" cy="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5</xdr:row>
      <xdr:rowOff>19050</xdr:rowOff>
    </xdr:from>
    <xdr:to>
      <xdr:col>7</xdr:col>
      <xdr:colOff>47625</xdr:colOff>
      <xdr:row>5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C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E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F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0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1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2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3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4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5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6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7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8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9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A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B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C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D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E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F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0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1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3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4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5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6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7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8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9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A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B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C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D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F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0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1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2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3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5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6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7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8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9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A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B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C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D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E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F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0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1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2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3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4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5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6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7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8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9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A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B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C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D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6</xdr:row>
      <xdr:rowOff>19050</xdr:rowOff>
    </xdr:from>
    <xdr:to>
      <xdr:col>7</xdr:col>
      <xdr:colOff>47625</xdr:colOff>
      <xdr:row>6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E00-000002000000}"/>
            </a:ext>
          </a:extLst>
        </xdr:cNvPr>
        <xdr:cNvSpPr/>
      </xdr:nvSpPr>
      <xdr:spPr>
        <a:xfrm>
          <a:off x="7058025" y="1171575"/>
          <a:ext cx="352425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5</xdr:row>
      <xdr:rowOff>19050</xdr:rowOff>
    </xdr:from>
    <xdr:to>
      <xdr:col>7</xdr:col>
      <xdr:colOff>47625</xdr:colOff>
      <xdr:row>5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F00-000002000000}"/>
            </a:ext>
          </a:extLst>
        </xdr:cNvPr>
        <xdr:cNvSpPr/>
      </xdr:nvSpPr>
      <xdr:spPr>
        <a:xfrm>
          <a:off x="6067425" y="581025"/>
          <a:ext cx="171450" cy="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5</xdr:row>
      <xdr:rowOff>19050</xdr:rowOff>
    </xdr:from>
    <xdr:to>
      <xdr:col>7</xdr:col>
      <xdr:colOff>47625</xdr:colOff>
      <xdr:row>5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9000-000002000000}"/>
            </a:ext>
          </a:extLst>
        </xdr:cNvPr>
        <xdr:cNvSpPr/>
      </xdr:nvSpPr>
      <xdr:spPr>
        <a:xfrm>
          <a:off x="6905625" y="981075"/>
          <a:ext cx="323850" cy="152400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id="3" name="T5B_4" displayName="T5B_4" ref="A9:H39" totalsRowShown="0" headerRowDxfId="2626" dataDxfId="2624" headerRowBorderDxfId="2625" tableBorderDxfId="2623" totalsRowBorderDxfId="2622">
  <autoFilter ref="A9:H39"/>
  <tableColumns count="8">
    <tableColumn id="1" name="Fecha" dataDxfId="2621"/>
    <tableColumn id="2" name="Concepto" dataDxfId="2620"/>
    <tableColumn id="3" name="Recibo" dataDxfId="2619"/>
    <tableColumn id="4" name="Expensas" dataDxfId="2618"/>
    <tableColumn id="5" name="Agua" dataDxfId="2617"/>
    <tableColumn id="6" name="Column6" dataDxfId="2616"/>
    <tableColumn id="7" name="Total" dataDxfId="2615">
      <calculatedColumnFormula>SUM(D10:F10)</calculatedColumnFormula>
    </tableColumn>
    <tableColumn id="8" name="Deuda" dataDxfId="2614">
      <calculatedColumnFormula>H9+G10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3" name="T_T134" displayName="T_T134" ref="A9:K45" totalsRowShown="0" headerRowDxfId="2613" dataDxfId="2611" headerRowBorderDxfId="2612" tableBorderDxfId="2610" totalsRowBorderDxfId="2609">
  <autoFilter ref="A9:K45"/>
  <tableColumns count="11">
    <tableColumn id="1" name="Fecha" dataDxfId="2608" totalsRowDxfId="2607"/>
    <tableColumn id="2" name="Concepto" dataDxfId="2606" totalsRowDxfId="2605"/>
    <tableColumn id="3" name="Recibo" dataDxfId="2604" dataCellStyle="Millares"/>
    <tableColumn id="4" name="Expensas" dataDxfId="2603" dataCellStyle="Millares"/>
    <tableColumn id="5" name="Agua" dataDxfId="2602" dataCellStyle="Millares"/>
    <tableColumn id="6" name="Multa" dataDxfId="2601"/>
    <tableColumn id="7" name="Total" dataDxfId="2600">
      <calculatedColumnFormula>SUM(D10:F48)</calculatedColumnFormula>
    </tableColumn>
    <tableColumn id="8" name="Deuda" dataDxfId="2599" totalsRowDxfId="2598">
      <calculatedColumnFormula>H9+G10</calculatedColumnFormula>
    </tableColumn>
    <tableColumn id="9" name="Pagado" dataDxfId="2597" totalsRowDxfId="2596">
      <calculatedColumnFormula>IF(T_T134[[#This Row],[Total]]&lt;0,T_T134[[#This Row],[Total]]*-1,0)</calculatedColumnFormula>
    </tableColumn>
    <tableColumn id="10" name="Columna1" dataDxfId="2595" totalsRowDxfId="2594"/>
    <tableColumn id="11" name="Columna2" dataDxfId="259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43" name="T_T134144" displayName="T_T134144" ref="A9:I41" totalsRowShown="0" headerRowDxfId="2592" dataDxfId="2590" headerRowBorderDxfId="2591" tableBorderDxfId="2589" totalsRowBorderDxfId="2588">
  <autoFilter ref="A9:I41"/>
  <tableColumns count="9">
    <tableColumn id="1" name="Fecha" dataDxfId="2587"/>
    <tableColumn id="2" name="Concepto" dataDxfId="2586"/>
    <tableColumn id="3" name="Recibo" dataDxfId="2585"/>
    <tableColumn id="4" name="Expensas" dataDxfId="2584"/>
    <tableColumn id="5" name="Agua" dataDxfId="2583"/>
    <tableColumn id="6" name="Multa" dataDxfId="2582"/>
    <tableColumn id="7" name="Total" dataDxfId="2581">
      <calculatedColumnFormula>SUM(D10:F10)</calculatedColumnFormula>
    </tableColumn>
    <tableColumn id="8" name="Deuda" dataDxfId="2580">
      <calculatedColumnFormula>H9+G10</calculatedColumnFormula>
    </tableColumn>
    <tableColumn id="9" name="Pagado" dataDxfId="2579">
      <calculatedColumnFormula>IF(T_T134144[[#This Row],[Total]]&lt;0,T_T134144[[#This Row],[Total]]*-1,0)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44" name="T_T134145" displayName="T_T134145" ref="A9:L41" totalsRowCount="1" headerRowDxfId="2578" dataDxfId="2576" headerRowBorderDxfId="2577" tableBorderDxfId="2575" totalsRowBorderDxfId="2574">
  <autoFilter ref="A9:L40"/>
  <tableColumns count="12">
    <tableColumn id="1" name="Fecha" dataDxfId="2573" totalsRowDxfId="2572"/>
    <tableColumn id="2" name="Concepto" dataDxfId="2571" totalsRowDxfId="2570"/>
    <tableColumn id="3" name="Recibo" dataDxfId="2569" totalsRowDxfId="2568" dataCellStyle="Millares"/>
    <tableColumn id="4" name="Expensas" dataDxfId="2567" totalsRowDxfId="2566" dataCellStyle="Millares"/>
    <tableColumn id="5" name="Agua" dataDxfId="2565" totalsRowDxfId="2564" dataCellStyle="Millares"/>
    <tableColumn id="6" name="Multa" dataDxfId="2563" totalsRowDxfId="2562" dataCellStyle="Millares"/>
    <tableColumn id="7" name="Total" dataDxfId="2561" totalsRowDxfId="2560" dataCellStyle="Millares"/>
    <tableColumn id="8" name="Deuda" dataDxfId="2559" totalsRowDxfId="2558" dataCellStyle="Millares"/>
    <tableColumn id="9" name="Pagado" dataDxfId="2557" totalsRowDxfId="2556">
      <calculatedColumnFormula>IF(T_T134145[[#This Row],[Total]]&lt;0,T_T134145[[#This Row],[Total]]*-1,0)</calculatedColumnFormula>
    </tableColumn>
    <tableColumn id="10" name="Columna1" dataDxfId="2555" totalsRowDxfId="2554"/>
    <tableColumn id="11" name="Columna2" dataDxfId="2553" totalsRowDxfId="2552"/>
    <tableColumn id="12" name="Columna3" dataDxfId="2551" totalsRowDxfId="255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2" name="T_T1343" displayName="T_T1343" ref="A9:L41" totalsRowCount="1" headerRowDxfId="2549" dataDxfId="2547" headerRowBorderDxfId="2548" tableBorderDxfId="2546" totalsRowBorderDxfId="2545">
  <autoFilter ref="A9:L40"/>
  <tableColumns count="12">
    <tableColumn id="1" name="Fecha" dataDxfId="2544" totalsRowDxfId="2543"/>
    <tableColumn id="2" name="Concepto" dataDxfId="2542" totalsRowDxfId="2541"/>
    <tableColumn id="3" name="Recibo" dataDxfId="2540" totalsRowDxfId="2539" dataCellStyle="Millares"/>
    <tableColumn id="4" name="Expensas" dataDxfId="2538" totalsRowDxfId="2537" dataCellStyle="Millares"/>
    <tableColumn id="5" name="Agua" dataDxfId="2536" totalsRowDxfId="2535" dataCellStyle="Millares"/>
    <tableColumn id="6" name="Multa" dataDxfId="2534" totalsRowDxfId="2533" dataCellStyle="Millares"/>
    <tableColumn id="7" name="Total" dataDxfId="2532" totalsRowDxfId="2531" dataCellStyle="Millares"/>
    <tableColumn id="8" name="Deuda" dataDxfId="2530" totalsRowDxfId="2529" dataCellStyle="Millares"/>
    <tableColumn id="9" name="Pagado" dataDxfId="2528" totalsRowDxfId="2527">
      <calculatedColumnFormula>IF(T_T1343[[#This Row],[Total]]&lt;0,T_T1343[[#This Row],[Total]]*-1,0)</calculatedColumnFormula>
    </tableColumn>
    <tableColumn id="10" name="Columna1" dataDxfId="2526" totalsRowDxfId="2525" dataCellStyle="Millares"/>
    <tableColumn id="11" name="Columna2" dataDxfId="2524" totalsRowDxfId="2523"/>
    <tableColumn id="12" name="Columna3" dataDxfId="2522" totalsRowDxfId="252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4" name="T_T1345" displayName="T_T1345" ref="A9:I41" totalsRowCount="1" headerRowDxfId="2520" dataDxfId="2518" headerRowBorderDxfId="2519" tableBorderDxfId="2517" totalsRowBorderDxfId="2516">
  <autoFilter ref="A9:I40"/>
  <tableColumns count="9">
    <tableColumn id="1" name="Fecha" dataDxfId="2515" totalsRowDxfId="2514"/>
    <tableColumn id="2" name="Concepto" dataDxfId="2513" totalsRowDxfId="2512"/>
    <tableColumn id="3" name="Recibo" dataDxfId="2511" totalsRowDxfId="2510" dataCellStyle="Millares"/>
    <tableColumn id="4" name="Expensas" dataDxfId="2509" totalsRowDxfId="2508" dataCellStyle="Millares"/>
    <tableColumn id="5" name="Agua" dataDxfId="2507" totalsRowDxfId="2506" dataCellStyle="Millares"/>
    <tableColumn id="6" name="Multa" dataDxfId="2505" totalsRowDxfId="2504" dataCellStyle="Millares"/>
    <tableColumn id="7" name="Total" dataDxfId="2503" totalsRowDxfId="2502" dataCellStyle="Millares"/>
    <tableColumn id="8" name="Deuda" dataDxfId="2501" totalsRowDxfId="2500">
      <calculatedColumnFormula>H9+G10</calculatedColumnFormula>
    </tableColumn>
    <tableColumn id="9" name="Pagado" dataDxfId="2499" totalsRowDxfId="2498">
      <calculatedColumnFormula>IF(T_T1345[[#This Row],[Total]]&lt;0,T_T1345[[#This Row],[Total]]*-1,0)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5" name="T_T1346" displayName="T_T1346" ref="A9:K41" totalsRowShown="0" headerRowDxfId="2497" dataDxfId="2495" headerRowBorderDxfId="2496" tableBorderDxfId="2494" totalsRowBorderDxfId="2493">
  <autoFilter ref="A9:K41"/>
  <tableColumns count="11">
    <tableColumn id="1" name="Fecha" dataDxfId="2492"/>
    <tableColumn id="2" name="Concepto" dataDxfId="2491"/>
    <tableColumn id="3" name="Recibo" dataDxfId="2490" dataCellStyle="Millares"/>
    <tableColumn id="4" name="Expensas" dataDxfId="2489" dataCellStyle="Millares">
      <calculatedColumnFormula>134-26</calculatedColumnFormula>
    </tableColumn>
    <tableColumn id="5" name="Agua" dataDxfId="2488" dataCellStyle="Millares"/>
    <tableColumn id="6" name="Multa" dataDxfId="2487" dataCellStyle="Millares"/>
    <tableColumn id="7" name="Total" dataDxfId="2486" dataCellStyle="Millares"/>
    <tableColumn id="8" name="Deuda" dataDxfId="2485" dataCellStyle="Millares"/>
    <tableColumn id="9" name="Pagado" dataDxfId="2484">
      <calculatedColumnFormula>IF(T_T1346[[#This Row],[Total]]&lt;0,T_T1346[[#This Row],[Total]]*-1,0)</calculatedColumnFormula>
    </tableColumn>
    <tableColumn id="10" name="Columna1" dataDxfId="2483"/>
    <tableColumn id="11" name="Columna2" dataDxfId="248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6" name="T_T1347" displayName="T_T1347" ref="A9:J41" totalsRowCount="1" headerRowDxfId="2481" dataDxfId="2479" headerRowBorderDxfId="2480" tableBorderDxfId="2478" totalsRowBorderDxfId="2477">
  <autoFilter ref="A9:J40"/>
  <tableColumns count="10">
    <tableColumn id="1" name="Fecha" dataDxfId="2476" totalsRowDxfId="2475"/>
    <tableColumn id="2" name="Concepto" dataDxfId="2474" totalsRowDxfId="2473"/>
    <tableColumn id="3" name="Recibo" dataDxfId="2472" totalsRowDxfId="2471" dataCellStyle="Millares"/>
    <tableColumn id="4" name="Expensas" dataDxfId="2470" totalsRowDxfId="2469" dataCellStyle="Millares"/>
    <tableColumn id="5" name="Agua" dataDxfId="2468" totalsRowDxfId="2467" dataCellStyle="Millares"/>
    <tableColumn id="6" name="Multa" dataDxfId="2466" totalsRowDxfId="2465" dataCellStyle="Millares"/>
    <tableColumn id="7" name="Total" dataDxfId="2464" totalsRowDxfId="2463" dataCellStyle="Millares"/>
    <tableColumn id="8" name="Deuda" dataDxfId="2462" totalsRowDxfId="2461" dataCellStyle="Millares"/>
    <tableColumn id="9" name="Pagado" dataDxfId="2460" totalsRowDxfId="2459">
      <calculatedColumnFormula>IF(T_T1347[[#This Row],[Total]]&lt;0,T_T1347[[#This Row],[Total]]*-1,0)</calculatedColumnFormula>
    </tableColumn>
    <tableColumn id="10" name="Columna1" dataDxfId="2458" totalsRowDxfId="2457" dataCellStyle="Millar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8" name="T_T1349" displayName="T_T1349" ref="A9:J41" totalsRowShown="0" headerRowDxfId="2456" dataDxfId="2454" headerRowBorderDxfId="2455" tableBorderDxfId="2453" totalsRowBorderDxfId="2452">
  <autoFilter ref="A9:J41"/>
  <tableColumns count="10">
    <tableColumn id="1" name="Fecha" dataDxfId="2451"/>
    <tableColumn id="2" name="Concepto" dataDxfId="2450"/>
    <tableColumn id="3" name="Recibo" dataDxfId="2449" dataCellStyle="Millares"/>
    <tableColumn id="4" name="Expensas" dataDxfId="2448" dataCellStyle="Millares"/>
    <tableColumn id="5" name="Agua" dataDxfId="2447" dataCellStyle="Millares"/>
    <tableColumn id="6" name="Multa" dataDxfId="2446" dataCellStyle="Millares"/>
    <tableColumn id="7" name="Total" dataDxfId="2445" dataCellStyle="Millares"/>
    <tableColumn id="8" name="Deuda" dataDxfId="2444" dataCellStyle="Millares"/>
    <tableColumn id="9" name="Pagado" dataDxfId="2443">
      <calculatedColumnFormula>IF(T_T1349[[#This Row],[Total]]&lt;0,T_T1349[[#This Row],[Total]]*-1,0)</calculatedColumnFormula>
    </tableColumn>
    <tableColumn id="10" name="Columna1" dataDxfId="2442" dataCellStyle="Millar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7" name="T_T1341112131415161718" displayName="T_T1341112131415161718" ref="A9:K41" totalsRowShown="0" headerRowDxfId="2441" dataDxfId="2439" headerRowBorderDxfId="2440" tableBorderDxfId="2438" totalsRowBorderDxfId="2437">
  <autoFilter ref="A9:K41"/>
  <tableColumns count="11">
    <tableColumn id="1" name="Fecha" dataDxfId="2436"/>
    <tableColumn id="2" name="Concepto" dataDxfId="2435"/>
    <tableColumn id="3" name="Recibo" dataDxfId="2434" dataCellStyle="Millares"/>
    <tableColumn id="4" name="Expensas" dataDxfId="2433" dataCellStyle="Millares"/>
    <tableColumn id="5" name="Agua" dataDxfId="2432" dataCellStyle="Millares"/>
    <tableColumn id="6" name="Multa" dataDxfId="2431" dataCellStyle="Millares"/>
    <tableColumn id="7" name="Total" dataDxfId="2430" dataCellStyle="Millares"/>
    <tableColumn id="8" name="Deuda" dataDxfId="2429" dataCellStyle="Millares"/>
    <tableColumn id="9" name="Pagado" dataDxfId="2428">
      <calculatedColumnFormula>IF(T_T1341112131415161718[[#This Row],[Total]]&lt;0,T_T1341112131415161718[[#This Row],[Total]]*-1,0)</calculatedColumnFormula>
    </tableColumn>
    <tableColumn id="10" name="Columna1" dataDxfId="2427"/>
    <tableColumn id="11" name="Columna2" dataDxfId="242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0" name="T_T13411" displayName="T_T13411" ref="A9:I52" totalsRowShown="0" headerRowDxfId="2425" dataDxfId="2423" headerRowBorderDxfId="2424" tableBorderDxfId="2422" totalsRowBorderDxfId="2421">
  <autoFilter ref="A9:I52"/>
  <tableColumns count="9">
    <tableColumn id="1" name="Fecha" dataDxfId="2420"/>
    <tableColumn id="2" name="Concepto" dataDxfId="2419"/>
    <tableColumn id="3" name="Recibo" dataDxfId="2418"/>
    <tableColumn id="4" name="Expensas" dataDxfId="2417"/>
    <tableColumn id="5" name="Agua" dataDxfId="2416"/>
    <tableColumn id="6" name="Multa" dataDxfId="2415"/>
    <tableColumn id="7" name="Total" dataDxfId="2414">
      <calculatedColumnFormula>SUM(D10:F10)</calculatedColumnFormula>
    </tableColumn>
    <tableColumn id="8" name="Deuda" dataDxfId="2413">
      <calculatedColumnFormula>H9+G10</calculatedColumnFormula>
    </tableColumn>
    <tableColumn id="9" name="Pagado" dataDxfId="2412">
      <calculatedColumnFormula>IF(T_T13411[[#This Row],[Total]]&lt;0,T_T13411[[#This Row],[Total]]*-1,0)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1" name="T_T1341112" displayName="T_T1341112" ref="A9:J41" totalsRowCount="1" headerRowDxfId="2411" dataDxfId="2409" headerRowBorderDxfId="2410" tableBorderDxfId="2408" totalsRowBorderDxfId="2407">
  <autoFilter ref="A9:J40"/>
  <tableColumns count="10">
    <tableColumn id="1" name="Fecha" dataDxfId="2406" totalsRowDxfId="2405"/>
    <tableColumn id="2" name="Concepto" dataDxfId="2404" totalsRowDxfId="2403"/>
    <tableColumn id="3" name="Recibo" dataDxfId="2402" totalsRowDxfId="2401" dataCellStyle="Millares"/>
    <tableColumn id="4" name="Expensas" dataDxfId="2400" totalsRowDxfId="2399" dataCellStyle="Millares"/>
    <tableColumn id="5" name="Agua" dataDxfId="2398" totalsRowDxfId="2397" dataCellStyle="Millares"/>
    <tableColumn id="6" name="Multa" dataDxfId="2396" totalsRowDxfId="2395" dataCellStyle="Millares"/>
    <tableColumn id="7" name="Total" dataDxfId="2394" totalsRowDxfId="2393" dataCellStyle="Millares"/>
    <tableColumn id="8" name="Deuda" dataDxfId="2392" totalsRowDxfId="2391" dataCellStyle="Millares">
      <calculatedColumnFormula>H9+G10</calculatedColumnFormula>
    </tableColumn>
    <tableColumn id="9" name="Pagado" dataDxfId="2390" totalsRowDxfId="2389">
      <calculatedColumnFormula>IF(T_T1341112[[#This Row],[Total]]&lt;0,T_T1341112[[#This Row],[Total]]*-1,0)</calculatedColumnFormula>
    </tableColumn>
    <tableColumn id="10" name="Columna1" dataDxfId="2388" totalsRowDxfId="2387" dataCellStyle="Millar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2" name="T_T134111213" displayName="T_T134111213" ref="A9:J41" totalsRowShown="0" headerRowDxfId="2386" dataDxfId="2384" headerRowBorderDxfId="2385" tableBorderDxfId="2383" totalsRowBorderDxfId="2382">
  <autoFilter ref="A9:J41"/>
  <tableColumns count="10">
    <tableColumn id="1" name="Fecha" dataDxfId="2381"/>
    <tableColumn id="2" name="Concepto" dataDxfId="2380"/>
    <tableColumn id="3" name="Recibo" dataDxfId="2379" dataCellStyle="Millares"/>
    <tableColumn id="4" name="Expensas" dataDxfId="2378" dataCellStyle="Millares"/>
    <tableColumn id="5" name="Agua" dataDxfId="2377" dataCellStyle="Millares"/>
    <tableColumn id="6" name="Multa" dataDxfId="2376" dataCellStyle="Millares"/>
    <tableColumn id="7" name="Total" dataDxfId="2375" dataCellStyle="Millares"/>
    <tableColumn id="8" name="Deuda" dataDxfId="2374" dataCellStyle="Millares"/>
    <tableColumn id="9" name="Pagado" dataDxfId="2373">
      <calculatedColumnFormula>IF(T_T134111213[[#This Row],[Total]]&lt;0,T_T134111213[[#This Row],[Total]]*-1,0)</calculatedColumnFormula>
    </tableColumn>
    <tableColumn id="10" name="Columna1" dataDxfId="237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3" name="T_T13411121314" displayName="T_T13411121314" ref="A9:I41" totalsRowShown="0" headerRowDxfId="2371" dataDxfId="2369" headerRowBorderDxfId="2370" tableBorderDxfId="2368" totalsRowBorderDxfId="2367">
  <autoFilter ref="A9:I41"/>
  <tableColumns count="9">
    <tableColumn id="1" name="Fecha" dataDxfId="2366"/>
    <tableColumn id="2" name="Concepto" dataDxfId="2365"/>
    <tableColumn id="3" name="Recibo" dataDxfId="2364" dataCellStyle="Millares"/>
    <tableColumn id="4" name="Expensas" dataDxfId="2363" dataCellStyle="Millares"/>
    <tableColumn id="5" name="Agua" dataDxfId="2362" dataCellStyle="Millares"/>
    <tableColumn id="6" name="Multa" dataDxfId="2361" dataCellStyle="Millares"/>
    <tableColumn id="7" name="Total" dataDxfId="2360" dataCellStyle="Millares"/>
    <tableColumn id="8" name="Deuda" dataDxfId="2359" dataCellStyle="Millares"/>
    <tableColumn id="9" name="Pagado" dataDxfId="2358">
      <calculatedColumnFormula>IF(T_T13411121314[[#This Row],[Total]]&lt;0,T_T13411121314[[#This Row],[Total]]*-1,0)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4" name="T_T1341112131415" displayName="T_T1341112131415" ref="A9:I41" totalsRowCount="1" headerRowDxfId="2357" dataDxfId="2355" headerRowBorderDxfId="2356" tableBorderDxfId="2354" totalsRowBorderDxfId="2353">
  <autoFilter ref="A9:I40"/>
  <tableColumns count="9">
    <tableColumn id="1" name="Fecha" dataDxfId="2352" totalsRowDxfId="2351"/>
    <tableColumn id="2" name="Concepto" dataDxfId="2350" totalsRowDxfId="2349"/>
    <tableColumn id="3" name="Recibo" dataDxfId="2348" totalsRowDxfId="2347" dataCellStyle="Millares"/>
    <tableColumn id="4" name="Expensas" dataDxfId="2346" totalsRowDxfId="2345" dataCellStyle="Millares"/>
    <tableColumn id="5" name="Agua" dataDxfId="2344" totalsRowDxfId="2343" dataCellStyle="Millares"/>
    <tableColumn id="6" name="Multa" dataDxfId="2342" totalsRowDxfId="2341" dataCellStyle="Millares"/>
    <tableColumn id="7" name="Total" dataDxfId="2340" totalsRowDxfId="2339" dataCellStyle="Millares"/>
    <tableColumn id="8" name="Deuda" dataDxfId="2338" totalsRowDxfId="2337" dataCellStyle="Millares"/>
    <tableColumn id="9" name="Pagado" dataDxfId="2336" totalsRowDxfId="2335">
      <calculatedColumnFormula>IF(T_T1341112131415[[#This Row],[Total]]&lt;0,T_T1341112131415[[#This Row],[Total]]*-1,0)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5" name="T_T134111213141516" displayName="T_T134111213141516" ref="A9:J41" totalsRowCount="1" headerRowDxfId="2334" dataDxfId="2332" headerRowBorderDxfId="2333" tableBorderDxfId="2331" totalsRowBorderDxfId="2330">
  <autoFilter ref="A9:J40"/>
  <tableColumns count="10">
    <tableColumn id="1" name="Fecha" dataDxfId="2329" totalsRowDxfId="2328"/>
    <tableColumn id="2" name="Concepto" dataDxfId="2327" totalsRowDxfId="2326"/>
    <tableColumn id="3" name="Recibo" dataDxfId="2325" totalsRowDxfId="2324" dataCellStyle="Millares"/>
    <tableColumn id="4" name="Expensas" dataDxfId="2323" totalsRowDxfId="2322" dataCellStyle="Millares"/>
    <tableColumn id="5" name="Agua" dataDxfId="2321" totalsRowDxfId="2320" dataCellStyle="Millares"/>
    <tableColumn id="6" name="Multa" dataDxfId="2319" totalsRowDxfId="2318" dataCellStyle="Millares"/>
    <tableColumn id="7" name="Total" dataDxfId="2317" totalsRowDxfId="2316" dataCellStyle="Millares"/>
    <tableColumn id="8" name="Deuda" dataDxfId="2315" totalsRowDxfId="2314" dataCellStyle="Millares"/>
    <tableColumn id="9" name="Pagado" dataDxfId="2313" totalsRowDxfId="2312">
      <calculatedColumnFormula>IF(T_T134111213141516[[#This Row],[Total]]&lt;0,T_T134111213141516[[#This Row],[Total]]*-1,0)</calculatedColumnFormula>
    </tableColumn>
    <tableColumn id="10" name="Columna1" dataDxfId="2311" totalsRowDxfId="2310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6" name="T_T13411121314151617" displayName="T_T13411121314151617" ref="A9:J42" totalsRowShown="0" headerRowDxfId="2309" dataDxfId="2307" headerRowBorderDxfId="2308" tableBorderDxfId="2306" totalsRowBorderDxfId="2305">
  <autoFilter ref="A9:J42"/>
  <tableColumns count="10">
    <tableColumn id="1" name="Fecha" dataDxfId="2304"/>
    <tableColumn id="2" name="Concepto" dataDxfId="2303"/>
    <tableColumn id="3" name="Recibo" dataDxfId="2302" dataCellStyle="Millares"/>
    <tableColumn id="4" name="Expensas" dataDxfId="2301" dataCellStyle="Millares"/>
    <tableColumn id="5" name="Agua" dataDxfId="2300" dataCellStyle="Millares"/>
    <tableColumn id="6" name="Multa" dataDxfId="2299" dataCellStyle="Millares"/>
    <tableColumn id="7" name="Total" dataDxfId="2298" dataCellStyle="Millares"/>
    <tableColumn id="8" name="Deuda" dataDxfId="2297" dataCellStyle="Millares"/>
    <tableColumn id="9" name="Pagado" dataDxfId="2296">
      <calculatedColumnFormula>IF(T_T13411121314151617[[#This Row],[Total]]&lt;0,T_T13411121314151617[[#This Row],[Total]]*-1,0)</calculatedColumnFormula>
    </tableColumn>
    <tableColumn id="10" name="Columna1" dataDxfId="2295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_T134111213141516171819" displayName="T_T134111213141516171819" ref="A9:K42" totalsRowShown="0" headerRowDxfId="2294" dataDxfId="2292" headerRowBorderDxfId="2293" tableBorderDxfId="2291" totalsRowBorderDxfId="2290">
  <autoFilter ref="A9:K42"/>
  <tableColumns count="11">
    <tableColumn id="1" name="Fecha" dataDxfId="2289"/>
    <tableColumn id="2" name="Concepto" dataDxfId="2288"/>
    <tableColumn id="3" name="Recibo" dataDxfId="2287" dataCellStyle="Millares"/>
    <tableColumn id="4" name="Expensas" dataDxfId="2286" dataCellStyle="Millares"/>
    <tableColumn id="5" name="Agua" dataDxfId="2285" dataCellStyle="Millares"/>
    <tableColumn id="6" name="Multa" dataDxfId="2284" dataCellStyle="Millares"/>
    <tableColumn id="7" name="Total" dataDxfId="2283" dataCellStyle="Millares"/>
    <tableColumn id="8" name="Deuda" dataDxfId="2282" dataCellStyle="Millares"/>
    <tableColumn id="9" name="Pagado" dataDxfId="2281">
      <calculatedColumnFormula>IF(T_T134111213141516171819[[#This Row],[Total]]&lt;0,T_T134111213141516171819[[#This Row],[Total]]*-1,0)</calculatedColumnFormula>
    </tableColumn>
    <tableColumn id="10" name="Columna1" dataDxfId="2280" dataCellStyle="Millares"/>
    <tableColumn id="11" name="Columna2" dataDxfId="2279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_T13411121314151617181920" displayName="T_T13411121314151617181920" ref="A9:K41" totalsRowShown="0" headerRowDxfId="2278" dataDxfId="2276" headerRowBorderDxfId="2277" tableBorderDxfId="2275" totalsRowBorderDxfId="2274">
  <autoFilter ref="A9:K41"/>
  <tableColumns count="11">
    <tableColumn id="1" name="Fecha" dataDxfId="2273" totalsRowDxfId="2272"/>
    <tableColumn id="2" name="Concepto" dataDxfId="2271" totalsRowDxfId="2270"/>
    <tableColumn id="3" name="Recibo" dataDxfId="2269" totalsRowDxfId="2268" dataCellStyle="Millares"/>
    <tableColumn id="4" name="Expensas" dataDxfId="2267" totalsRowDxfId="2266" dataCellStyle="Millares"/>
    <tableColumn id="5" name="Agua" dataDxfId="2265" totalsRowDxfId="2264" dataCellStyle="Millares"/>
    <tableColumn id="6" name="Multa" dataDxfId="2263" totalsRowDxfId="2262" dataCellStyle="Millares"/>
    <tableColumn id="7" name="Total" dataDxfId="2261" totalsRowDxfId="2260" dataCellStyle="Millares"/>
    <tableColumn id="8" name="Deuda" dataDxfId="2259" totalsRowDxfId="2258" dataCellStyle="Millares"/>
    <tableColumn id="9" name="Pagado" dataDxfId="2257" totalsRowDxfId="2256">
      <calculatedColumnFormula>IF(T_T13411121314151617181920[[#This Row],[Total]]&lt;0,T_T13411121314151617181920[[#This Row],[Total]]*-1,0)</calculatedColumnFormula>
    </tableColumn>
    <tableColumn id="10" name="Columna1" dataDxfId="2255" totalsRowDxfId="2254" dataCellStyle="Millares"/>
    <tableColumn id="11" name="Columna2" dataDxfId="2253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_T1341112131415161718192021" displayName="T_T1341112131415161718192021" ref="A9:J42" totalsRowShown="0" headerRowDxfId="2252" dataDxfId="2250" headerRowBorderDxfId="2251" tableBorderDxfId="2249" totalsRowBorderDxfId="2248">
  <autoFilter ref="A9:J42"/>
  <tableColumns count="10">
    <tableColumn id="1" name="Fecha" dataDxfId="2247"/>
    <tableColumn id="2" name="Concepto" dataDxfId="2246"/>
    <tableColumn id="3" name="Recibo" dataDxfId="2245" dataCellStyle="Millares"/>
    <tableColumn id="4" name="Expensas" dataDxfId="2244" dataCellStyle="Millares"/>
    <tableColumn id="5" name="Agua" dataDxfId="2243" dataCellStyle="Millares"/>
    <tableColumn id="6" name="Multa" dataDxfId="2242" dataCellStyle="Millares"/>
    <tableColumn id="7" name="Total" dataDxfId="2241" dataCellStyle="Millares"/>
    <tableColumn id="8" name="Deuda" dataDxfId="2240" dataCellStyle="Millares"/>
    <tableColumn id="9" name="Pagado" dataDxfId="2239">
      <calculatedColumnFormula>IF(T_T1341112131415161718192021[[#This Row],[Total]]&lt;0,T_T1341112131415161718192021[[#This Row],[Total]]*-1,0)</calculatedColumnFormula>
    </tableColumn>
    <tableColumn id="10" name="Columna1" dataDxfId="2238" dataCellStyle="Millare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_T134111213141516171819202122" displayName="T_T134111213141516171819202122" ref="A9:J41" totalsRowShown="0" headerRowDxfId="2237" dataDxfId="2235" headerRowBorderDxfId="2236" tableBorderDxfId="2234" totalsRowBorderDxfId="2233">
  <autoFilter ref="A9:J41"/>
  <tableColumns count="10">
    <tableColumn id="1" name="Fecha" dataDxfId="2232"/>
    <tableColumn id="2" name="Concepto" dataDxfId="2231"/>
    <tableColumn id="3" name="Recibo" dataDxfId="2230" dataCellStyle="Millares"/>
    <tableColumn id="4" name="Expensas" dataDxfId="2229" dataCellStyle="Millares"/>
    <tableColumn id="5" name="Agua" dataDxfId="2228" dataCellStyle="Millares"/>
    <tableColumn id="6" name="Multa" dataDxfId="2227" dataCellStyle="Millares"/>
    <tableColumn id="7" name="Total" dataDxfId="2226" dataCellStyle="Millares"/>
    <tableColumn id="8" name="Deuda" dataDxfId="2225" dataCellStyle="Millares"/>
    <tableColumn id="9" name="Pagado" dataDxfId="2224">
      <calculatedColumnFormula>IF(T_T134111213141516171819202122[[#This Row],[Total]]&lt;0,T_T134111213141516171819202122[[#This Row],[Total]]*-1,0)</calculatedColumnFormula>
    </tableColumn>
    <tableColumn id="10" name="Columna1" dataDxfId="2223" dataCellStyle="Millares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_T13411121314151617181920212223" displayName="T_T13411121314151617181920212223" ref="A9:L44" totalsRowShown="0" headerRowDxfId="2222" dataDxfId="2220" headerRowBorderDxfId="2221" tableBorderDxfId="2219" totalsRowBorderDxfId="2218">
  <autoFilter ref="A9:L44"/>
  <tableColumns count="12">
    <tableColumn id="1" name="Fecha" dataDxfId="2217"/>
    <tableColumn id="2" name="Concepto" dataDxfId="2216"/>
    <tableColumn id="3" name="Recibo" dataDxfId="2215" dataCellStyle="Millares"/>
    <tableColumn id="4" name="Expensas" dataDxfId="2214" dataCellStyle="Millares"/>
    <tableColumn id="5" name="Agua" dataDxfId="2213" dataCellStyle="Millares"/>
    <tableColumn id="6" name="Multa" dataDxfId="2212" dataCellStyle="Millares"/>
    <tableColumn id="7" name="Total" dataDxfId="2211" dataCellStyle="Millares"/>
    <tableColumn id="8" name="Deuda" dataDxfId="2210" dataCellStyle="Millares"/>
    <tableColumn id="9" name="Pagado" dataDxfId="2209">
      <calculatedColumnFormula>IF(T_T13411121314151617181920212223[[#This Row],[Total]]&lt;0,T_T13411121314151617181920212223[[#This Row],[Total]]*-1,0)</calculatedColumnFormula>
    </tableColumn>
    <tableColumn id="10" name="Columna1" dataDxfId="2208"/>
    <tableColumn id="11" name="Columna2" dataDxfId="2207"/>
    <tableColumn id="12" name="Columna3" dataDxfId="2206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_T1341112131415161718192021222324" displayName="T_T1341112131415161718192021222324" ref="A9:I41" totalsRowShown="0" headerRowDxfId="2205" dataDxfId="2203" headerRowBorderDxfId="2204" tableBorderDxfId="2202" totalsRowBorderDxfId="2201">
  <autoFilter ref="A9:I41"/>
  <tableColumns count="9">
    <tableColumn id="1" name="Fecha" dataDxfId="2200"/>
    <tableColumn id="2" name="Concepto" dataDxfId="2199"/>
    <tableColumn id="3" name="Recibo" dataDxfId="2198" dataCellStyle="Millares"/>
    <tableColumn id="4" name="Expensas" dataDxfId="2197" dataCellStyle="Millares"/>
    <tableColumn id="5" name="Agua" dataDxfId="2196" dataCellStyle="Millares"/>
    <tableColumn id="6" name="Multa" dataDxfId="2195" dataCellStyle="Millares"/>
    <tableColumn id="7" name="Total" dataDxfId="2194" dataCellStyle="Millares"/>
    <tableColumn id="8" name="Deuda" dataDxfId="2193" dataCellStyle="Millares"/>
    <tableColumn id="9" name="Pagado" dataDxfId="2192">
      <calculatedColumnFormula>IF(T_T1341112131415161718192021222324[[#This Row],[Total]]&lt;0,T_T1341112131415161718192021222324[[#This Row],[Total]]*-1,0)</calculatedColumnFormula>
    </tableColumn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_T134111213141516171819202122232425" displayName="T_T134111213141516171819202122232425" ref="A9:L42" totalsRowShown="0" headerRowDxfId="2191" dataDxfId="2189" headerRowBorderDxfId="2190" tableBorderDxfId="2188" totalsRowBorderDxfId="2187">
  <autoFilter ref="A9:L42"/>
  <tableColumns count="12">
    <tableColumn id="1" name="Fecha" dataDxfId="2186"/>
    <tableColumn id="2" name="Concepto" dataDxfId="2185"/>
    <tableColumn id="3" name="Recibo" dataDxfId="2184" dataCellStyle="Millares"/>
    <tableColumn id="4" name="Expensas" dataDxfId="2183" dataCellStyle="Millares"/>
    <tableColumn id="5" name="Agua" dataDxfId="2182" dataCellStyle="Millares"/>
    <tableColumn id="6" name="Multa" dataDxfId="2181" dataCellStyle="Millares"/>
    <tableColumn id="7" name="Total" dataDxfId="2180" dataCellStyle="Millares"/>
    <tableColumn id="8" name="Deuda" dataDxfId="2179" dataCellStyle="Millares"/>
    <tableColumn id="9" name="Pagado" dataDxfId="2178">
      <calculatedColumnFormula>IF(T_T134111213141516171819202122232425[[#This Row],[Total]]&lt;0,T_T134111213141516171819202122232425[[#This Row],[Total]]*-1,0)</calculatedColumnFormula>
    </tableColumn>
    <tableColumn id="10" name="Columna1" dataDxfId="2177"/>
    <tableColumn id="11" name="Columna2" dataDxfId="2176"/>
    <tableColumn id="12" name="Columna3" dataDxfId="2175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7" name="T_T134111213141516171819202122232425262728" displayName="T_T134111213141516171819202122232425262728" ref="A9:L41" totalsRowShown="0" headerRowDxfId="2174" dataDxfId="2172" headerRowBorderDxfId="2173" tableBorderDxfId="2171" totalsRowBorderDxfId="2170">
  <autoFilter ref="A9:L41"/>
  <tableColumns count="12">
    <tableColumn id="1" name="Fecha" dataDxfId="2169" totalsRowDxfId="2168"/>
    <tableColumn id="2" name="Concepto" dataDxfId="2167" totalsRowDxfId="2166"/>
    <tableColumn id="3" name="Recibo" dataDxfId="2165" totalsRowDxfId="2164" dataCellStyle="Millares"/>
    <tableColumn id="4" name="Expensas" dataDxfId="2163" totalsRowDxfId="2162" dataCellStyle="Millares"/>
    <tableColumn id="5" name="Agua" dataDxfId="2161" totalsRowDxfId="2160" dataCellStyle="Millares"/>
    <tableColumn id="6" name="Multa" dataDxfId="2159" totalsRowDxfId="2158" dataCellStyle="Millares"/>
    <tableColumn id="7" name="Total" dataDxfId="2157" totalsRowDxfId="2156" dataCellStyle="Millares"/>
    <tableColumn id="8" name="Deuda" dataDxfId="2155" totalsRowDxfId="2154" dataCellStyle="Millares"/>
    <tableColumn id="9" name="Pagado" dataDxfId="2153" totalsRowDxfId="2152">
      <calculatedColumnFormula>IF(T_T134111213141516171819202122232425262728[[#This Row],[Total]]&lt;0,T_T134111213141516171819202122232425262728[[#This Row],[Total]]*-1,0)</calculatedColumnFormula>
    </tableColumn>
    <tableColumn id="10" name="Columna1" dataDxfId="2151" totalsRowDxfId="2150" dataCellStyle="Millares"/>
    <tableColumn id="11" name="Columna2" dataDxfId="2149" totalsRowDxfId="2148"/>
    <tableColumn id="12" name="Columna3" dataDxfId="2147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8" name="T_T13411121314151617181920212223242526272829" displayName="T_T13411121314151617181920212223242526272829" ref="A9:I41" totalsRowShown="0" headerRowDxfId="2146" dataDxfId="2144" headerRowBorderDxfId="2145" tableBorderDxfId="2143" totalsRowBorderDxfId="2142">
  <autoFilter ref="A9:I41"/>
  <tableColumns count="9">
    <tableColumn id="1" name="Fecha" dataDxfId="2141"/>
    <tableColumn id="2" name="Concepto" dataDxfId="2140"/>
    <tableColumn id="3" name="Recibo" dataDxfId="2139" dataCellStyle="Millares"/>
    <tableColumn id="4" name="Expensas" dataDxfId="2138" dataCellStyle="Millares"/>
    <tableColumn id="5" name="Agua" dataDxfId="2137" dataCellStyle="Millares"/>
    <tableColumn id="6" name="Multa" dataDxfId="2136" dataCellStyle="Millares"/>
    <tableColumn id="7" name="Total" dataDxfId="2135" dataCellStyle="Millares"/>
    <tableColumn id="8" name="Deuda" dataDxfId="2134" dataCellStyle="Millares"/>
    <tableColumn id="9" name="Pagado" dataDxfId="2133">
      <calculatedColumnFormula>IF(T_T13411121314151617181920212223242526272829[[#This Row],[Total]]&lt;0,T_T13411121314151617181920212223242526272829[[#This Row],[Total]]*-1,0)</calculatedColumnFormula>
    </tableColumn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9" name="T_T1341112131415161718192021222324252627282930" displayName="T_T1341112131415161718192021222324252627282930" ref="A9:J41" totalsRowShown="0" headerRowDxfId="2132" dataDxfId="2130" headerRowBorderDxfId="2131" tableBorderDxfId="2129" totalsRowBorderDxfId="2128">
  <autoFilter ref="A9:J41"/>
  <tableColumns count="10">
    <tableColumn id="1" name="Fecha" dataDxfId="2127" totalsRowDxfId="2126"/>
    <tableColumn id="2" name="Concepto" dataDxfId="2125" totalsRowDxfId="2124"/>
    <tableColumn id="3" name="Recibo" dataDxfId="2123" totalsRowDxfId="2122" dataCellStyle="Millares"/>
    <tableColumn id="4" name="Expensas" dataDxfId="2121" totalsRowDxfId="2120" dataCellStyle="Millares"/>
    <tableColumn id="5" name="Agua" dataDxfId="2119" totalsRowDxfId="2118" dataCellStyle="Millares"/>
    <tableColumn id="6" name="Multa" dataDxfId="2117" totalsRowDxfId="2116" dataCellStyle="Millares"/>
    <tableColumn id="7" name="Total" dataDxfId="2115" totalsRowDxfId="2114" dataCellStyle="Millares"/>
    <tableColumn id="8" name="Deuda" dataDxfId="2113" totalsRowDxfId="2112" dataCellStyle="Millares"/>
    <tableColumn id="9" name="Pagado" dataDxfId="2111" totalsRowDxfId="2110">
      <calculatedColumnFormula>IF(T_T1341112131415161718192021222324252627282930[[#This Row],[Total]]&lt;0,T_T1341112131415161718192021222324252627282930[[#This Row],[Total]]*-1,0)</calculatedColumnFormula>
    </tableColumn>
    <tableColumn id="10" name="Columna1" dataDxfId="2109" totalsRowDxfId="2108" dataCellStyle="Millares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30" name="T_T134111213141516171819202122232425262728293031" displayName="T_T134111213141516171819202122232425262728293031" ref="A9:J41" totalsRowShown="0" headerRowDxfId="2107" dataDxfId="2105" headerRowBorderDxfId="2106" tableBorderDxfId="2104" totalsRowBorderDxfId="2103">
  <autoFilter ref="A9:J41"/>
  <tableColumns count="10">
    <tableColumn id="1" name="Fecha" dataDxfId="2102" totalsRowDxfId="2101"/>
    <tableColumn id="2" name="Concepto" dataDxfId="2100" totalsRowDxfId="2099"/>
    <tableColumn id="3" name="Recibo" dataDxfId="2098" totalsRowDxfId="2097" dataCellStyle="Millares"/>
    <tableColumn id="4" name="Expensas" dataDxfId="2096" totalsRowDxfId="2095" dataCellStyle="Millares"/>
    <tableColumn id="5" name="Agua" dataDxfId="2094" totalsRowDxfId="2093" dataCellStyle="Millares"/>
    <tableColumn id="6" name="Multa" dataDxfId="2092" totalsRowDxfId="2091" dataCellStyle="Millares"/>
    <tableColumn id="7" name="Total" dataDxfId="2090" totalsRowDxfId="2089" dataCellStyle="Millares"/>
    <tableColumn id="8" name="Deuda" dataDxfId="2088" totalsRowDxfId="2087" dataCellStyle="Millares"/>
    <tableColumn id="9" name="Pagado" dataDxfId="2086" totalsRowDxfId="2085">
      <calculatedColumnFormula>IF(T_T134111213141516171819202122232425262728293031[[#This Row],[Total]]&lt;0,T_T134111213141516171819202122232425262728293031[[#This Row],[Total]]*-1,0)</calculatedColumnFormula>
    </tableColumn>
    <tableColumn id="10" name="Columna1" dataDxfId="2084" totalsRowDxfId="2083" dataCellStyle="Millares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31" name="T_T13411121314151617181920212223242526272829303132" displayName="T_T13411121314151617181920212223242526272829303132" ref="A9:K41" totalsRowShown="0" headerRowDxfId="2082" dataDxfId="2080" headerRowBorderDxfId="2081" tableBorderDxfId="2079" totalsRowBorderDxfId="2078">
  <autoFilter ref="A9:K41"/>
  <tableColumns count="11">
    <tableColumn id="1" name="Fecha" dataDxfId="2077"/>
    <tableColumn id="2" name="Concepto" dataDxfId="2076"/>
    <tableColumn id="3" name="Recibo" dataDxfId="2075"/>
    <tableColumn id="4" name="Expensas" dataDxfId="2074"/>
    <tableColumn id="5" name="Agua" dataDxfId="2073"/>
    <tableColumn id="6" name="Multa" dataDxfId="2072"/>
    <tableColumn id="7" name="Total" dataDxfId="2071"/>
    <tableColumn id="8" name="Deuda" dataDxfId="2070"/>
    <tableColumn id="9" name="Pagado" dataDxfId="2069">
      <calculatedColumnFormula>IF(T_T13411121314151617181920212223242526272829303132[[#This Row],[Total]]&lt;0,T_T13411121314151617181920212223242526272829303132[[#This Row],[Total]]*-1,0)</calculatedColumnFormula>
    </tableColumn>
    <tableColumn id="10" name="Columna1" dataDxfId="2068"/>
    <tableColumn id="11" name="Columna2" dataDxfId="2067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2" name="T_T1341112131415161718192021222324252627282930313233" displayName="T_T1341112131415161718192021222324252627282930313233" ref="A9:J41" totalsRowShown="0" headerRowDxfId="2066" dataDxfId="2064" totalsRowDxfId="2062" headerRowBorderDxfId="2065" tableBorderDxfId="2063" totalsRowBorderDxfId="2061" totalsRowCellStyle="Millares">
  <autoFilter ref="A9:J41"/>
  <tableColumns count="10">
    <tableColumn id="1" name="Fecha" dataDxfId="2060" totalsRowDxfId="2059"/>
    <tableColumn id="2" name="Concepto" dataDxfId="2058" totalsRowDxfId="2057"/>
    <tableColumn id="3" name="Recibo" dataDxfId="2056" totalsRowDxfId="2055" dataCellStyle="Millares"/>
    <tableColumn id="4" name="Expensas" dataDxfId="2054" totalsRowDxfId="2053" dataCellStyle="Millares"/>
    <tableColumn id="5" name="Agua" dataDxfId="2052" totalsRowDxfId="2051" dataCellStyle="Millares"/>
    <tableColumn id="6" name="Multa" dataDxfId="2050" totalsRowDxfId="2049" dataCellStyle="Millares"/>
    <tableColumn id="7" name="Total" dataDxfId="2048" totalsRowDxfId="2047" dataCellStyle="Millares"/>
    <tableColumn id="8" name="Deuda" dataDxfId="2046" totalsRowDxfId="2045" dataCellStyle="Millares"/>
    <tableColumn id="9" name="Pagado" dataDxfId="2044" totalsRowDxfId="2043">
      <calculatedColumnFormula>IF(T_T1341112131415161718192021222324252627282930313233[[#This Row],[Total]]&lt;0,T_T1341112131415161718192021222324252627282930313233[[#This Row],[Total]]*-1,0)</calculatedColumnFormula>
    </tableColumn>
    <tableColumn id="10" name="Columna1" dataDxfId="2042" totalsRowDxfId="2041" dataCellStyle="Millares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4" name="T_T134111213141516171819202122232425262728293031323335" displayName="T_T134111213141516171819202122232425262728293031323335" ref="A9:J41" totalsRowCount="1" headerRowDxfId="2040" dataDxfId="2038" headerRowBorderDxfId="2039" tableBorderDxfId="2037" totalsRowBorderDxfId="2036">
  <autoFilter ref="A9:J40"/>
  <tableColumns count="10">
    <tableColumn id="1" name="Fecha" dataDxfId="2035" totalsRowDxfId="2034"/>
    <tableColumn id="2" name="Concepto" dataDxfId="2033" totalsRowDxfId="2032"/>
    <tableColumn id="3" name="Recibo" dataDxfId="2031" totalsRowDxfId="2030" dataCellStyle="Millares"/>
    <tableColumn id="4" name="Expensas" dataDxfId="2029" totalsRowDxfId="2028" dataCellStyle="Millares"/>
    <tableColumn id="5" name="Agua" dataDxfId="2027" totalsRowDxfId="2026" dataCellStyle="Millares"/>
    <tableColumn id="6" name="Multa" dataDxfId="2025" totalsRowDxfId="2024" dataCellStyle="Millares"/>
    <tableColumn id="7" name="Total" dataDxfId="2023" totalsRowDxfId="2022" dataCellStyle="Millares"/>
    <tableColumn id="8" name="Deuda" dataDxfId="2021" totalsRowDxfId="2020" dataCellStyle="Millares"/>
    <tableColumn id="9" name="Pagado" dataDxfId="2019" totalsRowDxfId="2018">
      <calculatedColumnFormula>IF(T_T134111213141516171819202122232425262728293031323335[[#This Row],[Total]]&lt;0,T_T134111213141516171819202122232425262728293031323335[[#This Row],[Total]]*-1,0)</calculatedColumnFormula>
    </tableColumn>
    <tableColumn id="10" name="Columna1" dataDxfId="2017" totalsRowDxfId="2016" dataCellStyle="Millares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5" name="T_T13411121314151617181920212223242526272829303132333536" displayName="T_T13411121314151617181920212223242526272829303132333536" ref="A9:K46" totalsRowCount="1" headerRowDxfId="2015" dataDxfId="2013" headerRowBorderDxfId="2014" tableBorderDxfId="2012" totalsRowBorderDxfId="2011">
  <autoFilter ref="A9:K45"/>
  <tableColumns count="11">
    <tableColumn id="1" name="Fecha" dataDxfId="2010" totalsRowDxfId="2009"/>
    <tableColumn id="2" name="Concepto" dataDxfId="2008" totalsRowDxfId="2007"/>
    <tableColumn id="3" name="Recibo" dataDxfId="2006" totalsRowDxfId="2005"/>
    <tableColumn id="4" name="Expensas" dataDxfId="2004" totalsRowDxfId="2003"/>
    <tableColumn id="5" name="Agua" dataDxfId="2002" totalsRowDxfId="2001" dataCellStyle="Millares"/>
    <tableColumn id="6" name="Multa" dataDxfId="2000" totalsRowDxfId="1999"/>
    <tableColumn id="7" name="Total" dataDxfId="1998" totalsRowDxfId="1997" dataCellStyle="Millares">
      <calculatedColumnFormula>SUM(D10:F10)</calculatedColumnFormula>
    </tableColumn>
    <tableColumn id="8" name="Deuda" dataDxfId="1996" totalsRowDxfId="1995">
      <calculatedColumnFormula>H9+G10</calculatedColumnFormula>
    </tableColumn>
    <tableColumn id="9" name="Pagado" dataDxfId="1994" totalsRowDxfId="1993">
      <calculatedColumnFormula>IF(T_T13411121314151617181920212223242526272829303132333536[[#This Row],[Total]]&lt;0,T_T13411121314151617181920212223242526272829303132333536[[#This Row],[Total]]*-1,0)</calculatedColumnFormula>
    </tableColumn>
    <tableColumn id="10" name="Columna1" dataDxfId="1992" totalsRowDxfId="1991"/>
    <tableColumn id="11" name="Columna2" dataDxfId="1990" totalsRowDxfId="1989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6" name="T_T1341112131415161718192021222324252627282930313233353637" displayName="T_T1341112131415161718192021222324252627282930313233353637" ref="A9:J41" totalsRowCount="1" headerRowDxfId="1988" dataDxfId="1986" headerRowBorderDxfId="1987" tableBorderDxfId="1985" totalsRowBorderDxfId="1984">
  <autoFilter ref="A9:J40"/>
  <tableColumns count="10">
    <tableColumn id="1" name="Fecha" dataDxfId="1983" totalsRowDxfId="1982"/>
    <tableColumn id="2" name="Concepto" dataDxfId="1981" totalsRowDxfId="1980"/>
    <tableColumn id="3" name="Recibo" dataDxfId="1979" totalsRowDxfId="1978" dataCellStyle="Millares"/>
    <tableColumn id="4" name="Expensas" dataDxfId="1977" totalsRowDxfId="1976" dataCellStyle="Millares"/>
    <tableColumn id="5" name="Agua" dataDxfId="1975" totalsRowDxfId="1974" dataCellStyle="Millares"/>
    <tableColumn id="6" name="Multa" dataDxfId="1973" totalsRowDxfId="1972" dataCellStyle="Millares"/>
    <tableColumn id="7" name="Total" dataDxfId="1971" totalsRowDxfId="1970" dataCellStyle="Millares"/>
    <tableColumn id="8" name="Deuda" dataDxfId="1969" totalsRowDxfId="1968" dataCellStyle="Millares"/>
    <tableColumn id="9" name="Pagado" dataDxfId="1967" totalsRowDxfId="1966">
      <calculatedColumnFormula>IF(T_T1341112131415161718192021222324252627282930313233353637[[#This Row],[Total]]&lt;0,T_T1341112131415161718192021222324252627282930313233353637[[#This Row],[Total]]*-1,0)</calculatedColumnFormula>
    </tableColumn>
    <tableColumn id="10" name="Columna1" dataDxfId="1965" totalsRowDxfId="1964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7" name="T_T134111213141516171819202122232425262728293031323335363738" displayName="T_T134111213141516171819202122232425262728293031323335363738" ref="A9:L48" totalsRowCount="1" headerRowDxfId="1963" dataDxfId="1961" headerRowBorderDxfId="1962" tableBorderDxfId="1960" totalsRowBorderDxfId="1959">
  <autoFilter ref="A9:L47"/>
  <tableColumns count="12">
    <tableColumn id="1" name="Fecha" dataDxfId="1958" totalsRowDxfId="1957"/>
    <tableColumn id="2" name="Concepto" dataDxfId="1956" totalsRowDxfId="1955"/>
    <tableColumn id="3" name="Recibo" dataDxfId="1954" totalsRowDxfId="1953" dataCellStyle="Millares"/>
    <tableColumn id="4" name="Expensas" dataDxfId="1952" totalsRowDxfId="1951" dataCellStyle="Millares"/>
    <tableColumn id="5" name="Agua" dataDxfId="1950" totalsRowDxfId="1949" dataCellStyle="Millares"/>
    <tableColumn id="6" name="Multa" dataDxfId="1948" totalsRowDxfId="1947" dataCellStyle="Millares"/>
    <tableColumn id="7" name="Total" dataDxfId="1946" totalsRowDxfId="1945" dataCellStyle="Millares">
      <calculatedColumnFormula>SUM(D10:F10)</calculatedColumnFormula>
    </tableColumn>
    <tableColumn id="8" name="Deuda" dataDxfId="1944" totalsRowDxfId="1943" dataCellStyle="Millares">
      <calculatedColumnFormula>H9+G10</calculatedColumnFormula>
    </tableColumn>
    <tableColumn id="9" name="Pagado" dataDxfId="1942" totalsRowDxfId="1941">
      <calculatedColumnFormula>IF(T_T134111213141516171819202122232425262728293031323335363738[[#This Row],[Total]]&lt;0,T_T134111213141516171819202122232425262728293031323335363738[[#This Row],[Total]]*-1,0)</calculatedColumnFormula>
    </tableColumn>
    <tableColumn id="10" name="Columna1" dataDxfId="1940" totalsRowDxfId="1939" dataCellStyle="Millares"/>
    <tableColumn id="11" name="Columna2" dataDxfId="1938" totalsRowDxfId="1937"/>
    <tableColumn id="12" name="Columna3" dataDxfId="1936" totalsRowDxfId="1935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139" name="T_T134111213141516171819202122232425262728293031323335363738140" displayName="T_T134111213141516171819202122232425262728293031323335363738140" ref="A71:L79" totalsRowShown="0" headerRowDxfId="1934" dataDxfId="1932" headerRowBorderDxfId="1933" tableBorderDxfId="1931" totalsRowBorderDxfId="1930">
  <autoFilter ref="A71:L79"/>
  <tableColumns count="12">
    <tableColumn id="1" name="Columna1" dataDxfId="1929" totalsRowDxfId="1928"/>
    <tableColumn id="2" name="Columna2" dataDxfId="1927" totalsRowDxfId="1926"/>
    <tableColumn id="3" name="Columna4" dataDxfId="1925" totalsRowDxfId="1924" dataCellStyle="Millares"/>
    <tableColumn id="4" name="Columna5" dataDxfId="1923" totalsRowDxfId="1922" dataCellStyle="Millares"/>
    <tableColumn id="5" name="Columna6" dataDxfId="1921" totalsRowDxfId="1920" dataCellStyle="Millares"/>
    <tableColumn id="6" name="Columna7" dataDxfId="1919" totalsRowDxfId="1918" dataCellStyle="Millares"/>
    <tableColumn id="7" name="Columna8" dataDxfId="1917" totalsRowDxfId="1916" dataCellStyle="Millares"/>
    <tableColumn id="8" name="Columna9" dataDxfId="1915" totalsRowDxfId="1914" dataCellStyle="Millares"/>
    <tableColumn id="9" name="Columna10" dataDxfId="1913" totalsRowDxfId="1912" dataCellStyle="Millares"/>
    <tableColumn id="10" name="Columna11" dataDxfId="1911" totalsRowDxfId="1910" dataCellStyle="Millares"/>
    <tableColumn id="11" name="Columna12" dataDxfId="1909" totalsRowDxfId="1908"/>
    <tableColumn id="12" name="Columna3" dataDxfId="1907" totalsRowDxfId="1906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8" name="T_T13411121314151617181920212223242526272829303132333536373839" displayName="T_T13411121314151617181920212223242526272829303132333536373839" ref="A9:I41" totalsRowCount="1" headerRowDxfId="1905" dataDxfId="1903" headerRowBorderDxfId="1904" tableBorderDxfId="1902" totalsRowBorderDxfId="1901">
  <autoFilter ref="A9:I40"/>
  <tableColumns count="9">
    <tableColumn id="1" name="Fecha" dataDxfId="1900" totalsRowDxfId="1899"/>
    <tableColumn id="2" name="Concepto" dataDxfId="1898" totalsRowDxfId="1897"/>
    <tableColumn id="3" name="Recibo" dataDxfId="1896" totalsRowDxfId="1895" dataCellStyle="Millares"/>
    <tableColumn id="4" name="Expensas" dataDxfId="1894" totalsRowDxfId="1893" dataCellStyle="Millares"/>
    <tableColumn id="5" name="Agua" dataDxfId="1892" totalsRowDxfId="1891" dataCellStyle="Millares"/>
    <tableColumn id="6" name="Multa" dataDxfId="1890" totalsRowDxfId="1889" dataCellStyle="Millares"/>
    <tableColumn id="7" name="Total" dataDxfId="1888" totalsRowDxfId="1887" dataCellStyle="Millares"/>
    <tableColumn id="8" name="Deuda" dataDxfId="1886" totalsRowDxfId="1885" dataCellStyle="Millares"/>
    <tableColumn id="9" name="Pagado" dataDxfId="1884" totalsRowDxfId="1883">
      <calculatedColumnFormula>IF(T_T13411121314151617181920212223242526272829303132333536373839[[#This Row],[Total]]&lt;0,T_T13411121314151617181920212223242526272829303132333536373839[[#This Row],[Total]]*-1,0)</calculatedColumnFormula>
    </tableColumn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9" name="T_T1341112131415161718192021222324252627282930313233353637383940" displayName="T_T1341112131415161718192021222324252627282930313233353637383940" ref="A9:K42" totalsRowCount="1" headerRowDxfId="1882" dataDxfId="1880" headerRowBorderDxfId="1881" tableBorderDxfId="1879" totalsRowBorderDxfId="1878">
  <autoFilter ref="A9:K41"/>
  <tableColumns count="11">
    <tableColumn id="1" name="Fecha" dataDxfId="1877" totalsRowDxfId="1876"/>
    <tableColumn id="2" name="Concepto" dataDxfId="1875" totalsRowDxfId="1874"/>
    <tableColumn id="3" name="Recibo" dataDxfId="1873" totalsRowDxfId="1872" dataCellStyle="Millares"/>
    <tableColumn id="4" name="Expensas" dataDxfId="1871" totalsRowDxfId="1870" dataCellStyle="Millares"/>
    <tableColumn id="5" name="Agua" dataDxfId="1869" totalsRowDxfId="1868" dataCellStyle="Millares"/>
    <tableColumn id="6" name="Multa" dataDxfId="1867" totalsRowDxfId="1866" dataCellStyle="Millares"/>
    <tableColumn id="7" name="Total" totalsRowFunction="custom" dataDxfId="1865" totalsRowDxfId="1864" dataCellStyle="Millares">
      <totalsRowFormula>SUM(D41:F49)</totalsRowFormula>
    </tableColumn>
    <tableColumn id="8" name="Deuda" totalsRowFunction="custom" dataDxfId="1863" totalsRowDxfId="1862" dataCellStyle="Millares">
      <totalsRowFormula>H39+G42</totalsRowFormula>
    </tableColumn>
    <tableColumn id="9" name="Pagado" dataDxfId="1861" totalsRowDxfId="1860">
      <calculatedColumnFormula>IF(T_T1341112131415161718192021222324252627282930313233353637383940[[#This Row],[Total]]&lt;0,T_T1341112131415161718192021222324252627282930313233353637383940[[#This Row],[Total]]*-1,0)</calculatedColumnFormula>
    </tableColumn>
    <tableColumn id="10" name="Columna1" dataDxfId="1859" totalsRowDxfId="1858"/>
    <tableColumn id="11" name="Columna2" dataDxfId="1857" totalsRowDxfId="1856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40" name="T_T134111213141516171819202122232425262728293031323335363738394041" displayName="T_T134111213141516171819202122232425262728293031323335363738394041" ref="A9:I41" totalsRowCount="1" headerRowDxfId="1855" dataDxfId="1853" headerRowBorderDxfId="1854" tableBorderDxfId="1852" totalsRowBorderDxfId="1851">
  <autoFilter ref="A9:I40"/>
  <tableColumns count="9">
    <tableColumn id="1" name="Fecha" dataDxfId="1850" totalsRowDxfId="1849"/>
    <tableColumn id="2" name="Concepto" dataDxfId="1848" totalsRowDxfId="1847"/>
    <tableColumn id="3" name="Recibo" dataDxfId="1846" totalsRowDxfId="1845" dataCellStyle="Millares"/>
    <tableColumn id="4" name="Expensas" dataDxfId="1844" totalsRowDxfId="1843" dataCellStyle="Millares"/>
    <tableColumn id="5" name="Agua" dataDxfId="1842" totalsRowDxfId="1841" dataCellStyle="Millares"/>
    <tableColumn id="6" name="Multa" dataDxfId="1840" totalsRowDxfId="1839" dataCellStyle="Millares"/>
    <tableColumn id="7" name="Total" dataDxfId="1838" totalsRowDxfId="1837" dataCellStyle="Millares"/>
    <tableColumn id="8" name="Deuda" dataDxfId="1836" totalsRowDxfId="1835" dataCellStyle="Millares"/>
    <tableColumn id="9" name="Pagado" dataDxfId="1834" totalsRowDxfId="1833">
      <calculatedColumnFormula>IF(T_T134111213141516171819202122232425262728293031323335363738394041[[#This Row],[Total]]&lt;0,T_T134111213141516171819202122232425262728293031323335363738394041[[#This Row],[Total]]*-1,0)</calculatedColumnFormula>
    </tableColumn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41" name="T_T13411121314151617181920212223242526272829303132333536373839404142" displayName="T_T13411121314151617181920212223242526272829303132333536373839404142" ref="A9:J41" totalsRowShown="0" headerRowDxfId="1832" dataDxfId="1830" headerRowBorderDxfId="1831" tableBorderDxfId="1829" totalsRowBorderDxfId="1828">
  <autoFilter ref="A9:J41"/>
  <tableColumns count="10">
    <tableColumn id="1" name="Fecha" dataDxfId="1827"/>
    <tableColumn id="2" name="Concepto" dataDxfId="1826"/>
    <tableColumn id="3" name="Recibo" dataDxfId="1825" dataCellStyle="Millares"/>
    <tableColumn id="4" name="Expensas" dataDxfId="1824" dataCellStyle="Millares"/>
    <tableColumn id="5" name="Agua" dataDxfId="1823" dataCellStyle="Millares"/>
    <tableColumn id="6" name="Multa" dataDxfId="1822" dataCellStyle="Millares"/>
    <tableColumn id="7" name="Total" dataDxfId="1821" dataCellStyle="Millares"/>
    <tableColumn id="8" name="Deuda" dataDxfId="1820" dataCellStyle="Millares"/>
    <tableColumn id="9" name="Pagado" dataDxfId="1819">
      <calculatedColumnFormula>IF(T_T13411121314151617181920212223242526272829303132333536373839404142[[#This Row],[Total]]&lt;0,T_T13411121314151617181920212223242526272829303132333536373839404142[[#This Row],[Total]]*-1,0)</calculatedColumnFormula>
    </tableColumn>
    <tableColumn id="10" name="Columna1" dataDxfId="1818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2" name="T_T1341112131415161718192021222324252627282930313233353637383940414243" displayName="T_T1341112131415161718192021222324252627282930313233353637383940414243" ref="A9:M41" totalsRowCount="1" headerRowDxfId="1817" dataDxfId="1815" headerRowBorderDxfId="1816" tableBorderDxfId="1814" totalsRowBorderDxfId="1813">
  <autoFilter ref="A9:M40"/>
  <tableColumns count="13">
    <tableColumn id="1" name="Fecha" dataDxfId="1812" totalsRowDxfId="1811"/>
    <tableColumn id="2" name="Concepto" dataDxfId="1810" totalsRowDxfId="1809"/>
    <tableColumn id="3" name="Recibo" dataDxfId="1808" totalsRowDxfId="1807" dataCellStyle="Millares"/>
    <tableColumn id="4" name="Expensas" dataDxfId="1806" totalsRowDxfId="1805" dataCellStyle="Millares"/>
    <tableColumn id="5" name="Agua" dataDxfId="1804" totalsRowDxfId="1803" dataCellStyle="Millares"/>
    <tableColumn id="6" name="Multa" dataDxfId="1802" totalsRowDxfId="1801" dataCellStyle="Millares"/>
    <tableColumn id="7" name="Total" dataDxfId="1800" totalsRowDxfId="1799" dataCellStyle="Millares"/>
    <tableColumn id="8" name="Deuda" dataDxfId="1798" totalsRowDxfId="1797" dataCellStyle="Millares"/>
    <tableColumn id="9" name="Pagado" dataDxfId="1796" totalsRowDxfId="1795">
      <calculatedColumnFormula>IF(T_T1341112131415161718192021222324252627282930313233353637383940414243[[#This Row],[Total]]&lt;0,T_T1341112131415161718192021222324252627282930313233353637383940414243[[#This Row],[Total]]*-1,0)</calculatedColumnFormula>
    </tableColumn>
    <tableColumn id="10" name="Columna1" dataDxfId="1794" totalsRowDxfId="1793" dataCellStyle="Millares"/>
    <tableColumn id="11" name="Columna2" dataDxfId="1792" totalsRowDxfId="1791"/>
    <tableColumn id="12" name="Columna3" dataDxfId="1790" totalsRowDxfId="1789"/>
    <tableColumn id="13" name="Columna4" dataDxfId="1788" totalsRowDxfId="1787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3" name="T_T134111213141516171819202122232425262728293031323335363738394041424344" displayName="T_T134111213141516171819202122232425262728293031323335363738394041424344" ref="A9:J97" totalsRowCount="1" headerRowDxfId="1786" dataDxfId="1784" headerRowBorderDxfId="1785" tableBorderDxfId="1783" totalsRowBorderDxfId="1782">
  <autoFilter ref="A9:J96"/>
  <tableColumns count="10">
    <tableColumn id="1" name="Fecha" dataDxfId="1781" totalsRowDxfId="1780"/>
    <tableColumn id="2" name="Concepto" dataDxfId="1779" totalsRowDxfId="1778"/>
    <tableColumn id="3" name="Recibo" dataDxfId="1777" totalsRowDxfId="1776" dataCellStyle="Millares"/>
    <tableColumn id="4" name="Expensas" dataDxfId="1775" totalsRowDxfId="1774" dataCellStyle="Millares"/>
    <tableColumn id="5" name="Agua" dataDxfId="1773" totalsRowDxfId="1772" dataCellStyle="Millares"/>
    <tableColumn id="6" name="Multa" dataDxfId="1771" totalsRowDxfId="1770" dataCellStyle="Millares"/>
    <tableColumn id="7" name="Total" dataDxfId="1769" totalsRowDxfId="1768" dataCellStyle="Millares"/>
    <tableColumn id="8" name="Deuda" dataDxfId="1767" totalsRowDxfId="1766" dataCellStyle="Millares"/>
    <tableColumn id="9" name="Pagado" dataDxfId="1765" totalsRowDxfId="1764"/>
    <tableColumn id="10" name="Columna1" dataDxfId="1763" totalsRowDxfId="1762" dataCellStyle="Millares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4" name="T_T13411121314151617181920212223242526272829303132333536373839404142434445" displayName="T_T13411121314151617181920212223242526272829303132333536373839404142434445" ref="A9:J47" totalsRowCount="1" headerRowDxfId="1761" dataDxfId="1759" headerRowBorderDxfId="1760" tableBorderDxfId="1758" totalsRowBorderDxfId="1757">
  <autoFilter ref="A9:J46"/>
  <tableColumns count="10">
    <tableColumn id="1" name="Fecha" dataDxfId="1756" totalsRowDxfId="1755"/>
    <tableColumn id="2" name="Concepto" dataDxfId="1754" totalsRowDxfId="1753"/>
    <tableColumn id="3" name="Recibo" dataDxfId="1752" totalsRowDxfId="1751" dataCellStyle="Millares"/>
    <tableColumn id="4" name="Expensas" dataDxfId="1750" totalsRowDxfId="1749" dataCellStyle="Millares"/>
    <tableColumn id="5" name="Agua" dataDxfId="1748" totalsRowDxfId="1747" dataCellStyle="Millares"/>
    <tableColumn id="6" name="Multa" dataDxfId="1746" totalsRowDxfId="1745" dataCellStyle="Millares"/>
    <tableColumn id="7" name="Total" dataDxfId="1744" totalsRowDxfId="1743" dataCellStyle="Millares"/>
    <tableColumn id="8" name="Deuda" dataDxfId="1742" totalsRowDxfId="1741" dataCellStyle="Millares"/>
    <tableColumn id="9" name="Pagado" dataDxfId="1740" totalsRowDxfId="1739">
      <calculatedColumnFormula>IF(T_T13411121314151617181920212223242526272829303132333536373839404142434445[[#This Row],[Total]]&lt;0,T_T13411121314151617181920212223242526272829303132333536373839404142434445[[#This Row],[Total]]*-1,0)</calculatedColumnFormula>
    </tableColumn>
    <tableColumn id="10" name="Columna1" dataDxfId="1738" totalsRowDxfId="1737" dataCellStyle="Millares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5" name="T_T1341112131415161718192021222324252627282930313233353637383940414243444546" displayName="T_T1341112131415161718192021222324252627282930313233353637383940414243444546" ref="A9:L45" totalsRowCount="1" headerRowDxfId="1736" dataDxfId="1734" headerRowBorderDxfId="1735" tableBorderDxfId="1733" totalsRowBorderDxfId="1732">
  <autoFilter ref="A9:L44"/>
  <tableColumns count="12">
    <tableColumn id="1" name="Fecha" dataDxfId="1731" totalsRowDxfId="1730"/>
    <tableColumn id="2" name="Concepto" dataDxfId="1729" totalsRowDxfId="1728"/>
    <tableColumn id="3" name="Recibo" dataDxfId="1727" totalsRowDxfId="1726" dataCellStyle="Millares"/>
    <tableColumn id="4" name="Expensas" dataDxfId="1725" totalsRowDxfId="1724" dataCellStyle="Millares"/>
    <tableColumn id="5" name="Agua" dataDxfId="1723" totalsRowDxfId="1722" dataCellStyle="Millares"/>
    <tableColumn id="6" name="Multa" dataDxfId="1721" totalsRowDxfId="1720" dataCellStyle="Millares"/>
    <tableColumn id="7" name="Total" dataDxfId="1719" totalsRowDxfId="1718" dataCellStyle="Millares"/>
    <tableColumn id="8" name="Deuda" dataDxfId="1717" totalsRowDxfId="1716" dataCellStyle="Millares"/>
    <tableColumn id="9" name="Pagado" dataDxfId="1715" totalsRowDxfId="1714">
      <calculatedColumnFormula>IF(T_T1341112131415161718192021222324252627282930313233353637383940414243444546[[#This Row],[Total]]&lt;0,T_T1341112131415161718192021222324252627282930313233353637383940414243444546[[#This Row],[Total]]*-1,0)</calculatedColumnFormula>
    </tableColumn>
    <tableColumn id="10" name="Columna1" dataDxfId="1713" totalsRowDxfId="1712"/>
    <tableColumn id="11" name="Columna2" dataDxfId="1711" totalsRowDxfId="1710"/>
    <tableColumn id="12" name="Columna3" dataDxfId="1709" totalsRowDxfId="1708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6" name="T_T134111213141516171819202122232425262728293031323335363738394041424344454647" displayName="T_T134111213141516171819202122232425262728293031323335363738394041424344454647" ref="A9:K44" totalsRowShown="0" headerRowDxfId="1707" dataDxfId="1705" headerRowBorderDxfId="1706" tableBorderDxfId="1704" totalsRowBorderDxfId="1703">
  <autoFilter ref="A9:K44"/>
  <tableColumns count="11">
    <tableColumn id="1" name="Fecha" dataDxfId="1702"/>
    <tableColumn id="2" name="Concepto" dataDxfId="1701"/>
    <tableColumn id="3" name="Recibo" dataDxfId="1700" dataCellStyle="Millares"/>
    <tableColumn id="4" name="Expensas" dataDxfId="1699" dataCellStyle="Millares"/>
    <tableColumn id="5" name="Agua" dataDxfId="1698" dataCellStyle="Millares"/>
    <tableColumn id="6" name="Multa" dataDxfId="1697" dataCellStyle="Millares"/>
    <tableColumn id="7" name="Total" dataDxfId="1696" dataCellStyle="Millares"/>
    <tableColumn id="8" name="Deuda" dataDxfId="1695" dataCellStyle="Millares"/>
    <tableColumn id="9" name="Pagado" dataDxfId="1694">
      <calculatedColumnFormula>IF(T_T134111213141516171819202122232425262728293031323335363738394041424344454647[[#This Row],[Total]]&lt;0,T_T134111213141516171819202122232425262728293031323335363738394041424344454647[[#This Row],[Total]]*-1,0)</calculatedColumnFormula>
    </tableColumn>
    <tableColumn id="10" name="Columna1" dataDxfId="1693"/>
    <tableColumn id="11" name="Columna2" dataDxfId="1692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7" name="T_T13411121314151617181920212223242526272829303132333536373839404142434445464748" displayName="T_T13411121314151617181920212223242526272829303132333536373839404142434445464748" ref="A9:J41" totalsRowCount="1" headerRowDxfId="1691" dataDxfId="1689" headerRowBorderDxfId="1690" tableBorderDxfId="1688" totalsRowBorderDxfId="1687">
  <autoFilter ref="A9:J40"/>
  <tableColumns count="10">
    <tableColumn id="1" name="Fecha" dataDxfId="1686" totalsRowDxfId="1685"/>
    <tableColumn id="2" name="Concepto" dataDxfId="1684" totalsRowDxfId="1683"/>
    <tableColumn id="3" name="Recibo" dataDxfId="1682" totalsRowDxfId="1681" dataCellStyle="Millares"/>
    <tableColumn id="4" name="Expensas" dataDxfId="1680" totalsRowDxfId="1679" dataCellStyle="Millares"/>
    <tableColumn id="5" name="Agua" dataDxfId="1678" totalsRowDxfId="1677" dataCellStyle="Millares"/>
    <tableColumn id="6" name="Multa" dataDxfId="1676" totalsRowDxfId="1675" dataCellStyle="Millares"/>
    <tableColumn id="7" name="Total" dataDxfId="1674" totalsRowDxfId="1673" dataCellStyle="Millares"/>
    <tableColumn id="8" name="Deuda" dataDxfId="1672" totalsRowDxfId="1671" dataCellStyle="Millares"/>
    <tableColumn id="9" name="Pagado" dataDxfId="1670" totalsRowDxfId="1669">
      <calculatedColumnFormula>IF(T_T13411121314151617181920212223242526272829303132333536373839404142434445464748[[#This Row],[Total]]&lt;0,T_T13411121314151617181920212223242526272829303132333536373839404142434445464748[[#This Row],[Total]]*-1,0)</calculatedColumnFormula>
    </tableColumn>
    <tableColumn id="10" name="Columna1" dataDxfId="1668" totalsRowDxfId="1667" dataCellStyle="Millares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8" name="T_T1341112131415161718192021222324252627282930313233353637383940414243444546474849" displayName="T_T1341112131415161718192021222324252627282930313233353637383940414243444546474849" ref="A9:K43" totalsRowCount="1" headerRowDxfId="1666" dataDxfId="1664" headerRowBorderDxfId="1665" tableBorderDxfId="1663" totalsRowBorderDxfId="1662">
  <autoFilter ref="A9:K42"/>
  <tableColumns count="11">
    <tableColumn id="1" name="Fecha" dataDxfId="1661" totalsRowDxfId="1660"/>
    <tableColumn id="2" name="Concepto" dataDxfId="1659" totalsRowDxfId="1658"/>
    <tableColumn id="3" name="Recibo" dataDxfId="1657" totalsRowDxfId="1656" dataCellStyle="Millares"/>
    <tableColumn id="4" name="Expensas" dataDxfId="1655" totalsRowDxfId="1654" dataCellStyle="Millares"/>
    <tableColumn id="5" name="Agua" dataDxfId="1653" totalsRowDxfId="1652" dataCellStyle="Millares"/>
    <tableColumn id="6" name="Multa" dataDxfId="1651" totalsRowDxfId="1650" dataCellStyle="Millares"/>
    <tableColumn id="7" name="Total" dataDxfId="1649" totalsRowDxfId="1648" dataCellStyle="Millares"/>
    <tableColumn id="8" name="Deuda" dataDxfId="1647" totalsRowDxfId="1646" dataCellStyle="Millares"/>
    <tableColumn id="9" name="Pagado" dataDxfId="1645" totalsRowDxfId="1644">
      <calculatedColumnFormula>IF(T_T1341112131415161718192021222324252627282930313233353637383940414243444546474849[[#This Row],[Total]]&lt;0,T_T1341112131415161718192021222324252627282930313233353637383940414243444546474849[[#This Row],[Total]]*-1,0)</calculatedColumnFormula>
    </tableColumn>
    <tableColumn id="10" name="Columna1" dataDxfId="1643" totalsRowDxfId="1642" dataCellStyle="Millares"/>
    <tableColumn id="11" name="Columna2" dataDxfId="1641" totalsRowDxfId="1640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9" name="T_T134111213141516171819202122232425262728293031323335363738394041424344454647484950" displayName="T_T134111213141516171819202122232425262728293031323335363738394041424344454647484950" ref="A9:J41" totalsRowCount="1" headerRowDxfId="1639" dataDxfId="1637" headerRowBorderDxfId="1638" tableBorderDxfId="1636" totalsRowBorderDxfId="1635">
  <autoFilter ref="A9:J40"/>
  <tableColumns count="10">
    <tableColumn id="1" name="Fecha" dataDxfId="1634" totalsRowDxfId="1633"/>
    <tableColumn id="2" name="Concepto" dataDxfId="1632" totalsRowDxfId="1631"/>
    <tableColumn id="3" name="Recibo" dataDxfId="1630" totalsRowDxfId="1629" dataCellStyle="Millares"/>
    <tableColumn id="4" name="Expensas" dataDxfId="1628" totalsRowDxfId="1627" dataCellStyle="Millares"/>
    <tableColumn id="5" name="Agua" dataDxfId="1626" totalsRowDxfId="1625" dataCellStyle="Millares"/>
    <tableColumn id="6" name="Multa" dataDxfId="1624" totalsRowDxfId="1623" dataCellStyle="Millares"/>
    <tableColumn id="7" name="Total" dataDxfId="1622" totalsRowDxfId="1621" dataCellStyle="Millares"/>
    <tableColumn id="8" name="Deuda" dataDxfId="1620" totalsRowDxfId="1619" dataCellStyle="Millares"/>
    <tableColumn id="9" name="Pagado" dataDxfId="1618" totalsRowDxfId="1617">
      <calculatedColumnFormula>IF(T_T134111213141516171819202122232425262728293031323335363738394041424344454647484950[[#This Row],[Total]]&lt;0,T_T134111213141516171819202122232425262728293031323335363738394041424344454647484950[[#This Row],[Total]]*-1,0)</calculatedColumnFormula>
    </tableColumn>
    <tableColumn id="10" name="Columna1" dataDxfId="1616" totalsRowDxfId="1615" dataCellStyle="Millares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50" name="T_T13411121314151617181920212223242526272829303132333536373839404142434445464748495051" displayName="T_T13411121314151617181920212223242526272829303132333536373839404142434445464748495051" ref="A9:I42" totalsRowCount="1" headerRowDxfId="1614" dataDxfId="1612" headerRowBorderDxfId="1613" tableBorderDxfId="1611" totalsRowBorderDxfId="1610">
  <autoFilter ref="A9:I41"/>
  <tableColumns count="9">
    <tableColumn id="1" name="Fecha" dataDxfId="1609" totalsRowDxfId="1608"/>
    <tableColumn id="2" name="Concepto" dataDxfId="1607" totalsRowDxfId="1606"/>
    <tableColumn id="3" name="Recibo" dataDxfId="1605" totalsRowDxfId="1604" dataCellStyle="Millares"/>
    <tableColumn id="4" name="Expensas" dataDxfId="1603" totalsRowDxfId="1602" dataCellStyle="Millares"/>
    <tableColumn id="5" name="Agua" dataDxfId="1601" totalsRowDxfId="1600" dataCellStyle="Millares"/>
    <tableColumn id="6" name="Multa" dataDxfId="1599" totalsRowDxfId="1598" dataCellStyle="Millares"/>
    <tableColumn id="7" name="Total" totalsRowFunction="custom" dataDxfId="1597" totalsRowDxfId="1596" dataCellStyle="Millares">
      <totalsRowFormula>SUM(D41:F49)</totalsRowFormula>
    </tableColumn>
    <tableColumn id="8" name="Deuda" totalsRowFunction="custom" dataDxfId="1595" totalsRowDxfId="1594" dataCellStyle="Millares">
      <totalsRowFormula>H39+G42</totalsRowFormula>
    </tableColumn>
    <tableColumn id="9" name="Pagado" dataDxfId="1593" totalsRowDxfId="1592">
      <calculatedColumnFormula>IF(T_T13411121314151617181920212223242526272829303132333536373839404142434445464748495051[[#This Row],[Total]]&lt;0,T_T13411121314151617181920212223242526272829303132333536373839404142434445464748495051[[#This Row],[Total]]*-1,0)</calculatedColumnFormula>
    </tableColumn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51" name="T_T1341112131415161718192021222324252627282930313233353637383940414243444546474849505152" displayName="T_T1341112131415161718192021222324252627282930313233353637383940414243444546474849505152" ref="A9:I43" totalsRowCount="1" headerRowDxfId="1591" dataDxfId="1589" headerRowBorderDxfId="1590" tableBorderDxfId="1588" totalsRowBorderDxfId="1587">
  <autoFilter ref="A9:I42"/>
  <tableColumns count="9">
    <tableColumn id="1" name="Fecha" dataDxfId="1586" totalsRowDxfId="1585"/>
    <tableColumn id="2" name="Concepto" dataDxfId="1584" totalsRowDxfId="1583"/>
    <tableColumn id="3" name="Recibo" dataDxfId="1582" totalsRowDxfId="1581" dataCellStyle="Millares"/>
    <tableColumn id="4" name="Expensas" dataDxfId="1580" totalsRowDxfId="1579" dataCellStyle="Millares"/>
    <tableColumn id="5" name="Agua" dataDxfId="1578" totalsRowDxfId="1577" dataCellStyle="Millares"/>
    <tableColumn id="6" name="Multa" dataDxfId="1576" totalsRowDxfId="1575" dataCellStyle="Millares"/>
    <tableColumn id="7" name="Total" dataDxfId="1574" totalsRowDxfId="1573" dataCellStyle="Millares"/>
    <tableColumn id="8" name="Deuda" dataDxfId="1572" totalsRowDxfId="1571" dataCellStyle="Millares"/>
    <tableColumn id="9" name="Pagado" dataDxfId="1570" totalsRowDxfId="1569">
      <calculatedColumnFormula>IF(T_T1341112131415161718192021222324252627282930313233353637383940414243444546474849505152[[#This Row],[Total]]&lt;0,T_T1341112131415161718192021222324252627282930313233353637383940414243444546474849505152[[#This Row],[Total]]*-1,0)</calculatedColumnFormula>
    </tableColumn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2" name="T_T134111213141516171819202122232425262728293031323335363738394041424344454647484950515253" displayName="T_T134111213141516171819202122232425262728293031323335363738394041424344454647484950515253" ref="A9:I41" totalsRowCount="1" headerRowDxfId="1568" dataDxfId="1566" headerRowBorderDxfId="1567" tableBorderDxfId="1565" totalsRowBorderDxfId="1564">
  <autoFilter ref="A9:I40"/>
  <tableColumns count="9">
    <tableColumn id="1" name="Fecha" dataDxfId="1563" totalsRowDxfId="1562"/>
    <tableColumn id="2" name="Concepto" dataDxfId="1561" totalsRowDxfId="1560"/>
    <tableColumn id="3" name="Recibo" dataDxfId="1559" totalsRowDxfId="1558" dataCellStyle="Millares"/>
    <tableColumn id="4" name="Expensas" dataDxfId="1557" totalsRowDxfId="1556" dataCellStyle="Millares"/>
    <tableColumn id="5" name="Agua" dataDxfId="1555" totalsRowDxfId="1554" dataCellStyle="Millares"/>
    <tableColumn id="6" name="Multa" dataDxfId="1553" totalsRowDxfId="1552" dataCellStyle="Millares"/>
    <tableColumn id="7" name="Total" dataDxfId="1551" totalsRowDxfId="1550" dataCellStyle="Millares"/>
    <tableColumn id="8" name="Deuda" dataDxfId="1549" totalsRowDxfId="1548" dataCellStyle="Millares"/>
    <tableColumn id="9" name="Pagado" dataDxfId="1547" totalsRowDxfId="1546">
      <calculatedColumnFormula>IF(T_T134111213141516171819202122232425262728293031323335363738394041424344454647484950515253[[#This Row],[Total]]&lt;0,T_T134111213141516171819202122232425262728293031323335363738394041424344454647484950515253[[#This Row],[Total]]*-1,0)</calculatedColumnFormula>
    </tableColumn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53" name="T_T13411121314151617181920212223242526272829303132333536373839404142434445464748495051525354" displayName="T_T13411121314151617181920212223242526272829303132333536373839404142434445464748495051525354" ref="A9:I41" totalsRowCount="1" headerRowDxfId="1545" dataDxfId="1543" headerRowBorderDxfId="1544" tableBorderDxfId="1542" totalsRowBorderDxfId="1541">
  <autoFilter ref="A9:I40"/>
  <tableColumns count="9">
    <tableColumn id="1" name="Fecha" dataDxfId="1540" totalsRowDxfId="1539"/>
    <tableColumn id="2" name="Concepto" totalsRowLabel="mes de febrero 2026" dataDxfId="1538" totalsRowDxfId="1537"/>
    <tableColumn id="3" name="Recibo" dataDxfId="1536" totalsRowDxfId="1535" dataCellStyle="Millares"/>
    <tableColumn id="4" name="Expensas" dataDxfId="1534" totalsRowDxfId="1533" dataCellStyle="Millares"/>
    <tableColumn id="5" name="Agua" dataDxfId="1532" totalsRowDxfId="1531" dataCellStyle="Millares"/>
    <tableColumn id="6" name="Multa" dataDxfId="1530" totalsRowDxfId="1529" dataCellStyle="Millares"/>
    <tableColumn id="7" name="Total" dataDxfId="1528" totalsRowDxfId="1527" dataCellStyle="Millares"/>
    <tableColumn id="8" name="Deuda" dataDxfId="1526" totalsRowDxfId="1525" dataCellStyle="Millares"/>
    <tableColumn id="9" name="Pagado" dataDxfId="1524" totalsRowDxfId="1523">
      <calculatedColumnFormula>IF(T_T13411121314151617181920212223242526272829303132333536373839404142434445464748495051525354[[#This Row],[Total]]&lt;0,T_T13411121314151617181920212223242526272829303132333536373839404142434445464748495051525354[[#This Row],[Total]]*-1,0)</calculatedColumnFormula>
    </tableColumn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54" name="T_T1341112131415161718192021222324252627282930313233353637383940414243444546474849505152535455" displayName="T_T1341112131415161718192021222324252627282930313233353637383940414243444546474849505152535455" ref="A9:I46" totalsRowShown="0" headerRowDxfId="1522" dataDxfId="1520" headerRowBorderDxfId="1521" tableBorderDxfId="1519" totalsRowBorderDxfId="1518">
  <autoFilter ref="A9:I46"/>
  <tableColumns count="9">
    <tableColumn id="1" name="Fecha" dataDxfId="1517"/>
    <tableColumn id="2" name="Concepto" dataDxfId="1516"/>
    <tableColumn id="3" name="Recibo" dataDxfId="1515" dataCellStyle="Millares"/>
    <tableColumn id="4" name="Expensas" dataDxfId="1514" dataCellStyle="Millares"/>
    <tableColumn id="5" name="Agua" dataDxfId="1513" dataCellStyle="Millares"/>
    <tableColumn id="6" name="Multa" dataDxfId="1512" dataCellStyle="Millares"/>
    <tableColumn id="7" name="Total" dataDxfId="1511" dataCellStyle="Millares"/>
    <tableColumn id="8" name="Deuda" dataDxfId="1510" dataCellStyle="Millares"/>
    <tableColumn id="9" name="Pagado" dataDxfId="1509">
      <calculatedColumnFormula>IF(T_T1341112131415161718192021222324252627282930313233353637383940414243444546474849505152535455[[#This Row],[Total]]&lt;0,T_T1341112131415161718192021222324252627282930313233353637383940414243444546474849505152535455[[#This Row],[Total]]*-1,0)</calculatedColumnFormula>
    </tableColumn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id="55" name="T_T134111213141516171819202122232425262728293031323335363738394041424344454647484950515253545556" displayName="T_T134111213141516171819202122232425262728293031323335363738394041424344454647484950515253545556" ref="A9:I41" totalsRowCount="1" headerRowDxfId="1508" dataDxfId="1506" headerRowBorderDxfId="1507" tableBorderDxfId="1505" totalsRowBorderDxfId="1504">
  <autoFilter ref="A9:I40"/>
  <tableColumns count="9">
    <tableColumn id="1" name="Fecha" dataDxfId="1503" totalsRowDxfId="1502"/>
    <tableColumn id="2" name="Concepto" dataDxfId="1501" totalsRowDxfId="1500"/>
    <tableColumn id="3" name="Recibo" dataDxfId="1499" totalsRowDxfId="1498" dataCellStyle="Millares"/>
    <tableColumn id="4" name="Expensas" dataDxfId="1497" totalsRowDxfId="1496" dataCellStyle="Millares"/>
    <tableColumn id="5" name="Agua" dataDxfId="1495" totalsRowDxfId="1494" dataCellStyle="Millares"/>
    <tableColumn id="6" name="Multa" dataDxfId="1493" totalsRowDxfId="1492" dataCellStyle="Millares"/>
    <tableColumn id="7" name="Total" dataDxfId="1491" totalsRowDxfId="1490" dataCellStyle="Millares"/>
    <tableColumn id="8" name="Deuda" dataDxfId="1489" totalsRowDxfId="1488" dataCellStyle="Millares"/>
    <tableColumn id="9" name="Pagado" dataDxfId="1487" totalsRowDxfId="1486">
      <calculatedColumnFormula>IF(T_T134111213141516171819202122232425262728293031323335363738394041424344454647484950515253545556[[#This Row],[Total]]&lt;0,T_T134111213141516171819202122232425262728293031323335363738394041424344454647484950515253545556[[#This Row],[Total]]*-1,0)</calculatedColumnFormula>
    </tableColumn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id="56" name="T_T13411121314151617181920212223242526272829303132333536373839404142434445464748495051525354555657" displayName="T_T13411121314151617181920212223242526272829303132333536373839404142434445464748495051525354555657" ref="A9:J110" totalsRowShown="0" headerRowDxfId="1485" dataDxfId="1483" headerRowBorderDxfId="1484" tableBorderDxfId="1482" totalsRowBorderDxfId="1481">
  <autoFilter ref="A9:J110"/>
  <tableColumns count="10">
    <tableColumn id="1" name="Fecha" dataDxfId="1480"/>
    <tableColumn id="2" name="Concepto" dataDxfId="1479"/>
    <tableColumn id="3" name="Recibo" dataDxfId="1478"/>
    <tableColumn id="4" name="Expensas" dataDxfId="1477"/>
    <tableColumn id="5" name="Agua" dataDxfId="1476"/>
    <tableColumn id="6" name="Multa" dataDxfId="1475"/>
    <tableColumn id="7" name="Total" dataDxfId="1474">
      <calculatedColumnFormula>SUM(D10:F10)</calculatedColumnFormula>
    </tableColumn>
    <tableColumn id="8" name="Deuda" dataDxfId="1473">
      <calculatedColumnFormula>H9+G10</calculatedColumnFormula>
    </tableColumn>
    <tableColumn id="9" name="Pagado" dataDxfId="1472">
      <calculatedColumnFormula>IF(T_T13411121314151617181920212223242526272829303132333536373839404142434445464748495051525354555657[[#This Row],[Total]]&lt;0,T_T13411121314151617181920212223242526272829303132333536373839404142434445464748495051525354555657[[#This Row],[Total]]*-1,0)</calculatedColumnFormula>
    </tableColumn>
    <tableColumn id="10" name="Columna1" dataDxfId="1471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id="57" name="T_T1341112131415161718192021222324252627282930313233353637383940414243444546474849505152535455565758" displayName="T_T1341112131415161718192021222324252627282930313233353637383940414243444546474849505152535455565758" ref="A9:I41" totalsRowCount="1" headerRowDxfId="1470" dataDxfId="1468" headerRowBorderDxfId="1469" tableBorderDxfId="1467" totalsRowBorderDxfId="1466">
  <autoFilter ref="A9:I40"/>
  <tableColumns count="9">
    <tableColumn id="1" name="Fecha" dataDxfId="1465" totalsRowDxfId="1464"/>
    <tableColumn id="2" name="Concepto" dataDxfId="1463" totalsRowDxfId="1462"/>
    <tableColumn id="3" name="Recibo" dataDxfId="1461" totalsRowDxfId="1460" dataCellStyle="Millares"/>
    <tableColumn id="4" name="Expensas" dataDxfId="1459" totalsRowDxfId="1458" dataCellStyle="Millares"/>
    <tableColumn id="5" name="Agua" dataDxfId="1457" totalsRowDxfId="1456" dataCellStyle="Millares"/>
    <tableColumn id="6" name="Multa" dataDxfId="1455" totalsRowDxfId="1454" dataCellStyle="Millares"/>
    <tableColumn id="7" name="Total" dataDxfId="1453" totalsRowDxfId="1452" dataCellStyle="Millares"/>
    <tableColumn id="8" name="Deuda" dataDxfId="1451" totalsRowDxfId="1450" dataCellStyle="Millares"/>
    <tableColumn id="9" name="Pagado" dataDxfId="1449" totalsRowDxfId="1448">
      <calculatedColumnFormula>IF(T_T1341112131415161718192021222324252627282930313233353637383940414243444546474849505152535455565758[[#This Row],[Total]]&lt;0,T_T1341112131415161718192021222324252627282930313233353637383940414243444546474849505152535455565758[[#This Row],[Total]]*-1,0)</calculatedColumnFormula>
    </tableColumn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id="58" name="T_T134111213141516171819202122232425262728293031323335363738394041424344454647484950515253545556575859" displayName="T_T134111213141516171819202122232425262728293031323335363738394041424344454647484950515253545556575859" ref="A9:M42" totalsRowCount="1" headerRowDxfId="1447" dataDxfId="1445" headerRowBorderDxfId="1446" tableBorderDxfId="1444" totalsRowBorderDxfId="1443">
  <autoFilter ref="A9:M41"/>
  <tableColumns count="13">
    <tableColumn id="1" name="Fecha" dataDxfId="1442" totalsRowDxfId="1441"/>
    <tableColumn id="2" name="Concepto" totalsRowDxfId="1440"/>
    <tableColumn id="3" name="Recibo" dataDxfId="1439" totalsRowDxfId="1438" dataCellStyle="Millares"/>
    <tableColumn id="4" name="Expensas" dataDxfId="1437" totalsRowDxfId="1436" dataCellStyle="Millares"/>
    <tableColumn id="5" name="Agua" dataDxfId="1435" totalsRowDxfId="1434" dataCellStyle="Millares"/>
    <tableColumn id="6" name="Multa" dataDxfId="1433" totalsRowDxfId="1432" dataCellStyle="Millares"/>
    <tableColumn id="7" name="Total" totalsRowFunction="custom" dataDxfId="1431" totalsRowDxfId="1430" dataCellStyle="Millares">
      <totalsRowFormula>SUM(D42:F49)</totalsRowFormula>
    </tableColumn>
    <tableColumn id="8" name="Deuda" totalsRowFunction="custom" dataDxfId="1429" totalsRowDxfId="1428" dataCellStyle="Millares">
      <totalsRowFormula>H41+G42</totalsRowFormula>
    </tableColumn>
    <tableColumn id="9" name="Pagado" dataDxfId="1427" totalsRowDxfId="1426">
      <calculatedColumnFormula>IF(T_T134111213141516171819202122232425262728293031323335363738394041424344454647484950515253545556575859[[#This Row],[Total]]&lt;0,T_T134111213141516171819202122232425262728293031323335363738394041424344454647484950515253545556575859[[#This Row],[Total]]*-1,0)</calculatedColumnFormula>
    </tableColumn>
    <tableColumn id="10" name="Columna1" dataDxfId="1425" totalsRowDxfId="1424"/>
    <tableColumn id="11" name="Columna2" dataDxfId="1423" totalsRowDxfId="1422"/>
    <tableColumn id="12" name="Columna3" dataDxfId="1421" totalsRowDxfId="1420"/>
    <tableColumn id="13" name="Columna4" dataDxfId="1419" totalsRowDxfId="1418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id="59" name="T_T13411121314151617181920212223242526272829303132333536373839404142434445464748495051525354555657585960" displayName="T_T13411121314151617181920212223242526272829303132333536373839404142434445464748495051525354555657585960" ref="A9:J41" totalsRowCount="1" headerRowDxfId="1417" dataDxfId="1415" headerRowBorderDxfId="1416" tableBorderDxfId="1414" totalsRowBorderDxfId="1413">
  <autoFilter ref="A9:J40"/>
  <tableColumns count="10">
    <tableColumn id="1" name="Fecha" dataDxfId="1412" totalsRowDxfId="1411"/>
    <tableColumn id="2" name="Concepto" dataDxfId="1410" totalsRowDxfId="1409"/>
    <tableColumn id="3" name="Recibo" dataDxfId="1408" totalsRowDxfId="1407" dataCellStyle="Millares"/>
    <tableColumn id="4" name="Expensas" dataDxfId="1406" totalsRowDxfId="1405" dataCellStyle="Millares"/>
    <tableColumn id="5" name="Agua" dataDxfId="1404" totalsRowDxfId="1403" dataCellStyle="Millares"/>
    <tableColumn id="6" name="Multa" dataDxfId="1402" totalsRowDxfId="1401" dataCellStyle="Millares"/>
    <tableColumn id="7" name="Total" dataDxfId="1400" totalsRowDxfId="1399" dataCellStyle="Millares"/>
    <tableColumn id="8" name="Deuda" dataDxfId="1398" totalsRowDxfId="1397" dataCellStyle="Millares"/>
    <tableColumn id="9" name="Pagado" dataDxfId="1396" totalsRowDxfId="1395">
      <calculatedColumnFormula>IF(T_T13411121314151617181920212223242526272829303132333536373839404142434445464748495051525354555657585960[[#This Row],[Total]]&lt;0,T_T13411121314151617181920212223242526272829303132333536373839404142434445464748495051525354555657585960[[#This Row],[Total]]*-1,0)</calculatedColumnFormula>
    </tableColumn>
    <tableColumn id="10" name="Columna1" dataDxfId="1394" totalsRowDxfId="1393" dataCellStyle="Millares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id="60" name="T_T1341112131415161718192021222324252627282930313233353637383940414243444546474849505152535455565758596061" displayName="T_T1341112131415161718192021222324252627282930313233353637383940414243444546474849505152535455565758596061" ref="A9:I41" totalsRowCount="1" headerRowDxfId="1392" dataDxfId="1390" headerRowBorderDxfId="1391" tableBorderDxfId="1389" totalsRowBorderDxfId="1388">
  <autoFilter ref="A9:I40"/>
  <tableColumns count="9">
    <tableColumn id="1" name="Fecha" dataDxfId="1387" totalsRowDxfId="1386"/>
    <tableColumn id="2" name="Concepto" dataDxfId="1385" totalsRowDxfId="1384"/>
    <tableColumn id="3" name="Recibo" dataDxfId="1383" totalsRowDxfId="1382" dataCellStyle="Millares"/>
    <tableColumn id="4" name="Expensas" dataDxfId="1381" totalsRowDxfId="1380" dataCellStyle="Millares"/>
    <tableColumn id="5" name="Agua" dataDxfId="1379" totalsRowDxfId="1378" dataCellStyle="Millares"/>
    <tableColumn id="6" name="Multa" dataDxfId="1377" totalsRowDxfId="1376" dataCellStyle="Millares"/>
    <tableColumn id="7" name="Total" dataDxfId="1375" totalsRowDxfId="1374" dataCellStyle="Millares"/>
    <tableColumn id="8" name="Deuda" dataDxfId="1373" totalsRowDxfId="1372" dataCellStyle="Millares"/>
    <tableColumn id="9" name="Pagado" dataDxfId="1371" totalsRowDxfId="1370">
      <calculatedColumnFormula>IF(T_T1341112131415161718192021222324252627282930313233353637383940414243444546474849505152535455565758596061[[#This Row],[Total]]&lt;0,T_T1341112131415161718192021222324252627282930313233353637383940414243444546474849505152535455565758596061[[#This Row],[Total]]*-1,0)</calculatedColumnFormula>
    </tableColumn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id="61" name="T_T134111213141516171819202122232425262728293031323335363738394041424344454647484950515253545556575859606162" displayName="T_T134111213141516171819202122232425262728293031323335363738394041424344454647484950515253545556575859606162" ref="A9:I41" totalsRowCount="1" headerRowDxfId="1369" dataDxfId="1367" headerRowBorderDxfId="1368" tableBorderDxfId="1366" totalsRowBorderDxfId="1365">
  <autoFilter ref="A9:I40"/>
  <tableColumns count="9">
    <tableColumn id="1" name="Fecha" dataDxfId="1364" totalsRowDxfId="1363"/>
    <tableColumn id="2" name="Concepto" dataDxfId="1362" totalsRowDxfId="1361"/>
    <tableColumn id="3" name="Recibo" dataDxfId="1360" totalsRowDxfId="1359" dataCellStyle="Millares"/>
    <tableColumn id="4" name="Expensas" dataDxfId="1358" totalsRowDxfId="1357" dataCellStyle="Millares"/>
    <tableColumn id="5" name="Agua" dataDxfId="1356" totalsRowDxfId="1355" dataCellStyle="Millares"/>
    <tableColumn id="6" name="Multa" dataDxfId="1354" totalsRowDxfId="1353" dataCellStyle="Millares"/>
    <tableColumn id="7" name="Total" dataDxfId="1352" totalsRowDxfId="1351" dataCellStyle="Millares"/>
    <tableColumn id="8" name="Deuda" dataDxfId="1350" totalsRowDxfId="1349" dataCellStyle="Millares"/>
    <tableColumn id="9" name="Pagado" dataDxfId="1348" totalsRowDxfId="1347">
      <calculatedColumnFormula>IF(T_T134111213141516171819202122232425262728293031323335363738394041424344454647484950515253545556575859606162[[#This Row],[Total]]&lt;0,T_T134111213141516171819202122232425262728293031323335363738394041424344454647484950515253545556575859606162[[#This Row],[Total]]*-1,0)</calculatedColumnFormula>
    </tableColumn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id="62" name="T_T13411121314151617181920212223242526272829303132333536373839404142434445464748495051525354555657585960616263" displayName="T_T13411121314151617181920212223242526272829303132333536373839404142434445464748495051525354555657585960616263" ref="A9:I60" totalsRowShown="0" headerRowDxfId="1346" dataDxfId="1344" headerRowBorderDxfId="1345" tableBorderDxfId="1343" totalsRowBorderDxfId="1342">
  <autoFilter ref="A9:I60"/>
  <tableColumns count="9">
    <tableColumn id="1" name="Fecha" dataDxfId="1341"/>
    <tableColumn id="2" name="Concepto" dataDxfId="1340"/>
    <tableColumn id="3" name="Recibo" dataDxfId="1339"/>
    <tableColumn id="4" name="Expensas" dataDxfId="1338"/>
    <tableColumn id="5" name="Agua" dataDxfId="1337"/>
    <tableColumn id="6" name="Multa" dataDxfId="1336"/>
    <tableColumn id="7" name="Total" dataDxfId="1335">
      <calculatedColumnFormula>SUM(D10:F10)</calculatedColumnFormula>
    </tableColumn>
    <tableColumn id="8" name="Deuda" dataDxfId="1334">
      <calculatedColumnFormula>H9+G10</calculatedColumnFormula>
    </tableColumn>
    <tableColumn id="9" name="Pagado" dataDxfId="1333">
      <calculatedColumnFormula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calculatedColumnFormula>
    </tableColumn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id="63" name="T_T1341112131415161718192021222324252627282930313233353637383940414243444546474849505152535455565758596061626364" displayName="T_T1341112131415161718192021222324252627282930313233353637383940414243444546474849505152535455565758596061626364" ref="A9:I41" totalsRowShown="0" headerRowDxfId="1332" dataDxfId="1330" headerRowBorderDxfId="1331" tableBorderDxfId="1329" totalsRowBorderDxfId="1328">
  <autoFilter ref="A9:I41"/>
  <tableColumns count="9">
    <tableColumn id="1" name="Fecha" dataDxfId="1327"/>
    <tableColumn id="2" name="Concepto" dataDxfId="1326"/>
    <tableColumn id="3" name="Recibo" dataDxfId="1325" dataCellStyle="Millares"/>
    <tableColumn id="4" name="Expensas" dataDxfId="1324" dataCellStyle="Millares"/>
    <tableColumn id="5" name="Agua" dataDxfId="1323" dataCellStyle="Millares"/>
    <tableColumn id="6" name="Multa" dataDxfId="1322" dataCellStyle="Millares"/>
    <tableColumn id="7" name="Total" dataDxfId="1321" dataCellStyle="Millares"/>
    <tableColumn id="8" name="Deuda" dataDxfId="1320" dataCellStyle="Millares"/>
    <tableColumn id="9" name="Pagado" dataDxfId="1319">
      <calculatedColumnFormula>IF(T_T1341112131415161718192021222324252627282930313233353637383940414243444546474849505152535455565758596061626364[[#This Row],[Total]]&lt;0,T_T1341112131415161718192021222324252627282930313233353637383940414243444546474849505152535455565758596061626364[[#This Row],[Total]]*-1,0)</calculatedColumnFormula>
    </tableColumn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id="64" name="T_T134111213141516171819202122232425262728293031323335363738394041424344454647484950515253545556575859606162636465" displayName="T_T134111213141516171819202122232425262728293031323335363738394041424344454647484950515253545556575859606162636465" ref="A9:J43" totalsRowCount="1" headerRowDxfId="1318" dataDxfId="1316" headerRowBorderDxfId="1317" tableBorderDxfId="1315" totalsRowBorderDxfId="1314">
  <autoFilter ref="A9:J42"/>
  <tableColumns count="10">
    <tableColumn id="1" name="Fecha" dataDxfId="1313" totalsRowDxfId="1312"/>
    <tableColumn id="2" name="Concepto" dataDxfId="1311" totalsRowDxfId="1310"/>
    <tableColumn id="3" name="Recibo" dataDxfId="1309" totalsRowDxfId="1308" dataCellStyle="Millares"/>
    <tableColumn id="4" name="Expensas" dataDxfId="1307" totalsRowDxfId="1306" dataCellStyle="Millares"/>
    <tableColumn id="5" name="Agua" dataDxfId="1305" totalsRowDxfId="1304" dataCellStyle="Millares"/>
    <tableColumn id="6" name="Multa" dataDxfId="1303" totalsRowDxfId="1302" dataCellStyle="Millares"/>
    <tableColumn id="7" name="Total" dataDxfId="1301" totalsRowDxfId="1300" dataCellStyle="Millares"/>
    <tableColumn id="8" name="Deuda" dataDxfId="1299" totalsRowDxfId="1298" dataCellStyle="Millares"/>
    <tableColumn id="9" name="Pagado" dataDxfId="1297" totalsRowDxfId="1296">
      <calculatedColumnFormula>IF(T_T134111213141516171819202122232425262728293031323335363738394041424344454647484950515253545556575859606162636465[[#This Row],[Total]]&lt;0,T_T134111213141516171819202122232425262728293031323335363738394041424344454647484950515253545556575859606162636465[[#This Row],[Total]]*-1,0)</calculatedColumnFormula>
    </tableColumn>
    <tableColumn id="10" name="Columna1" dataDxfId="1295" totalsRowDxfId="1294" dataCellStyle="Millares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id="65" name="T_T13411121314151617181920212223242526272829303132333536373839404142434445464748495051525354555657585960616263646566" displayName="T_T13411121314151617181920212223242526272829303132333536373839404142434445464748495051525354555657585960616263646566" ref="A9:I85" totalsRowShown="0" headerRowDxfId="1293" dataDxfId="1291" headerRowBorderDxfId="1292" tableBorderDxfId="1290" totalsRowBorderDxfId="1289">
  <autoFilter ref="A9:I85"/>
  <tableColumns count="9">
    <tableColumn id="1" name="Fecha" dataDxfId="1288"/>
    <tableColumn id="2" name="Concepto" dataDxfId="1287"/>
    <tableColumn id="3" name="Recibo" dataDxfId="1286"/>
    <tableColumn id="4" name="Expensas" dataDxfId="1285"/>
    <tableColumn id="5" name="Agua" dataDxfId="1284"/>
    <tableColumn id="6" name="Multa" dataDxfId="1283"/>
    <tableColumn id="7" name="Total" dataDxfId="1282">
      <calculatedColumnFormula>SUM(D10:F10)</calculatedColumnFormula>
    </tableColumn>
    <tableColumn id="8" name="Deuda" dataDxfId="1281">
      <calculatedColumnFormula>H9+G10</calculatedColumnFormula>
    </tableColumn>
    <tableColumn id="9" name="Pagado" dataDxfId="1280">
      <calculatedColumnFormula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calculatedColumnFormula>
    </tableColumn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id="66" name="T_T1341112131415161718192021222324252627282930313233353637383940414243444546474849505152535455565758596061626364656667" displayName="T_T1341112131415161718192021222324252627282930313233353637383940414243444546474849505152535455565758596061626364656667" ref="A9:I58" totalsRowShown="0" headerRowDxfId="1279" dataDxfId="1277" headerRowBorderDxfId="1278" tableBorderDxfId="1276" totalsRowBorderDxfId="1275">
  <autoFilter ref="A9:I58"/>
  <tableColumns count="9">
    <tableColumn id="1" name="Fecha" dataDxfId="1274"/>
    <tableColumn id="2" name="Concepto" dataDxfId="1273"/>
    <tableColumn id="3" name="Recibo" dataDxfId="1272"/>
    <tableColumn id="4" name="Expensas" dataDxfId="1271"/>
    <tableColumn id="5" name="Agua" dataDxfId="1270"/>
    <tableColumn id="6" name="Multa" dataDxfId="1269"/>
    <tableColumn id="7" name="Total" dataDxfId="1268">
      <calculatedColumnFormula>SUM(D10:F10)</calculatedColumnFormula>
    </tableColumn>
    <tableColumn id="8" name="Deuda" dataDxfId="1267">
      <calculatedColumnFormula>H9+G10</calculatedColumnFormula>
    </tableColumn>
    <tableColumn id="9" name="Pagado" dataDxfId="1266">
      <calculatedColumnFormula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calculatedColumnFormula>
    </tableColumn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id="67" name="T_T134111213141516171819202122232425262728293031323335363738394041424344454647484950515253545556575859606162636465666768" displayName="T_T134111213141516171819202122232425262728293031323335363738394041424344454647484950515253545556575859606162636465666768" ref="A9:J41" totalsRowCount="1" headerRowDxfId="1265" dataDxfId="1263" headerRowBorderDxfId="1264" tableBorderDxfId="1262" totalsRowBorderDxfId="1261">
  <autoFilter ref="A9:J40"/>
  <tableColumns count="10">
    <tableColumn id="1" name="Fecha" dataDxfId="1260" totalsRowDxfId="1259"/>
    <tableColumn id="2" name="Concepto" dataDxfId="1258" totalsRowDxfId="1257"/>
    <tableColumn id="3" name="Recibo" dataDxfId="1256" totalsRowDxfId="1255" dataCellStyle="Millares"/>
    <tableColumn id="4" name="Expensas" dataDxfId="1254" totalsRowDxfId="1253" dataCellStyle="Millares"/>
    <tableColumn id="5" name="Agua" dataDxfId="1252" totalsRowDxfId="1251" dataCellStyle="Millares"/>
    <tableColumn id="6" name="Multa" dataDxfId="1250" totalsRowDxfId="1249" dataCellStyle="Millares"/>
    <tableColumn id="7" name="Total" dataDxfId="1248" totalsRowDxfId="1247" dataCellStyle="Millares"/>
    <tableColumn id="8" name="Deuda" totalsRowFunction="custom" dataDxfId="1246" totalsRowDxfId="1245" dataCellStyle="Millares">
      <totalsRowFormula>OF.10E!H40+T_T134111213141516171819202122232425262728293031323335363738394041424344454647484950515253545556575859606162636465666768[[#This Row],[Total]]</totalsRowFormula>
    </tableColumn>
    <tableColumn id="9" name="Pagado" dataDxfId="1244" totalsRowDxfId="1243">
      <calculatedColumnFormula>IF(T_T134111213141516171819202122232425262728293031323335363738394041424344454647484950515253545556575859606162636465666768[[#This Row],[Total]]&lt;0,T_T134111213141516171819202122232425262728293031323335363738394041424344454647484950515253545556575859606162636465666768[[#This Row],[Total]]*-1,0)</calculatedColumnFormula>
    </tableColumn>
    <tableColumn id="10" name="Columna1" dataDxfId="1242" totalsRowDxfId="1241" dataCellStyle="Millares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id="68" name="T_T13411121314151617181920212223242526272829303132333536373839404142434445464748495051525354555657585960616263646566676869" displayName="T_T13411121314151617181920212223242526272829303132333536373839404142434445464748495051525354555657585960616263646566676869" ref="A8:I38" totalsRowShown="0" headerRowDxfId="1240" dataDxfId="1238" headerRowBorderDxfId="1239" tableBorderDxfId="1237" totalsRowBorderDxfId="1236">
  <autoFilter ref="A8:I38"/>
  <tableColumns count="9">
    <tableColumn id="1" name="Fecha" dataDxfId="1235"/>
    <tableColumn id="2" name="Concepto" dataDxfId="1234"/>
    <tableColumn id="3" name="Recibo" dataDxfId="1233" dataCellStyle="Millares"/>
    <tableColumn id="4" name="Expensas" dataDxfId="1232" dataCellStyle="Millares"/>
    <tableColumn id="5" name="Agua" dataDxfId="1231" dataCellStyle="Millares"/>
    <tableColumn id="6" name="Multa" dataDxfId="1230" dataCellStyle="Millares"/>
    <tableColumn id="7" name="Total" dataDxfId="1229" dataCellStyle="Millares"/>
    <tableColumn id="8" name="Deuda" dataDxfId="1228" dataCellStyle="Millares"/>
    <tableColumn id="9" name="Pagado" dataDxfId="1227">
      <calculatedColumnFormula>IF(T_T13411121314151617181920212223242526272829303132333536373839404142434445464748495051525354555657585960616263646566676869[[#This Row],[Total]]&lt;0,T_T13411121314151617181920212223242526272829303132333536373839404142434445464748495051525354555657585960616263646566676869[[#This Row],[Total]]*-1,0)</calculatedColumnFormula>
    </tableColumn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id="69" name="T_T1341112131415161718192021222324252627282930313233353637383940414243444546474849505152535455565758596061626364656667686970" displayName="T_T1341112131415161718192021222324252627282930313233353637383940414243444546474849505152535455565758596061626364656667686970" ref="A9:I87" totalsRowShown="0" headerRowDxfId="1226" dataDxfId="1224" headerRowBorderDxfId="1225" tableBorderDxfId="1223" totalsRowBorderDxfId="1222">
  <autoFilter ref="A9:I87"/>
  <tableColumns count="9">
    <tableColumn id="1" name="Fecha" dataDxfId="1221"/>
    <tableColumn id="2" name="Concepto" dataDxfId="1220"/>
    <tableColumn id="3" name="Recibo" dataDxfId="1219"/>
    <tableColumn id="4" name="Expensas" dataDxfId="1218"/>
    <tableColumn id="5" name="Agua" dataDxfId="1217"/>
    <tableColumn id="6" name="Multa" dataDxfId="1216"/>
    <tableColumn id="7" name="Total" dataDxfId="1215">
      <calculatedColumnFormula>SUM(D10:F10)</calculatedColumnFormula>
    </tableColumn>
    <tableColumn id="8" name="Deuda" dataDxfId="1214">
      <calculatedColumnFormula>H9+G10</calculatedColumnFormula>
    </tableColumn>
    <tableColumn id="9" name="Pagado" dataDxfId="1213">
      <calculatedColumnFormula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calculatedColumnFormula>
    </tableColumn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id="70" name="T_T134111213141516171819202122232425262728293031323335363738394041424344454647484950515253545556575859606162636465666768697071" displayName="T_T134111213141516171819202122232425262728293031323335363738394041424344454647484950515253545556575859606162636465666768697071" ref="A9:L41" totalsRowCount="1" headerRowDxfId="1212" dataDxfId="1210" headerRowBorderDxfId="1211" tableBorderDxfId="1209" totalsRowBorderDxfId="1208">
  <autoFilter ref="A9:L40"/>
  <tableColumns count="12">
    <tableColumn id="1" name="Fecha" dataDxfId="1207" totalsRowDxfId="1206"/>
    <tableColumn id="2" name="Concepto" dataDxfId="1205" totalsRowDxfId="1204"/>
    <tableColumn id="3" name="Recibo" dataDxfId="1203" totalsRowDxfId="1202" dataCellStyle="Millares"/>
    <tableColumn id="4" name="Expensas" dataDxfId="1201" totalsRowDxfId="1200" dataCellStyle="Millares"/>
    <tableColumn id="5" name="Agua" dataDxfId="1199" totalsRowDxfId="1198" dataCellStyle="Millares"/>
    <tableColumn id="6" name="Multa" dataDxfId="1197" totalsRowDxfId="1196" dataCellStyle="Millares"/>
    <tableColumn id="7" name="Total" dataDxfId="1195" totalsRowDxfId="1194" dataCellStyle="Millares"/>
    <tableColumn id="8" name="Deuda" dataDxfId="1193" totalsRowDxfId="1192" dataCellStyle="Millares"/>
    <tableColumn id="9" name="Pagado" dataDxfId="1191" totalsRowDxfId="1190">
      <calculatedColumnFormula>IF(T_T134111213141516171819202122232425262728293031323335363738394041424344454647484950515253545556575859606162636465666768697071[[#This Row],[Total]]&lt;0,T_T134111213141516171819202122232425262728293031323335363738394041424344454647484950515253545556575859606162636465666768697071[[#This Row],[Total]]*-1,0)</calculatedColumnFormula>
    </tableColumn>
    <tableColumn id="10" name="Columna1" dataDxfId="1189" totalsRowDxfId="1188"/>
    <tableColumn id="11" name="Columna2" totalsRowLabel="mas parqueo 46 del 12A desde julio " dataDxfId="1187" totalsRowDxfId="1186"/>
    <tableColumn id="12" name="Columna3" dataDxfId="1185" totalsRowDxfId="118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id="71" name="T_T13411121314151617181920212223242526272829303132333536373839404142434445464748495051525354555657585960616263646566676869707172" displayName="T_T13411121314151617181920212223242526272829303132333536373839404142434445464748495051525354555657585960616263646566676869707172" ref="A9:J40" totalsRowShown="0" headerRowDxfId="1183" dataDxfId="1181" headerRowBorderDxfId="1182" tableBorderDxfId="1180" totalsRowBorderDxfId="1179">
  <autoFilter ref="A9:J40"/>
  <tableColumns count="10">
    <tableColumn id="1" name="Fecha" dataDxfId="1178" totalsRowDxfId="1177"/>
    <tableColumn id="2" name="Concepto" dataDxfId="1176" totalsRowDxfId="1175"/>
    <tableColumn id="3" name="Recibo" dataDxfId="1174" totalsRowDxfId="1173" dataCellStyle="Millares"/>
    <tableColumn id="4" name="Expensas" dataDxfId="1172" totalsRowDxfId="1171" dataCellStyle="Millares"/>
    <tableColumn id="5" name="Agua" dataDxfId="1170" totalsRowDxfId="1169" dataCellStyle="Millares"/>
    <tableColumn id="6" name="Multa" dataDxfId="1168" totalsRowDxfId="1167" dataCellStyle="Millares"/>
    <tableColumn id="7" name="Total" dataDxfId="1166" totalsRowDxfId="1165" dataCellStyle="Millares"/>
    <tableColumn id="8" name="Deuda" dataDxfId="1164" totalsRowDxfId="1163" dataCellStyle="Millares"/>
    <tableColumn id="10" name="Columna1" dataDxfId="1162" totalsRowDxfId="1161"/>
    <tableColumn id="11" name="Columna2" dataDxfId="1160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id="72" name="T_T1341112131415161718192021222324252627282930313233353637383940414243444546474849505152535455565758596061626364656667686970717273" displayName="T_T1341112131415161718192021222324252627282930313233353637383940414243444546474849505152535455565758596061626364656667686970717273" ref="A9:I37" totalsRowCount="1" headerRowDxfId="1159" dataDxfId="1157" headerRowBorderDxfId="1158" tableBorderDxfId="1156" totalsRowBorderDxfId="1155">
  <autoFilter ref="A9:I36"/>
  <tableColumns count="9">
    <tableColumn id="1" name="Fecha" dataDxfId="1154" totalsRowDxfId="1153"/>
    <tableColumn id="2" name="Concepto" dataDxfId="1152" totalsRowDxfId="1151"/>
    <tableColumn id="3" name="Recibo" dataDxfId="1150" totalsRowDxfId="1149" dataCellStyle="Millares"/>
    <tableColumn id="4" name="Expensas" dataDxfId="1148" totalsRowDxfId="1147" dataCellStyle="Millares">
      <calculatedColumnFormula>187+26+12</calculatedColumnFormula>
    </tableColumn>
    <tableColumn id="5" name="Agua" dataDxfId="1146" totalsRowDxfId="1145" dataCellStyle="Millares"/>
    <tableColumn id="6" name="Multa" dataDxfId="1144" totalsRowDxfId="1143" dataCellStyle="Millares"/>
    <tableColumn id="7" name="Total" dataDxfId="1142" totalsRowDxfId="1141" dataCellStyle="Millares"/>
    <tableColumn id="8" name="Deuda" dataDxfId="1140" totalsRowDxfId="1139" dataCellStyle="Millares"/>
    <tableColumn id="9" name="Pagado" dataDxfId="1138" totalsRowDxfId="1137">
      <calculatedColumnFormula>IF(T_T1341112131415161718192021222324252627282930313233353637383940414243444546474849505152535455565758596061626364656667686970717273[[#This Row],[Total]]&lt;0,T_T1341112131415161718192021222324252627282930313233353637383940414243444546474849505152535455565758596061626364656667686970717273[[#This Row],[Total]]*-1,0)</calculatedColumnFormula>
    </tableColumn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id="73" name="T_T134111213141516171819202122232425262728293031323335363738394041424344454647484950515253545556575859606162636465666768697071727374" displayName="T_T134111213141516171819202122232425262728293031323335363738394041424344454647484950515253545556575859606162636465666768697071727374" ref="A9:I43" totalsRowCount="1" headerRowDxfId="1136" dataDxfId="1134" headerRowBorderDxfId="1135" tableBorderDxfId="1133" totalsRowBorderDxfId="1132">
  <autoFilter ref="A9:I42"/>
  <tableColumns count="9">
    <tableColumn id="1" name="Fecha" dataDxfId="1131" totalsRowDxfId="1130"/>
    <tableColumn id="2" name="Concepto" dataDxfId="1129" totalsRowDxfId="1128"/>
    <tableColumn id="3" name="Recibo" dataDxfId="1127" totalsRowDxfId="1126" dataCellStyle="Millares"/>
    <tableColumn id="4" name="Expensas" dataDxfId="1125" totalsRowDxfId="1124" dataCellStyle="Millares"/>
    <tableColumn id="5" name="Agua" dataDxfId="1123" totalsRowDxfId="1122" dataCellStyle="Millares"/>
    <tableColumn id="6" name="Multa" dataDxfId="1121" totalsRowDxfId="1120" dataCellStyle="Millares"/>
    <tableColumn id="7" name="Total" dataDxfId="1119" totalsRowDxfId="1118" dataCellStyle="Millares"/>
    <tableColumn id="8" name="Deuda" dataDxfId="1117" totalsRowDxfId="1116" dataCellStyle="Millares"/>
    <tableColumn id="9" name="Pagado" dataDxfId="1115" totalsRowDxfId="1114">
      <calculatedColumnFormula>IF(T_T134111213141516171819202122232425262728293031323335363738394041424344454647484950515253545556575859606162636465666768697071727374[[#This Row],[Total]]&lt;0,T_T134111213141516171819202122232425262728293031323335363738394041424344454647484950515253545556575859606162636465666768697071727374[[#This Row],[Total]]*-1,0)</calculatedColumnFormula>
    </tableColumn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id="74" name="T_T13411121314151617181920212223242526272829303132333536373839404142434445464748495051525354555657585960616263646566676869707172737475" displayName="T_T13411121314151617181920212223242526272829303132333536373839404142434445464748495051525354555657585960616263646566676869707172737475" ref="A9:K45" totalsRowCount="1" headerRowDxfId="1113" dataDxfId="1111" headerRowBorderDxfId="1112" tableBorderDxfId="1110" totalsRowBorderDxfId="1109">
  <autoFilter ref="A9:K44"/>
  <tableColumns count="11">
    <tableColumn id="1" name="Fecha" dataDxfId="1108" totalsRowDxfId="1107"/>
    <tableColumn id="2" name="Concepto" dataDxfId="1106" totalsRowDxfId="1105"/>
    <tableColumn id="3" name="Recibo" dataDxfId="1104" totalsRowDxfId="1103" dataCellStyle="Millares"/>
    <tableColumn id="4" name="Expensas" dataDxfId="1102" totalsRowDxfId="1101" dataCellStyle="Millares"/>
    <tableColumn id="5" name="Agua" dataDxfId="1100" totalsRowDxfId="1099" dataCellStyle="Millares"/>
    <tableColumn id="6" name="Multa" dataDxfId="1098" totalsRowDxfId="1097" dataCellStyle="Millares"/>
    <tableColumn id="7" name="Total" dataDxfId="1096" totalsRowDxfId="1095" dataCellStyle="Millares"/>
    <tableColumn id="8" name="Deuda" dataDxfId="1094" totalsRowDxfId="1093" dataCellStyle="Millares"/>
    <tableColumn id="9" name="Pagado" dataDxfId="1092" totalsRowDxfId="1091">
      <calculatedColumnFormula>IF(T_T13411121314151617181920212223242526272829303132333536373839404142434445464748495051525354555657585960616263646566676869707172737475[[#This Row],[Total]]&lt;0,T_T13411121314151617181920212223242526272829303132333536373839404142434445464748495051525354555657585960616263646566676869707172737475[[#This Row],[Total]]*-1,0)</calculatedColumnFormula>
    </tableColumn>
    <tableColumn id="10" name="Columna1" dataDxfId="1090" totalsRowDxfId="1089"/>
    <tableColumn id="11" name="Columna2" dataDxfId="1088" totalsRowDxfId="1087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id="75" name="T_T1341112131415161718192021222324252627282930313233353637383940414243444546474849505152535455565758596061626364656667686970717273747576" displayName="T_T1341112131415161718192021222324252627282930313233353637383940414243444546474849505152535455565758596061626364656667686970717273747576" ref="A9:L45" totalsRowShown="0" headerRowDxfId="1086" dataDxfId="1084" headerRowBorderDxfId="1085" tableBorderDxfId="1083" totalsRowBorderDxfId="1082">
  <autoFilter ref="A9:L45"/>
  <tableColumns count="12">
    <tableColumn id="1" name="Fecha" dataDxfId="1081"/>
    <tableColumn id="2" name="Concepto" dataDxfId="1080"/>
    <tableColumn id="3" name="Recibo" dataDxfId="1079"/>
    <tableColumn id="4" name="Expensas" dataDxfId="1078"/>
    <tableColumn id="5" name="Agua" dataDxfId="1077"/>
    <tableColumn id="6" name="Multa" dataDxfId="1076"/>
    <tableColumn id="7" name="Total" dataDxfId="1075">
      <calculatedColumnFormula>SUM(D10:F10)</calculatedColumnFormula>
    </tableColumn>
    <tableColumn id="8" name="Deuda" dataDxfId="1074">
      <calculatedColumnFormula>H9+G10</calculatedColumnFormula>
    </tableColumn>
    <tableColumn id="9" name="Pagado" dataDxfId="1073">
      <calculatedColumnFormula>IF(T_T1341112131415161718192021222324252627282930313233353637383940414243444546474849505152535455565758596061626364656667686970717273747576[[#This Row],[Total]]&lt;0,T_T1341112131415161718192021222324252627282930313233353637383940414243444546474849505152535455565758596061626364656667686970717273747576[[#This Row],[Total]]*-1,0)</calculatedColumnFormula>
    </tableColumn>
    <tableColumn id="10" name="Columna1" dataDxfId="1072"/>
    <tableColumn id="11" name="Columna2" dataDxfId="1071"/>
    <tableColumn id="12" name="Columna3" dataDxfId="1070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id="76" name="T_T134111213141516171819202122232425262728293031323335363738394041424344454647484950515253545556575859606162636465666768697071727374757677" displayName="T_T134111213141516171819202122232425262728293031323335363738394041424344454647484950515253545556575859606162636465666768697071727374757677" ref="A9:L41" totalsRowCount="1" headerRowDxfId="1069" dataDxfId="1067" headerRowBorderDxfId="1068" tableBorderDxfId="1066" totalsRowBorderDxfId="1065">
  <autoFilter ref="A9:L40"/>
  <tableColumns count="12">
    <tableColumn id="1" name="Fecha" dataDxfId="1064" totalsRowDxfId="1063"/>
    <tableColumn id="2" name="Concepto" dataDxfId="1062" totalsRowDxfId="1061"/>
    <tableColumn id="3" name="Recibo" dataDxfId="1060" totalsRowDxfId="1059" dataCellStyle="Millares"/>
    <tableColumn id="4" name="Expensas" dataDxfId="1058" totalsRowDxfId="1057" dataCellStyle="Millares"/>
    <tableColumn id="5" name="Agua" dataDxfId="1056" totalsRowDxfId="1055" dataCellStyle="Millares"/>
    <tableColumn id="6" name="Multa" dataDxfId="1054" totalsRowDxfId="1053" dataCellStyle="Millares"/>
    <tableColumn id="7" name="Total" dataDxfId="1052" totalsRowDxfId="1051" dataCellStyle="Millares"/>
    <tableColumn id="8" name="Deuda" dataDxfId="1050" totalsRowDxfId="1049" dataCellStyle="Millares"/>
    <tableColumn id="9" name="Pagado" dataDxfId="1048" totalsRowDxfId="1047">
      <calculatedColumnFormula>IF(T_T134111213141516171819202122232425262728293031323335363738394041424344454647484950515253545556575859606162636465666768697071727374757677[[#This Row],[Total]]&lt;0,T_T134111213141516171819202122232425262728293031323335363738394041424344454647484950515253545556575859606162636465666768697071727374757677[[#This Row],[Total]]*-1,0)</calculatedColumnFormula>
    </tableColumn>
    <tableColumn id="10" name="Columna1" dataDxfId="1046" totalsRowDxfId="1045" dataCellStyle="Millares"/>
    <tableColumn id="11" name="Columna2" dataDxfId="1044" totalsRowDxfId="1043"/>
    <tableColumn id="12" name="Columna3" dataDxfId="1042" totalsRowDxfId="104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id="77" name="T_T13411121314151617181920212223242526272829303132333536373839404142434445464748495051525354555657585960616263646566676869707172737475767778" displayName="T_T13411121314151617181920212223242526272829303132333536373839404142434445464748495051525354555657585960616263646566676869707172737475767778" ref="A9:J41" totalsRowCount="1" headerRowDxfId="1040" dataDxfId="1038" headerRowBorderDxfId="1039" tableBorderDxfId="1037" totalsRowBorderDxfId="1036">
  <autoFilter ref="A9:J40"/>
  <tableColumns count="10">
    <tableColumn id="1" name="Fecha" dataDxfId="1035" totalsRowDxfId="1034"/>
    <tableColumn id="2" name="Concepto" dataDxfId="1033" totalsRowDxfId="1032"/>
    <tableColumn id="3" name="Recibo" dataDxfId="1031" totalsRowDxfId="1030" dataCellStyle="Millares"/>
    <tableColumn id="4" name="Expensas" dataDxfId="1029" totalsRowDxfId="1028" dataCellStyle="Millares"/>
    <tableColumn id="5" name="Agua" dataDxfId="1027" totalsRowDxfId="1026" dataCellStyle="Millares"/>
    <tableColumn id="6" name="Multa" dataDxfId="1025" totalsRowDxfId="1024" dataCellStyle="Millares"/>
    <tableColumn id="7" name="Total" dataDxfId="1023" totalsRowDxfId="1022" dataCellStyle="Millares"/>
    <tableColumn id="8" name="Deuda" dataDxfId="1021" totalsRowDxfId="1020" dataCellStyle="Millares"/>
    <tableColumn id="9" name="Pagado" dataDxfId="1019" totalsRowDxfId="1018">
      <calculatedColumnFormula>IF(T_T13411121314151617181920212223242526272829303132333536373839404142434445464748495051525354555657585960616263646566676869707172737475767778[[#This Row],[Total]]&lt;0,T_T13411121314151617181920212223242526272829303132333536373839404142434445464748495051525354555657585960616263646566676869707172737475767778[[#This Row],[Total]]*-1,0)</calculatedColumnFormula>
    </tableColumn>
    <tableColumn id="10" name="Columna1" dataDxfId="1017" totalsRowDxfId="1016" dataCellStyle="Millares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id="78" name="T_T1341112131415161718192021222324252627282930313233353637383940414243444546474849505152535455565758596061626364656667686970717273747576777879" displayName="T_T1341112131415161718192021222324252627282930313233353637383940414243444546474849505152535455565758596061626364656667686970717273747576777879" ref="A9:J41" totalsRowCount="1" headerRowDxfId="1015" dataDxfId="1013" headerRowBorderDxfId="1014" tableBorderDxfId="1012" totalsRowBorderDxfId="1011">
  <autoFilter ref="A9:J40"/>
  <tableColumns count="10">
    <tableColumn id="1" name="Fecha" dataDxfId="1010" totalsRowDxfId="1009"/>
    <tableColumn id="2" name="Concepto" dataDxfId="1008" totalsRowDxfId="1007"/>
    <tableColumn id="3" name="Recibo" dataDxfId="1006" totalsRowDxfId="1005" dataCellStyle="Millares"/>
    <tableColumn id="4" name="Expensas" dataDxfId="1004" totalsRowDxfId="1003" dataCellStyle="Millares"/>
    <tableColumn id="5" name="Agua" dataDxfId="1002" totalsRowDxfId="1001" dataCellStyle="Millares"/>
    <tableColumn id="6" name="Multa" dataDxfId="1000" totalsRowDxfId="999" dataCellStyle="Millares"/>
    <tableColumn id="7" name="Total" dataDxfId="998" totalsRowDxfId="997" dataCellStyle="Millares"/>
    <tableColumn id="8" name="Deuda" dataDxfId="996" totalsRowDxfId="995" dataCellStyle="Millares"/>
    <tableColumn id="9" name="Pagado" dataDxfId="994" totalsRowDxfId="993">
      <calculatedColumnFormula>IF(T_T1341112131415161718192021222324252627282930313233353637383940414243444546474849505152535455565758596061626364656667686970717273747576777879[[#This Row],[Total]]&lt;0,T_T1341112131415161718192021222324252627282930313233353637383940414243444546474849505152535455565758596061626364656667686970717273747576777879[[#This Row],[Total]]*-1,0)</calculatedColumnFormula>
    </tableColumn>
    <tableColumn id="10" name="Columna1" dataDxfId="992" totalsRowDxfId="991" dataCellStyle="Millares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id="79" name="T_T134111213141516171819202122232425262728293031323335363738394041424344454647484950515253545556575859606162636465666768697071727374757677787980" displayName="T_T134111213141516171819202122232425262728293031323335363738394041424344454647484950515253545556575859606162636465666768697071727374757677787980" ref="A9:J40" totalsRowShown="0" headerRowDxfId="990" dataDxfId="988" headerRowBorderDxfId="989" tableBorderDxfId="987" totalsRowBorderDxfId="986">
  <autoFilter ref="A9:J40"/>
  <tableColumns count="10">
    <tableColumn id="1" name="Fecha" dataDxfId="985"/>
    <tableColumn id="2" name="Concepto" dataDxfId="984"/>
    <tableColumn id="3" name="Recibo" dataDxfId="983" dataCellStyle="Millares"/>
    <tableColumn id="4" name="Expensas" dataDxfId="982" dataCellStyle="Millares"/>
    <tableColumn id="5" name="Agua" dataDxfId="981" dataCellStyle="Millares"/>
    <tableColumn id="6" name="Multa" dataDxfId="980" dataCellStyle="Millares"/>
    <tableColumn id="7" name="Total" dataDxfId="979" dataCellStyle="Millares"/>
    <tableColumn id="8" name="Deuda" dataDxfId="978" dataCellStyle="Millares"/>
    <tableColumn id="9" name="Pagado" dataDxfId="977">
      <calculatedColumnFormula>IF(T_T134111213141516171819202122232425262728293031323335363738394041424344454647484950515253545556575859606162636465666768697071727374757677787980[[#This Row],[Total]]&lt;0,T_T134111213141516171819202122232425262728293031323335363738394041424344454647484950515253545556575859606162636465666768697071727374757677787980[[#This Row],[Total]]*-1,0)</calculatedColumnFormula>
    </tableColumn>
    <tableColumn id="10" name="Columna1" dataDxfId="976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id="80" name="T_T13411121314151617181920212223242526272829303132333536373839404142434445464748495051525354555657585960616263646566676869707172737475767778798081" displayName="T_T13411121314151617181920212223242526272829303132333536373839404142434445464748495051525354555657585960616263646566676869707172737475767778798081" ref="A9:J40" totalsRowShown="0" headerRowDxfId="975" dataDxfId="973" headerRowBorderDxfId="974" tableBorderDxfId="972" totalsRowBorderDxfId="971">
  <autoFilter ref="A9:J40"/>
  <tableColumns count="10">
    <tableColumn id="1" name="Fecha" dataDxfId="970"/>
    <tableColumn id="2" name="Concepto" dataDxfId="969"/>
    <tableColumn id="3" name="Recibo" dataDxfId="968" dataCellStyle="Millares"/>
    <tableColumn id="4" name="Expensas" dataDxfId="967" dataCellStyle="Millares"/>
    <tableColumn id="5" name="Agua" dataDxfId="966" dataCellStyle="Millares"/>
    <tableColumn id="6" name="Multa" dataDxfId="965" dataCellStyle="Millares"/>
    <tableColumn id="7" name="Total" dataDxfId="964" dataCellStyle="Millares"/>
    <tableColumn id="8" name="Deuda" dataDxfId="963" dataCellStyle="Millares"/>
    <tableColumn id="9" name="Pagado" dataDxfId="962">
      <calculatedColumnFormula>IF(T_T13411121314151617181920212223242526272829303132333536373839404142434445464748495051525354555657585960616263646566676869707172737475767778798081[[#This Row],[Total]]&lt;0,T_T13411121314151617181920212223242526272829303132333536373839404142434445464748495051525354555657585960616263646566676869707172737475767778798081[[#This Row],[Total]]*-1,0)</calculatedColumnFormula>
    </tableColumn>
    <tableColumn id="10" name="Columna1" dataDxfId="961" dataCellStyle="Millares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id="81" name="T_T1341112131415161718192021222324252627282930313233353637383940414243444546474849505152535455565758596061626364656667686970717273747576777879808182" displayName="T_T1341112131415161718192021222324252627282930313233353637383940414243444546474849505152535455565758596061626364656667686970717273747576777879808182" ref="A9:M40" totalsRowShown="0" headerRowDxfId="960" dataDxfId="958" headerRowBorderDxfId="959" tableBorderDxfId="957" totalsRowBorderDxfId="956">
  <autoFilter ref="A9:M40"/>
  <tableColumns count="13">
    <tableColumn id="1" name="Fecha" dataDxfId="955"/>
    <tableColumn id="2" name="Concepto" dataDxfId="954"/>
    <tableColumn id="3" name="Recibo" dataDxfId="953" dataCellStyle="Millares"/>
    <tableColumn id="4" name="Expensas" dataDxfId="952" dataCellStyle="Millares"/>
    <tableColumn id="5" name="Agua" dataDxfId="951" dataCellStyle="Millares"/>
    <tableColumn id="6" name="Multa" dataDxfId="950" dataCellStyle="Millares"/>
    <tableColumn id="7" name="Total" dataDxfId="949" dataCellStyle="Millares"/>
    <tableColumn id="8" name="Deuda" dataDxfId="948" dataCellStyle="Millares"/>
    <tableColumn id="9" name="Pagado" dataDxfId="947">
      <calculatedColumnFormula>IF(T_T1341112131415161718192021222324252627282930313233353637383940414243444546474849505152535455565758596061626364656667686970717273747576777879808182[[#This Row],[Total]]&lt;0,T_T1341112131415161718192021222324252627282930313233353637383940414243444546474849505152535455565758596061626364656667686970717273747576777879808182[[#This Row],[Total]]*-1,0)</calculatedColumnFormula>
    </tableColumn>
    <tableColumn id="10" name="Columna1" dataDxfId="946"/>
    <tableColumn id="11" name="Columna2" dataDxfId="945"/>
    <tableColumn id="12" name="Columna3" dataDxfId="944"/>
    <tableColumn id="13" name="Columna4" dataDxfId="943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id="82" name="T_T134111213141516171819202122232425262728293031323335363738394041424344454647484950515253545556575859606162636465666768697071727374757677787980818283" displayName="T_T134111213141516171819202122232425262728293031323335363738394041424344454647484950515253545556575859606162636465666768697071727374757677787980818283" ref="A9:J40" totalsRowShown="0" headerRowDxfId="942" dataDxfId="940" headerRowBorderDxfId="941" tableBorderDxfId="939" totalsRowBorderDxfId="938">
  <autoFilter ref="A9:J40"/>
  <tableColumns count="10">
    <tableColumn id="1" name="Fecha" dataDxfId="937"/>
    <tableColumn id="2" name="Concepto" dataDxfId="936"/>
    <tableColumn id="3" name="Recibo" dataDxfId="935" dataCellStyle="Millares"/>
    <tableColumn id="4" name="Expensas" dataDxfId="934" dataCellStyle="Millares"/>
    <tableColumn id="5" name="Agua" dataDxfId="933" dataCellStyle="Millares"/>
    <tableColumn id="6" name="Multa" dataDxfId="932" dataCellStyle="Millares"/>
    <tableColumn id="7" name="Total" dataDxfId="931" dataCellStyle="Millares"/>
    <tableColumn id="8" name="Deuda" dataDxfId="930" dataCellStyle="Millares"/>
    <tableColumn id="9" name="Pagado" dataDxfId="929">
      <calculatedColumnFormula>IF(T_T134111213141516171819202122232425262728293031323335363738394041424344454647484950515253545556575859606162636465666768697071727374757677787980818283[[#This Row],[Total]]&lt;0,T_T134111213141516171819202122232425262728293031323335363738394041424344454647484950515253545556575859606162636465666768697071727374757677787980818283[[#This Row],[Total]]*-1,0)</calculatedColumnFormula>
    </tableColumn>
    <tableColumn id="10" name="Columna1" dataDxfId="92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id="83" name="T_T13411121314151617181920212223242526272829303132333536373839404142434445464748495051525354555657585960616263646566676869707172737475767778798081828384" displayName="T_T13411121314151617181920212223242526272829303132333536373839404142434445464748495051525354555657585960616263646566676869707172737475767778798081828384" ref="A9:I40" totalsRowShown="0" headerRowDxfId="927" dataDxfId="925" headerRowBorderDxfId="926" tableBorderDxfId="924" totalsRowBorderDxfId="923">
  <autoFilter ref="A9:I40"/>
  <tableColumns count="9">
    <tableColumn id="1" name="Fecha" dataDxfId="922"/>
    <tableColumn id="2" name="Concepto" dataDxfId="921"/>
    <tableColumn id="3" name="Recibo" dataDxfId="920" dataCellStyle="Millares"/>
    <tableColumn id="4" name="Expensas" dataDxfId="919" dataCellStyle="Millares"/>
    <tableColumn id="5" name="Agua" dataDxfId="918" dataCellStyle="Millares"/>
    <tableColumn id="6" name="Multa" dataDxfId="917" dataCellStyle="Millares"/>
    <tableColumn id="7" name="Total" dataDxfId="916" dataCellStyle="Millares"/>
    <tableColumn id="8" name="Deuda" dataDxfId="915" dataCellStyle="Millares"/>
    <tableColumn id="9" name="Pagado" dataDxfId="914">
      <calculatedColumnFormula>IF(T_T13411121314151617181920212223242526272829303132333536373839404142434445464748495051525354555657585960616263646566676869707172737475767778798081828384[[#This Row],[Total]]&lt;0,T_T13411121314151617181920212223242526272829303132333536373839404142434445464748495051525354555657585960616263646566676869707172737475767778798081828384[[#This Row],[Total]]*-1,0)</calculatedColumnFormula>
    </tableColumn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id="84" name="T_T1341112131415161718192021222324252627282930313233353637383940414243444546474849505152535455565758596061626364656667686970717273747576777879808182838485" displayName="T_T1341112131415161718192021222324252627282930313233353637383940414243444546474849505152535455565758596061626364656667686970717273747576777879808182838485" ref="A9:J40" totalsRowShown="0" headerRowDxfId="913" dataDxfId="911" headerRowBorderDxfId="912" tableBorderDxfId="910" totalsRowBorderDxfId="909">
  <autoFilter ref="A9:J40"/>
  <tableColumns count="10">
    <tableColumn id="1" name="Fecha" dataDxfId="908"/>
    <tableColumn id="2" name="Concepto" dataDxfId="907"/>
    <tableColumn id="3" name="Recibo" dataDxfId="906" dataCellStyle="Millares"/>
    <tableColumn id="4" name="Expensas" dataDxfId="905" dataCellStyle="Millares"/>
    <tableColumn id="5" name="Agua" dataDxfId="904" dataCellStyle="Millares"/>
    <tableColumn id="6" name="Multa" dataDxfId="903" dataCellStyle="Millares"/>
    <tableColumn id="7" name="Total" dataDxfId="902" dataCellStyle="Millares"/>
    <tableColumn id="8" name="Deuda" dataDxfId="901" dataCellStyle="Millares"/>
    <tableColumn id="9" name="Pagado" dataDxfId="900">
      <calculatedColumnFormula>IF(T_T1341112131415161718192021222324252627282930313233353637383940414243444546474849505152535455565758596061626364656667686970717273747576777879808182838485[[#This Row],[Total]]&lt;0,T_T1341112131415161718192021222324252627282930313233353637383940414243444546474849505152535455565758596061626364656667686970717273747576777879808182838485[[#This Row],[Total]]*-1,0)</calculatedColumnFormula>
    </tableColumn>
    <tableColumn id="10" name="Columna1" dataDxfId="899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id="85" name="T_T134111213141516171819202122232425262728293031323335363738394041424344454647484950515253545556575859606162636465666768697071727374757677787980818283848586" displayName="T_T134111213141516171819202122232425262728293031323335363738394041424344454647484950515253545556575859606162636465666768697071727374757677787980818283848586" ref="A9:I40" totalsRowShown="0" headerRowDxfId="898" dataDxfId="896" headerRowBorderDxfId="897" tableBorderDxfId="895" totalsRowBorderDxfId="894">
  <autoFilter ref="A9:I40"/>
  <tableColumns count="9">
    <tableColumn id="1" name="Fecha" dataDxfId="893"/>
    <tableColumn id="2" name="Concepto" dataDxfId="892"/>
    <tableColumn id="3" name="Recibo" dataDxfId="891" dataCellStyle="Millares"/>
    <tableColumn id="4" name="Expensas" dataDxfId="890" dataCellStyle="Millares"/>
    <tableColumn id="5" name="Agua" dataDxfId="889" dataCellStyle="Millares"/>
    <tableColumn id="6" name="Multa" dataDxfId="888" dataCellStyle="Millares"/>
    <tableColumn id="7" name="Total" dataDxfId="887" dataCellStyle="Millares"/>
    <tableColumn id="8" name="Deuda" dataDxfId="886" dataCellStyle="Millares"/>
    <tableColumn id="9" name="Pagado" dataDxfId="885">
      <calculatedColumnFormula>IF(T_T134111213141516171819202122232425262728293031323335363738394041424344454647484950515253545556575859606162636465666768697071727374757677787980818283848586[[#This Row],[Total]]&lt;0,T_T134111213141516171819202122232425262728293031323335363738394041424344454647484950515253545556575859606162636465666768697071727374757677787980818283848586[[#This Row],[Total]]*-1,0)</calculatedColumnFormula>
    </tableColumn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id="86" name="T_T13411121314151617181920212223242526272829303132333536373839404142434445464748495051525354555657585960616263646566676869707172737475767778798081828384858687" displayName="T_T13411121314151617181920212223242526272829303132333536373839404142434445464748495051525354555657585960616263646566676869707172737475767778798081828384858687" ref="A9:J41" totalsRowCount="1" headerRowDxfId="884" dataDxfId="882" headerRowBorderDxfId="883" tableBorderDxfId="881" totalsRowBorderDxfId="880">
  <autoFilter ref="A9:J40"/>
  <tableColumns count="10">
    <tableColumn id="1" name="Fecha" dataDxfId="879" totalsRowDxfId="878"/>
    <tableColumn id="2" name="Concepto" dataDxfId="877" totalsRowDxfId="876"/>
    <tableColumn id="3" name="Recibo" dataDxfId="875" totalsRowDxfId="874" dataCellStyle="Millares"/>
    <tableColumn id="4" name="Expensas" dataDxfId="873" totalsRowDxfId="872" dataCellStyle="Millares"/>
    <tableColumn id="5" name="Agua" dataDxfId="871" totalsRowDxfId="870" dataCellStyle="Millares"/>
    <tableColumn id="6" name="Multa" dataDxfId="869" totalsRowDxfId="868" dataCellStyle="Millares"/>
    <tableColumn id="7" name="Total" dataDxfId="867" totalsRowDxfId="866" dataCellStyle="Millares"/>
    <tableColumn id="8" name="Deuda" dataDxfId="865" totalsRowDxfId="864" dataCellStyle="Millares"/>
    <tableColumn id="9" name="Pagado" dataDxfId="863" totalsRowDxfId="862">
      <calculatedColumnFormula>IF(T_T13411121314151617181920212223242526272829303132333536373839404142434445464748495051525354555657585960616263646566676869707172737475767778798081828384858687[[#This Row],[Total]]&lt;0,T_T13411121314151617181920212223242526272829303132333536373839404142434445464748495051525354555657585960616263646566676869707172737475767778798081828384858687[[#This Row],[Total]]*-1,0)</calculatedColumnFormula>
    </tableColumn>
    <tableColumn id="10" name="Columna1" dataDxfId="861" totalsRowDxfId="860" dataCellStyle="Millares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id="87" name="T_T1341112131415161718192021222324252627282930313233353637383940414243444546474849505152535455565758596061626364656667686970717273747576777879808182838485868788" displayName="T_T1341112131415161718192021222324252627282930313233353637383940414243444546474849505152535455565758596061626364656667686970717273747576777879808182838485868788" ref="A9:K40" totalsRowShown="0" headerRowDxfId="859" dataDxfId="857" headerRowBorderDxfId="858" tableBorderDxfId="856" totalsRowBorderDxfId="855">
  <autoFilter ref="A9:K40"/>
  <tableColumns count="11">
    <tableColumn id="1" name="Fecha" dataDxfId="854"/>
    <tableColumn id="2" name="Concepto" dataDxfId="853"/>
    <tableColumn id="3" name="Recibo" dataDxfId="852" dataCellStyle="Millares"/>
    <tableColumn id="4" name="Expensas" dataDxfId="851" dataCellStyle="Millares"/>
    <tableColumn id="5" name="Agua" dataDxfId="850" dataCellStyle="Millares"/>
    <tableColumn id="6" name="Multa" dataDxfId="849" dataCellStyle="Millares"/>
    <tableColumn id="7" name="Total" dataDxfId="848" dataCellStyle="Millares"/>
    <tableColumn id="8" name="Deuda" dataDxfId="847" dataCellStyle="Millares"/>
    <tableColumn id="9" name="Pagado" dataDxfId="846">
      <calculatedColumnFormula>IF(T_T1341112131415161718192021222324252627282930313233353637383940414243444546474849505152535455565758596061626364656667686970717273747576777879808182838485868788[[#This Row],[Total]]&lt;0,T_T1341112131415161718192021222324252627282930313233353637383940414243444546474849505152535455565758596061626364656667686970717273747576777879808182838485868788[[#This Row],[Total]]*-1,0)</calculatedColumnFormula>
    </tableColumn>
    <tableColumn id="10" name="Columna1" dataDxfId="845"/>
    <tableColumn id="11" name="Columna2" dataDxfId="844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id="88" name="T_T134111213141516171819202122232425262728293031323335363738394041424344454647484950515253545556575859606162636465666768697071727374757677787980818283848586878889" displayName="T_T134111213141516171819202122232425262728293031323335363738394041424344454647484950515253545556575859606162636465666768697071727374757677787980818283848586878889" ref="A9:I40" totalsRowShown="0" headerRowDxfId="843" dataDxfId="841" headerRowBorderDxfId="842" tableBorderDxfId="840" totalsRowBorderDxfId="839">
  <autoFilter ref="A9:I40"/>
  <tableColumns count="9">
    <tableColumn id="1" name="Fecha" dataDxfId="838"/>
    <tableColumn id="2" name="Concepto" dataDxfId="837"/>
    <tableColumn id="3" name="Recibo" dataDxfId="836" dataCellStyle="Millares"/>
    <tableColumn id="4" name="Expensas" dataDxfId="835" dataCellStyle="Millares"/>
    <tableColumn id="5" name="Agua" dataDxfId="834" dataCellStyle="Millares"/>
    <tableColumn id="6" name="Multa" dataDxfId="833" dataCellStyle="Millares"/>
    <tableColumn id="7" name="Total" dataDxfId="832" dataCellStyle="Millares"/>
    <tableColumn id="8" name="Deuda" dataDxfId="831" dataCellStyle="Millares"/>
    <tableColumn id="9" name="Pagado" dataDxfId="830">
      <calculatedColumnFormula>IF(T_T134111213141516171819202122232425262728293031323335363738394041424344454647484950515253545556575859606162636465666768697071727374757677787980818283848586878889[[#This Row],[Total]]&lt;0,T_T134111213141516171819202122232425262728293031323335363738394041424344454647484950515253545556575859606162636465666768697071727374757677787980818283848586878889[[#This Row],[Total]]*-1,0)</calculatedColumnFormula>
    </tableColumn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id="89" name="T_T13411121314151617181920212223242526272829303132333536373839404142434445464748495051525354555657585960616263646566676869707172737475767778798081828384858687888990" displayName="T_T13411121314151617181920212223242526272829303132333536373839404142434445464748495051525354555657585960616263646566676869707172737475767778798081828384858687888990" ref="A9:J41" totalsRowCount="1" headerRowDxfId="829" dataDxfId="827" headerRowBorderDxfId="828" tableBorderDxfId="826" totalsRowBorderDxfId="825">
  <autoFilter ref="A9:J40"/>
  <tableColumns count="10">
    <tableColumn id="1" name="Fecha" dataDxfId="824" totalsRowDxfId="823"/>
    <tableColumn id="2" name="Concepto" dataDxfId="822" totalsRowDxfId="821"/>
    <tableColumn id="3" name="Recibo" dataDxfId="820" totalsRowDxfId="819" dataCellStyle="Millares"/>
    <tableColumn id="4" name="Expensas" dataDxfId="818" totalsRowDxfId="817" dataCellStyle="Millares"/>
    <tableColumn id="5" name="Agua" dataDxfId="816" totalsRowDxfId="815" dataCellStyle="Millares"/>
    <tableColumn id="6" name="Multa" dataDxfId="814" totalsRowDxfId="813" dataCellStyle="Millares"/>
    <tableColumn id="7" name="Total" dataDxfId="812" totalsRowDxfId="811" dataCellStyle="Millares"/>
    <tableColumn id="8" name="Deuda" dataDxfId="810" totalsRowDxfId="809" dataCellStyle="Millares"/>
    <tableColumn id="9" name="Pagado" dataDxfId="808" totalsRowDxfId="807">
      <calculatedColumnFormula>IF(T_T13411121314151617181920212223242526272829303132333536373839404142434445464748495051525354555657585960616263646566676869707172737475767778798081828384858687888990[[#This Row],[Total]]&lt;0,T_T13411121314151617181920212223242526272829303132333536373839404142434445464748495051525354555657585960616263646566676869707172737475767778798081828384858687888990[[#This Row],[Total]]*-1,0)</calculatedColumnFormula>
    </tableColumn>
    <tableColumn id="10" name="Columna1" dataDxfId="806" totalsRowDxfId="805" dataCellStyle="Millares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id="90" name="T_T1341112131415161718192021222324252627282930313233353637383940414243444546474849505152535455565758596061626364656667686970717273747576777879808182838485868788899091" displayName="T_T1341112131415161718192021222324252627282930313233353637383940414243444546474849505152535455565758596061626364656667686970717273747576777879808182838485868788899091" ref="A9:I40" totalsRowShown="0" headerRowDxfId="804" dataDxfId="802" headerRowBorderDxfId="803" tableBorderDxfId="801" totalsRowBorderDxfId="800">
  <autoFilter ref="A9:I40"/>
  <tableColumns count="9">
    <tableColumn id="1" name="Fecha" dataDxfId="799"/>
    <tableColumn id="2" name="Concepto" dataDxfId="798"/>
    <tableColumn id="3" name="Recibo" dataDxfId="797" dataCellStyle="Millares"/>
    <tableColumn id="4" name="Expensas" dataDxfId="796" dataCellStyle="Millares"/>
    <tableColumn id="5" name="Agua" dataDxfId="795" dataCellStyle="Millares"/>
    <tableColumn id="6" name="Multa" dataDxfId="794" dataCellStyle="Millares"/>
    <tableColumn id="7" name="Total" dataDxfId="793" dataCellStyle="Millares"/>
    <tableColumn id="8" name="Deuda" dataDxfId="792" dataCellStyle="Millares"/>
    <tableColumn id="9" name="Pagado" dataDxfId="791">
      <calculatedColumnFormula>IF(T_T1341112131415161718192021222324252627282930313233353637383940414243444546474849505152535455565758596061626364656667686970717273747576777879808182838485868788899091[[#This Row],[Total]]&lt;0,T_T1341112131415161718192021222324252627282930313233353637383940414243444546474849505152535455565758596061626364656667686970717273747576777879808182838485868788899091[[#This Row],[Total]]*-1,0)</calculatedColumnFormula>
    </tableColumn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id="91" name="T_T134111213141516171819202122232425262728293031323335363738394041424344454647484950515253545556575859606162636465666768697071727374757677787980818283848586878889909192" displayName="T_T134111213141516171819202122232425262728293031323335363738394041424344454647484950515253545556575859606162636465666768697071727374757677787980818283848586878889909192" ref="A9:I40" totalsRowShown="0" headerRowDxfId="790" dataDxfId="788" headerRowBorderDxfId="789" tableBorderDxfId="787" totalsRowBorderDxfId="786">
  <autoFilter ref="A9:I40"/>
  <tableColumns count="9">
    <tableColumn id="1" name="Fecha" dataDxfId="785"/>
    <tableColumn id="2" name="Concepto" dataDxfId="784"/>
    <tableColumn id="3" name="Recibo" dataDxfId="783" dataCellStyle="Millares"/>
    <tableColumn id="4" name="Expensas" dataDxfId="782" dataCellStyle="Millares"/>
    <tableColumn id="5" name="Agua" dataDxfId="781" dataCellStyle="Millares"/>
    <tableColumn id="6" name="Multa" dataDxfId="780" dataCellStyle="Millares"/>
    <tableColumn id="7" name="Total" dataDxfId="779" dataCellStyle="Millares"/>
    <tableColumn id="8" name="Deuda" dataDxfId="778" dataCellStyle="Millares"/>
    <tableColumn id="9" name="Pagado" dataDxfId="777">
      <calculatedColumnFormula>IF(T_T134111213141516171819202122232425262728293031323335363738394041424344454647484950515253545556575859606162636465666768697071727374757677787980818283848586878889909192[[#This Row],[Total]]&lt;0,T_T134111213141516171819202122232425262728293031323335363738394041424344454647484950515253545556575859606162636465666768697071727374757677787980818283848586878889909192[[#This Row],[Total]]*-1,0)</calculatedColumnFormula>
    </tableColumn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id="92" name="T_T13411121314151617181920212223242526272829303132333536373839404142434445464748495051525354555657585960616263646566676869707172737475767778798081828384858687888990919293" displayName="T_T13411121314151617181920212223242526272829303132333536373839404142434445464748495051525354555657585960616263646566676869707172737475767778798081828384858687888990919293" ref="A9:L40" totalsRowShown="0" headerRowDxfId="776" dataDxfId="774" headerRowBorderDxfId="775" tableBorderDxfId="773" totalsRowBorderDxfId="772">
  <autoFilter ref="A9:L40"/>
  <tableColumns count="12">
    <tableColumn id="1" name="Fecha" dataDxfId="771"/>
    <tableColumn id="2" name="Concepto" dataDxfId="770"/>
    <tableColumn id="3" name="Recibo" dataDxfId="769" dataCellStyle="Millares"/>
    <tableColumn id="4" name="Expensas" dataDxfId="768" dataCellStyle="Millares"/>
    <tableColumn id="5" name="Agua" dataDxfId="767" dataCellStyle="Millares"/>
    <tableColumn id="6" name="Multa" dataDxfId="766" dataCellStyle="Millares"/>
    <tableColumn id="7" name="Total" dataDxfId="765" dataCellStyle="Millares"/>
    <tableColumn id="8" name="Deuda" dataDxfId="764" dataCellStyle="Millares"/>
    <tableColumn id="9" name="Pagado" dataDxfId="763">
      <calculatedColumnFormula>IF(T_T13411121314151617181920212223242526272829303132333536373839404142434445464748495051525354555657585960616263646566676869707172737475767778798081828384858687888990919293[[#This Row],[Total]]&lt;0,T_T13411121314151617181920212223242526272829303132333536373839404142434445464748495051525354555657585960616263646566676869707172737475767778798081828384858687888990919293[[#This Row],[Total]]*-1,0)</calculatedColumnFormula>
    </tableColumn>
    <tableColumn id="10" name="Columna1" dataDxfId="762"/>
    <tableColumn id="11" name="Columna2" dataDxfId="761"/>
    <tableColumn id="12" name="Columna3" dataDxfId="76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id="93" name="T_T1341112131415161718192021222324252627282930313233353637383940414243444546474849505152535455565758596061626364656667686970717273747576777879808182838485868788899091929394" displayName="T_T1341112131415161718192021222324252627282930313233353637383940414243444546474849505152535455565758596061626364656667686970717273747576777879808182838485868788899091929394" ref="A9:I40" totalsRowShown="0" headerRowDxfId="759" dataDxfId="757" headerRowBorderDxfId="758" tableBorderDxfId="756" totalsRowBorderDxfId="755">
  <autoFilter ref="A9:I40"/>
  <tableColumns count="9">
    <tableColumn id="1" name="Fecha" dataDxfId="754"/>
    <tableColumn id="2" name="Concepto" dataDxfId="753"/>
    <tableColumn id="3" name="Recibo" dataDxfId="752" dataCellStyle="Millares"/>
    <tableColumn id="4" name="Expensas" dataDxfId="751" dataCellStyle="Millares"/>
    <tableColumn id="5" name="Agua" dataDxfId="750" dataCellStyle="Millares"/>
    <tableColumn id="6" name="Multa" dataDxfId="749" dataCellStyle="Millares"/>
    <tableColumn id="7" name="Total" dataDxfId="748" dataCellStyle="Millares"/>
    <tableColumn id="8" name="Deuda" dataDxfId="747" dataCellStyle="Millares"/>
    <tableColumn id="9" name="Pagado" dataDxfId="746">
      <calculatedColumnFormula>IF(T_T1341112131415161718192021222324252627282930313233353637383940414243444546474849505152535455565758596061626364656667686970717273747576777879808182838485868788899091929394[[#This Row],[Total]]&lt;0,T_T1341112131415161718192021222324252627282930313233353637383940414243444546474849505152535455565758596061626364656667686970717273747576777879808182838485868788899091929394[[#This Row],[Total]]*-1,0)</calculatedColumnFormula>
    </tableColumn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id="94" name="T_T134111213141516171819202122232425262728293031323335363738394041424344454647484950515253545556575859606162636465666768697071727374757677787980818283848586878889909192939495" displayName="T_T134111213141516171819202122232425262728293031323335363738394041424344454647484950515253545556575859606162636465666768697071727374757677787980818283848586878889909192939495" ref="A9:I42" totalsRowShown="0" headerRowDxfId="745" dataDxfId="743" headerRowBorderDxfId="744" tableBorderDxfId="742" totalsRowBorderDxfId="741">
  <autoFilter ref="A9:I42"/>
  <tableColumns count="9">
    <tableColumn id="1" name="Fecha" dataDxfId="740"/>
    <tableColumn id="2" name="Concepto" dataDxfId="739"/>
    <tableColumn id="3" name="Recibo" dataDxfId="738" dataCellStyle="Millares"/>
    <tableColumn id="4" name="Expensas" dataDxfId="737" dataCellStyle="Millares"/>
    <tableColumn id="5" name="Agua" dataDxfId="736" dataCellStyle="Millares"/>
    <tableColumn id="6" name="Multa" dataDxfId="735" dataCellStyle="Millares"/>
    <tableColumn id="7" name="Total" dataDxfId="734" dataCellStyle="Millares"/>
    <tableColumn id="8" name="Deuda" dataDxfId="733" dataCellStyle="Millares"/>
    <tableColumn id="9" name="Pagado" dataDxfId="732">
      <calculatedColumnFormula>IF(T_T134111213141516171819202122232425262728293031323335363738394041424344454647484950515253545556575859606162636465666768697071727374757677787980818283848586878889909192939495[[#This Row],[Total]]&lt;0,T_T134111213141516171819202122232425262728293031323335363738394041424344454647484950515253545556575859606162636465666768697071727374757677787980818283848586878889909192939495[[#This Row],[Total]]*-1,0)</calculatedColumnFormula>
    </tableColumn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id="95" name="T_T13411121314151617181920212223242526272829303132333536373839404142434445464748495051525354555657585960616263646566676869707172737475767778798081828384858687888990919293949596" displayName="T_T13411121314151617181920212223242526272829303132333536373839404142434445464748495051525354555657585960616263646566676869707172737475767778798081828384858687888990919293949596" ref="A9:K40" totalsRowShown="0" headerRowDxfId="731" dataDxfId="729" headerRowBorderDxfId="730" tableBorderDxfId="728" totalsRowBorderDxfId="727">
  <autoFilter ref="A9:K40"/>
  <tableColumns count="11">
    <tableColumn id="1" name="Fecha" dataDxfId="726"/>
    <tableColumn id="2" name="Concepto" dataDxfId="725"/>
    <tableColumn id="3" name="Recibo" dataDxfId="724" dataCellStyle="Millares"/>
    <tableColumn id="4" name="Expensas" dataDxfId="723" dataCellStyle="Millares"/>
    <tableColumn id="5" name="Agua" dataDxfId="722" dataCellStyle="Millares"/>
    <tableColumn id="6" name="Multa" dataDxfId="721" dataCellStyle="Millares"/>
    <tableColumn id="7" name="Total" dataDxfId="720" dataCellStyle="Millares"/>
    <tableColumn id="8" name="Deuda" dataDxfId="719" dataCellStyle="Millares"/>
    <tableColumn id="9" name="Pagado" dataDxfId="718">
      <calculatedColumnFormula>IF(T_T13411121314151617181920212223242526272829303132333536373839404142434445464748495051525354555657585960616263646566676869707172737475767778798081828384858687888990919293949596[[#This Row],[Total]]&lt;0,T_T13411121314151617181920212223242526272829303132333536373839404142434445464748495051525354555657585960616263646566676869707172737475767778798081828384858687888990919293949596[[#This Row],[Total]]*-1,0)</calculatedColumnFormula>
    </tableColumn>
    <tableColumn id="10" name="Columna1" dataDxfId="717"/>
    <tableColumn id="11" name="Columna2" dataDxfId="716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id="96" name="T_T1341112131415161718192021222324252627282930313233353637383940414243444546474849505152535455565758596061626364656667686970717273747576777879808182838485868788899091929394959697" displayName="T_T1341112131415161718192021222324252627282930313233353637383940414243444546474849505152535455565758596061626364656667686970717273747576777879808182838485868788899091929394959697" ref="A9:J42" totalsRowShown="0" headerRowDxfId="715" dataDxfId="713" headerRowBorderDxfId="714" tableBorderDxfId="712" totalsRowBorderDxfId="711">
  <autoFilter ref="A9:J42"/>
  <tableColumns count="10">
    <tableColumn id="1" name="Fecha" dataDxfId="710"/>
    <tableColumn id="2" name="Concepto" dataDxfId="709"/>
    <tableColumn id="3" name="Recibo" dataDxfId="708" dataCellStyle="Millares"/>
    <tableColumn id="4" name="Expensas" dataDxfId="707" dataCellStyle="Millares"/>
    <tableColumn id="5" name="Agua" dataDxfId="706" dataCellStyle="Millares"/>
    <tableColumn id="6" name="Multa" dataDxfId="705" dataCellStyle="Millares"/>
    <tableColumn id="7" name="Total" dataDxfId="704" dataCellStyle="Millares"/>
    <tableColumn id="8" name="Deuda" dataDxfId="703" dataCellStyle="Millares"/>
    <tableColumn id="9" name="Pagado" dataDxfId="702">
      <calculatedColumnFormula>IF(T_T1341112131415161718192021222324252627282930313233353637383940414243444546474849505152535455565758596061626364656667686970717273747576777879808182838485868788899091929394959697[[#This Row],[Total]]&lt;0,T_T1341112131415161718192021222324252627282930313233353637383940414243444546474849505152535455565758596061626364656667686970717273747576777879808182838485868788899091929394959697[[#This Row],[Total]]*-1,0)</calculatedColumnFormula>
    </tableColumn>
    <tableColumn id="10" name="Columna1" dataDxfId="701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id="97" name="T_T134111213141516171819202122232425262728293031323335363738394041424344454647484950515253545556575859606162636465666768697071727374757677787980818283848586878889909192939495969798" displayName="T_T134111213141516171819202122232425262728293031323335363738394041424344454647484950515253545556575859606162636465666768697071727374757677787980818283848586878889909192939495969798" ref="A9:J52" totalsRowShown="0" headerRowDxfId="700" dataDxfId="698" headerRowBorderDxfId="699" tableBorderDxfId="697" totalsRowBorderDxfId="696">
  <autoFilter ref="A9:J52"/>
  <tableColumns count="10">
    <tableColumn id="1" name="Fecha" dataDxfId="695"/>
    <tableColumn id="2" name="Concepto" dataDxfId="694"/>
    <tableColumn id="3" name="Recibo" dataDxfId="693"/>
    <tableColumn id="4" name="Expensas" dataDxfId="692"/>
    <tableColumn id="5" name="Agua" dataDxfId="691"/>
    <tableColumn id="6" name="Multa" dataDxfId="690"/>
    <tableColumn id="7" name="Total" dataDxfId="689">
      <calculatedColumnFormula>SUM(D10:F10)</calculatedColumnFormula>
    </tableColumn>
    <tableColumn id="8" name="Deuda" dataDxfId="688">
      <calculatedColumnFormula>H9+G10</calculatedColumnFormula>
    </tableColumn>
    <tableColumn id="9" name="Pagado" dataDxfId="687">
      <calculatedColumnFormula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calculatedColumnFormula>
    </tableColumn>
    <tableColumn id="10" name="Columna1" dataDxfId="686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id="98" name="T_T13411121314151617181920212223242526272829303132333536373839404142434445464748495051525354555657585960616263646566676869707172737475767778798081828384858687888990919293949596979899" displayName="T_T13411121314151617181920212223242526272829303132333536373839404142434445464748495051525354555657585960616263646566676869707172737475767778798081828384858687888990919293949596979899" ref="A9:I40" totalsRowShown="0" headerRowDxfId="685" dataDxfId="683" headerRowBorderDxfId="684" tableBorderDxfId="682" totalsRowBorderDxfId="681">
  <autoFilter ref="A9:I40"/>
  <tableColumns count="9">
    <tableColumn id="1" name="Fecha" dataDxfId="680"/>
    <tableColumn id="2" name="Concepto" dataDxfId="679"/>
    <tableColumn id="3" name="Recibo" dataDxfId="678" dataCellStyle="Millares"/>
    <tableColumn id="4" name="Expensas" dataDxfId="677" dataCellStyle="Millares">
      <calculatedColumnFormula>323+26+9</calculatedColumnFormula>
    </tableColumn>
    <tableColumn id="5" name="Agua" dataDxfId="676" dataCellStyle="Millares"/>
    <tableColumn id="6" name="Multa" dataDxfId="675" dataCellStyle="Millares"/>
    <tableColumn id="7" name="Total" dataDxfId="674" dataCellStyle="Millares"/>
    <tableColumn id="8" name="Deuda" dataDxfId="673" dataCellStyle="Millares"/>
    <tableColumn id="9" name="Pagado" dataDxfId="672">
      <calculatedColumnFormula>IF(T_T13411121314151617181920212223242526272829303132333536373839404142434445464748495051525354555657585960616263646566676869707172737475767778798081828384858687888990919293949596979899[[#This Row],[Total]]&lt;0,T_T13411121314151617181920212223242526272829303132333536373839404142434445464748495051525354555657585960616263646566676869707172737475767778798081828384858687888990919293949596979899[[#This Row],[Total]]*-1,0)</calculatedColumnFormula>
    </tableColumn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id="99" name="T_T13411121314151617181920212223242526272829303132333536373839404142434445464748495051525354555657585960616263646566676869707172737475767778798081828384858687888990919293949596979899100" displayName="T_T13411121314151617181920212223242526272829303132333536373839404142434445464748495051525354555657585960616263646566676869707172737475767778798081828384858687888990919293949596979899100" ref="A9:K40" totalsRowShown="0" headerRowDxfId="671" dataDxfId="669" headerRowBorderDxfId="670" tableBorderDxfId="668" totalsRowBorderDxfId="667">
  <autoFilter ref="A9:K40"/>
  <tableColumns count="11">
    <tableColumn id="1" name="Fecha" dataDxfId="666"/>
    <tableColumn id="2" name="Concepto" dataDxfId="665"/>
    <tableColumn id="3" name="Recibo" dataDxfId="664"/>
    <tableColumn id="4" name="Expensas" dataDxfId="663"/>
    <tableColumn id="5" name="Agua" dataDxfId="662"/>
    <tableColumn id="6" name="Multa" dataDxfId="661"/>
    <tableColumn id="7" name="Total" dataDxfId="660">
      <calculatedColumnFormula>SUM(D10:F10)</calculatedColumnFormula>
    </tableColumn>
    <tableColumn id="8" name="Deuda" dataDxfId="659">
      <calculatedColumnFormula>H9+G10</calculatedColumnFormula>
    </tableColumn>
    <tableColumn id="9" name="Pagado" dataDxfId="658">
      <calculatedColumnFormula>IF(T_T13411121314151617181920212223242526272829303132333536373839404142434445464748495051525354555657585960616263646566676869707172737475767778798081828384858687888990919293949596979899100[[#This Row],[Total]]&lt;0,T_T13411121314151617181920212223242526272829303132333536373839404142434445464748495051525354555657585960616263646566676869707172737475767778798081828384858687888990919293949596979899100[[#This Row],[Total]]*-1,0)</calculatedColumnFormula>
    </tableColumn>
    <tableColumn id="10" name="Columna1" dataDxfId="657"/>
    <tableColumn id="11" name="Columna2" dataDxfId="656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id="100" name="T_T13411121314151617181920212223242526272829303132333536373839404142434445464748495051525354555657585960616263646566676869707172737475767778798081828384858687888990919293949596979899100101" displayName="T_T13411121314151617181920212223242526272829303132333536373839404142434445464748495051525354555657585960616263646566676869707172737475767778798081828384858687888990919293949596979899100101" ref="A9:I40" totalsRowShown="0" headerRowDxfId="655" dataDxfId="653" headerRowBorderDxfId="654" tableBorderDxfId="652" totalsRowBorderDxfId="651">
  <autoFilter ref="A9:I40"/>
  <tableColumns count="9">
    <tableColumn id="1" name="Fecha" dataDxfId="650"/>
    <tableColumn id="2" name="Concepto" dataDxfId="649"/>
    <tableColumn id="3" name="Recibo" dataDxfId="648" dataCellStyle="Millares"/>
    <tableColumn id="4" name="Expensas" dataDxfId="647" dataCellStyle="Millares"/>
    <tableColumn id="5" name="Agua" dataDxfId="646" dataCellStyle="Millares"/>
    <tableColumn id="6" name="Multa" dataDxfId="645" dataCellStyle="Millares"/>
    <tableColumn id="7" name="Total" dataDxfId="644" dataCellStyle="Millares"/>
    <tableColumn id="8" name="Deuda" dataDxfId="643" dataCellStyle="Millares"/>
    <tableColumn id="9" name="Pagado" dataDxfId="642">
      <calculatedColumnFormula>IF(T_T13411121314151617181920212223242526272829303132333536373839404142434445464748495051525354555657585960616263646566676869707172737475767778798081828384858687888990919293949596979899100101[[#This Row],[Total]]&lt;0,T_T13411121314151617181920212223242526272829303132333536373839404142434445464748495051525354555657585960616263646566676869707172737475767778798081828384858687888990919293949596979899100101[[#This Row],[Total]]*-1,0)</calculatedColumnFormula>
    </tableColumn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id="101" name="T_T13411121314151617181920212223242526272829303132333536373839404142434445464748495051525354555657585960616263646566676869707172737475767778798081828384858687888990919293949596979899100101102" displayName="T_T13411121314151617181920212223242526272829303132333536373839404142434445464748495051525354555657585960616263646566676869707172737475767778798081828384858687888990919293949596979899100101102" ref="A9:J40" totalsRowShown="0" headerRowDxfId="641" dataDxfId="639" headerRowBorderDxfId="640" tableBorderDxfId="638" totalsRowBorderDxfId="637">
  <autoFilter ref="A9:J40"/>
  <tableColumns count="10">
    <tableColumn id="1" name="Fecha" dataDxfId="636"/>
    <tableColumn id="2" name="Concepto" dataDxfId="635"/>
    <tableColumn id="3" name="Recibo" dataDxfId="634" dataCellStyle="Millares"/>
    <tableColumn id="4" name="Expensas" dataDxfId="633" dataCellStyle="Millares"/>
    <tableColumn id="5" name="Agua" dataDxfId="632" dataCellStyle="Millares"/>
    <tableColumn id="6" name="Multa" dataDxfId="631" dataCellStyle="Millares"/>
    <tableColumn id="7" name="Total" dataDxfId="630" dataCellStyle="Millares"/>
    <tableColumn id="8" name="Deuda" dataDxfId="629" dataCellStyle="Millares"/>
    <tableColumn id="9" name="Pagado" dataDxfId="628">
      <calculatedColumnFormula>IF(T_T13411121314151617181920212223242526272829303132333536373839404142434445464748495051525354555657585960616263646566676869707172737475767778798081828384858687888990919293949596979899100101102[[#This Row],[Total]]&lt;0,T_T13411121314151617181920212223242526272829303132333536373839404142434445464748495051525354555657585960616263646566676869707172737475767778798081828384858687888990919293949596979899100101102[[#This Row],[Total]]*-1,0)</calculatedColumnFormula>
    </tableColumn>
    <tableColumn id="10" name="Columna1" dataDxfId="627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id="102" name="T_T13411121314151617181920212223242526272829303132333536373839404142434445464748495051525354555657585960616263646566676869707172737475767778798081828384858687888990919293949596979899100101102103" displayName="T_T13411121314151617181920212223242526272829303132333536373839404142434445464748495051525354555657585960616263646566676869707172737475767778798081828384858687888990919293949596979899100101102103" ref="A9:J38" totalsRowShown="0" headerRowDxfId="626" dataDxfId="624" headerRowBorderDxfId="625" tableBorderDxfId="623" totalsRowBorderDxfId="622">
  <autoFilter ref="A9:J38"/>
  <tableColumns count="10">
    <tableColumn id="1" name="Fecha" dataDxfId="621"/>
    <tableColumn id="2" name="Concepto" dataDxfId="620"/>
    <tableColumn id="3" name="Recibo" dataDxfId="619" dataCellStyle="Millares"/>
    <tableColumn id="4" name="Expensas" dataDxfId="618" dataCellStyle="Millares"/>
    <tableColumn id="5" name="Agua" dataDxfId="617" dataCellStyle="Millares"/>
    <tableColumn id="6" name="Multa" dataDxfId="616" dataCellStyle="Millares"/>
    <tableColumn id="7" name="Total" dataDxfId="615" dataCellStyle="Millares"/>
    <tableColumn id="8" name="Deuda" dataDxfId="614" dataCellStyle="Millares"/>
    <tableColumn id="9" name="Pagado" dataDxfId="613">
      <calculatedColumnFormula>IF(T_T13411121314151617181920212223242526272829303132333536373839404142434445464748495051525354555657585960616263646566676869707172737475767778798081828384858687888990919293949596979899100101102103[[#This Row],[Total]]&lt;0,T_T13411121314151617181920212223242526272829303132333536373839404142434445464748495051525354555657585960616263646566676869707172737475767778798081828384858687888990919293949596979899100101102103[[#This Row],[Total]]*-1,0)</calculatedColumnFormula>
    </tableColumn>
    <tableColumn id="10" name="Columna1" dataDxfId="612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id="103" name="T_T13411121314151617181920212223242526272829303132333536373839404142434445464748495051525354555657585960616263646566676869707172737475767778798081828384858687888990919293949596979899100101102103104" displayName="T_T13411121314151617181920212223242526272829303132333536373839404142434445464748495051525354555657585960616263646566676869707172737475767778798081828384858687888990919293949596979899100101102103104" ref="A9:I40" totalsRowShown="0" headerRowDxfId="611" dataDxfId="609" headerRowBorderDxfId="610" tableBorderDxfId="608" totalsRowBorderDxfId="607">
  <autoFilter ref="A9:I40"/>
  <tableColumns count="9">
    <tableColumn id="1" name="Fecha" dataDxfId="606"/>
    <tableColumn id="2" name="Concepto" dataDxfId="605"/>
    <tableColumn id="3" name="Recibo" dataDxfId="604" dataCellStyle="Millares"/>
    <tableColumn id="4" name="Expensas" dataDxfId="603" dataCellStyle="Millares"/>
    <tableColumn id="5" name="Agua" dataDxfId="602" dataCellStyle="Millares"/>
    <tableColumn id="6" name="Multa" dataDxfId="601" dataCellStyle="Millares"/>
    <tableColumn id="7" name="Total" dataDxfId="600" dataCellStyle="Millares"/>
    <tableColumn id="8" name="Deuda" dataDxfId="599" dataCellStyle="Millares"/>
    <tableColumn id="9" name="Pagado" dataDxfId="598">
      <calculatedColumnFormula>IF(T_T13411121314151617181920212223242526272829303132333536373839404142434445464748495051525354555657585960616263646566676869707172737475767778798081828384858687888990919293949596979899100101102103104[[#This Row],[Total]]&lt;0,T_T13411121314151617181920212223242526272829303132333536373839404142434445464748495051525354555657585960616263646566676869707172737475767778798081828384858687888990919293949596979899100101102103104[[#This Row],[Total]]*-1,0)</calculatedColumnFormula>
    </tableColumn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id="104" name="T_T13411121314151617181920212223242526272829303132333536373839404142434445464748495051525354555657585960616263646566676869707172737475767778798081828384858687888990919293949596979899100101102103104105" displayName="T_T13411121314151617181920212223242526272829303132333536373839404142434445464748495051525354555657585960616263646566676869707172737475767778798081828384858687888990919293949596979899100101102103104105" ref="A9:J42" totalsRowShown="0" headerRowDxfId="597" dataDxfId="595" headerRowBorderDxfId="596" tableBorderDxfId="594" totalsRowBorderDxfId="593">
  <autoFilter ref="A9:J42"/>
  <tableColumns count="10">
    <tableColumn id="1" name="Fecha" dataDxfId="592"/>
    <tableColumn id="2" name="Concepto" dataDxfId="591"/>
    <tableColumn id="3" name="Recibo" dataDxfId="590" dataCellStyle="Millares"/>
    <tableColumn id="4" name="Expensas" dataDxfId="589" dataCellStyle="Millares"/>
    <tableColumn id="5" name="Agua" dataDxfId="588" dataCellStyle="Millares"/>
    <tableColumn id="6" name="Multa" dataDxfId="587" dataCellStyle="Millares"/>
    <tableColumn id="7" name="Total" dataDxfId="586" dataCellStyle="Millares"/>
    <tableColumn id="8" name="Deuda" dataDxfId="585" dataCellStyle="Millares"/>
    <tableColumn id="9" name="Pagado" dataDxfId="584">
      <calculatedColumnFormula>IF(T_T13411121314151617181920212223242526272829303132333536373839404142434445464748495051525354555657585960616263646566676869707172737475767778798081828384858687888990919293949596979899100101102103104105[[#This Row],[Total]]&lt;0,T_T13411121314151617181920212223242526272829303132333536373839404142434445464748495051525354555657585960616263646566676869707172737475767778798081828384858687888990919293949596979899100101102103104105[[#This Row],[Total]]*-1,0)</calculatedColumnFormula>
    </tableColumn>
    <tableColumn id="10" name="Columna1" dataDxfId="583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id="105" name="T_T13411121314151617181920212223242526272829303132333536373839404142434445464748495051525354555657585960616263646566676869707172737475767778798081828384858687888990919293949596979899100101102103104105106" displayName="T_T13411121314151617181920212223242526272829303132333536373839404142434445464748495051525354555657585960616263646566676869707172737475767778798081828384858687888990919293949596979899100101102103104105106" ref="A9:I42" totalsRowShown="0" headerRowDxfId="582" dataDxfId="580" headerRowBorderDxfId="581" tableBorderDxfId="579" totalsRowBorderDxfId="578">
  <autoFilter ref="A9:I42"/>
  <tableColumns count="9">
    <tableColumn id="1" name="Fecha" dataDxfId="577"/>
    <tableColumn id="2" name="Concepto" dataDxfId="576"/>
    <tableColumn id="3" name="Recibo" dataDxfId="575" dataCellStyle="Millares"/>
    <tableColumn id="4" name="Expensas" dataDxfId="574" dataCellStyle="Millares"/>
    <tableColumn id="5" name="Agua" dataDxfId="573" dataCellStyle="Millares"/>
    <tableColumn id="6" name="Multa" dataDxfId="572" dataCellStyle="Millares"/>
    <tableColumn id="7" name="Total" dataDxfId="571" dataCellStyle="Millares"/>
    <tableColumn id="8" name="Deuda" dataDxfId="570" dataCellStyle="Millares"/>
    <tableColumn id="9" name="Pagado" dataDxfId="569">
      <calculatedColumnFormula>IF(T_T13411121314151617181920212223242526272829303132333536373839404142434445464748495051525354555657585960616263646566676869707172737475767778798081828384858687888990919293949596979899100101102103104105106[[#This Row],[Total]]&lt;0,T_T13411121314151617181920212223242526272829303132333536373839404142434445464748495051525354555657585960616263646566676869707172737475767778798081828384858687888990919293949596979899100101102103104105106[[#This Row],[Total]]*-1,0)</calculatedColumnFormula>
    </tableColumn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id="106" name="T_T13411121314151617181920212223242526272829303132333536373839404142434445464748495051525354555657585960616263646566676869707172737475767778798081828384858687888990919293949596979899100101102103104105106107" displayName="T_T13411121314151617181920212223242526272829303132333536373839404142434445464748495051525354555657585960616263646566676869707172737475767778798081828384858687888990919293949596979899100101102103104105106107" ref="A9:K40" totalsRowShown="0" headerRowDxfId="568" dataDxfId="566" headerRowBorderDxfId="567" tableBorderDxfId="565" totalsRowBorderDxfId="564">
  <autoFilter ref="A9:K40"/>
  <tableColumns count="11">
    <tableColumn id="1" name="Fecha" dataDxfId="563"/>
    <tableColumn id="2" name="Concepto" dataDxfId="562"/>
    <tableColumn id="3" name="Recibo" dataDxfId="561" dataCellStyle="Millares"/>
    <tableColumn id="4" name="Expensas" dataDxfId="560" dataCellStyle="Millares"/>
    <tableColumn id="5" name="Agua" dataDxfId="559" dataCellStyle="Millares"/>
    <tableColumn id="6" name="Multa" dataDxfId="558" dataCellStyle="Millares"/>
    <tableColumn id="7" name="Total" dataDxfId="557" dataCellStyle="Millares"/>
    <tableColumn id="8" name="Deuda" dataDxfId="556" dataCellStyle="Millares"/>
    <tableColumn id="9" name="Pagado" dataDxfId="555">
      <calculatedColumnFormula>IF(T_T13411121314151617181920212223242526272829303132333536373839404142434445464748495051525354555657585960616263646566676869707172737475767778798081828384858687888990919293949596979899100101102103104105106107[[#This Row],[Total]]&lt;0,T_T13411121314151617181920212223242526272829303132333536373839404142434445464748495051525354555657585960616263646566676869707172737475767778798081828384858687888990919293949596979899100101102103104105106107[[#This Row],[Total]]*-1,0)</calculatedColumnFormula>
    </tableColumn>
    <tableColumn id="10" name="Columna1" dataDxfId="554"/>
    <tableColumn id="11" name="Columna2" dataDxfId="553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id="107" name="T_T13411121314151617181920212223242526272829303132333536373839404142434445464748495051525354555657585960616263646566676869707172737475767778798081828384858687888990919293949596979899100101102103104105106107108" displayName="T_T13411121314151617181920212223242526272829303132333536373839404142434445464748495051525354555657585960616263646566676869707172737475767778798081828384858687888990919293949596979899100101102103104105106107108" ref="A9:J40" totalsRowShown="0" headerRowDxfId="552" dataDxfId="550" headerRowBorderDxfId="551" tableBorderDxfId="549" totalsRowBorderDxfId="548">
  <autoFilter ref="A9:J40"/>
  <tableColumns count="10">
    <tableColumn id="1" name="Fecha" dataDxfId="547"/>
    <tableColumn id="2" name="Concepto" dataDxfId="546"/>
    <tableColumn id="3" name="Recibo" dataDxfId="545" dataCellStyle="Millares"/>
    <tableColumn id="4" name="Expensas" dataDxfId="544" dataCellStyle="Millares"/>
    <tableColumn id="5" name="Agua" dataDxfId="543" dataCellStyle="Millares"/>
    <tableColumn id="6" name="Multa" dataDxfId="542" dataCellStyle="Millares"/>
    <tableColumn id="7" name="Total" dataDxfId="541" dataCellStyle="Millares"/>
    <tableColumn id="8" name="Deuda" dataDxfId="540" dataCellStyle="Millares"/>
    <tableColumn id="9" name="Pagado" dataDxfId="539">
      <calculatedColumnFormula>IF(T_T13411121314151617181920212223242526272829303132333536373839404142434445464748495051525354555657585960616263646566676869707172737475767778798081828384858687888990919293949596979899100101102103104105106107108[[#This Row],[Total]]&lt;0,T_T13411121314151617181920212223242526272829303132333536373839404142434445464748495051525354555657585960616263646566676869707172737475767778798081828384858687888990919293949596979899100101102103104105106107108[[#This Row],[Total]]*-1,0)</calculatedColumnFormula>
    </tableColumn>
    <tableColumn id="10" name="Columna1" dataDxfId="538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id="108" name="T_T13411121314151617181920212223242526272829303132333536373839404142434445464748495051525354555657585960616263646566676869707172737475767778798081828384858687888990919293949596979899100101102103104105106107108109" displayName="T_T13411121314151617181920212223242526272829303132333536373839404142434445464748495051525354555657585960616263646566676869707172737475767778798081828384858687888990919293949596979899100101102103104105106107108109" ref="A9:I40" totalsRowShown="0" headerRowDxfId="537" dataDxfId="535" headerRowBorderDxfId="536" tableBorderDxfId="534" totalsRowBorderDxfId="533">
  <autoFilter ref="A9:I40"/>
  <tableColumns count="9">
    <tableColumn id="1" name="Fecha" dataDxfId="532"/>
    <tableColumn id="2" name="Concepto" dataDxfId="531"/>
    <tableColumn id="3" name="Recibo" dataDxfId="530" dataCellStyle="Millares"/>
    <tableColumn id="4" name="Expensas" dataDxfId="529" dataCellStyle="Millares"/>
    <tableColumn id="5" name="Agua" dataDxfId="528" dataCellStyle="Millares"/>
    <tableColumn id="6" name="Multa" dataDxfId="527" dataCellStyle="Millares"/>
    <tableColumn id="7" name="Total" dataDxfId="526" dataCellStyle="Millares"/>
    <tableColumn id="8" name="Deuda" dataDxfId="525" dataCellStyle="Millares"/>
    <tableColumn id="9" name="Pagado" dataDxfId="524">
      <calculatedColumnFormula>IF(T_T13411121314151617181920212223242526272829303132333536373839404142434445464748495051525354555657585960616263646566676869707172737475767778798081828384858687888990919293949596979899100101102103104105106107108109[[#This Row],[Total]]&lt;0,T_T13411121314151617181920212223242526272829303132333536373839404142434445464748495051525354555657585960616263646566676869707172737475767778798081828384858687888990919293949596979899100101102103104105106107108109[[#This Row],[Total]]*-1,0)</calculatedColumnFormula>
    </tableColumn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id="109" name="T_T13411121314151617181920212223242526272829303132333536373839404142434445464748495051525354555657585960616263646566676869707172737475767778798081828384858687888990919293949596979899100101102103104105106107108109110" displayName="T_T13411121314151617181920212223242526272829303132333536373839404142434445464748495051525354555657585960616263646566676869707172737475767778798081828384858687888990919293949596979899100101102103104105106107108109110" ref="A9:J41" totalsRowCount="1" headerRowDxfId="523" dataDxfId="521" headerRowBorderDxfId="522" tableBorderDxfId="520" totalsRowBorderDxfId="519">
  <autoFilter ref="A9:J40"/>
  <tableColumns count="10">
    <tableColumn id="1" name="Fecha" dataDxfId="518" totalsRowDxfId="517"/>
    <tableColumn id="2" name="Concepto" dataDxfId="516" totalsRowDxfId="515"/>
    <tableColumn id="3" name="Recibo" dataDxfId="514" totalsRowDxfId="513" dataCellStyle="Millares"/>
    <tableColumn id="4" name="Expensas" dataDxfId="512" totalsRowDxfId="511" dataCellStyle="Millares"/>
    <tableColumn id="5" name="Agua" dataDxfId="510" totalsRowDxfId="509" dataCellStyle="Millares"/>
    <tableColumn id="6" name="Multa" dataDxfId="508" totalsRowDxfId="507" dataCellStyle="Millares"/>
    <tableColumn id="7" name="Total" dataDxfId="506" totalsRowDxfId="505" dataCellStyle="Millares"/>
    <tableColumn id="8" name="Deuda" dataDxfId="504" totalsRowDxfId="503" dataCellStyle="Millares"/>
    <tableColumn id="9" name="Pagado" dataDxfId="502" totalsRowDxfId="501">
      <calculatedColumnFormula>IF(T_T13411121314151617181920212223242526272829303132333536373839404142434445464748495051525354555657585960616263646566676869707172737475767778798081828384858687888990919293949596979899100101102103104105106107108109110[[#This Row],[Total]]&lt;0,T_T13411121314151617181920212223242526272829303132333536373839404142434445464748495051525354555657585960616263646566676869707172737475767778798081828384858687888990919293949596979899100101102103104105106107108109110[[#This Row],[Total]]*-1,0)</calculatedColumnFormula>
    </tableColumn>
    <tableColumn id="10" name="Columna1" dataDxfId="500" totalsRowDxfId="499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id="110" name="T_T13411121314151617181920212223242526272829303132333536373839404142434445464748495051525354555657585960616263646566676869707172737475767778798081828384858687888990919293949596979899100101102103104105106107108109110111" displayName="T_T13411121314151617181920212223242526272829303132333536373839404142434445464748495051525354555657585960616263646566676869707172737475767778798081828384858687888990919293949596979899100101102103104105106107108109110111" ref="A9:J40" totalsRowShown="0" headerRowDxfId="498" dataDxfId="496" headerRowBorderDxfId="497" tableBorderDxfId="495" totalsRowBorderDxfId="494">
  <autoFilter ref="A9:J40"/>
  <tableColumns count="10">
    <tableColumn id="1" name="Fecha" dataDxfId="493"/>
    <tableColumn id="2" name="Concepto" dataDxfId="492"/>
    <tableColumn id="3" name="Recibo" dataDxfId="491" dataCellStyle="Millares"/>
    <tableColumn id="4" name="Expensas" dataDxfId="490" dataCellStyle="Millares">
      <calculatedColumnFormula>311+53+11</calculatedColumnFormula>
    </tableColumn>
    <tableColumn id="5" name="Agua" dataDxfId="489" dataCellStyle="Millares"/>
    <tableColumn id="6" name="Multa" dataDxfId="488" dataCellStyle="Millares"/>
    <tableColumn id="7" name="Total" dataDxfId="487" dataCellStyle="Millares"/>
    <tableColumn id="8" name="Deuda" dataDxfId="486" dataCellStyle="Millares"/>
    <tableColumn id="9" name="Pagado" dataDxfId="485">
      <calculatedColumnFormula>IF(T_T13411121314151617181920212223242526272829303132333536373839404142434445464748495051525354555657585960616263646566676869707172737475767778798081828384858687888990919293949596979899100101102103104105106107108109110111[[#This Row],[Total]]&lt;0,T_T13411121314151617181920212223242526272829303132333536373839404142434445464748495051525354555657585960616263646566676869707172737475767778798081828384858687888990919293949596979899100101102103104105106107108109110111[[#This Row],[Total]]*-1,0)</calculatedColumnFormula>
    </tableColumn>
    <tableColumn id="10" name="Columna1" dataDxfId="484" dataCellStyle="Millares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id="111" name="T_T13411121314151617181920212223242526272829303132333536373839404142434445464748495051525354555657585960616263646566676869707172737475767778798081828384858687888990919293949596979899100101102103104105106107108109110111112" displayName="T_T13411121314151617181920212223242526272829303132333536373839404142434445464748495051525354555657585960616263646566676869707172737475767778798081828384858687888990919293949596979899100101102103104105106107108109110111112" ref="A9:J40" totalsRowShown="0" headerRowDxfId="483" dataDxfId="481" headerRowBorderDxfId="482" tableBorderDxfId="480" totalsRowBorderDxfId="479">
  <autoFilter ref="A9:J40"/>
  <tableColumns count="10">
    <tableColumn id="1" name="Fecha" dataDxfId="478"/>
    <tableColumn id="2" name="Concepto" dataDxfId="477"/>
    <tableColumn id="3" name="Recibo" dataDxfId="476" dataCellStyle="Millares"/>
    <tableColumn id="4" name="Expensas" dataDxfId="475" dataCellStyle="Millares"/>
    <tableColumn id="5" name="Agua" dataDxfId="474" dataCellStyle="Millares"/>
    <tableColumn id="6" name="Multa" dataDxfId="473" dataCellStyle="Millares"/>
    <tableColumn id="7" name="Total" dataDxfId="472" dataCellStyle="Millares"/>
    <tableColumn id="8" name="Deuda" dataDxfId="471" dataCellStyle="Millares"/>
    <tableColumn id="9" name="Pagado" dataDxfId="470">
      <calculatedColumnFormula>IF(T_T13411121314151617181920212223242526272829303132333536373839404142434445464748495051525354555657585960616263646566676869707172737475767778798081828384858687888990919293949596979899100101102103104105106107108109110111112[[#This Row],[Total]]&lt;0,T_T13411121314151617181920212223242526272829303132333536373839404142434445464748495051525354555657585960616263646566676869707172737475767778798081828384858687888990919293949596979899100101102103104105106107108109110111112[[#This Row],[Total]]*-1,0)</calculatedColumnFormula>
    </tableColumn>
    <tableColumn id="10" name="Columna1" dataDxfId="469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id="112" name="T_T13411121314151617181920212223242526272829303132333536373839404142434445464748495051525354555657585960616263646566676869707172737475767778798081828384858687888990919293949596979899100101102103104105106107108109110111112113" displayName="T_T13411121314151617181920212223242526272829303132333536373839404142434445464748495051525354555657585960616263646566676869707172737475767778798081828384858687888990919293949596979899100101102103104105106107108109110111112113" ref="A9:I40" totalsRowShown="0" headerRowDxfId="468" dataDxfId="466" headerRowBorderDxfId="467" tableBorderDxfId="465" totalsRowBorderDxfId="464">
  <autoFilter ref="A9:I40"/>
  <tableColumns count="9">
    <tableColumn id="1" name="Fecha" dataDxfId="463"/>
    <tableColumn id="2" name="Concepto" dataDxfId="462"/>
    <tableColumn id="3" name="Recibo" dataDxfId="461" dataCellStyle="Millares"/>
    <tableColumn id="4" name="Expensas" dataDxfId="460" dataCellStyle="Millares"/>
    <tableColumn id="5" name="Agua" dataDxfId="459" dataCellStyle="Millares"/>
    <tableColumn id="6" name="Multa" dataDxfId="458" dataCellStyle="Millares"/>
    <tableColumn id="7" name="Total" dataDxfId="457" dataCellStyle="Millares"/>
    <tableColumn id="8" name="Deuda" dataDxfId="456" dataCellStyle="Millares"/>
    <tableColumn id="9" name="Pagado" dataDxfId="455">
      <calculatedColumnFormula>IF(T_T13411121314151617181920212223242526272829303132333536373839404142434445464748495051525354555657585960616263646566676869707172737475767778798081828384858687888990919293949596979899100101102103104105106107108109110111112113[[#This Row],[Total]]&lt;0,T_T13411121314151617181920212223242526272829303132333536373839404142434445464748495051525354555657585960616263646566676869707172737475767778798081828384858687888990919293949596979899100101102103104105106107108109110111112113[[#This Row],[Total]]*-1,0)</calculatedColumnFormula>
    </tableColumn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id="113" name="T_T13411121314151617181920212223242526272829303132333536373839404142434445464748495051525354555657585960616263646566676869707172737475767778798081828384858687888990919293949596979899100101102103104105106107108109110111112113114" displayName="T_T13411121314151617181920212223242526272829303132333536373839404142434445464748495051525354555657585960616263646566676869707172737475767778798081828384858687888990919293949596979899100101102103104105106107108109110111112113114" ref="A9:J40" totalsRowShown="0" headerRowDxfId="454" dataDxfId="452" headerRowBorderDxfId="453" tableBorderDxfId="451" totalsRowBorderDxfId="450">
  <autoFilter ref="A9:J40"/>
  <tableColumns count="10">
    <tableColumn id="1" name="Fecha" dataDxfId="449"/>
    <tableColumn id="2" name="Concepto" dataDxfId="448"/>
    <tableColumn id="3" name="Recibo" dataDxfId="447" dataCellStyle="Millares"/>
    <tableColumn id="4" name="Expensas" dataDxfId="446" dataCellStyle="Millares"/>
    <tableColumn id="5" name="Agua" dataDxfId="445" dataCellStyle="Millares"/>
    <tableColumn id="6" name="Multa" dataDxfId="444" dataCellStyle="Millares"/>
    <tableColumn id="7" name="Total" dataDxfId="443" dataCellStyle="Millares"/>
    <tableColumn id="8" name="Deuda" dataDxfId="442" dataCellStyle="Millares"/>
    <tableColumn id="9" name="Pagado" dataDxfId="441">
      <calculatedColumnFormula>IF(T_T13411121314151617181920212223242526272829303132333536373839404142434445464748495051525354555657585960616263646566676869707172737475767778798081828384858687888990919293949596979899100101102103104105106107108109110111112113114[[#This Row],[Total]]&lt;0,T_T13411121314151617181920212223242526272829303132333536373839404142434445464748495051525354555657585960616263646566676869707172737475767778798081828384858687888990919293949596979899100101102103104105106107108109110111112113114[[#This Row],[Total]]*-1,0)</calculatedColumnFormula>
    </tableColumn>
    <tableColumn id="10" name="Columna1" dataDxfId="440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id="114" name="T_T13411121314151617181920212223242526272829303132333536373839404142434445464748495051525354555657585960616263646566676869707172737475767778798081828384858687888990919293949596979899100101102103104105106107108109110111112113114115" displayName="T_T13411121314151617181920212223242526272829303132333536373839404142434445464748495051525354555657585960616263646566676869707172737475767778798081828384858687888990919293949596979899100101102103104105106107108109110111112113114115" ref="A10:K40" totalsRowShown="0" headerRowDxfId="439" dataDxfId="437" headerRowBorderDxfId="438" tableBorderDxfId="436" totalsRowBorderDxfId="435">
  <autoFilter ref="A10:K40"/>
  <tableColumns count="11">
    <tableColumn id="1" name="Fecha" dataDxfId="434"/>
    <tableColumn id="2" name="Concepto" dataDxfId="433"/>
    <tableColumn id="3" name="Recibo" dataDxfId="432" dataCellStyle="Millares"/>
    <tableColumn id="4" name="Expensas" dataDxfId="431" dataCellStyle="Millares"/>
    <tableColumn id="5" name="Agua" dataDxfId="430" dataCellStyle="Millares"/>
    <tableColumn id="6" name="Multa" dataDxfId="429" dataCellStyle="Millares"/>
    <tableColumn id="7" name="Total" dataDxfId="428" dataCellStyle="Millares"/>
    <tableColumn id="8" name="Deuda" dataDxfId="427" dataCellStyle="Millares"/>
    <tableColumn id="9" name="Pagado" dataDxfId="426">
      <calculatedColumnFormula>IF(T_T13411121314151617181920212223242526272829303132333536373839404142434445464748495051525354555657585960616263646566676869707172737475767778798081828384858687888990919293949596979899100101102103104105106107108109110111112113114115[[#This Row],[Total]]&lt;0,T_T13411121314151617181920212223242526272829303132333536373839404142434445464748495051525354555657585960616263646566676869707172737475767778798081828384858687888990919293949596979899100101102103104105106107108109110111112113114115[[#This Row],[Total]]*-1,0)</calculatedColumnFormula>
    </tableColumn>
    <tableColumn id="10" name="Columna1" dataDxfId="425"/>
    <tableColumn id="11" name="Columna2" dataDxfId="424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id="115" name="T_T13411121314151617181920212223242526272829303132333536373839404142434445464748495051525354555657585960616263646566676869707172737475767778798081828384858687888990919293949596979899100101102103104105106107108109110111112113114115116" displayName="T_T13411121314151617181920212223242526272829303132333536373839404142434445464748495051525354555657585960616263646566676869707172737475767778798081828384858687888990919293949596979899100101102103104105106107108109110111112113114115116" ref="A9:L40" totalsRowShown="0" headerRowDxfId="423" dataDxfId="421" headerRowBorderDxfId="422" tableBorderDxfId="420" totalsRowBorderDxfId="419">
  <autoFilter ref="A9:L40"/>
  <tableColumns count="12">
    <tableColumn id="1" name="Fecha" dataDxfId="418"/>
    <tableColumn id="2" name="Concepto" dataDxfId="417"/>
    <tableColumn id="3" name="Recibo" dataDxfId="416" dataCellStyle="Millares"/>
    <tableColumn id="4" name="Expensas" dataDxfId="415" dataCellStyle="Millares"/>
    <tableColumn id="5" name="Agua" dataDxfId="414" dataCellStyle="Millares"/>
    <tableColumn id="6" name="Multa" dataDxfId="413" dataCellStyle="Millares"/>
    <tableColumn id="7" name="Total" dataDxfId="412" dataCellStyle="Millares"/>
    <tableColumn id="8" name="Deuda" dataDxfId="411" dataCellStyle="Millares"/>
    <tableColumn id="9" name="Pagado" dataDxfId="410">
      <calculatedColumnFormula>IF(T_T13411121314151617181920212223242526272829303132333536373839404142434445464748495051525354555657585960616263646566676869707172737475767778798081828384858687888990919293949596979899100101102103104105106107108109110111112113114115116[[#This Row],[Total]]&lt;0,T_T13411121314151617181920212223242526272829303132333536373839404142434445464748495051525354555657585960616263646566676869707172737475767778798081828384858687888990919293949596979899100101102103104105106107108109110111112113114115116[[#This Row],[Total]]*-1,0)</calculatedColumnFormula>
    </tableColumn>
    <tableColumn id="10" name="Columna1" dataDxfId="409"/>
    <tableColumn id="11" name="Columna2" dataDxfId="408"/>
    <tableColumn id="12" name="Columna3" dataDxfId="407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id="116" name="T_T13411121314151617181920212223242526272829303132333536373839404142434445464748495051525354555657585960616263646566676869707172737475767778798081828384858687888990919293949596979899100101102103104105106107108109110111112113114115116117" displayName="T_T13411121314151617181920212223242526272829303132333536373839404142434445464748495051525354555657585960616263646566676869707172737475767778798081828384858687888990919293949596979899100101102103104105106107108109110111112113114115116117" ref="A9:J40" totalsRowShown="0" headerRowDxfId="406" dataDxfId="404" headerRowBorderDxfId="405" tableBorderDxfId="403" totalsRowBorderDxfId="402">
  <autoFilter ref="A9:J40"/>
  <tableColumns count="10">
    <tableColumn id="1" name="Fecha" dataDxfId="401"/>
    <tableColumn id="2" name="Concepto" dataDxfId="400"/>
    <tableColumn id="3" name="Recibo" dataDxfId="399" dataCellStyle="Millares"/>
    <tableColumn id="4" name="Expensas" dataDxfId="398" dataCellStyle="Millares"/>
    <tableColumn id="5" name="Agua" dataDxfId="397" dataCellStyle="Millares"/>
    <tableColumn id="6" name="Multa" dataDxfId="396" dataCellStyle="Millares"/>
    <tableColumn id="7" name="Total" dataDxfId="395" dataCellStyle="Millares"/>
    <tableColumn id="8" name="Deuda" dataDxfId="394" dataCellStyle="Millares"/>
    <tableColumn id="9" name="Pagado" dataDxfId="393">
      <calculatedColumnFormula>IF(T_T13411121314151617181920212223242526272829303132333536373839404142434445464748495051525354555657585960616263646566676869707172737475767778798081828384858687888990919293949596979899100101102103104105106107108109110111112113114115116117[[#This Row],[Total]]&lt;0,T_T13411121314151617181920212223242526272829303132333536373839404142434445464748495051525354555657585960616263646566676869707172737475767778798081828384858687888990919293949596979899100101102103104105106107108109110111112113114115116117[[#This Row],[Total]]*-1,0)</calculatedColumnFormula>
    </tableColumn>
    <tableColumn id="10" name="Columna1" dataDxfId="392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id="117" name="T_T13411121314151617181920212223242526272829303132333536373839404142434445464748495051525354555657585960616263646566676869707172737475767778798081828384858687888990919293949596979899100101102103104105106107108109110111112113114115116117118" displayName="T_T13411121314151617181920212223242526272829303132333536373839404142434445464748495051525354555657585960616263646566676869707172737475767778798081828384858687888990919293949596979899100101102103104105106107108109110111112113114115116117118" ref="A9:K40" totalsRowShown="0" headerRowDxfId="391" dataDxfId="389" headerRowBorderDxfId="390" tableBorderDxfId="388" totalsRowBorderDxfId="387">
  <autoFilter ref="A9:K40"/>
  <tableColumns count="11">
    <tableColumn id="1" name="Fecha" dataDxfId="386"/>
    <tableColumn id="2" name="Concepto" dataDxfId="385"/>
    <tableColumn id="3" name="Recibo" dataDxfId="384" dataCellStyle="Millares"/>
    <tableColumn id="4" name="Expensas" dataDxfId="383" dataCellStyle="Millares"/>
    <tableColumn id="5" name="Agua" dataDxfId="382" dataCellStyle="Millares"/>
    <tableColumn id="6" name="Multa" dataDxfId="381" dataCellStyle="Millares"/>
    <tableColumn id="7" name="Total" dataDxfId="380" dataCellStyle="Millares"/>
    <tableColumn id="8" name="Deuda" dataDxfId="379" dataCellStyle="Millares"/>
    <tableColumn id="9" name="Pagado" dataDxfId="378">
      <calculatedColumnFormula>IF(T_T13411121314151617181920212223242526272829303132333536373839404142434445464748495051525354555657585960616263646566676869707172737475767778798081828384858687888990919293949596979899100101102103104105106107108109110111112113114115116117118[[#This Row],[Total]]&lt;0,T_T13411121314151617181920212223242526272829303132333536373839404142434445464748495051525354555657585960616263646566676869707172737475767778798081828384858687888990919293949596979899100101102103104105106107108109110111112113114115116117118[[#This Row],[Total]]*-1,0)</calculatedColumnFormula>
    </tableColumn>
    <tableColumn id="16" name="Columna22" dataDxfId="377"/>
    <tableColumn id="15" name="Columna6" dataDxfId="376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id="118" name="T_T13411121314151617181920212223242526272829303132333536373839404142434445464748495051525354555657585960616263646566676869707172737475767778798081828384858687888990919293949596979899100101102103104105106107108109110111112113114115116117118119" displayName="T_T13411121314151617181920212223242526272829303132333536373839404142434445464748495051525354555657585960616263646566676869707172737475767778798081828384858687888990919293949596979899100101102103104105106107108109110111112113114115116117118119" ref="A9:K43" totalsRowShown="0" headerRowDxfId="375" dataDxfId="373" headerRowBorderDxfId="374" tableBorderDxfId="372" totalsRowBorderDxfId="371">
  <autoFilter ref="A9:K43"/>
  <tableColumns count="11">
    <tableColumn id="1" name="Fecha" dataDxfId="370"/>
    <tableColumn id="2" name="Concepto" dataDxfId="369"/>
    <tableColumn id="3" name="Recibo" dataDxfId="368" dataCellStyle="Millares"/>
    <tableColumn id="4" name="Expensas" dataDxfId="367" dataCellStyle="Millares"/>
    <tableColumn id="5" name="Agua" dataDxfId="366" dataCellStyle="Millares"/>
    <tableColumn id="6" name="Multa" dataDxfId="365" dataCellStyle="Millares"/>
    <tableColumn id="7" name="Total" dataDxfId="364" dataCellStyle="Millares"/>
    <tableColumn id="8" name="Deuda" dataDxfId="363" dataCellStyle="Millares"/>
    <tableColumn id="9" name="Pagado" dataDxfId="362">
      <calculatedColumnFormula>IF(T_T13411121314151617181920212223242526272829303132333536373839404142434445464748495051525354555657585960616263646566676869707172737475767778798081828384858687888990919293949596979899100101102103104105106107108109110111112113114115116117118119[[#This Row],[Total]]&lt;0,T_T13411121314151617181920212223242526272829303132333536373839404142434445464748495051525354555657585960616263646566676869707172737475767778798081828384858687888990919293949596979899100101102103104105106107108109110111112113114115116117118119[[#This Row],[Total]]*-1,0)</calculatedColumnFormula>
    </tableColumn>
    <tableColumn id="10" name="Columna1" dataDxfId="361"/>
    <tableColumn id="11" name="Columna2" dataDxfId="36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id="119" name="T_T13411121314151617181920212223242526272829303132333536373839404142434445464748495051525354555657585960616263646566676869707172737475767778798081828384858687888990919293949596979899100101102103104105106107108109110111112113114115116117118119120" displayName="T_T13411121314151617181920212223242526272829303132333536373839404142434445464748495051525354555657585960616263646566676869707172737475767778798081828384858687888990919293949596979899100101102103104105106107108109110111112113114115116117118119120" ref="A9:J40" totalsRowShown="0" headerRowDxfId="359" dataDxfId="357" headerRowBorderDxfId="358" tableBorderDxfId="356" totalsRowBorderDxfId="355">
  <autoFilter ref="A9:J40"/>
  <tableColumns count="10">
    <tableColumn id="1" name="Fecha" dataDxfId="354"/>
    <tableColumn id="2" name="Concepto" dataDxfId="353"/>
    <tableColumn id="3" name="Recibo" dataDxfId="352" dataCellStyle="Millares"/>
    <tableColumn id="4" name="Expensas" dataDxfId="351" dataCellStyle="Millares"/>
    <tableColumn id="5" name="Agua" dataDxfId="350" dataCellStyle="Millares"/>
    <tableColumn id="6" name="Multa" dataDxfId="349" dataCellStyle="Millares"/>
    <tableColumn id="7" name="Total" dataDxfId="348" dataCellStyle="Millares"/>
    <tableColumn id="8" name="Deuda" dataDxfId="347" dataCellStyle="Millares"/>
    <tableColumn id="9" name="Pagado" dataDxfId="346">
      <calculatedColumnFormula>IF(T_T13411121314151617181920212223242526272829303132333536373839404142434445464748495051525354555657585960616263646566676869707172737475767778798081828384858687888990919293949596979899100101102103104105106107108109110111112113114115116117118119120[[#This Row],[Total]]&lt;0,T_T13411121314151617181920212223242526272829303132333536373839404142434445464748495051525354555657585960616263646566676869707172737475767778798081828384858687888990919293949596979899100101102103104105106107108109110111112113114115116117118119120[[#This Row],[Total]]*-1,0)</calculatedColumnFormula>
    </tableColumn>
    <tableColumn id="10" name="Columna1" dataDxfId="345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id="120" name="T_T13411121314151617181920212223242526272829303132333536373839404142434445464748495051525354555657585960616263646566676869707172737475767778798081828384858687888990919293949596979899100101102103104105106107108109110111112113114115116117118119120121" displayName="T_T13411121314151617181920212223242526272829303132333536373839404142434445464748495051525354555657585960616263646566676869707172737475767778798081828384858687888990919293949596979899100101102103104105106107108109110111112113114115116117118119120121" ref="A9:I42" totalsRowShown="0" headerRowDxfId="344" dataDxfId="342" headerRowBorderDxfId="343" tableBorderDxfId="341" totalsRowBorderDxfId="340">
  <autoFilter ref="A9:I42"/>
  <tableColumns count="9">
    <tableColumn id="1" name="Fecha" dataDxfId="339"/>
    <tableColumn id="2" name="Concepto" dataDxfId="338"/>
    <tableColumn id="3" name="Recibo" dataDxfId="337" dataCellStyle="Millares"/>
    <tableColumn id="4" name="Expensas" dataDxfId="336" dataCellStyle="Millares"/>
    <tableColumn id="5" name="Agua" dataDxfId="335" dataCellStyle="Millares"/>
    <tableColumn id="6" name="Multa" dataDxfId="334" dataCellStyle="Millares"/>
    <tableColumn id="7" name="Total" dataDxfId="333" dataCellStyle="Millares"/>
    <tableColumn id="8" name="Deuda" dataDxfId="332" dataCellStyle="Millares"/>
    <tableColumn id="9" name="Pagado" dataDxfId="331">
      <calculatedColumnFormula>IF(T_T13411121314151617181920212223242526272829303132333536373839404142434445464748495051525354555657585960616263646566676869707172737475767778798081828384858687888990919293949596979899100101102103104105106107108109110111112113114115116117118119120121[[#This Row],[Total]]&lt;0,T_T13411121314151617181920212223242526272829303132333536373839404142434445464748495051525354555657585960616263646566676869707172737475767778798081828384858687888990919293949596979899100101102103104105106107108109110111112113114115116117118119120121[[#This Row],[Total]]*-1,0)</calculatedColumnFormula>
    </tableColumn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id="121" name="T_T13411121314151617181920212223242526272829303132333536373839404142434445464748495051525354555657585960616263646566676869707172737475767778798081828384858687888990919293949596979899100101102103104105106107108109110111112113114115116117118119120121122" displayName="T_T13411121314151617181920212223242526272829303132333536373839404142434445464748495051525354555657585960616263646566676869707172737475767778798081828384858687888990919293949596979899100101102103104105106107108109110111112113114115116117118119120121122" ref="A9:K41" totalsRowCount="1" headerRowDxfId="330" dataDxfId="328" headerRowBorderDxfId="329" tableBorderDxfId="327" totalsRowBorderDxfId="326">
  <autoFilter ref="A9:K40"/>
  <tableColumns count="11">
    <tableColumn id="1" name="Fecha" dataDxfId="325" totalsRowDxfId="324"/>
    <tableColumn id="2" name="Concepto" dataDxfId="323" totalsRowDxfId="322"/>
    <tableColumn id="3" name="Recibo" dataDxfId="321" totalsRowDxfId="320" dataCellStyle="Millares"/>
    <tableColumn id="4" name="Expensas" dataDxfId="319" totalsRowDxfId="318" dataCellStyle="Millares"/>
    <tableColumn id="5" name="Agua" dataDxfId="317" totalsRowDxfId="316" dataCellStyle="Millares"/>
    <tableColumn id="6" name="Multa" dataDxfId="315" totalsRowDxfId="314" dataCellStyle="Millares"/>
    <tableColumn id="7" name="Total" dataDxfId="313" totalsRowDxfId="312" dataCellStyle="Millares"/>
    <tableColumn id="8" name="Deuda" dataDxfId="311" totalsRowDxfId="310" dataCellStyle="Millares"/>
    <tableColumn id="9" name="Pagado" dataDxfId="309" totalsRowDxfId="308">
      <calculatedColumnFormula>IF(T_T13411121314151617181920212223242526272829303132333536373839404142434445464748495051525354555657585960616263646566676869707172737475767778798081828384858687888990919293949596979899100101102103104105106107108109110111112113114115116117118119120121122[[#This Row],[Total]]&lt;0,T_T13411121314151617181920212223242526272829303132333536373839404142434445464748495051525354555657585960616263646566676869707172737475767778798081828384858687888990919293949596979899100101102103104105106107108109110111112113114115116117118119120121122[[#This Row],[Total]]*-1,0)</calculatedColumnFormula>
    </tableColumn>
    <tableColumn id="10" name="Columna1" dataDxfId="307" totalsRowDxfId="306"/>
    <tableColumn id="11" name="Columna2" dataDxfId="305" totalsRowDxfId="304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id="122" name="T_T13411121314151617181920212223242526272829303132333536373839404142434445464748495051525354555657585960616263646566676869707172737475767778798081828384858687888990919293949596979899100101102103104105106107108109110111112113114115116117118119120121122123" displayName="T_T13411121314151617181920212223242526272829303132333536373839404142434445464748495051525354555657585960616263646566676869707172737475767778798081828384858687888990919293949596979899100101102103104105106107108109110111112113114115116117118119120121122123" ref="A9:I40" totalsRowShown="0" headerRowDxfId="303" dataDxfId="301" headerRowBorderDxfId="302" tableBorderDxfId="300" totalsRowBorderDxfId="299">
  <autoFilter ref="A9:I40"/>
  <tableColumns count="9">
    <tableColumn id="1" name="Fecha" dataDxfId="298"/>
    <tableColumn id="2" name="Concepto" dataDxfId="297"/>
    <tableColumn id="3" name="Recibo" dataDxfId="296" dataCellStyle="Millares"/>
    <tableColumn id="4" name="Expensas" dataDxfId="295" dataCellStyle="Millares"/>
    <tableColumn id="5" name="Agua" dataDxfId="294" dataCellStyle="Millares"/>
    <tableColumn id="6" name="Multa" dataDxfId="293" dataCellStyle="Millares"/>
    <tableColumn id="7" name="Total" dataDxfId="292" dataCellStyle="Millares"/>
    <tableColumn id="8" name="Deuda" dataDxfId="291" dataCellStyle="Millares"/>
    <tableColumn id="9" name="Pagado" dataDxfId="290">
      <calculatedColumnFormula>IF(T_T13411121314151617181920212223242526272829303132333536373839404142434445464748495051525354555657585960616263646566676869707172737475767778798081828384858687888990919293949596979899100101102103104105106107108109110111112113114115116117118119120121122123[[#This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13411121314151617181920212223242526272829303132333536373839404142434445464748495051525354555657585960616263646566676869707172737475767778798081828384858687888990919293949596979899100101102103104105106107108109110111112113114115116117118119120121122123[[#This Row],[Total]]*-1,0)</calculatedColumnFormula>
    </tableColumn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id="123" name="T_T13411121314151617181920212223242526272829303132333536373839404142434445464748495051525354555657585960616263646566676869707172737475767778798081828384858687888990919293949596979899100101102103104105106107108109110111112113114115116117118119120121122124" displayName="T_T13411121314151617181920212223242526272829303132333536373839404142434445464748495051525354555657585960616263646566676869707172737475767778798081828384858687888990919293949596979899100101102103104105106107108109110111112113114115116117118119120121122124" ref="A9:I40" totalsRowShown="0" headerRowDxfId="289" dataDxfId="287" headerRowBorderDxfId="288" tableBorderDxfId="286" totalsRowBorderDxfId="285">
  <autoFilter ref="A9:I40"/>
  <tableColumns count="9">
    <tableColumn id="1" name="Fecha" dataDxfId="284"/>
    <tableColumn id="2" name="Concepto" dataDxfId="283"/>
    <tableColumn id="3" name="Recibo" dataDxfId="282" dataCellStyle="Millares"/>
    <tableColumn id="4" name="Expensas" dataDxfId="281" dataCellStyle="Millares"/>
    <tableColumn id="5" name="Agua" dataDxfId="280" dataCellStyle="Millares"/>
    <tableColumn id="6" name="Multa" dataDxfId="279" dataCellStyle="Millares"/>
    <tableColumn id="7" name="Total" dataDxfId="278" dataCellStyle="Millares"/>
    <tableColumn id="8" name="Deuda" dataDxfId="277" dataCellStyle="Millares"/>
    <tableColumn id="9" name="Pagado" dataDxfId="276">
      <calculatedColumnFormula>IF(T_T13411121314151617181920212223242526272829303132333536373839404142434445464748495051525354555657585960616263646566676869707172737475767778798081828384858687888990919293949596979899100101102103104105106107108109110111112113114115116117118119120121122124[[#This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13411121314151617181920212223242526272829303132333536373839404142434445464748495051525354555657585960616263646566676869707172737475767778798081828384858687888990919293949596979899100101102103104105106107108109110111112113114115116117118119120121122124[[#This Row],[Total]]*-1,0)</calculatedColumnFormula>
    </tableColumn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id="124" name="T_T13411121314151617181920212223242526272829303132333536373839404142434445464748495051525354555657585960616263646566676869707172737475767778798081828384858687888990919293949596979899100101102103104105106107108109110111112113114115116117118119120121122125" displayName="T_T13411121314151617181920212223242526272829303132333536373839404142434445464748495051525354555657585960616263646566676869707172737475767778798081828384858687888990919293949596979899100101102103104105106107108109110111112113114115116117118119120121122125" ref="A9:L42" totalsRowShown="0" headerRowDxfId="275" dataDxfId="273" headerRowBorderDxfId="274" tableBorderDxfId="272" totalsRowBorderDxfId="271">
  <autoFilter ref="A9:L42"/>
  <tableColumns count="12">
    <tableColumn id="1" name="Fecha" dataDxfId="270"/>
    <tableColumn id="2" name="Concepto" dataDxfId="269"/>
    <tableColumn id="3" name="Recibo" dataDxfId="268" dataCellStyle="Millares"/>
    <tableColumn id="4" name="Expensas" dataDxfId="267" dataCellStyle="Millares"/>
    <tableColumn id="5" name="Agua" dataDxfId="266" dataCellStyle="Millares"/>
    <tableColumn id="6" name="Multa" dataDxfId="265" dataCellStyle="Millares"/>
    <tableColumn id="7" name="Total" dataDxfId="264" dataCellStyle="Millares"/>
    <tableColumn id="8" name="Deuda" dataDxfId="263" dataCellStyle="Millares"/>
    <tableColumn id="9" name="Pagado" dataDxfId="262">
      <calculatedColumnFormula>IF(T_T13411121314151617181920212223242526272829303132333536373839404142434445464748495051525354555657585960616263646566676869707172737475767778798081828384858687888990919293949596979899100101102103104105106107108109110111112113114115116117118119120121122125[[#This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13411121314151617181920212223242526272829303132333536373839404142434445464748495051525354555657585960616263646566676869707172737475767778798081828384858687888990919293949596979899100101102103104105106107108109110111112113114115116117118119120121122125[[#This Row],[Total]]*-1,0)</calculatedColumnFormula>
    </tableColumn>
    <tableColumn id="10" name="Columna1" dataDxfId="261"/>
    <tableColumn id="11" name="Columna2" dataDxfId="260"/>
    <tableColumn id="12" name="Columna3" dataDxfId="259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id="125" name="T_T13411121314151617181920212223242526272829303132333536373839404142434445464748495051525354555657585960616263646566676869707172737475767778798081828384858687888990919293949596979899100101102103104105106107108109110111112113114115116117118119120121122126" displayName="T_T13411121314151617181920212223242526272829303132333536373839404142434445464748495051525354555657585960616263646566676869707172737475767778798081828384858687888990919293949596979899100101102103104105106107108109110111112113114115116117118119120121122126" ref="A9:L40" totalsRowShown="0" headerRowDxfId="258" dataDxfId="256" headerRowBorderDxfId="257" tableBorderDxfId="255" totalsRowBorderDxfId="254">
  <autoFilter ref="A9:L40"/>
  <tableColumns count="12">
    <tableColumn id="1" name="Fecha" dataDxfId="253"/>
    <tableColumn id="2" name="Concepto" dataDxfId="252"/>
    <tableColumn id="3" name="Recibo" dataDxfId="251" dataCellStyle="Millares"/>
    <tableColumn id="4" name="Expensas" dataDxfId="250" dataCellStyle="Millares"/>
    <tableColumn id="5" name="Agua" dataDxfId="249" dataCellStyle="Millares"/>
    <tableColumn id="6" name="Multa" dataDxfId="248" dataCellStyle="Millares"/>
    <tableColumn id="7" name="Total" dataDxfId="247" dataCellStyle="Millares"/>
    <tableColumn id="8" name="Deuda" dataDxfId="246" dataCellStyle="Millares"/>
    <tableColumn id="9" name="Pagado" dataDxfId="245">
      <calculatedColumnFormula>IF(T_T13411121314151617181920212223242526272829303132333536373839404142434445464748495051525354555657585960616263646566676869707172737475767778798081828384858687888990919293949596979899100101102103104105106107108109110111112113114115116117118119120121122126[[#This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13411121314151617181920212223242526272829303132333536373839404142434445464748495051525354555657585960616263646566676869707172737475767778798081828384858687888990919293949596979899100101102103104105106107108109110111112113114115116117118119120121122126[[#This Row],[Total]]*-1,0)</calculatedColumnFormula>
    </tableColumn>
    <tableColumn id="10" name="Columna1" dataDxfId="244"/>
    <tableColumn id="11" name="Columna2" dataDxfId="243"/>
    <tableColumn id="12" name="Columna3" dataDxfId="242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id="126" name="T_T13411121314151617181920212223242526272829303132333536373839404142434445464748495051525354555657585960616263646566676869707172737475767778798081828384858687888990919293949596979899100101102103104105106107108109110111112113114115116117118119120121122127" displayName="T_T13411121314151617181920212223242526272829303132333536373839404142434445464748495051525354555657585960616263646566676869707172737475767778798081828384858687888990919293949596979899100101102103104105106107108109110111112113114115116117118119120121122127" ref="A9:J42" totalsRowShown="0" headerRowDxfId="241" dataDxfId="239" headerRowBorderDxfId="240" tableBorderDxfId="238" totalsRowBorderDxfId="237">
  <autoFilter ref="A9:J42"/>
  <tableColumns count="10">
    <tableColumn id="1" name="Fecha" dataDxfId="236"/>
    <tableColumn id="2" name="Concepto" dataDxfId="235"/>
    <tableColumn id="3" name="Recibo" dataDxfId="234" dataCellStyle="Millares"/>
    <tableColumn id="4" name="Expensas" dataDxfId="233" dataCellStyle="Millares"/>
    <tableColumn id="5" name="Agua" dataDxfId="232" dataCellStyle="Millares"/>
    <tableColumn id="6" name="Multa" dataDxfId="231" dataCellStyle="Millares"/>
    <tableColumn id="7" name="Total" dataDxfId="230" dataCellStyle="Millares"/>
    <tableColumn id="8" name="Deuda" dataDxfId="229" dataCellStyle="Millares"/>
    <tableColumn id="9" name="Pagado" dataDxfId="228">
      <calculatedColumnFormula>IF(T_T13411121314151617181920212223242526272829303132333536373839404142434445464748495051525354555657585960616263646566676869707172737475767778798081828384858687888990919293949596979899100101102103104105106107108109110111112113114115116117118119120121122127[[#This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13411121314151617181920212223242526272829303132333536373839404142434445464748495051525354555657585960616263646566676869707172737475767778798081828384858687888990919293949596979899100101102103104105106107108109110111112113114115116117118119120121122127[[#This Row],[Total]]*-1,0)</calculatedColumnFormula>
    </tableColumn>
    <tableColumn id="10" name="Columna1" dataDxfId="227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id="127" name="T_T13411121314151617181920212223242526272829303132333536373839404142434445464748495051525354555657585960616263646566676869707172737475767778798081828384858687888990919293949596979899100101102103104105106107108109110111112113114115116117118119120121122128" displayName="T_T13411121314151617181920212223242526272829303132333536373839404142434445464748495051525354555657585960616263646566676869707172737475767778798081828384858687888990919293949596979899100101102103104105106107108109110111112113114115116117118119120121122128" ref="A9:J40" totalsRowShown="0" headerRowDxfId="226" dataDxfId="224" headerRowBorderDxfId="225" tableBorderDxfId="223" totalsRowBorderDxfId="222">
  <autoFilter ref="A9:J40"/>
  <tableColumns count="10">
    <tableColumn id="1" name="Fecha" dataDxfId="221"/>
    <tableColumn id="2" name="Concepto" dataDxfId="220"/>
    <tableColumn id="3" name="Recibo" dataDxfId="219" dataCellStyle="Millares"/>
    <tableColumn id="4" name="Expensas" dataDxfId="218" dataCellStyle="Millares"/>
    <tableColumn id="5" name="Agua" dataDxfId="217" dataCellStyle="Millares"/>
    <tableColumn id="6" name="Multa" dataDxfId="216" dataCellStyle="Millares"/>
    <tableColumn id="7" name="Total" dataDxfId="215" dataCellStyle="Millares"/>
    <tableColumn id="8" name="Deuda" dataDxfId="214" dataCellStyle="Millares"/>
    <tableColumn id="9" name="Pagado" dataDxfId="213">
      <calculatedColumnFormula>IF(T_T13411121314151617181920212223242526272829303132333536373839404142434445464748495051525354555657585960616263646566676869707172737475767778798081828384858687888990919293949596979899100101102103104105106107108109110111112113114115116117118119120121122128[[#This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13411121314151617181920212223242526272829303132333536373839404142434445464748495051525354555657585960616263646566676869707172737475767778798081828384858687888990919293949596979899100101102103104105106107108109110111112113114115116117118119120121122128[[#This Row],[Total]]*-1,0)</calculatedColumnFormula>
    </tableColumn>
    <tableColumn id="10" name="Columna1" dataDxfId="212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id="128" name="T_T13411121314151617181920212223242526272829303132333536373839404142434445464748495051525354555657585960616263646566676869707172737475767778798081828384858687888990919293949596979899100101102103104105106107108109110111112113114115116117118119120121122129" displayName="T_T13411121314151617181920212223242526272829303132333536373839404142434445464748495051525354555657585960616263646566676869707172737475767778798081828384858687888990919293949596979899100101102103104105106107108109110111112113114115116117118119120121122129" ref="A9:K40" totalsRowShown="0" headerRowDxfId="211" dataDxfId="209" headerRowBorderDxfId="210" tableBorderDxfId="208" totalsRowBorderDxfId="207">
  <autoFilter ref="A9:K40"/>
  <tableColumns count="11">
    <tableColumn id="1" name="Fecha" dataDxfId="206"/>
    <tableColumn id="2" name="Concepto" dataDxfId="205"/>
    <tableColumn id="3" name="Recibo" dataDxfId="204" dataCellStyle="Millares"/>
    <tableColumn id="4" name="Expensas" dataDxfId="203" dataCellStyle="Millares"/>
    <tableColumn id="5" name="Agua" dataDxfId="202" dataCellStyle="Millares"/>
    <tableColumn id="6" name="Multa" dataDxfId="201" dataCellStyle="Millares"/>
    <tableColumn id="7" name="Total" dataDxfId="200" dataCellStyle="Millares"/>
    <tableColumn id="8" name="Deuda" dataDxfId="199" dataCellStyle="Millares"/>
    <tableColumn id="9" name="Pagado" dataDxfId="198">
      <calculatedColumnFormula>IF(T_T13411121314151617181920212223242526272829303132333536373839404142434445464748495051525354555657585960616263646566676869707172737475767778798081828384858687888990919293949596979899100101102103104105106107108109110111112113114115116117118119120121122129[[#This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13411121314151617181920212223242526272829303132333536373839404142434445464748495051525354555657585960616263646566676869707172737475767778798081828384858687888990919293949596979899100101102103104105106107108109110111112113114115116117118119120121122129[[#This Row],[Total]]*-1,0)</calculatedColumnFormula>
    </tableColumn>
    <tableColumn id="10" name="Columna1" dataDxfId="197"/>
    <tableColumn id="11" name="Columna2" dataDxfId="196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id="129" name="T_T13411121314151617181920212223242526272829303132333536373839404142434445464748495051525354555657585960616263646566676869707172737475767778798081828384858687888990919293949596979899100101102103104105106107108109110111112113114115116117118119120121122130" displayName="T_T13411121314151617181920212223242526272829303132333536373839404142434445464748495051525354555657585960616263646566676869707172737475767778798081828384858687888990919293949596979899100101102103104105106107108109110111112113114115116117118119120121122130" ref="A9:K40" totalsRowShown="0" headerRowDxfId="195" dataDxfId="193" headerRowBorderDxfId="194" tableBorderDxfId="192" totalsRowBorderDxfId="191">
  <autoFilter ref="A9:K40"/>
  <tableColumns count="11">
    <tableColumn id="1" name="Fecha" dataDxfId="190"/>
    <tableColumn id="2" name="Concepto" dataDxfId="189"/>
    <tableColumn id="3" name="Recibo" dataDxfId="188" dataCellStyle="Millares"/>
    <tableColumn id="4" name="Expensas" dataDxfId="187" dataCellStyle="Millares"/>
    <tableColumn id="5" name="Agua" dataDxfId="186" dataCellStyle="Millares"/>
    <tableColumn id="6" name="Multa" dataDxfId="185" dataCellStyle="Millares"/>
    <tableColumn id="7" name="Total" dataDxfId="184" dataCellStyle="Millares"/>
    <tableColumn id="8" name="Deuda" dataDxfId="183" dataCellStyle="Millares"/>
    <tableColumn id="9" name="Pagado" dataDxfId="182">
      <calculatedColumnFormula>IF(T_T13411121314151617181920212223242526272829303132333536373839404142434445464748495051525354555657585960616263646566676869707172737475767778798081828384858687888990919293949596979899100101102103104105106107108109110111112113114115116117118119120121122130[[#This Row],[Total]]&lt;0,T_T13411121314151617181920212223242526272829303132333536373839404142434445464748495051525354555657585960616263646566676869707172737475767778798081828384858687888990919293949596979899100101102103104105106107108109110111112113114115116117118119120121122130[[#This Row],[Total]]*-1,0)</calculatedColumnFormula>
    </tableColumn>
    <tableColumn id="10" name="Columna1" dataDxfId="181"/>
    <tableColumn id="11" name="Columna2" dataDxfId="180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id="130" name="T_T134131" displayName="T_T134131" ref="A9:K40" totalsRowShown="0" headerRowDxfId="179" dataDxfId="177" headerRowBorderDxfId="178" tableBorderDxfId="176" totalsRowBorderDxfId="175">
  <autoFilter ref="A9:K40"/>
  <tableColumns count="11">
    <tableColumn id="1" name="Fecha" dataDxfId="174"/>
    <tableColumn id="2" name="Concepto" dataDxfId="173"/>
    <tableColumn id="3" name="Recibo" dataDxfId="172" dataCellStyle="Millares"/>
    <tableColumn id="4" name="Expensas" dataDxfId="171" dataCellStyle="Millares"/>
    <tableColumn id="5" name="Agua" dataDxfId="170" dataCellStyle="Millares"/>
    <tableColumn id="6" name="Multa" dataDxfId="169" dataCellStyle="Millares"/>
    <tableColumn id="7" name="Total" dataDxfId="168" dataCellStyle="Millares"/>
    <tableColumn id="8" name="Deuda" dataDxfId="167" dataCellStyle="Millares"/>
    <tableColumn id="9" name="Pagado" dataDxfId="166">
      <calculatedColumnFormula>IF(T_T134131[[#This Row],[Total]]&lt;0,T_T134131[[#This Row],[Total]]*-1,0)</calculatedColumnFormula>
    </tableColumn>
    <tableColumn id="10" name="Columna1" dataDxfId="165"/>
    <tableColumn id="11" name="Columna2" dataDxfId="16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id="131" name="T_T134131132" displayName="T_T134131132" ref="A9:J40" totalsRowShown="0" headerRowDxfId="163" dataDxfId="161" headerRowBorderDxfId="162" tableBorderDxfId="160" totalsRowBorderDxfId="159">
  <autoFilter ref="A9:J40"/>
  <tableColumns count="10">
    <tableColumn id="1" name="Fecha" dataDxfId="158"/>
    <tableColumn id="2" name="Concepto" dataDxfId="157"/>
    <tableColumn id="3" name="Recibo" dataDxfId="156" dataCellStyle="Millares"/>
    <tableColumn id="4" name="Expensas" dataDxfId="155" dataCellStyle="Millares"/>
    <tableColumn id="5" name="Agua" dataDxfId="154" dataCellStyle="Millares"/>
    <tableColumn id="6" name="Multa" dataDxfId="153" dataCellStyle="Millares"/>
    <tableColumn id="7" name="Total" dataDxfId="152" dataCellStyle="Millares"/>
    <tableColumn id="8" name="Deuda" dataDxfId="151" dataCellStyle="Millares"/>
    <tableColumn id="9" name="Pagado" dataDxfId="150">
      <calculatedColumnFormula>IF(T_T134131132[[#This Row],[Total]]&lt;0,T_T134131132[[#This Row],[Total]]*-1,0)</calculatedColumnFormula>
    </tableColumn>
    <tableColumn id="10" name="Columna1" dataDxfId="149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id="132" name="T_T134131132133" displayName="T_T134131132133" ref="A9:J40" totalsRowShown="0" headerRowDxfId="148" dataDxfId="146" headerRowBorderDxfId="147" tableBorderDxfId="145" totalsRowBorderDxfId="144">
  <autoFilter ref="A9:J40"/>
  <tableColumns count="10">
    <tableColumn id="1" name="Fecha" dataDxfId="143"/>
    <tableColumn id="2" name="Concepto" dataDxfId="142"/>
    <tableColumn id="3" name="Recibo" dataDxfId="141" dataCellStyle="Millares"/>
    <tableColumn id="4" name="Expensas" dataDxfId="140" dataCellStyle="Millares"/>
    <tableColumn id="5" name="Agua" dataDxfId="139" dataCellStyle="Millares"/>
    <tableColumn id="6" name="Multa" dataDxfId="138" dataCellStyle="Millares"/>
    <tableColumn id="7" name="Total" dataDxfId="137" dataCellStyle="Millares"/>
    <tableColumn id="8" name="Deuda" dataDxfId="136" dataCellStyle="Millares"/>
    <tableColumn id="9" name="Pagado" dataDxfId="135">
      <calculatedColumnFormula>IF(T_T134131132133[[#This Row],[Total]]&lt;0,T_T134131132133[[#This Row],[Total]]*-1,0)</calculatedColumnFormula>
    </tableColumn>
    <tableColumn id="10" name="Columna1" dataDxfId="134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id="133" name="T_T134131132133134" displayName="T_T134131132133134" ref="A9:J40" totalsRowShown="0" headerRowDxfId="133" dataDxfId="131" headerRowBorderDxfId="132" tableBorderDxfId="130" totalsRowBorderDxfId="129">
  <autoFilter ref="A9:J40"/>
  <tableColumns count="10">
    <tableColumn id="1" name="Fecha" dataDxfId="128"/>
    <tableColumn id="2" name="Concepto" dataDxfId="127"/>
    <tableColumn id="3" name="Recibo" dataDxfId="126" dataCellStyle="Millares"/>
    <tableColumn id="4" name="Expensas" dataDxfId="125" dataCellStyle="Millares"/>
    <tableColumn id="5" name="Agua" dataDxfId="124" dataCellStyle="Millares"/>
    <tableColumn id="6" name="Multa" dataDxfId="123" dataCellStyle="Millares"/>
    <tableColumn id="7" name="Total" dataDxfId="122" dataCellStyle="Millares"/>
    <tableColumn id="8" name="Deuda" dataDxfId="121" dataCellStyle="Millares"/>
    <tableColumn id="9" name="Pagado" dataDxfId="120">
      <calculatedColumnFormula>IF(T_T134131132133134[[#This Row],[Total]]&lt;0,T_T134131132133134[[#This Row],[Total]]*-1,0)</calculatedColumnFormula>
    </tableColumn>
    <tableColumn id="10" name="Columna1" dataDxfId="119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id="134" name="T_T134131132133134135" displayName="T_T134131132133134135" ref="A9:K41" totalsRowCount="1" headerRowDxfId="118" dataDxfId="116" headerRowBorderDxfId="117" tableBorderDxfId="115" totalsRowBorderDxfId="114">
  <autoFilter ref="A9:K40"/>
  <tableColumns count="11">
    <tableColumn id="1" name="Fecha" dataDxfId="113" totalsRowDxfId="112"/>
    <tableColumn id="2" name="Concepto" dataDxfId="111" totalsRowDxfId="110"/>
    <tableColumn id="3" name="Recibo" dataDxfId="109" totalsRowDxfId="108" dataCellStyle="Millares"/>
    <tableColumn id="4" name="Expensas" dataDxfId="107" totalsRowDxfId="106" dataCellStyle="Millares"/>
    <tableColumn id="5" name="Agua" dataDxfId="105" totalsRowDxfId="104" dataCellStyle="Millares"/>
    <tableColumn id="6" name="Multa" dataDxfId="103" totalsRowDxfId="102" dataCellStyle="Millares"/>
    <tableColumn id="7" name="Total" dataDxfId="101" totalsRowDxfId="100" dataCellStyle="Millares"/>
    <tableColumn id="8" name="Deuda" dataDxfId="99" totalsRowDxfId="98" dataCellStyle="Millares"/>
    <tableColumn id="9" name="Pagado" dataDxfId="97" totalsRowDxfId="96">
      <calculatedColumnFormula>IF(T_T134131132133134135[[#This Row],[Total]]&lt;0,T_T134131132133134135[[#This Row],[Total]]*-1,0)</calculatedColumnFormula>
    </tableColumn>
    <tableColumn id="10" name="Columna1" dataDxfId="95" totalsRowDxfId="94"/>
    <tableColumn id="11" name="Columna2" dataDxfId="93" totalsRowDxfId="92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id="135" name="T_T134131132133134135136" displayName="T_T134131132133134135136" ref="A9:I40" totalsRowShown="0" headerRowDxfId="91" dataDxfId="89" headerRowBorderDxfId="90" tableBorderDxfId="88" totalsRowBorderDxfId="87">
  <autoFilter ref="A9:I40"/>
  <tableColumns count="9">
    <tableColumn id="1" name="Fecha" dataDxfId="86"/>
    <tableColumn id="2" name="Concepto" dataDxfId="85"/>
    <tableColumn id="3" name="Recibo" dataDxfId="84" dataCellStyle="Millares"/>
    <tableColumn id="4" name="Expensas" dataDxfId="83" dataCellStyle="Millares"/>
    <tableColumn id="5" name="Agua" dataDxfId="82" dataCellStyle="Millares"/>
    <tableColumn id="6" name="Multa" dataDxfId="81" dataCellStyle="Millares"/>
    <tableColumn id="7" name="Total" dataDxfId="80" dataCellStyle="Millares"/>
    <tableColumn id="8" name="Deuda" dataDxfId="79" dataCellStyle="Millares"/>
    <tableColumn id="9" name="Pagado" dataDxfId="78">
      <calculatedColumnFormula>IF(T_T134131132133134135136[[#This Row],[Total]]&lt;0,T_T134131132133134135136[[#This Row],[Total]]*-1,0)</calculatedColumnFormula>
    </tableColumn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id="136" name="T_T134131132133134135136137" displayName="T_T134131132133134135136137" ref="A9:J39" totalsRowShown="0" headerRowDxfId="77" dataDxfId="75" headerRowBorderDxfId="76" tableBorderDxfId="74" totalsRowBorderDxfId="73">
  <autoFilter ref="A9:J39"/>
  <tableColumns count="10">
    <tableColumn id="1" name="Fecha" dataDxfId="72"/>
    <tableColumn id="2" name="Concepto" dataDxfId="71"/>
    <tableColumn id="3" name="Recibo" dataDxfId="70" dataCellStyle="Millares"/>
    <tableColumn id="4" name="Expensas" dataDxfId="69" dataCellStyle="Millares"/>
    <tableColumn id="5" name="Agua" dataDxfId="68" dataCellStyle="Millares"/>
    <tableColumn id="6" name="Multa" dataDxfId="67" dataCellStyle="Millares"/>
    <tableColumn id="7" name="Total" dataDxfId="66" dataCellStyle="Millares"/>
    <tableColumn id="8" name="Deuda" dataDxfId="65" dataCellStyle="Millares"/>
    <tableColumn id="9" name="Pagado" dataDxfId="64">
      <calculatedColumnFormula>IF(T_T134131132133134135136137[[#This Row],[Total]]&lt;0,T_T134131132133134135136137[[#This Row],[Total]]*-1,0)</calculatedColumnFormula>
    </tableColumn>
    <tableColumn id="10" name="Columna1" dataDxfId="63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id="137" name="T_T134131132133134135136137138" displayName="T_T134131132133134135136137138" ref="A9:J40" totalsRowShown="0" headerRowDxfId="62" dataDxfId="60" headerRowBorderDxfId="61" tableBorderDxfId="59" totalsRowBorderDxfId="58">
  <autoFilter ref="A9:J40"/>
  <tableColumns count="10">
    <tableColumn id="1" name="Fecha" dataDxfId="57"/>
    <tableColumn id="2" name="Concepto" dataDxfId="56"/>
    <tableColumn id="3" name="Recibo" dataDxfId="55" dataCellStyle="Millares"/>
    <tableColumn id="4" name="Expensas" dataDxfId="54" dataCellStyle="Millares"/>
    <tableColumn id="5" name="Agua" dataDxfId="53" dataCellStyle="Millares"/>
    <tableColumn id="6" name="Multa" dataDxfId="52" dataCellStyle="Millares"/>
    <tableColumn id="7" name="Total" dataDxfId="51" dataCellStyle="Millares"/>
    <tableColumn id="8" name="Deuda" dataDxfId="50" dataCellStyle="Millares"/>
    <tableColumn id="9" name="Pagado" dataDxfId="49">
      <calculatedColumnFormula>IF(T_T134131132133134135136137138[[#This Row],[Total]]&lt;0,T_T134131132133134135136137138[[#This Row],[Total]]*-1,0)</calculatedColumnFormula>
    </tableColumn>
    <tableColumn id="10" name="Columna1" dataDxfId="48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id="138" name="T_T134131132133134135136137138139" displayName="T_T134131132133134135136137138139" ref="A9:K40" totalsRowShown="0" headerRowDxfId="47" dataDxfId="45" headerRowBorderDxfId="46" tableBorderDxfId="44" totalsRowBorderDxfId="43">
  <autoFilter ref="A9:K40"/>
  <tableColumns count="11">
    <tableColumn id="1" name="Fecha" dataDxfId="42"/>
    <tableColumn id="2" name="Concepto" dataDxfId="41"/>
    <tableColumn id="3" name="Recibo" dataDxfId="40" dataCellStyle="Millares"/>
    <tableColumn id="4" name="Expensas" dataDxfId="39" dataCellStyle="Millares"/>
    <tableColumn id="5" name="Agua" dataDxfId="38" dataCellStyle="Millares"/>
    <tableColumn id="6" name="Multa" dataDxfId="37" dataCellStyle="Millares"/>
    <tableColumn id="7" name="Total" dataDxfId="36" dataCellStyle="Millares"/>
    <tableColumn id="8" name="Deuda" dataDxfId="35" dataCellStyle="Millares"/>
    <tableColumn id="9" name="Pagado" dataDxfId="34">
      <calculatedColumnFormula>IF(T_T134131132133134135136137138139[[#This Row],[Total]]&lt;0,T_T134131132133134135136137138139[[#This Row],[Total]]*-1,0)</calculatedColumnFormula>
    </tableColumn>
    <tableColumn id="10" name="Columna1" dataDxfId="33"/>
    <tableColumn id="11" name="Columna2" dataDxfId="32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id="140" name="T_T134131132133134135136137138139141" displayName="T_T134131132133134135136137138139141" ref="A8:K39" totalsRowShown="0" headerRowDxfId="31" dataDxfId="29" headerRowBorderDxfId="30" tableBorderDxfId="28" totalsRowBorderDxfId="27">
  <autoFilter ref="A8:K39"/>
  <tableColumns count="11">
    <tableColumn id="1" name="Fecha" dataDxfId="26"/>
    <tableColumn id="2" name="Concepto" dataDxfId="25"/>
    <tableColumn id="3" name="Recibo" dataDxfId="24" dataCellStyle="Millares"/>
    <tableColumn id="4" name="Expensas" dataDxfId="23" dataCellStyle="Millares"/>
    <tableColumn id="5" name="Agua" dataDxfId="22" dataCellStyle="Millares"/>
    <tableColumn id="6" name="Multa" dataDxfId="21" dataCellStyle="Millares"/>
    <tableColumn id="7" name="Total" dataDxfId="20" dataCellStyle="Millares"/>
    <tableColumn id="8" name="Deuda" dataDxfId="19" dataCellStyle="Millares"/>
    <tableColumn id="9" name="Pagado" dataDxfId="18">
      <calculatedColumnFormula>IF(T_T134131132133134135136137138139141[[#This Row],[Total]]&lt;0,T_T134131132133134135136137138139141[[#This Row],[Total]]*-1,0)</calculatedColumnFormula>
    </tableColumn>
    <tableColumn id="10" name="Columna1" dataDxfId="17"/>
    <tableColumn id="11" name="Columna2" dataDxfId="16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id="141" name="T_T134131132133134135136137138139141142" displayName="T_T134131132133134135136137138139141142" ref="A8:K39" totalsRowShown="0" headerRowDxfId="15" dataDxfId="13" headerRowBorderDxfId="14" tableBorderDxfId="12" totalsRowBorderDxfId="11">
  <autoFilter ref="A8:K39"/>
  <tableColumns count="11">
    <tableColumn id="1" name="Fecha" dataDxfId="10"/>
    <tableColumn id="2" name="Concepto" dataDxfId="9"/>
    <tableColumn id="3" name="Recibo" dataDxfId="8" dataCellStyle="Millares"/>
    <tableColumn id="4" name="Expensas" dataDxfId="7" dataCellStyle="Millares"/>
    <tableColumn id="5" name="Agua" dataDxfId="6" dataCellStyle="Millares"/>
    <tableColumn id="6" name="Multa" dataDxfId="5" dataCellStyle="Millares"/>
    <tableColumn id="7" name="Total" dataDxfId="4" dataCellStyle="Millares"/>
    <tableColumn id="8" name="Deuda" dataDxfId="3" dataCellStyle="Millares"/>
    <tableColumn id="9" name="Pagado" dataDxfId="2">
      <calculatedColumnFormula>IF(T_T134131132133134135136137138139141142[[#This Row],[Total]]&lt;0,T_T134131132133134135136137138139141142[[#This Row],[Total]]*-1,0)</calculatedColumnFormula>
    </tableColumn>
    <tableColumn id="10" name="Columna1" dataDxfId="1"/>
    <tableColumn id="11" name="Columna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9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2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21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4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23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25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2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printerSettings" Target="../printerSettings/printerSettings26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25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printerSettings" Target="../printerSettings/printerSettings27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2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printerSettings" Target="../printerSettings/printerSettings28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27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printerSettings" Target="../printerSettings/printerSettings29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2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printerSettings" Target="../printerSettings/printerSettings30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2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printerSettings" Target="../printerSettings/printerSettings31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30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printerSettings" Target="../printerSettings/printerSettings32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31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1.xml"/><Relationship Id="rId2" Type="http://schemas.openxmlformats.org/officeDocument/2006/relationships/printerSettings" Target="../printerSettings/printerSettings33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32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printerSettings" Target="../printerSettings/printerSettings34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33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5.bin"/><Relationship Id="rId4" Type="http://schemas.openxmlformats.org/officeDocument/2006/relationships/table" Target="../tables/table35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4.xml"/><Relationship Id="rId2" Type="http://schemas.openxmlformats.org/officeDocument/2006/relationships/printerSettings" Target="../printerSettings/printerSettings36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36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5.xml"/><Relationship Id="rId2" Type="http://schemas.openxmlformats.org/officeDocument/2006/relationships/printerSettings" Target="../printerSettings/printerSettings37.bin"/><Relationship Id="rId1" Type="http://schemas.openxmlformats.org/officeDocument/2006/relationships/hyperlink" Target="mailto:jose.orozco@outlook.com" TargetMode="External"/><Relationship Id="rId6" Type="http://schemas.openxmlformats.org/officeDocument/2006/relationships/comments" Target="../comments1.xml"/><Relationship Id="rId5" Type="http://schemas.openxmlformats.org/officeDocument/2006/relationships/table" Target="../tables/table37.xml"/><Relationship Id="rId4" Type="http://schemas.openxmlformats.org/officeDocument/2006/relationships/vmlDrawing" Target="../drawings/vmlDrawing1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6.xml"/><Relationship Id="rId2" Type="http://schemas.openxmlformats.org/officeDocument/2006/relationships/printerSettings" Target="../printerSettings/printerSettings39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39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7.xml"/><Relationship Id="rId2" Type="http://schemas.openxmlformats.org/officeDocument/2006/relationships/printerSettings" Target="../printerSettings/printerSettings40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40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8.xml"/><Relationship Id="rId2" Type="http://schemas.openxmlformats.org/officeDocument/2006/relationships/printerSettings" Target="../printerSettings/printerSettings41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41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9.xml"/><Relationship Id="rId2" Type="http://schemas.openxmlformats.org/officeDocument/2006/relationships/printerSettings" Target="../printerSettings/printerSettings42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42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0.xml"/><Relationship Id="rId2" Type="http://schemas.openxmlformats.org/officeDocument/2006/relationships/printerSettings" Target="../printerSettings/printerSettings44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44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1.xml"/><Relationship Id="rId2" Type="http://schemas.openxmlformats.org/officeDocument/2006/relationships/printerSettings" Target="../printerSettings/printerSettings45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45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2.xml"/><Relationship Id="rId2" Type="http://schemas.openxmlformats.org/officeDocument/2006/relationships/printerSettings" Target="../printerSettings/printerSettings46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46.x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7.xml"/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8.xml"/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3.xml"/><Relationship Id="rId2" Type="http://schemas.openxmlformats.org/officeDocument/2006/relationships/printerSettings" Target="../printerSettings/printerSettings49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49.x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1.xml"/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4.xml"/><Relationship Id="rId2" Type="http://schemas.openxmlformats.org/officeDocument/2006/relationships/printerSettings" Target="../printerSettings/printerSettings52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52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5.xml"/><Relationship Id="rId2" Type="http://schemas.openxmlformats.org/officeDocument/2006/relationships/printerSettings" Target="../printerSettings/printerSettings53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53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4.xml"/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7.xml"/><Relationship Id="rId2" Type="http://schemas.openxmlformats.org/officeDocument/2006/relationships/printerSettings" Target="../printerSettings/printerSettings55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55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8.xml"/><Relationship Id="rId2" Type="http://schemas.openxmlformats.org/officeDocument/2006/relationships/printerSettings" Target="../printerSettings/printerSettings56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56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9.xml"/><Relationship Id="rId2" Type="http://schemas.openxmlformats.org/officeDocument/2006/relationships/printerSettings" Target="../printerSettings/printerSettings57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57.x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8.xml"/><Relationship Id="rId1" Type="http://schemas.openxmlformats.org/officeDocument/2006/relationships/printerSettings" Target="../printerSettings/printerSettings58.bin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0.xml"/><Relationship Id="rId2" Type="http://schemas.openxmlformats.org/officeDocument/2006/relationships/printerSettings" Target="../printerSettings/printerSettings59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59.xm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1.xml"/><Relationship Id="rId2" Type="http://schemas.openxmlformats.org/officeDocument/2006/relationships/printerSettings" Target="../printerSettings/printerSettings60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60.x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61.bin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2.xml"/><Relationship Id="rId2" Type="http://schemas.openxmlformats.org/officeDocument/2006/relationships/printerSettings" Target="../printerSettings/printerSettings62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62.xm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3.xml"/><Relationship Id="rId2" Type="http://schemas.openxmlformats.org/officeDocument/2006/relationships/printerSettings" Target="../printerSettings/printerSettings63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63.x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4.xml"/><Relationship Id="rId2" Type="http://schemas.openxmlformats.org/officeDocument/2006/relationships/printerSettings" Target="../printerSettings/printerSettings64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64.xm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5.xml"/><Relationship Id="rId1" Type="http://schemas.openxmlformats.org/officeDocument/2006/relationships/printerSettings" Target="../printerSettings/printerSettings65.bin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5.xml"/><Relationship Id="rId2" Type="http://schemas.openxmlformats.org/officeDocument/2006/relationships/printerSettings" Target="../printerSettings/printerSettings66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66.x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6.xml"/><Relationship Id="rId2" Type="http://schemas.openxmlformats.org/officeDocument/2006/relationships/printerSettings" Target="../printerSettings/printerSettings67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67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7.xml"/><Relationship Id="rId2" Type="http://schemas.openxmlformats.org/officeDocument/2006/relationships/printerSettings" Target="../printerSettings/printerSettings69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68.x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8.xml"/><Relationship Id="rId2" Type="http://schemas.openxmlformats.org/officeDocument/2006/relationships/printerSettings" Target="../printerSettings/printerSettings70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69.xml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9.xml"/><Relationship Id="rId2" Type="http://schemas.openxmlformats.org/officeDocument/2006/relationships/printerSettings" Target="../printerSettings/printerSettings71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70.xml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0.xml"/><Relationship Id="rId2" Type="http://schemas.openxmlformats.org/officeDocument/2006/relationships/printerSettings" Target="../printerSettings/printerSettings72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71.xm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1.xml"/><Relationship Id="rId2" Type="http://schemas.openxmlformats.org/officeDocument/2006/relationships/printerSettings" Target="../printerSettings/printerSettings73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72.xml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2.xml"/><Relationship Id="rId2" Type="http://schemas.openxmlformats.org/officeDocument/2006/relationships/printerSettings" Target="../printerSettings/printerSettings74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73.xml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3.xml"/><Relationship Id="rId2" Type="http://schemas.openxmlformats.org/officeDocument/2006/relationships/printerSettings" Target="../printerSettings/printerSettings75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74.xml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4.xml"/><Relationship Id="rId2" Type="http://schemas.openxmlformats.org/officeDocument/2006/relationships/printerSettings" Target="../printerSettings/printerSettings76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75.xml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5.xml"/><Relationship Id="rId2" Type="http://schemas.openxmlformats.org/officeDocument/2006/relationships/printerSettings" Target="../printerSettings/printerSettings77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76.xml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6.xml"/><Relationship Id="rId2" Type="http://schemas.openxmlformats.org/officeDocument/2006/relationships/printerSettings" Target="../printerSettings/printerSettings78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77.xm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7.xml"/><Relationship Id="rId2" Type="http://schemas.openxmlformats.org/officeDocument/2006/relationships/printerSettings" Target="../printerSettings/printerSettings79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78.xml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8.xml"/><Relationship Id="rId2" Type="http://schemas.openxmlformats.org/officeDocument/2006/relationships/printerSettings" Target="../printerSettings/printerSettings80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79.xml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9.xml"/><Relationship Id="rId2" Type="http://schemas.openxmlformats.org/officeDocument/2006/relationships/printerSettings" Target="../printerSettings/printerSettings81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80.xml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0.xml"/><Relationship Id="rId2" Type="http://schemas.openxmlformats.org/officeDocument/2006/relationships/printerSettings" Target="../printerSettings/printerSettings82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81.xml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1.xml"/><Relationship Id="rId2" Type="http://schemas.openxmlformats.org/officeDocument/2006/relationships/printerSettings" Target="../printerSettings/printerSettings83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82.xml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2.xml"/><Relationship Id="rId2" Type="http://schemas.openxmlformats.org/officeDocument/2006/relationships/printerSettings" Target="../printerSettings/printerSettings84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83.xml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3.xml"/><Relationship Id="rId2" Type="http://schemas.openxmlformats.org/officeDocument/2006/relationships/printerSettings" Target="../printerSettings/printerSettings85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84.xml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4.xml"/><Relationship Id="rId2" Type="http://schemas.openxmlformats.org/officeDocument/2006/relationships/printerSettings" Target="../printerSettings/printerSettings86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85.xml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5.xml"/><Relationship Id="rId2" Type="http://schemas.openxmlformats.org/officeDocument/2006/relationships/printerSettings" Target="../printerSettings/printerSettings87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86.xml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6.xml"/><Relationship Id="rId2" Type="http://schemas.openxmlformats.org/officeDocument/2006/relationships/printerSettings" Target="../printerSettings/printerSettings88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87.xml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7.xml"/><Relationship Id="rId2" Type="http://schemas.openxmlformats.org/officeDocument/2006/relationships/printerSettings" Target="../printerSettings/printerSettings89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88.xml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8.xml"/><Relationship Id="rId2" Type="http://schemas.openxmlformats.org/officeDocument/2006/relationships/printerSettings" Target="../printerSettings/printerSettings90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89.xml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9.xml"/><Relationship Id="rId2" Type="http://schemas.openxmlformats.org/officeDocument/2006/relationships/printerSettings" Target="../printerSettings/printerSettings91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90.xml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0.xml"/><Relationship Id="rId2" Type="http://schemas.openxmlformats.org/officeDocument/2006/relationships/printerSettings" Target="../printerSettings/printerSettings92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91.xml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1.xml"/><Relationship Id="rId2" Type="http://schemas.openxmlformats.org/officeDocument/2006/relationships/printerSettings" Target="../printerSettings/printerSettings93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92.x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3.xml"/><Relationship Id="rId1" Type="http://schemas.openxmlformats.org/officeDocument/2006/relationships/printerSettings" Target="../printerSettings/printerSettings94.bin"/></Relationships>
</file>

<file path=xl/worksheets/_rels/sheet9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2.xml"/><Relationship Id="rId2" Type="http://schemas.openxmlformats.org/officeDocument/2006/relationships/printerSettings" Target="../printerSettings/printerSettings95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94.xml"/></Relationships>
</file>

<file path=xl/worksheets/_rels/sheet9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3.xml"/><Relationship Id="rId2" Type="http://schemas.openxmlformats.org/officeDocument/2006/relationships/printerSettings" Target="../printerSettings/printerSettings96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95.xml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4.xml"/><Relationship Id="rId2" Type="http://schemas.openxmlformats.org/officeDocument/2006/relationships/printerSettings" Target="../printerSettings/printerSettings97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96.xml"/></Relationships>
</file>

<file path=xl/worksheets/_rels/sheet10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5.xml"/><Relationship Id="rId2" Type="http://schemas.openxmlformats.org/officeDocument/2006/relationships/printerSettings" Target="../printerSettings/printerSettings98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97.xml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6.xml"/><Relationship Id="rId2" Type="http://schemas.openxmlformats.org/officeDocument/2006/relationships/printerSettings" Target="../printerSettings/printerSettings99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98.xml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7.xml"/><Relationship Id="rId2" Type="http://schemas.openxmlformats.org/officeDocument/2006/relationships/printerSettings" Target="../printerSettings/printerSettings100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99.xml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8.xml"/><Relationship Id="rId2" Type="http://schemas.openxmlformats.org/officeDocument/2006/relationships/printerSettings" Target="../printerSettings/printerSettings101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00.xml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9.xml"/><Relationship Id="rId2" Type="http://schemas.openxmlformats.org/officeDocument/2006/relationships/printerSettings" Target="../printerSettings/printerSettings102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01.xml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0.xml"/><Relationship Id="rId2" Type="http://schemas.openxmlformats.org/officeDocument/2006/relationships/printerSettings" Target="../printerSettings/printerSettings103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02.xml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1.xml"/><Relationship Id="rId2" Type="http://schemas.openxmlformats.org/officeDocument/2006/relationships/printerSettings" Target="../printerSettings/printerSettings104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03.xml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2.xml"/><Relationship Id="rId2" Type="http://schemas.openxmlformats.org/officeDocument/2006/relationships/printerSettings" Target="../printerSettings/printerSettings105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04.xml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3.xml"/><Relationship Id="rId2" Type="http://schemas.openxmlformats.org/officeDocument/2006/relationships/printerSettings" Target="../printerSettings/printerSettings106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05.xml"/></Relationships>
</file>

<file path=xl/worksheets/_rels/sheet10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4.xml"/><Relationship Id="rId2" Type="http://schemas.openxmlformats.org/officeDocument/2006/relationships/printerSettings" Target="../printerSettings/printerSettings107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06.xml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5.xml"/><Relationship Id="rId2" Type="http://schemas.openxmlformats.org/officeDocument/2006/relationships/printerSettings" Target="../printerSettings/printerSettings108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07.xml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6.xml"/><Relationship Id="rId2" Type="http://schemas.openxmlformats.org/officeDocument/2006/relationships/printerSettings" Target="../printerSettings/printerSettings109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08.xml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7.xml"/><Relationship Id="rId2" Type="http://schemas.openxmlformats.org/officeDocument/2006/relationships/printerSettings" Target="../printerSettings/printerSettings110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09.xml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11.bin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8.xml"/><Relationship Id="rId2" Type="http://schemas.openxmlformats.org/officeDocument/2006/relationships/printerSettings" Target="../printerSettings/printerSettings112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11.xml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9.xml"/><Relationship Id="rId2" Type="http://schemas.openxmlformats.org/officeDocument/2006/relationships/printerSettings" Target="../printerSettings/printerSettings113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12.xml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14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13.xml"/></Relationships>
</file>

<file path=xl/worksheets/_rels/sheet1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15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14.xml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16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15.xml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17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16.xml"/></Relationships>
</file>

<file path=xl/worksheets/_rels/sheet1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18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17.xml"/></Relationships>
</file>

<file path=xl/worksheets/_rels/sheet1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19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18.xml"/></Relationships>
</file>

<file path=xl/worksheets/_rels/sheet1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20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19.xml"/></Relationships>
</file>

<file path=xl/worksheets/_rels/sheet1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21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20.xml"/></Relationships>
</file>

<file path=xl/worksheets/_rels/sheet12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22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21.xml"/></Relationships>
</file>

<file path=xl/worksheets/_rels/sheet12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23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22.xml"/></Relationships>
</file>

<file path=xl/worksheets/_rels/sheet12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24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23.xml"/></Relationships>
</file>

<file path=xl/worksheets/_rels/sheet12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25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24.xml"/></Relationships>
</file>

<file path=xl/worksheets/_rels/sheet12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26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25.xml"/></Relationships>
</file>

<file path=xl/worksheets/_rels/sheet12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27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26.xml"/></Relationships>
</file>

<file path=xl/worksheets/_rels/sheet13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28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27.xml"/></Relationships>
</file>

<file path=xl/worksheets/_rels/sheet13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29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28.xml"/></Relationships>
</file>

<file path=xl/worksheets/_rels/sheet13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30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29.xml"/></Relationships>
</file>

<file path=xl/worksheets/_rels/sheet13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31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30.xml"/></Relationships>
</file>

<file path=xl/worksheets/_rels/sheet13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32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31.xml"/></Relationships>
</file>

<file path=xl/worksheets/_rels/sheet13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33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32.xml"/></Relationships>
</file>

<file path=xl/worksheets/_rels/sheet13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34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33.xml"/></Relationships>
</file>

<file path=xl/worksheets/_rels/sheet13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35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34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37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35.xml"/></Relationships>
</file>

<file path=xl/worksheets/_rels/sheet14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38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36.xml"/></Relationships>
</file>

<file path=xl/worksheets/_rels/sheet14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39.bin"/><Relationship Id="rId1" Type="http://schemas.openxmlformats.org/officeDocument/2006/relationships/hyperlink" Target="mailto:jose.orozco@outlook.com" TargetMode="External"/><Relationship Id="rId4" Type="http://schemas.openxmlformats.org/officeDocument/2006/relationships/table" Target="../tables/table137.xml"/></Relationships>
</file>

<file path=xl/worksheets/_rels/sheet14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8.xml"/><Relationship Id="rId2" Type="http://schemas.openxmlformats.org/officeDocument/2006/relationships/drawing" Target="../drawings/drawing125.xml"/><Relationship Id="rId1" Type="http://schemas.openxmlformats.org/officeDocument/2006/relationships/hyperlink" Target="mailto:jose.orozco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2:I39"/>
  <sheetViews>
    <sheetView showGridLines="0" workbookViewId="0">
      <selection activeCell="D10" sqref="D10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0" style="1" hidden="1" customWidth="1"/>
    <col min="7" max="7" width="11.88671875" style="1" customWidth="1"/>
    <col min="8" max="8" width="12.44140625" style="1" customWidth="1"/>
  </cols>
  <sheetData>
    <row r="2" spans="1:9" x14ac:dyDescent="0.3">
      <c r="A2" s="27" t="s">
        <v>36</v>
      </c>
      <c r="B2" s="28" t="s">
        <v>25</v>
      </c>
    </row>
    <row r="3" spans="1:9" x14ac:dyDescent="0.3">
      <c r="A3" s="27" t="s">
        <v>31</v>
      </c>
      <c r="B3" s="28" t="e">
        <f>LOOKUP(B2,#REF!,#REF!)</f>
        <v>#REF!</v>
      </c>
    </row>
    <row r="4" spans="1:9" x14ac:dyDescent="0.3">
      <c r="A4" s="27" t="s">
        <v>32</v>
      </c>
      <c r="B4" s="28" t="e">
        <f>LOOKUP(B2,#REF!,#REF!)</f>
        <v>#REF!</v>
      </c>
    </row>
    <row r="5" spans="1:9" x14ac:dyDescent="0.3">
      <c r="A5" s="27" t="s">
        <v>33</v>
      </c>
      <c r="B5" s="28" t="e">
        <f>LOOKUP(B2,#REF!,#REF!)</f>
        <v>#REF!</v>
      </c>
    </row>
    <row r="6" spans="1:9" x14ac:dyDescent="0.3">
      <c r="A6" s="27" t="s">
        <v>34</v>
      </c>
      <c r="B6" s="28" t="e">
        <f>LOOKUP(B2,#REF!,#REF!)</f>
        <v>#REF!</v>
      </c>
      <c r="G6" s="25"/>
      <c r="H6" s="25"/>
    </row>
    <row r="7" spans="1:9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9" x14ac:dyDescent="0.3">
      <c r="A8" s="21"/>
      <c r="B8" s="21"/>
    </row>
    <row r="9" spans="1:9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26</v>
      </c>
      <c r="G9" s="15" t="s">
        <v>5</v>
      </c>
      <c r="H9" s="16" t="s">
        <v>28</v>
      </c>
    </row>
    <row r="10" spans="1:9" x14ac:dyDescent="0.3">
      <c r="A10" s="8">
        <v>42674</v>
      </c>
      <c r="B10" s="3" t="s">
        <v>2</v>
      </c>
      <c r="C10" s="6"/>
      <c r="D10" s="7"/>
      <c r="E10" s="7"/>
      <c r="F10" s="7">
        <v>0</v>
      </c>
      <c r="G10" s="7">
        <f>SUM(D10:F10)</f>
        <v>0</v>
      </c>
      <c r="H10" s="10">
        <f>G10</f>
        <v>0</v>
      </c>
    </row>
    <row r="11" spans="1:9" x14ac:dyDescent="0.3">
      <c r="A11" s="9">
        <v>43032</v>
      </c>
      <c r="B11" s="3" t="s">
        <v>6</v>
      </c>
      <c r="C11" s="6"/>
      <c r="D11" s="7"/>
      <c r="E11" s="7"/>
      <c r="F11" s="7">
        <v>0</v>
      </c>
      <c r="G11" s="7">
        <f t="shared" ref="G11:G25" si="0">SUM(D11:F11)</f>
        <v>0</v>
      </c>
      <c r="H11" s="10">
        <f t="shared" ref="H11:H39" si="1">H10+G11</f>
        <v>0</v>
      </c>
    </row>
    <row r="12" spans="1:9" x14ac:dyDescent="0.3">
      <c r="A12" s="9">
        <v>43069</v>
      </c>
      <c r="B12" s="3" t="s">
        <v>7</v>
      </c>
      <c r="C12" s="6"/>
      <c r="D12" s="7"/>
      <c r="E12" s="7"/>
      <c r="F12" s="7">
        <v>0</v>
      </c>
      <c r="G12" s="7">
        <f>SUM(D12:F12)</f>
        <v>0</v>
      </c>
      <c r="H12" s="10">
        <f t="shared" si="1"/>
        <v>0</v>
      </c>
    </row>
    <row r="13" spans="1:9" x14ac:dyDescent="0.3">
      <c r="A13" s="9">
        <v>42711</v>
      </c>
      <c r="B13" s="3" t="s">
        <v>9</v>
      </c>
      <c r="C13" s="6"/>
      <c r="D13" s="7"/>
      <c r="E13" s="7"/>
      <c r="F13" s="7">
        <v>0</v>
      </c>
      <c r="G13" s="7">
        <f t="shared" si="0"/>
        <v>0</v>
      </c>
      <c r="H13" s="10">
        <f t="shared" si="1"/>
        <v>0</v>
      </c>
    </row>
    <row r="14" spans="1:9" x14ac:dyDescent="0.3">
      <c r="A14" s="9">
        <v>42735</v>
      </c>
      <c r="B14" s="3" t="s">
        <v>8</v>
      </c>
      <c r="C14" s="6"/>
      <c r="D14" s="7"/>
      <c r="E14" s="7"/>
      <c r="F14" s="7">
        <v>0</v>
      </c>
      <c r="G14" s="7">
        <f>SUM(D14:F14)</f>
        <v>0</v>
      </c>
      <c r="H14" s="10">
        <f t="shared" si="1"/>
        <v>0</v>
      </c>
    </row>
    <row r="15" spans="1:9" x14ac:dyDescent="0.3">
      <c r="A15" s="9">
        <v>42740</v>
      </c>
      <c r="B15" s="3" t="s">
        <v>10</v>
      </c>
      <c r="C15" s="6"/>
      <c r="D15" s="7"/>
      <c r="E15" s="7"/>
      <c r="F15" s="7">
        <v>0</v>
      </c>
      <c r="G15" s="7">
        <f t="shared" si="0"/>
        <v>0</v>
      </c>
      <c r="H15" s="10">
        <f t="shared" si="1"/>
        <v>0</v>
      </c>
    </row>
    <row r="16" spans="1:9" x14ac:dyDescent="0.3">
      <c r="A16" s="9">
        <v>42766</v>
      </c>
      <c r="B16" s="3" t="s">
        <v>11</v>
      </c>
      <c r="C16" s="2"/>
      <c r="D16" s="7"/>
      <c r="E16" s="7"/>
      <c r="F16" s="7">
        <v>0</v>
      </c>
      <c r="G16" s="7">
        <f t="shared" si="0"/>
        <v>0</v>
      </c>
      <c r="H16" s="10">
        <f t="shared" si="1"/>
        <v>0</v>
      </c>
    </row>
    <row r="17" spans="1:8" x14ac:dyDescent="0.3">
      <c r="A17" s="9">
        <v>42773</v>
      </c>
      <c r="B17" s="3" t="s">
        <v>17</v>
      </c>
      <c r="C17" s="6"/>
      <c r="D17" s="7"/>
      <c r="E17" s="7"/>
      <c r="F17" s="7">
        <v>0</v>
      </c>
      <c r="G17" s="7">
        <f t="shared" si="0"/>
        <v>0</v>
      </c>
      <c r="H17" s="10">
        <f t="shared" si="1"/>
        <v>0</v>
      </c>
    </row>
    <row r="18" spans="1:8" x14ac:dyDescent="0.3">
      <c r="A18" s="9">
        <v>42794</v>
      </c>
      <c r="B18" s="3" t="s">
        <v>12</v>
      </c>
      <c r="C18" s="6"/>
      <c r="D18" s="7"/>
      <c r="E18" s="7"/>
      <c r="F18" s="7">
        <v>0</v>
      </c>
      <c r="G18" s="7">
        <f t="shared" si="0"/>
        <v>0</v>
      </c>
      <c r="H18" s="10">
        <f t="shared" si="1"/>
        <v>0</v>
      </c>
    </row>
    <row r="19" spans="1:8" x14ac:dyDescent="0.3">
      <c r="A19" s="8" t="s">
        <v>22</v>
      </c>
      <c r="B19" s="3" t="s">
        <v>16</v>
      </c>
      <c r="C19" s="6"/>
      <c r="D19" s="7"/>
      <c r="E19" s="7"/>
      <c r="F19" s="7">
        <v>0</v>
      </c>
      <c r="G19" s="7">
        <f t="shared" si="0"/>
        <v>0</v>
      </c>
      <c r="H19" s="10">
        <f t="shared" si="1"/>
        <v>0</v>
      </c>
    </row>
    <row r="20" spans="1:8" x14ac:dyDescent="0.3">
      <c r="A20" s="9">
        <v>42825</v>
      </c>
      <c r="B20" s="3" t="s">
        <v>13</v>
      </c>
      <c r="C20" s="6"/>
      <c r="D20" s="7"/>
      <c r="E20" s="7"/>
      <c r="F20" s="7"/>
      <c r="G20" s="7">
        <f t="shared" si="0"/>
        <v>0</v>
      </c>
      <c r="H20" s="10">
        <f t="shared" si="1"/>
        <v>0</v>
      </c>
    </row>
    <row r="21" spans="1:8" x14ac:dyDescent="0.3">
      <c r="A21" s="9">
        <v>42835</v>
      </c>
      <c r="B21" s="3" t="s">
        <v>18</v>
      </c>
      <c r="C21" s="6"/>
      <c r="D21" s="7"/>
      <c r="E21" s="7"/>
      <c r="F21" s="7">
        <v>0</v>
      </c>
      <c r="G21" s="7">
        <f t="shared" si="0"/>
        <v>0</v>
      </c>
      <c r="H21" s="10">
        <f t="shared" si="1"/>
        <v>0</v>
      </c>
    </row>
    <row r="22" spans="1:8" x14ac:dyDescent="0.3">
      <c r="A22" s="9">
        <v>42855</v>
      </c>
      <c r="B22" s="3" t="s">
        <v>14</v>
      </c>
      <c r="C22" s="6"/>
      <c r="D22" s="7"/>
      <c r="E22" s="7"/>
      <c r="F22" s="7"/>
      <c r="G22" s="7">
        <f t="shared" si="0"/>
        <v>0</v>
      </c>
      <c r="H22" s="10">
        <f t="shared" si="1"/>
        <v>0</v>
      </c>
    </row>
    <row r="23" spans="1:8" x14ac:dyDescent="0.3">
      <c r="A23" s="9">
        <v>42860</v>
      </c>
      <c r="B23" s="3" t="s">
        <v>19</v>
      </c>
      <c r="C23" s="6"/>
      <c r="D23" s="7"/>
      <c r="E23" s="7"/>
      <c r="F23" s="7">
        <v>0</v>
      </c>
      <c r="G23" s="7">
        <f t="shared" si="0"/>
        <v>0</v>
      </c>
      <c r="H23" s="10">
        <f t="shared" si="1"/>
        <v>0</v>
      </c>
    </row>
    <row r="24" spans="1:8" x14ac:dyDescent="0.3">
      <c r="A24" s="9">
        <v>42886</v>
      </c>
      <c r="B24" s="3" t="s">
        <v>15</v>
      </c>
      <c r="C24" s="6"/>
      <c r="D24" s="7"/>
      <c r="E24" s="7"/>
      <c r="F24" s="7"/>
      <c r="G24" s="7">
        <f t="shared" si="0"/>
        <v>0</v>
      </c>
      <c r="H24" s="10">
        <f t="shared" si="1"/>
        <v>0</v>
      </c>
    </row>
    <row r="25" spans="1:8" x14ac:dyDescent="0.3">
      <c r="A25" s="17">
        <v>42892</v>
      </c>
      <c r="B25" s="18" t="s">
        <v>20</v>
      </c>
      <c r="C25" s="19"/>
      <c r="D25" s="20"/>
      <c r="E25" s="20"/>
      <c r="F25" s="20"/>
      <c r="G25" s="20">
        <f t="shared" si="0"/>
        <v>0</v>
      </c>
      <c r="H25" s="10">
        <f t="shared" si="1"/>
        <v>0</v>
      </c>
    </row>
    <row r="26" spans="1:8" x14ac:dyDescent="0.3">
      <c r="A26" s="17">
        <v>42916</v>
      </c>
      <c r="B26" s="3" t="s">
        <v>27</v>
      </c>
      <c r="C26" s="19"/>
      <c r="D26" s="20"/>
      <c r="E26" s="20"/>
      <c r="F26" s="20"/>
      <c r="G26" s="20">
        <f t="shared" ref="G26:G39" si="2">SUM(D26:F26)</f>
        <v>0</v>
      </c>
      <c r="H26" s="10">
        <f t="shared" si="1"/>
        <v>0</v>
      </c>
    </row>
    <row r="27" spans="1:8" x14ac:dyDescent="0.3">
      <c r="A27" s="9"/>
      <c r="B27" s="18" t="s">
        <v>40</v>
      </c>
      <c r="C27" s="30"/>
      <c r="D27" s="31"/>
      <c r="E27" s="31"/>
      <c r="F27" s="31"/>
      <c r="G27" s="31">
        <f t="shared" si="2"/>
        <v>0</v>
      </c>
      <c r="H27" s="10">
        <f t="shared" si="1"/>
        <v>0</v>
      </c>
    </row>
    <row r="28" spans="1:8" x14ac:dyDescent="0.3">
      <c r="A28" s="17">
        <v>42947</v>
      </c>
      <c r="B28" s="3" t="s">
        <v>29</v>
      </c>
      <c r="C28" s="19"/>
      <c r="D28" s="20"/>
      <c r="E28" s="20"/>
      <c r="F28" s="20"/>
      <c r="G28" s="20">
        <f t="shared" si="2"/>
        <v>0</v>
      </c>
      <c r="H28" s="10">
        <f t="shared" si="1"/>
        <v>0</v>
      </c>
    </row>
    <row r="29" spans="1:8" x14ac:dyDescent="0.3">
      <c r="A29" s="9"/>
      <c r="B29" s="18" t="s">
        <v>41</v>
      </c>
      <c r="C29" s="30"/>
      <c r="D29" s="31"/>
      <c r="E29" s="31"/>
      <c r="F29" s="31"/>
      <c r="G29" s="31">
        <f t="shared" si="2"/>
        <v>0</v>
      </c>
      <c r="H29" s="10">
        <f t="shared" si="1"/>
        <v>0</v>
      </c>
    </row>
    <row r="30" spans="1:8" x14ac:dyDescent="0.3">
      <c r="A30" s="17">
        <v>42978</v>
      </c>
      <c r="B30" s="3" t="s">
        <v>37</v>
      </c>
      <c r="C30" s="32"/>
      <c r="D30" s="33"/>
      <c r="E30" s="33"/>
      <c r="F30" s="33"/>
      <c r="G30" s="33">
        <f t="shared" si="2"/>
        <v>0</v>
      </c>
      <c r="H30" s="10">
        <f t="shared" si="1"/>
        <v>0</v>
      </c>
    </row>
    <row r="31" spans="1:8" x14ac:dyDescent="0.3">
      <c r="A31" s="9"/>
      <c r="B31" s="18" t="s">
        <v>42</v>
      </c>
      <c r="C31" s="30"/>
      <c r="D31" s="31"/>
      <c r="E31" s="31"/>
      <c r="F31" s="31"/>
      <c r="G31" s="31">
        <f t="shared" si="2"/>
        <v>0</v>
      </c>
      <c r="H31" s="10">
        <f t="shared" si="1"/>
        <v>0</v>
      </c>
    </row>
    <row r="32" spans="1:8" x14ac:dyDescent="0.3">
      <c r="A32" s="17">
        <v>43008</v>
      </c>
      <c r="B32" s="3" t="s">
        <v>38</v>
      </c>
      <c r="C32" s="32"/>
      <c r="D32" s="33"/>
      <c r="E32" s="33"/>
      <c r="F32" s="33"/>
      <c r="G32" s="33">
        <f t="shared" si="2"/>
        <v>0</v>
      </c>
      <c r="H32" s="10">
        <f t="shared" si="1"/>
        <v>0</v>
      </c>
    </row>
    <row r="33" spans="1:8" x14ac:dyDescent="0.3">
      <c r="A33" s="9"/>
      <c r="B33" s="18" t="s">
        <v>43</v>
      </c>
      <c r="C33" s="30"/>
      <c r="D33" s="31"/>
      <c r="E33" s="31"/>
      <c r="F33" s="31"/>
      <c r="G33" s="31">
        <f t="shared" si="2"/>
        <v>0</v>
      </c>
      <c r="H33" s="10">
        <f t="shared" si="1"/>
        <v>0</v>
      </c>
    </row>
    <row r="34" spans="1:8" x14ac:dyDescent="0.3">
      <c r="A34" s="17">
        <v>43039</v>
      </c>
      <c r="B34" s="3" t="s">
        <v>39</v>
      </c>
      <c r="C34" s="32"/>
      <c r="D34" s="33"/>
      <c r="E34" s="33"/>
      <c r="F34" s="33"/>
      <c r="G34" s="33">
        <f t="shared" si="2"/>
        <v>0</v>
      </c>
      <c r="H34" s="10">
        <f t="shared" si="1"/>
        <v>0</v>
      </c>
    </row>
    <row r="35" spans="1:8" x14ac:dyDescent="0.3">
      <c r="A35" s="9"/>
      <c r="B35" s="18" t="s">
        <v>44</v>
      </c>
      <c r="C35" s="30"/>
      <c r="D35" s="31"/>
      <c r="E35" s="31"/>
      <c r="F35" s="31"/>
      <c r="G35" s="31">
        <f t="shared" si="2"/>
        <v>0</v>
      </c>
      <c r="H35" s="10">
        <f t="shared" si="1"/>
        <v>0</v>
      </c>
    </row>
    <row r="36" spans="1:8" x14ac:dyDescent="0.3">
      <c r="A36" s="17">
        <v>43069</v>
      </c>
      <c r="B36" s="3" t="s">
        <v>45</v>
      </c>
      <c r="C36" s="32"/>
      <c r="D36" s="33"/>
      <c r="E36" s="33"/>
      <c r="F36" s="33"/>
      <c r="G36" s="33">
        <f t="shared" si="2"/>
        <v>0</v>
      </c>
      <c r="H36" s="10">
        <f t="shared" si="1"/>
        <v>0</v>
      </c>
    </row>
    <row r="37" spans="1:8" x14ac:dyDescent="0.3">
      <c r="A37" s="9"/>
      <c r="B37" s="18" t="s">
        <v>46</v>
      </c>
      <c r="C37" s="30"/>
      <c r="D37" s="31"/>
      <c r="E37" s="31"/>
      <c r="F37" s="31"/>
      <c r="G37" s="31">
        <f t="shared" si="2"/>
        <v>0</v>
      </c>
      <c r="H37" s="10">
        <f t="shared" si="1"/>
        <v>0</v>
      </c>
    </row>
    <row r="38" spans="1:8" x14ac:dyDescent="0.3">
      <c r="A38" s="17">
        <v>43100</v>
      </c>
      <c r="B38" s="3" t="s">
        <v>47</v>
      </c>
      <c r="C38" s="32"/>
      <c r="D38" s="33"/>
      <c r="E38" s="33"/>
      <c r="F38" s="33"/>
      <c r="G38" s="33">
        <f t="shared" si="2"/>
        <v>0</v>
      </c>
      <c r="H38" s="10">
        <f t="shared" si="1"/>
        <v>0</v>
      </c>
    </row>
    <row r="39" spans="1:8" x14ac:dyDescent="0.3">
      <c r="A39" s="17"/>
      <c r="B39" s="18" t="s">
        <v>48</v>
      </c>
      <c r="C39" s="32"/>
      <c r="D39" s="33"/>
      <c r="E39" s="33"/>
      <c r="F39" s="33"/>
      <c r="G39" s="33">
        <f t="shared" si="2"/>
        <v>0</v>
      </c>
      <c r="H39" s="10">
        <f t="shared" si="1"/>
        <v>0</v>
      </c>
    </row>
  </sheetData>
  <dataValidations count="1">
    <dataValidation type="list" allowBlank="1" showInputMessage="1" showErrorMessage="1" sqref="B2">
      <formula1>"D1,D2,G1,G2,1A,1B,1C,1D,2A,2B,2C,2D,3A,3B,3C,3D,4A,4B,4C,52,5B,5C,6A,6B,6C,7A,7B,T1,T2,T3"</formula1>
    </dataValidation>
  </dataValidations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orientation="portrait" verticalDpi="360" r:id="rId2"/>
  <ignoredErrors>
    <ignoredError sqref="H10" calculatedColumn="1"/>
    <ignoredError sqref="G11:G25" formulaRange="1"/>
  </ignoredErrors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theme="7" tint="0.59999389629810485"/>
  </sheetPr>
  <dimension ref="A2:M45"/>
  <sheetViews>
    <sheetView showGridLines="0" zoomScale="98" zoomScaleNormal="98" workbookViewId="0">
      <selection activeCell="E20" sqref="E20"/>
    </sheetView>
  </sheetViews>
  <sheetFormatPr baseColWidth="10" defaultColWidth="9.109375" defaultRowHeight="14.4" x14ac:dyDescent="0.3"/>
  <cols>
    <col min="1" max="1" width="16.44140625" customWidth="1"/>
    <col min="2" max="2" width="34.88671875" customWidth="1"/>
    <col min="3" max="3" width="12.6640625" style="4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23.5546875" customWidth="1"/>
  </cols>
  <sheetData>
    <row r="2" spans="1:13" ht="15.6" x14ac:dyDescent="0.3">
      <c r="A2" s="27" t="s">
        <v>36</v>
      </c>
      <c r="B2" s="41" t="s">
        <v>75</v>
      </c>
    </row>
    <row r="3" spans="1:13" ht="13.5" customHeight="1" x14ac:dyDescent="0.3">
      <c r="A3" s="27" t="s">
        <v>31</v>
      </c>
      <c r="B3" s="28" t="e">
        <f>LOOKUP(B2,#REF!,#REF!)</f>
        <v>#REF!</v>
      </c>
    </row>
    <row r="4" spans="1:13" hidden="1" x14ac:dyDescent="0.3">
      <c r="A4" s="27" t="s">
        <v>32</v>
      </c>
      <c r="B4" s="28" t="e">
        <f>LOOKUP(B2,#REF!,#REF!)</f>
        <v>#REF!</v>
      </c>
    </row>
    <row r="5" spans="1:13" hidden="1" x14ac:dyDescent="0.3">
      <c r="A5" s="27" t="s">
        <v>33</v>
      </c>
      <c r="B5" s="28" t="e">
        <f>LOOKUP(B2,#REF!,#REF!)</f>
        <v>#REF!</v>
      </c>
    </row>
    <row r="6" spans="1:13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3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3" x14ac:dyDescent="0.3">
      <c r="A8" s="21" t="s">
        <v>430</v>
      </c>
      <c r="B8" s="21"/>
    </row>
    <row r="9" spans="1:13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69" t="s">
        <v>188</v>
      </c>
      <c r="K9" s="75" t="s">
        <v>191</v>
      </c>
    </row>
    <row r="10" spans="1:13" x14ac:dyDescent="0.3">
      <c r="A10" s="288"/>
      <c r="B10" s="118"/>
      <c r="C10" s="541"/>
      <c r="D10" s="542"/>
      <c r="E10" s="542"/>
      <c r="F10" s="542"/>
      <c r="G10" s="542">
        <f>SUM(D10:F48)</f>
        <v>117</v>
      </c>
      <c r="H10" s="543">
        <v>0</v>
      </c>
      <c r="I10" s="544">
        <f>IF(T_T134[[#This Row],[Total]]&lt;0,T_T134[[#This Row],[Total]]*-1,0)</f>
        <v>0</v>
      </c>
      <c r="J10" s="544"/>
      <c r="K10" s="545"/>
    </row>
    <row r="11" spans="1:13" x14ac:dyDescent="0.3">
      <c r="A11" s="17">
        <v>46052</v>
      </c>
      <c r="B11" s="18" t="s">
        <v>590</v>
      </c>
      <c r="C11" s="372"/>
      <c r="D11" s="372">
        <v>90</v>
      </c>
      <c r="E11" s="372">
        <v>3</v>
      </c>
      <c r="F11" s="20"/>
      <c r="G11" s="20">
        <f>+T_T134[[#This Row],[Expensas]]+T_T134[[#This Row],[Agua]]+T_T134[[#This Row],[Multa]]</f>
        <v>93</v>
      </c>
      <c r="H11" s="233">
        <f>+H10+T_T134[[#This Row],[Total]]</f>
        <v>93</v>
      </c>
      <c r="I11" s="53">
        <f>IF(T_T134[[#This Row],[Total]]&lt;0,T_T134[[#This Row],[Total]]*-1,0)</f>
        <v>0</v>
      </c>
      <c r="J11" s="53"/>
      <c r="K11" s="79"/>
    </row>
    <row r="12" spans="1:13" x14ac:dyDescent="0.3">
      <c r="A12" s="17"/>
      <c r="B12" s="18" t="s">
        <v>591</v>
      </c>
      <c r="C12" s="6" t="s">
        <v>656</v>
      </c>
      <c r="D12" s="2">
        <f>-26-64</f>
        <v>-90</v>
      </c>
      <c r="E12" s="2">
        <v>-3</v>
      </c>
      <c r="F12" s="230"/>
      <c r="G12" s="230">
        <f t="shared" ref="G12:G34" si="0">SUM(D12:F12)</f>
        <v>-93</v>
      </c>
      <c r="H12" s="233">
        <f>+H11+T_T134[[#This Row],[Total]]</f>
        <v>0</v>
      </c>
      <c r="I12" s="240">
        <f>IF(T_T134[[#This Row],[Total]]&lt;0,T_T134[[#This Row],[Total]]*-1,0)</f>
        <v>93</v>
      </c>
      <c r="J12" s="240"/>
      <c r="K12" s="79"/>
    </row>
    <row r="13" spans="1:13" x14ac:dyDescent="0.3">
      <c r="A13" s="164">
        <v>45715</v>
      </c>
      <c r="B13" s="161" t="s">
        <v>532</v>
      </c>
      <c r="C13" s="6"/>
      <c r="D13" s="2">
        <v>90</v>
      </c>
      <c r="E13" s="2">
        <v>5</v>
      </c>
      <c r="F13" s="230"/>
      <c r="G13" s="230">
        <f t="shared" si="0"/>
        <v>95</v>
      </c>
      <c r="H13" s="233">
        <f>+H12+T_T134[[#This Row],[Total]]</f>
        <v>95</v>
      </c>
      <c r="I13" s="240">
        <f>IF(T_T134[[#This Row],[Total]]&lt;0,T_T134[[#This Row],[Total]]*-1,0)</f>
        <v>0</v>
      </c>
      <c r="J13" s="240"/>
      <c r="K13" s="313"/>
    </row>
    <row r="14" spans="1:13" x14ac:dyDescent="0.3">
      <c r="A14" s="187"/>
      <c r="B14" s="18" t="s">
        <v>533</v>
      </c>
      <c r="C14" s="6" t="s">
        <v>657</v>
      </c>
      <c r="D14" s="2">
        <f>-64-26</f>
        <v>-90</v>
      </c>
      <c r="E14" s="2">
        <v>-5</v>
      </c>
      <c r="F14" s="230"/>
      <c r="G14" s="230">
        <f t="shared" si="0"/>
        <v>-95</v>
      </c>
      <c r="H14" s="233">
        <f>+H13+T_T134[[#This Row],[Total]]</f>
        <v>0</v>
      </c>
      <c r="I14" s="240">
        <f>IF(T_T134[[#This Row],[Total]]&lt;0,T_T134[[#This Row],[Total]]*-1,0)</f>
        <v>95</v>
      </c>
      <c r="J14" s="240"/>
      <c r="K14" s="79"/>
      <c r="M14" t="s">
        <v>366</v>
      </c>
    </row>
    <row r="15" spans="1:13" x14ac:dyDescent="0.3">
      <c r="A15" s="188">
        <v>45747</v>
      </c>
      <c r="B15" s="3" t="s">
        <v>534</v>
      </c>
      <c r="C15" s="6"/>
      <c r="D15" s="2">
        <v>107</v>
      </c>
      <c r="E15" s="2">
        <v>5</v>
      </c>
      <c r="F15" s="230"/>
      <c r="G15" s="230">
        <f t="shared" si="0"/>
        <v>112</v>
      </c>
      <c r="H15" s="233">
        <f>+H14+T_T134[[#This Row],[Total]]</f>
        <v>112</v>
      </c>
      <c r="I15" s="240">
        <f>IF(T_T134[[#This Row],[Total]]&lt;0,T_T134[[#This Row],[Total]]*-1,0)</f>
        <v>0</v>
      </c>
      <c r="J15" s="240"/>
      <c r="K15" s="79"/>
      <c r="M15" t="s">
        <v>366</v>
      </c>
    </row>
    <row r="16" spans="1:13" x14ac:dyDescent="0.3">
      <c r="A16" s="188"/>
      <c r="B16" s="82" t="s">
        <v>535</v>
      </c>
      <c r="C16" s="6" t="s">
        <v>658</v>
      </c>
      <c r="D16" s="2">
        <f>-77-30</f>
        <v>-107</v>
      </c>
      <c r="E16" s="2">
        <v>-5</v>
      </c>
      <c r="F16" s="230"/>
      <c r="G16" s="230">
        <f t="shared" si="0"/>
        <v>-112</v>
      </c>
      <c r="H16" s="233">
        <f>+H15+T_T134[[#This Row],[Total]]</f>
        <v>0</v>
      </c>
      <c r="I16" s="240">
        <f>IF(T_T134[[#This Row],[Total]]&lt;0,T_T134[[#This Row],[Total]]*-1,0)</f>
        <v>112</v>
      </c>
      <c r="J16" s="240"/>
      <c r="K16" s="79"/>
    </row>
    <row r="17" spans="1:11" x14ac:dyDescent="0.3">
      <c r="A17" s="188">
        <v>45777</v>
      </c>
      <c r="B17" s="3" t="s">
        <v>536</v>
      </c>
      <c r="C17" s="6"/>
      <c r="D17" s="2">
        <v>107</v>
      </c>
      <c r="E17" s="2">
        <v>10</v>
      </c>
      <c r="F17" s="230"/>
      <c r="G17" s="230">
        <f t="shared" si="0"/>
        <v>117</v>
      </c>
      <c r="H17" s="233">
        <f>+H16+T_T134[[#This Row],[Total]]</f>
        <v>117</v>
      </c>
      <c r="I17" s="240">
        <f>IF(T_T134[[#This Row],[Total]]&lt;0,T_T134[[#This Row],[Total]]*-1,0)</f>
        <v>0</v>
      </c>
      <c r="J17" s="240"/>
      <c r="K17" s="79"/>
    </row>
    <row r="18" spans="1:11" x14ac:dyDescent="0.3">
      <c r="A18" s="83"/>
      <c r="B18" s="82" t="s">
        <v>537</v>
      </c>
      <c r="C18" s="6" t="s">
        <v>659</v>
      </c>
      <c r="D18" s="2">
        <f>-30-77</f>
        <v>-107</v>
      </c>
      <c r="E18" s="2">
        <v>-10</v>
      </c>
      <c r="F18" s="230"/>
      <c r="G18" s="230">
        <f t="shared" si="0"/>
        <v>-117</v>
      </c>
      <c r="H18" s="233">
        <f>+H17+T_T134[[#This Row],[Total]]</f>
        <v>0</v>
      </c>
      <c r="I18" s="240">
        <f>IF(T_T134[[#This Row],[Total]]&lt;0,T_T134[[#This Row],[Total]]*-1,0)</f>
        <v>117</v>
      </c>
      <c r="J18" s="240"/>
      <c r="K18" s="79"/>
    </row>
    <row r="19" spans="1:11" x14ac:dyDescent="0.3">
      <c r="A19" s="40">
        <v>45807</v>
      </c>
      <c r="B19" s="3" t="s">
        <v>538</v>
      </c>
      <c r="C19" s="229"/>
      <c r="D19" s="230">
        <v>107</v>
      </c>
      <c r="E19" s="230">
        <v>10</v>
      </c>
      <c r="F19" s="230"/>
      <c r="G19" s="230">
        <f t="shared" si="0"/>
        <v>117</v>
      </c>
      <c r="H19" s="233">
        <f>+H18+T_T134[[#This Row],[Total]]</f>
        <v>117</v>
      </c>
      <c r="I19" s="240">
        <f>IF(T_T134[[#This Row],[Total]]&lt;0,T_T134[[#This Row],[Total]]*-1,0)</f>
        <v>0</v>
      </c>
      <c r="J19" s="240"/>
      <c r="K19" s="79"/>
    </row>
    <row r="20" spans="1:11" x14ac:dyDescent="0.3">
      <c r="A20" s="9"/>
      <c r="B20" s="18" t="s">
        <v>539</v>
      </c>
      <c r="C20" s="6"/>
      <c r="D20" s="230"/>
      <c r="E20" s="230"/>
      <c r="F20" s="230"/>
      <c r="G20" s="230">
        <f t="shared" si="0"/>
        <v>0</v>
      </c>
      <c r="H20" s="233">
        <f>+H19+T_T134[[#This Row],[Total]]</f>
        <v>117</v>
      </c>
      <c r="I20" s="240">
        <f>IF(T_T134[[#This Row],[Total]]&lt;0,T_T134[[#This Row],[Total]]*-1,0)</f>
        <v>0</v>
      </c>
      <c r="J20" s="240"/>
      <c r="K20" s="79"/>
    </row>
    <row r="21" spans="1:11" x14ac:dyDescent="0.3">
      <c r="A21" s="9">
        <v>45838</v>
      </c>
      <c r="B21" s="3" t="s">
        <v>540</v>
      </c>
      <c r="C21" s="229"/>
      <c r="D21" s="230"/>
      <c r="E21" s="230"/>
      <c r="F21" s="230"/>
      <c r="G21" s="230">
        <f t="shared" si="0"/>
        <v>0</v>
      </c>
      <c r="H21" s="233">
        <f>+H20+T_T134[[#This Row],[Total]]</f>
        <v>117</v>
      </c>
      <c r="I21" s="240">
        <f>IF(T_T134[[#This Row],[Total]]&lt;0,T_T134[[#This Row],[Total]]*-1,0)</f>
        <v>0</v>
      </c>
      <c r="J21" s="240"/>
      <c r="K21" s="79"/>
    </row>
    <row r="22" spans="1:11" x14ac:dyDescent="0.3">
      <c r="A22" s="9"/>
      <c r="B22" s="18" t="s">
        <v>541</v>
      </c>
      <c r="C22" s="6"/>
      <c r="D22" s="230"/>
      <c r="E22" s="230"/>
      <c r="F22" s="230"/>
      <c r="G22" s="230">
        <f t="shared" si="0"/>
        <v>0</v>
      </c>
      <c r="H22" s="233">
        <f>+H21+T_T134[[#This Row],[Total]]</f>
        <v>117</v>
      </c>
      <c r="I22" s="240">
        <f>IF(T_T134[[#This Row],[Total]]&lt;0,T_T134[[#This Row],[Total]]*-1,0)</f>
        <v>0</v>
      </c>
      <c r="J22" s="240"/>
      <c r="K22" s="79"/>
    </row>
    <row r="23" spans="1:11" x14ac:dyDescent="0.3">
      <c r="A23" s="107">
        <v>45868</v>
      </c>
      <c r="B23" s="82" t="s">
        <v>542</v>
      </c>
      <c r="C23" s="229"/>
      <c r="D23" s="230"/>
      <c r="E23" s="230"/>
      <c r="F23" s="230"/>
      <c r="G23" s="230">
        <f t="shared" si="0"/>
        <v>0</v>
      </c>
      <c r="H23" s="233">
        <f>+H22+T_T134[[#This Row],[Total]]</f>
        <v>117</v>
      </c>
      <c r="I23" s="240">
        <f>IF(T_T134[[#This Row],[Total]]&lt;0,T_T134[[#This Row],[Total]]*-1,0)</f>
        <v>0</v>
      </c>
      <c r="J23" s="240"/>
      <c r="K23" s="79"/>
    </row>
    <row r="24" spans="1:11" x14ac:dyDescent="0.3">
      <c r="A24" s="107"/>
      <c r="B24" s="82" t="s">
        <v>543</v>
      </c>
      <c r="C24" s="6"/>
      <c r="D24" s="230"/>
      <c r="E24" s="230"/>
      <c r="F24" s="230"/>
      <c r="G24" s="230">
        <f t="shared" si="0"/>
        <v>0</v>
      </c>
      <c r="H24" s="233">
        <f>+H23+T_T134[[#This Row],[Total]]</f>
        <v>117</v>
      </c>
      <c r="I24" s="240">
        <f>IF(T_T134[[#This Row],[Total]]&lt;0,T_T134[[#This Row],[Total]]*-1,0)</f>
        <v>0</v>
      </c>
      <c r="J24" s="240"/>
      <c r="K24" s="79"/>
    </row>
    <row r="25" spans="1:11" x14ac:dyDescent="0.3">
      <c r="A25" s="107">
        <v>45899</v>
      </c>
      <c r="B25" s="82" t="s">
        <v>544</v>
      </c>
      <c r="C25" s="229"/>
      <c r="D25" s="230"/>
      <c r="E25" s="230"/>
      <c r="F25" s="230"/>
      <c r="G25" s="230">
        <f t="shared" si="0"/>
        <v>0</v>
      </c>
      <c r="H25" s="233">
        <f t="shared" ref="H25:H45" si="1">H24+G25</f>
        <v>117</v>
      </c>
      <c r="I25" s="240">
        <f>IF(T_T134[[#This Row],[Total]]&lt;0,T_T134[[#This Row],[Total]]*-1,0)</f>
        <v>0</v>
      </c>
      <c r="J25" s="240"/>
      <c r="K25" s="79"/>
    </row>
    <row r="26" spans="1:11" x14ac:dyDescent="0.3">
      <c r="A26" s="107"/>
      <c r="B26" s="82" t="s">
        <v>545</v>
      </c>
      <c r="C26" s="6"/>
      <c r="D26" s="230"/>
      <c r="E26" s="230"/>
      <c r="F26" s="230"/>
      <c r="G26" s="230">
        <f t="shared" si="0"/>
        <v>0</v>
      </c>
      <c r="H26" s="233">
        <f t="shared" si="1"/>
        <v>117</v>
      </c>
      <c r="I26" s="240">
        <f>IF(T_T134[[#This Row],[Total]]&lt;0,T_T134[[#This Row],[Total]]*-1,0)</f>
        <v>0</v>
      </c>
      <c r="J26" s="240"/>
      <c r="K26" s="79"/>
    </row>
    <row r="27" spans="1:11" x14ac:dyDescent="0.3">
      <c r="A27" s="9">
        <v>45930</v>
      </c>
      <c r="B27" s="3" t="s">
        <v>546</v>
      </c>
      <c r="C27" s="229"/>
      <c r="D27" s="230"/>
      <c r="E27" s="230"/>
      <c r="F27" s="230"/>
      <c r="G27" s="230">
        <f t="shared" si="0"/>
        <v>0</v>
      </c>
      <c r="H27" s="233">
        <f t="shared" si="1"/>
        <v>117</v>
      </c>
      <c r="I27" s="240">
        <f>IF(T_T134[[#This Row],[Total]]&lt;0,T_T134[[#This Row],[Total]]*-1,0)</f>
        <v>0</v>
      </c>
      <c r="J27" s="240"/>
      <c r="K27" s="79"/>
    </row>
    <row r="28" spans="1:11" x14ac:dyDescent="0.3">
      <c r="A28" s="9"/>
      <c r="B28" s="3" t="s">
        <v>547</v>
      </c>
      <c r="C28" s="6"/>
      <c r="D28" s="230"/>
      <c r="E28" s="230"/>
      <c r="F28" s="230"/>
      <c r="G28" s="230">
        <f t="shared" si="0"/>
        <v>0</v>
      </c>
      <c r="H28" s="233">
        <f t="shared" si="1"/>
        <v>117</v>
      </c>
      <c r="I28" s="240">
        <f>IF(T_T134[[#This Row],[Total]]&lt;0,T_T134[[#This Row],[Total]]*-1,0)</f>
        <v>0</v>
      </c>
      <c r="J28" s="240"/>
      <c r="K28" s="79"/>
    </row>
    <row r="29" spans="1:11" x14ac:dyDescent="0.3">
      <c r="A29" s="9">
        <v>45960</v>
      </c>
      <c r="B29" s="3" t="s">
        <v>548</v>
      </c>
      <c r="C29" s="229"/>
      <c r="D29" s="230"/>
      <c r="E29" s="230"/>
      <c r="F29" s="230"/>
      <c r="G29" s="230">
        <f t="shared" si="0"/>
        <v>0</v>
      </c>
      <c r="H29" s="233">
        <f t="shared" si="1"/>
        <v>117</v>
      </c>
      <c r="I29" s="240">
        <f>IF(T_T134[[#This Row],[Total]]&lt;0,T_T134[[#This Row],[Total]]*-1,0)</f>
        <v>0</v>
      </c>
      <c r="J29" s="240"/>
      <c r="K29" s="79"/>
    </row>
    <row r="30" spans="1:11" x14ac:dyDescent="0.3">
      <c r="A30" s="9"/>
      <c r="B30" s="3" t="s">
        <v>549</v>
      </c>
      <c r="C30" s="229"/>
      <c r="D30" s="230"/>
      <c r="E30" s="230"/>
      <c r="F30" s="230"/>
      <c r="G30" s="230">
        <f t="shared" si="0"/>
        <v>0</v>
      </c>
      <c r="H30" s="233">
        <f t="shared" si="1"/>
        <v>117</v>
      </c>
      <c r="I30" s="240">
        <f>IF(T_T134[[#This Row],[Total]]&lt;0,T_T134[[#This Row],[Total]]*-1,0)</f>
        <v>0</v>
      </c>
      <c r="J30" s="240"/>
      <c r="K30" s="79"/>
    </row>
    <row r="31" spans="1:11" x14ac:dyDescent="0.3">
      <c r="A31" s="9">
        <v>45991</v>
      </c>
      <c r="B31" s="3" t="s">
        <v>550</v>
      </c>
      <c r="C31" s="229"/>
      <c r="D31" s="230"/>
      <c r="E31" s="230"/>
      <c r="F31" s="230"/>
      <c r="G31" s="230">
        <f t="shared" si="0"/>
        <v>0</v>
      </c>
      <c r="H31" s="233">
        <f t="shared" si="1"/>
        <v>117</v>
      </c>
      <c r="I31" s="240">
        <f>IF(T_T134[[#This Row],[Total]]&lt;0,T_T134[[#This Row],[Total]]*-1,0)</f>
        <v>0</v>
      </c>
      <c r="J31" s="240"/>
      <c r="K31" s="79"/>
    </row>
    <row r="32" spans="1:11" x14ac:dyDescent="0.3">
      <c r="A32" s="17"/>
      <c r="B32" s="18" t="s">
        <v>551</v>
      </c>
      <c r="C32" s="229"/>
      <c r="D32" s="230"/>
      <c r="E32" s="230"/>
      <c r="F32" s="230"/>
      <c r="G32" s="230">
        <f t="shared" si="0"/>
        <v>0</v>
      </c>
      <c r="H32" s="233">
        <f t="shared" si="1"/>
        <v>117</v>
      </c>
      <c r="I32" s="240">
        <f>IF(T_T134[[#This Row],[Total]]&lt;0,T_T134[[#This Row],[Total]]*-1,0)</f>
        <v>0</v>
      </c>
      <c r="J32" s="240"/>
      <c r="K32" s="79"/>
    </row>
    <row r="33" spans="1:11" x14ac:dyDescent="0.3">
      <c r="A33" s="188">
        <v>46021</v>
      </c>
      <c r="B33" s="3" t="s">
        <v>552</v>
      </c>
      <c r="C33" s="229"/>
      <c r="D33" s="230"/>
      <c r="E33" s="230"/>
      <c r="F33" s="230"/>
      <c r="G33" s="230">
        <f t="shared" si="0"/>
        <v>0</v>
      </c>
      <c r="H33" s="233">
        <f t="shared" si="1"/>
        <v>117</v>
      </c>
      <c r="I33" s="240">
        <f>IF(T_T134[[#This Row],[Total]]&lt;0,T_T134[[#This Row],[Total]]*-1,0)</f>
        <v>0</v>
      </c>
      <c r="J33" s="240"/>
      <c r="K33" s="79"/>
    </row>
    <row r="34" spans="1:11" x14ac:dyDescent="0.3">
      <c r="A34" s="257"/>
      <c r="B34" s="110" t="s">
        <v>553</v>
      </c>
      <c r="C34" s="229"/>
      <c r="D34" s="230"/>
      <c r="E34" s="230"/>
      <c r="F34" s="230"/>
      <c r="G34" s="230">
        <f t="shared" si="0"/>
        <v>0</v>
      </c>
      <c r="H34" s="233">
        <f t="shared" si="1"/>
        <v>117</v>
      </c>
      <c r="I34" s="240">
        <f>IF(T_T134[[#This Row],[Total]]&lt;0,T_T134[[#This Row],[Total]]*-1,0)</f>
        <v>0</v>
      </c>
      <c r="J34" s="240"/>
      <c r="K34" s="79"/>
    </row>
    <row r="35" spans="1:11" x14ac:dyDescent="0.3">
      <c r="A35" s="107"/>
      <c r="B35" s="82"/>
      <c r="C35" s="229"/>
      <c r="D35" s="230"/>
      <c r="E35" s="230"/>
      <c r="F35" s="230"/>
      <c r="G35" s="230">
        <f>SUM(D35:F42)</f>
        <v>0</v>
      </c>
      <c r="H35" s="233">
        <f t="shared" si="1"/>
        <v>117</v>
      </c>
      <c r="I35" s="240">
        <f>IF(T_T134[[#This Row],[Total]]&lt;0,T_T134[[#This Row],[Total]]*-1,0)</f>
        <v>0</v>
      </c>
      <c r="J35" s="240"/>
      <c r="K35" s="79"/>
    </row>
    <row r="36" spans="1:11" x14ac:dyDescent="0.3">
      <c r="A36" s="107"/>
      <c r="B36" s="82"/>
      <c r="C36" s="229"/>
      <c r="D36" s="230"/>
      <c r="E36" s="230"/>
      <c r="F36" s="230"/>
      <c r="G36" s="230">
        <f>SUM(D36:F43)</f>
        <v>0</v>
      </c>
      <c r="H36" s="233">
        <f t="shared" si="1"/>
        <v>117</v>
      </c>
      <c r="I36" s="240">
        <f>IF(T_T134[[#This Row],[Total]]&lt;0,T_T134[[#This Row],[Total]]*-1,0)</f>
        <v>0</v>
      </c>
      <c r="J36" s="240"/>
      <c r="K36" s="79"/>
    </row>
    <row r="37" spans="1:11" x14ac:dyDescent="0.3">
      <c r="A37" s="107"/>
      <c r="B37" s="82"/>
      <c r="C37" s="229"/>
      <c r="D37" s="230"/>
      <c r="E37" s="230"/>
      <c r="F37" s="230"/>
      <c r="G37" s="230">
        <f>SUM(D37:F44)</f>
        <v>0</v>
      </c>
      <c r="H37" s="233">
        <f t="shared" si="1"/>
        <v>117</v>
      </c>
      <c r="I37" s="240">
        <f>IF(T_T134[[#This Row],[Total]]&lt;0,T_T134[[#This Row],[Total]]*-1,0)</f>
        <v>0</v>
      </c>
      <c r="J37" s="240"/>
      <c r="K37" s="79"/>
    </row>
    <row r="38" spans="1:11" x14ac:dyDescent="0.3">
      <c r="A38" s="107"/>
      <c r="B38" s="82"/>
      <c r="C38" s="229"/>
      <c r="D38" s="230"/>
      <c r="E38" s="230"/>
      <c r="F38" s="230"/>
      <c r="G38" s="230">
        <f>SUM(D38:F45)</f>
        <v>0</v>
      </c>
      <c r="H38" s="233">
        <f t="shared" si="1"/>
        <v>117</v>
      </c>
      <c r="I38" s="240">
        <f>IF(T_T134[[#This Row],[Total]]&lt;0,T_T134[[#This Row],[Total]]*-1,0)</f>
        <v>0</v>
      </c>
      <c r="J38" s="240"/>
      <c r="K38" s="79"/>
    </row>
    <row r="39" spans="1:11" x14ac:dyDescent="0.3">
      <c r="A39" s="107"/>
      <c r="B39" s="82"/>
      <c r="C39" s="229"/>
      <c r="D39" s="230"/>
      <c r="E39" s="230"/>
      <c r="F39" s="230"/>
      <c r="G39" s="230">
        <f>SUM(D39:F45)</f>
        <v>0</v>
      </c>
      <c r="H39" s="233">
        <f t="shared" si="1"/>
        <v>117</v>
      </c>
      <c r="I39" s="240">
        <f>IF(T_T134[[#This Row],[Total]]&lt;0,T_T134[[#This Row],[Total]]*-1,0)</f>
        <v>0</v>
      </c>
      <c r="J39" s="240"/>
      <c r="K39" s="79"/>
    </row>
    <row r="40" spans="1:11" x14ac:dyDescent="0.3">
      <c r="A40" s="107"/>
      <c r="B40" s="82"/>
      <c r="C40" s="229"/>
      <c r="D40" s="230"/>
      <c r="E40" s="230"/>
      <c r="F40" s="230"/>
      <c r="G40" s="230">
        <f>SUM(D40:F45)</f>
        <v>0</v>
      </c>
      <c r="H40" s="233">
        <f t="shared" si="1"/>
        <v>117</v>
      </c>
      <c r="I40" s="240">
        <f>IF(T_T134[[#This Row],[Total]]&lt;0,T_T134[[#This Row],[Total]]*-1,0)</f>
        <v>0</v>
      </c>
      <c r="J40" s="240"/>
      <c r="K40" s="79"/>
    </row>
    <row r="41" spans="1:11" x14ac:dyDescent="0.3">
      <c r="A41" s="107"/>
      <c r="B41" s="82"/>
      <c r="C41" s="229"/>
      <c r="D41" s="230"/>
      <c r="E41" s="230"/>
      <c r="F41" s="230"/>
      <c r="G41" s="230">
        <f>SUM(D41:F45)</f>
        <v>0</v>
      </c>
      <c r="H41" s="233">
        <f t="shared" si="1"/>
        <v>117</v>
      </c>
      <c r="I41" s="240">
        <f>IF(T_T134[[#This Row],[Total]]&lt;0,T_T134[[#This Row],[Total]]*-1,0)</f>
        <v>0</v>
      </c>
      <c r="J41" s="240"/>
      <c r="K41" s="79"/>
    </row>
    <row r="42" spans="1:11" x14ac:dyDescent="0.3">
      <c r="A42" s="107"/>
      <c r="B42" s="82"/>
      <c r="C42" s="229"/>
      <c r="D42" s="230"/>
      <c r="E42" s="230"/>
      <c r="F42" s="230"/>
      <c r="G42" s="230">
        <f>SUM(D42:F45)</f>
        <v>0</v>
      </c>
      <c r="H42" s="233">
        <f t="shared" si="1"/>
        <v>117</v>
      </c>
      <c r="I42" s="240">
        <f>IF(T_T134[[#This Row],[Total]]&lt;0,T_T134[[#This Row],[Total]]*-1,0)</f>
        <v>0</v>
      </c>
      <c r="J42" s="240"/>
      <c r="K42" s="79"/>
    </row>
    <row r="43" spans="1:11" x14ac:dyDescent="0.3">
      <c r="A43" s="107"/>
      <c r="B43" s="82"/>
      <c r="C43" s="229"/>
      <c r="D43" s="230"/>
      <c r="E43" s="230"/>
      <c r="F43" s="230"/>
      <c r="G43" s="230">
        <f>SUM(D43:F45)</f>
        <v>0</v>
      </c>
      <c r="H43" s="233">
        <f t="shared" si="1"/>
        <v>117</v>
      </c>
      <c r="I43" s="240">
        <f>IF(T_T134[[#This Row],[Total]]&lt;0,T_T134[[#This Row],[Total]]*-1,0)</f>
        <v>0</v>
      </c>
      <c r="J43" s="240"/>
      <c r="K43" s="79"/>
    </row>
    <row r="44" spans="1:11" x14ac:dyDescent="0.3">
      <c r="A44" s="107"/>
      <c r="B44" s="82"/>
      <c r="C44" s="229"/>
      <c r="D44" s="230"/>
      <c r="E44" s="230"/>
      <c r="F44" s="230"/>
      <c r="G44" s="230">
        <f>SUM(D44:F45)</f>
        <v>0</v>
      </c>
      <c r="H44" s="233">
        <f t="shared" si="1"/>
        <v>117</v>
      </c>
      <c r="I44" s="240">
        <f>IF(T_T134[[#This Row],[Total]]&lt;0,T_T134[[#This Row],[Total]]*-1,0)</f>
        <v>0</v>
      </c>
      <c r="J44" s="240"/>
      <c r="K44" s="79"/>
    </row>
    <row r="45" spans="1:11" x14ac:dyDescent="0.3">
      <c r="A45" s="107"/>
      <c r="B45" s="82"/>
      <c r="C45" s="229"/>
      <c r="D45" s="230"/>
      <c r="E45" s="230"/>
      <c r="F45" s="230"/>
      <c r="G45" s="230">
        <f>SUM(D45:F45)</f>
        <v>0</v>
      </c>
      <c r="H45" s="233">
        <f t="shared" si="1"/>
        <v>117</v>
      </c>
      <c r="I45" s="240">
        <f>IF(T_T134[[#This Row],[Total]]&lt;0,T_T134[[#This Row],[Total]]*-1,0)</f>
        <v>0</v>
      </c>
      <c r="J45" s="240"/>
      <c r="K45" s="79"/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scale="70" orientation="portrait" verticalDpi="360" r:id="rId2"/>
  <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2:O41"/>
  <sheetViews>
    <sheetView showGridLines="0" zoomScale="98" zoomScaleNormal="98" workbookViewId="0">
      <selection activeCell="E20" sqref="E20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</cols>
  <sheetData>
    <row r="2" spans="1:15" ht="15.6" x14ac:dyDescent="0.3">
      <c r="A2" s="27" t="s">
        <v>36</v>
      </c>
      <c r="B2" s="41" t="s">
        <v>74</v>
      </c>
    </row>
    <row r="3" spans="1:15" ht="13.5" customHeight="1" x14ac:dyDescent="0.3">
      <c r="A3" s="27" t="s">
        <v>31</v>
      </c>
      <c r="B3" s="28" t="s">
        <v>52</v>
      </c>
    </row>
    <row r="4" spans="1:15" hidden="1" x14ac:dyDescent="0.3">
      <c r="A4" s="27" t="s">
        <v>32</v>
      </c>
      <c r="B4" s="28" t="e">
        <f>LOOKUP(B2,#REF!,#REF!)</f>
        <v>#REF!</v>
      </c>
    </row>
    <row r="5" spans="1:15" hidden="1" x14ac:dyDescent="0.3">
      <c r="A5" s="27" t="s">
        <v>33</v>
      </c>
      <c r="B5" s="28" t="e">
        <f>LOOKUP(B2,#REF!,#REF!)</f>
        <v>#REF!</v>
      </c>
    </row>
    <row r="6" spans="1:15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5" ht="13.5" customHeight="1" x14ac:dyDescent="0.3">
      <c r="A7" s="27" t="s">
        <v>32</v>
      </c>
      <c r="B7" s="29"/>
      <c r="C7" s="5"/>
      <c r="G7" s="25"/>
      <c r="H7" s="26" t="s">
        <v>30</v>
      </c>
      <c r="I7" s="24"/>
    </row>
    <row r="8" spans="1:15" x14ac:dyDescent="0.3">
      <c r="A8" s="21"/>
      <c r="B8" s="21"/>
    </row>
    <row r="9" spans="1:15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15" x14ac:dyDescent="0.3">
      <c r="A10" s="288"/>
      <c r="B10" s="118"/>
      <c r="C10" s="284"/>
      <c r="D10" s="285"/>
      <c r="E10" s="285"/>
      <c r="F10" s="285"/>
      <c r="G10" s="285"/>
      <c r="H10" s="233"/>
      <c r="I10" s="6"/>
    </row>
    <row r="11" spans="1:15" x14ac:dyDescent="0.3">
      <c r="A11" s="17">
        <v>46052</v>
      </c>
      <c r="B11" s="18" t="s">
        <v>590</v>
      </c>
      <c r="C11" s="6"/>
      <c r="D11" s="2">
        <v>70</v>
      </c>
      <c r="E11" s="2">
        <v>13</v>
      </c>
      <c r="F11" s="20"/>
      <c r="G11" s="20">
        <f>SUM(D11:F11)</f>
        <v>83</v>
      </c>
      <c r="H11" s="233">
        <f>+H10+T_T134144[[#This Row],[Total]]</f>
        <v>83</v>
      </c>
      <c r="I11" s="320">
        <f>IF(T_T134144[[#This Row],[Total]]&lt;0,T_T134144[[#This Row],[Total]]*-1,0)</f>
        <v>0</v>
      </c>
      <c r="O11">
        <v>240</v>
      </c>
    </row>
    <row r="12" spans="1:15" x14ac:dyDescent="0.3">
      <c r="A12" s="17"/>
      <c r="B12" s="18" t="s">
        <v>591</v>
      </c>
      <c r="C12" s="6"/>
      <c r="D12" s="2"/>
      <c r="E12" s="2"/>
      <c r="F12" s="230"/>
      <c r="G12" s="230">
        <f t="shared" ref="G12:G34" si="0">SUM(D12:F12)</f>
        <v>0</v>
      </c>
      <c r="H12" s="233">
        <f>+H11+T_T134144[[#This Row],[Total]]</f>
        <v>83</v>
      </c>
      <c r="I12" s="6">
        <f>IF(T_T134144[[#This Row],[Total]]&lt;0,T_T134144[[#This Row],[Total]]*-1,0)</f>
        <v>0</v>
      </c>
      <c r="O12">
        <v>324</v>
      </c>
    </row>
    <row r="13" spans="1:15" x14ac:dyDescent="0.3">
      <c r="A13" s="164">
        <v>45715</v>
      </c>
      <c r="B13" s="161" t="s">
        <v>592</v>
      </c>
      <c r="C13" s="6"/>
      <c r="D13" s="2">
        <v>70</v>
      </c>
      <c r="E13" s="2">
        <v>13</v>
      </c>
      <c r="F13" s="230"/>
      <c r="G13" s="230">
        <f t="shared" si="0"/>
        <v>83</v>
      </c>
      <c r="H13" s="233">
        <f t="shared" ref="H13:H36" si="1">H12+G13</f>
        <v>166</v>
      </c>
      <c r="I13" s="6">
        <f>IF(T_T134144[[#This Row],[Total]]&lt;0,T_T134144[[#This Row],[Total]]*-1,0)</f>
        <v>0</v>
      </c>
      <c r="O13">
        <f>SUM(O11:O12)</f>
        <v>564</v>
      </c>
    </row>
    <row r="14" spans="1:15" x14ac:dyDescent="0.3">
      <c r="A14" s="187"/>
      <c r="B14" s="18" t="s">
        <v>533</v>
      </c>
      <c r="C14" s="6"/>
      <c r="D14" s="2"/>
      <c r="E14" s="2"/>
      <c r="F14" s="230"/>
      <c r="G14" s="230">
        <f t="shared" si="0"/>
        <v>0</v>
      </c>
      <c r="H14" s="233">
        <f t="shared" si="1"/>
        <v>166</v>
      </c>
      <c r="I14" s="6">
        <f>IF(T_T134144[[#This Row],[Total]]&lt;0,T_T134144[[#This Row],[Total]]*-1,0)</f>
        <v>0</v>
      </c>
    </row>
    <row r="15" spans="1:15" x14ac:dyDescent="0.3">
      <c r="A15" s="188">
        <v>45747</v>
      </c>
      <c r="B15" s="3" t="s">
        <v>534</v>
      </c>
      <c r="C15" s="6"/>
      <c r="D15" s="2">
        <v>84</v>
      </c>
      <c r="E15" s="2">
        <v>13</v>
      </c>
      <c r="F15" s="230"/>
      <c r="G15" s="230">
        <f t="shared" si="0"/>
        <v>97</v>
      </c>
      <c r="H15" s="233">
        <f t="shared" si="1"/>
        <v>263</v>
      </c>
      <c r="I15" s="6">
        <f>IF(T_T134144[[#This Row],[Total]]&lt;0,T_T134144[[#This Row],[Total]]*-1,0)</f>
        <v>0</v>
      </c>
    </row>
    <row r="16" spans="1:15" x14ac:dyDescent="0.3">
      <c r="A16" s="188"/>
      <c r="B16" s="82" t="s">
        <v>535</v>
      </c>
      <c r="C16" s="6"/>
      <c r="D16" s="2"/>
      <c r="E16" s="2"/>
      <c r="F16" s="230"/>
      <c r="G16" s="230">
        <f t="shared" si="0"/>
        <v>0</v>
      </c>
      <c r="H16" s="233">
        <f t="shared" si="1"/>
        <v>263</v>
      </c>
      <c r="I16" s="6">
        <f>IF(T_T134144[[#This Row],[Total]]&lt;0,T_T134144[[#This Row],[Total]]*-1,0)</f>
        <v>0</v>
      </c>
    </row>
    <row r="17" spans="1:9" x14ac:dyDescent="0.3">
      <c r="A17" s="188">
        <v>45777</v>
      </c>
      <c r="B17" s="3" t="s">
        <v>536</v>
      </c>
      <c r="C17" s="6"/>
      <c r="D17" s="2">
        <v>84</v>
      </c>
      <c r="E17" s="2">
        <v>13</v>
      </c>
      <c r="F17" s="230"/>
      <c r="G17" s="230">
        <f t="shared" si="0"/>
        <v>97</v>
      </c>
      <c r="H17" s="233">
        <f t="shared" si="1"/>
        <v>360</v>
      </c>
      <c r="I17" s="6">
        <f>IF(T_T134144[[#This Row],[Total]]&lt;0,T_T134144[[#This Row],[Total]]*-1,0)</f>
        <v>0</v>
      </c>
    </row>
    <row r="18" spans="1:9" x14ac:dyDescent="0.3">
      <c r="A18" s="83"/>
      <c r="B18" s="82" t="s">
        <v>537</v>
      </c>
      <c r="C18" s="6"/>
      <c r="D18" s="2"/>
      <c r="E18" s="2"/>
      <c r="F18" s="230"/>
      <c r="G18" s="230">
        <f t="shared" si="0"/>
        <v>0</v>
      </c>
      <c r="H18" s="233">
        <f t="shared" si="1"/>
        <v>360</v>
      </c>
      <c r="I18" s="6">
        <f>IF(T_T134144[[#This Row],[Total]]&lt;0,T_T134144[[#This Row],[Total]]*-1,0)</f>
        <v>0</v>
      </c>
    </row>
    <row r="19" spans="1:9" x14ac:dyDescent="0.3">
      <c r="A19" s="40">
        <v>45807</v>
      </c>
      <c r="B19" s="3" t="s">
        <v>538</v>
      </c>
      <c r="C19" s="229"/>
      <c r="D19" s="230">
        <v>84</v>
      </c>
      <c r="E19" s="230">
        <v>13</v>
      </c>
      <c r="F19" s="230"/>
      <c r="G19" s="230">
        <f t="shared" si="0"/>
        <v>97</v>
      </c>
      <c r="H19" s="233">
        <f t="shared" si="1"/>
        <v>457</v>
      </c>
      <c r="I19" s="6">
        <f>IF(T_T134144[[#This Row],[Total]]&lt;0,T_T134144[[#This Row],[Total]]*-1,0)</f>
        <v>0</v>
      </c>
    </row>
    <row r="20" spans="1:9" x14ac:dyDescent="0.3">
      <c r="A20" s="9"/>
      <c r="B20" s="18" t="s">
        <v>539</v>
      </c>
      <c r="C20" s="6"/>
      <c r="D20" s="230"/>
      <c r="E20" s="230"/>
      <c r="F20" s="230"/>
      <c r="G20" s="230">
        <f t="shared" si="0"/>
        <v>0</v>
      </c>
      <c r="H20" s="233">
        <f t="shared" si="1"/>
        <v>457</v>
      </c>
      <c r="I20" s="6">
        <f>IF(T_T134144[[#This Row],[Total]]&lt;0,T_T134144[[#This Row],[Total]]*-1,0)</f>
        <v>0</v>
      </c>
    </row>
    <row r="21" spans="1:9" x14ac:dyDescent="0.3">
      <c r="A21" s="9">
        <v>45838</v>
      </c>
      <c r="B21" s="3" t="s">
        <v>540</v>
      </c>
      <c r="C21" s="229"/>
      <c r="D21" s="230"/>
      <c r="E21" s="230"/>
      <c r="F21" s="230"/>
      <c r="G21" s="230">
        <f t="shared" si="0"/>
        <v>0</v>
      </c>
      <c r="H21" s="233">
        <f t="shared" si="1"/>
        <v>457</v>
      </c>
      <c r="I21" s="6">
        <f>IF(T_T134144[[#This Row],[Total]]&lt;0,T_T134144[[#This Row],[Total]]*-1,0)</f>
        <v>0</v>
      </c>
    </row>
    <row r="22" spans="1:9" x14ac:dyDescent="0.3">
      <c r="A22" s="9"/>
      <c r="B22" s="18" t="s">
        <v>541</v>
      </c>
      <c r="C22" s="6"/>
      <c r="D22" s="230"/>
      <c r="E22" s="230"/>
      <c r="F22" s="230"/>
      <c r="G22" s="230">
        <f t="shared" si="0"/>
        <v>0</v>
      </c>
      <c r="H22" s="233">
        <f t="shared" si="1"/>
        <v>457</v>
      </c>
      <c r="I22" s="6">
        <f>IF(T_T134144[[#This Row],[Total]]&lt;0,T_T134144[[#This Row],[Total]]*-1,0)</f>
        <v>0</v>
      </c>
    </row>
    <row r="23" spans="1:9" x14ac:dyDescent="0.3">
      <c r="A23" s="107">
        <v>45868</v>
      </c>
      <c r="B23" s="82" t="s">
        <v>542</v>
      </c>
      <c r="C23" s="229"/>
      <c r="D23" s="230"/>
      <c r="E23" s="230"/>
      <c r="F23" s="230"/>
      <c r="G23" s="230">
        <f t="shared" si="0"/>
        <v>0</v>
      </c>
      <c r="H23" s="233">
        <f t="shared" si="1"/>
        <v>457</v>
      </c>
      <c r="I23" s="6">
        <f>IF(T_T134144[[#This Row],[Total]]&lt;0,T_T134144[[#This Row],[Total]]*-1,0)</f>
        <v>0</v>
      </c>
    </row>
    <row r="24" spans="1:9" x14ac:dyDescent="0.3">
      <c r="A24" s="107"/>
      <c r="B24" s="82" t="s">
        <v>543</v>
      </c>
      <c r="C24" s="6"/>
      <c r="D24" s="230"/>
      <c r="E24" s="230"/>
      <c r="F24" s="230"/>
      <c r="G24" s="230">
        <f t="shared" si="0"/>
        <v>0</v>
      </c>
      <c r="H24" s="233">
        <f t="shared" si="1"/>
        <v>457</v>
      </c>
      <c r="I24" s="6">
        <f>IF(T_T134144[[#This Row],[Total]]&lt;0,T_T134144[[#This Row],[Total]]*-1,0)</f>
        <v>0</v>
      </c>
    </row>
    <row r="25" spans="1:9" x14ac:dyDescent="0.3">
      <c r="A25" s="107">
        <v>45899</v>
      </c>
      <c r="B25" s="82" t="s">
        <v>544</v>
      </c>
      <c r="C25" s="229"/>
      <c r="D25" s="230"/>
      <c r="E25" s="230"/>
      <c r="F25" s="230"/>
      <c r="G25" s="230">
        <f t="shared" si="0"/>
        <v>0</v>
      </c>
      <c r="H25" s="233">
        <f t="shared" si="1"/>
        <v>457</v>
      </c>
      <c r="I25" s="6">
        <f>IF(T_T134144[[#This Row],[Total]]&lt;0,T_T134144[[#This Row],[Total]]*-1,0)</f>
        <v>0</v>
      </c>
    </row>
    <row r="26" spans="1:9" x14ac:dyDescent="0.3">
      <c r="A26" s="107"/>
      <c r="B26" s="82" t="s">
        <v>545</v>
      </c>
      <c r="C26" s="6"/>
      <c r="D26" s="230"/>
      <c r="E26" s="230"/>
      <c r="F26" s="230"/>
      <c r="G26" s="230">
        <f t="shared" si="0"/>
        <v>0</v>
      </c>
      <c r="H26" s="233">
        <f t="shared" si="1"/>
        <v>457</v>
      </c>
      <c r="I26" s="6">
        <f>IF(T_T134144[[#This Row],[Total]]&lt;0,T_T134144[[#This Row],[Total]]*-1,0)</f>
        <v>0</v>
      </c>
    </row>
    <row r="27" spans="1:9" x14ac:dyDescent="0.3">
      <c r="A27" s="9">
        <v>45930</v>
      </c>
      <c r="B27" s="3" t="s">
        <v>546</v>
      </c>
      <c r="C27" s="229"/>
      <c r="D27" s="230"/>
      <c r="E27" s="230"/>
      <c r="F27" s="230"/>
      <c r="G27" s="230">
        <f t="shared" si="0"/>
        <v>0</v>
      </c>
      <c r="H27" s="233">
        <f t="shared" si="1"/>
        <v>457</v>
      </c>
      <c r="I27" s="6">
        <f>IF(T_T134144[[#This Row],[Total]]&lt;0,T_T134144[[#This Row],[Total]]*-1,0)</f>
        <v>0</v>
      </c>
    </row>
    <row r="28" spans="1:9" x14ac:dyDescent="0.3">
      <c r="A28" s="9"/>
      <c r="B28" s="3" t="s">
        <v>547</v>
      </c>
      <c r="C28" s="6"/>
      <c r="D28" s="230"/>
      <c r="E28" s="230"/>
      <c r="F28" s="230"/>
      <c r="G28" s="230">
        <f t="shared" si="0"/>
        <v>0</v>
      </c>
      <c r="H28" s="233">
        <f t="shared" si="1"/>
        <v>457</v>
      </c>
      <c r="I28" s="132">
        <f>IF(T_T134144[[#This Row],[Total]]&lt;0,T_T134144[[#This Row],[Total]]*-1,0)</f>
        <v>0</v>
      </c>
    </row>
    <row r="29" spans="1:9" x14ac:dyDescent="0.3">
      <c r="A29" s="9">
        <v>45960</v>
      </c>
      <c r="B29" s="3" t="s">
        <v>548</v>
      </c>
      <c r="C29" s="229"/>
      <c r="D29" s="230"/>
      <c r="E29" s="230"/>
      <c r="F29" s="230"/>
      <c r="G29" s="230">
        <f t="shared" si="0"/>
        <v>0</v>
      </c>
      <c r="H29" s="233">
        <f t="shared" si="1"/>
        <v>457</v>
      </c>
      <c r="I29" s="132">
        <f>IF(T_T134144[[#This Row],[Total]]&lt;0,T_T134144[[#This Row],[Total]]*-1,0)</f>
        <v>0</v>
      </c>
    </row>
    <row r="30" spans="1:9" x14ac:dyDescent="0.3">
      <c r="A30" s="9"/>
      <c r="B30" s="3" t="s">
        <v>549</v>
      </c>
      <c r="C30" s="229"/>
      <c r="D30" s="230"/>
      <c r="E30" s="230"/>
      <c r="F30" s="230"/>
      <c r="G30" s="230">
        <f t="shared" si="0"/>
        <v>0</v>
      </c>
      <c r="H30" s="233">
        <f t="shared" si="1"/>
        <v>457</v>
      </c>
      <c r="I30" s="132">
        <f>IF(T_T134144[[#This Row],[Total]]&lt;0,T_T134144[[#This Row],[Total]]*-1,0)</f>
        <v>0</v>
      </c>
    </row>
    <row r="31" spans="1:9" x14ac:dyDescent="0.3">
      <c r="A31" s="9">
        <v>45991</v>
      </c>
      <c r="B31" s="3" t="s">
        <v>550</v>
      </c>
      <c r="C31" s="229"/>
      <c r="D31" s="230"/>
      <c r="E31" s="230"/>
      <c r="F31" s="230"/>
      <c r="G31" s="230">
        <f t="shared" si="0"/>
        <v>0</v>
      </c>
      <c r="H31" s="233">
        <f t="shared" si="1"/>
        <v>457</v>
      </c>
      <c r="I31" s="132">
        <f>IF(T_T134144[[#This Row],[Total]]&lt;0,T_T134144[[#This Row],[Total]]*-1,0)</f>
        <v>0</v>
      </c>
    </row>
    <row r="32" spans="1:9" x14ac:dyDescent="0.3">
      <c r="A32" s="17"/>
      <c r="B32" s="18" t="s">
        <v>551</v>
      </c>
      <c r="C32" s="229"/>
      <c r="D32" s="230"/>
      <c r="E32" s="230"/>
      <c r="F32" s="230"/>
      <c r="G32" s="230">
        <f t="shared" si="0"/>
        <v>0</v>
      </c>
      <c r="H32" s="233">
        <f t="shared" si="1"/>
        <v>457</v>
      </c>
      <c r="I32" s="132">
        <f>IF(T_T134144[[#This Row],[Total]]&lt;0,T_T134144[[#This Row],[Total]]*-1,0)</f>
        <v>0</v>
      </c>
    </row>
    <row r="33" spans="1:9" x14ac:dyDescent="0.3">
      <c r="A33" s="188">
        <v>46021</v>
      </c>
      <c r="B33" s="3" t="s">
        <v>552</v>
      </c>
      <c r="C33" s="229"/>
      <c r="D33" s="230"/>
      <c r="E33" s="230"/>
      <c r="F33" s="230"/>
      <c r="G33" s="230">
        <f t="shared" si="0"/>
        <v>0</v>
      </c>
      <c r="H33" s="233">
        <f t="shared" si="1"/>
        <v>457</v>
      </c>
      <c r="I33" s="129">
        <f>IF(T_T134144[[#This Row],[Total]]&lt;0,T_T134144[[#This Row],[Total]]*-1,0)</f>
        <v>0</v>
      </c>
    </row>
    <row r="34" spans="1:9" x14ac:dyDescent="0.3">
      <c r="A34" s="257"/>
      <c r="B34" s="110" t="s">
        <v>553</v>
      </c>
      <c r="C34" s="229"/>
      <c r="D34" s="230"/>
      <c r="E34" s="230"/>
      <c r="F34" s="230"/>
      <c r="G34" s="230">
        <f t="shared" si="0"/>
        <v>0</v>
      </c>
      <c r="H34" s="233">
        <f t="shared" si="1"/>
        <v>457</v>
      </c>
      <c r="I34" s="51">
        <f>IF(T_T134144[[#This Row],[Total]]&lt;0,T_T134144[[#This Row],[Total]]*-1,0)</f>
        <v>0</v>
      </c>
    </row>
    <row r="35" spans="1:9" x14ac:dyDescent="0.3">
      <c r="A35" s="107"/>
      <c r="B35" s="82"/>
      <c r="C35" s="229"/>
      <c r="D35" s="230"/>
      <c r="E35" s="230"/>
      <c r="F35" s="230"/>
      <c r="G35" s="230">
        <f>SUM(D35:F42)</f>
        <v>0</v>
      </c>
      <c r="H35" s="233">
        <f t="shared" si="1"/>
        <v>457</v>
      </c>
      <c r="I35" s="51">
        <f>IF(T_T134144[[#This Row],[Total]]&lt;0,T_T134144[[#This Row],[Total]]*-1,0)</f>
        <v>0</v>
      </c>
    </row>
    <row r="36" spans="1:9" x14ac:dyDescent="0.3">
      <c r="A36" s="107"/>
      <c r="B36" s="82"/>
      <c r="C36" s="229"/>
      <c r="D36" s="230"/>
      <c r="E36" s="230"/>
      <c r="F36" s="230"/>
      <c r="G36" s="230">
        <f>SUM(D36:F43)</f>
        <v>0</v>
      </c>
      <c r="H36" s="233">
        <f t="shared" si="1"/>
        <v>457</v>
      </c>
      <c r="I36" s="51">
        <f>IF(T_T134144[[#This Row],[Total]]&lt;0,T_T134144[[#This Row],[Total]]*-1,0)</f>
        <v>0</v>
      </c>
    </row>
    <row r="37" spans="1:9" x14ac:dyDescent="0.3">
      <c r="A37" s="170"/>
      <c r="B37" s="18"/>
      <c r="C37" s="121"/>
      <c r="D37" s="70"/>
      <c r="E37" s="70"/>
      <c r="F37" s="70"/>
      <c r="G37" s="70">
        <f>SUM(D37:F37)</f>
        <v>0</v>
      </c>
      <c r="H37" s="64">
        <f>H36+G37</f>
        <v>457</v>
      </c>
      <c r="I37" s="53">
        <f>IF(T_T134144[[#This Row],[Total]]&lt;0,T_T134144[[#This Row],[Total]]*-1,0)</f>
        <v>0</v>
      </c>
    </row>
    <row r="38" spans="1:9" x14ac:dyDescent="0.3">
      <c r="A38" s="9"/>
      <c r="B38" s="3"/>
      <c r="C38" s="189"/>
      <c r="D38" s="190"/>
      <c r="E38" s="190"/>
      <c r="F38" s="190"/>
      <c r="G38" s="190">
        <f>SUM(D38:F38)</f>
        <v>0</v>
      </c>
      <c r="H38" s="191">
        <f>H37+G38</f>
        <v>457</v>
      </c>
      <c r="I38" s="192">
        <f>IF(T_T134144[[#This Row],[Total]]&lt;0,T_T134144[[#This Row],[Total]]*-1,0)</f>
        <v>0</v>
      </c>
    </row>
    <row r="39" spans="1:9" x14ac:dyDescent="0.3">
      <c r="A39" s="9"/>
      <c r="B39" s="82"/>
      <c r="C39" s="189"/>
      <c r="D39" s="190"/>
      <c r="E39" s="190"/>
      <c r="F39" s="190"/>
      <c r="G39" s="190">
        <f>SUM(D39:F39)</f>
        <v>0</v>
      </c>
      <c r="H39" s="191">
        <f>H38+G39</f>
        <v>457</v>
      </c>
      <c r="I39" s="192">
        <f>IF(T_T134144[[#This Row],[Total]]&lt;0,T_T134144[[#This Row],[Total]]*-1,0)</f>
        <v>0</v>
      </c>
    </row>
    <row r="40" spans="1:9" x14ac:dyDescent="0.3">
      <c r="A40" s="9"/>
      <c r="B40" s="3"/>
      <c r="C40" s="189"/>
      <c r="D40" s="190"/>
      <c r="E40" s="190"/>
      <c r="F40" s="190"/>
      <c r="G40" s="190">
        <f>SUM(D40:F40)</f>
        <v>0</v>
      </c>
      <c r="H40" s="191">
        <f>H39+G40</f>
        <v>457</v>
      </c>
      <c r="I40" s="192">
        <f>IF(T_T134144[[#This Row],[Total]]&lt;0,T_T134144[[#This Row],[Total]]*-1,0)</f>
        <v>0</v>
      </c>
    </row>
    <row r="41" spans="1:9" x14ac:dyDescent="0.3">
      <c r="A41" s="105"/>
      <c r="B41" s="82"/>
      <c r="C41" s="189"/>
      <c r="D41" s="190"/>
      <c r="E41" s="190"/>
      <c r="F41" s="190"/>
      <c r="G41" s="190">
        <f>SUM(D41:F41)</f>
        <v>0</v>
      </c>
      <c r="H41" s="191">
        <f>H40+G41</f>
        <v>457</v>
      </c>
      <c r="I41" s="192">
        <f>IF(T_T134144[[#This Row],[Total]]&lt;0,T_T134144[[#This Row],[Total]]*-1,0)</f>
        <v>0</v>
      </c>
    </row>
  </sheetData>
  <hyperlinks>
    <hyperlink ref="H7" location="Resumen!A1" display="Rsumen         "/>
  </hyperlinks>
  <pageMargins left="0.7" right="0.7" top="0.75" bottom="0.75" header="0.3" footer="0.3"/>
  <pageSetup orientation="portrait" verticalDpi="360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2:L41"/>
  <sheetViews>
    <sheetView showGridLines="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1.5546875" customWidth="1"/>
    <col min="2" max="2" width="35.44140625" bestFit="1" customWidth="1"/>
    <col min="3" max="3" width="11.6640625" style="4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7.6640625" customWidth="1"/>
    <col min="10" max="10" width="4.44140625" customWidth="1"/>
    <col min="11" max="11" width="8.109375" customWidth="1"/>
    <col min="15" max="15" width="10.6640625" bestFit="1" customWidth="1"/>
  </cols>
  <sheetData>
    <row r="2" spans="1:12" ht="15.6" x14ac:dyDescent="0.3">
      <c r="A2" s="27" t="s">
        <v>36</v>
      </c>
      <c r="B2" s="41" t="s">
        <v>76</v>
      </c>
    </row>
    <row r="3" spans="1:12" ht="14.25" customHeight="1" x14ac:dyDescent="0.3">
      <c r="A3" s="27" t="s">
        <v>31</v>
      </c>
      <c r="B3" s="28" t="s">
        <v>483</v>
      </c>
    </row>
    <row r="4" spans="1:12" hidden="1" x14ac:dyDescent="0.3">
      <c r="A4" s="27" t="s">
        <v>32</v>
      </c>
      <c r="B4" s="28" t="e">
        <f>LOOKUP(B2,#REF!,#REF!)</f>
        <v>#REF!</v>
      </c>
    </row>
    <row r="5" spans="1:12" hidden="1" x14ac:dyDescent="0.3">
      <c r="A5" s="27" t="s">
        <v>33</v>
      </c>
      <c r="B5" s="28" t="e">
        <f>LOOKUP(B2,#REF!,#REF!)</f>
        <v>#REF!</v>
      </c>
    </row>
    <row r="6" spans="1:12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2" ht="14.25" customHeight="1" x14ac:dyDescent="0.3">
      <c r="A7" s="27" t="s">
        <v>32</v>
      </c>
      <c r="B7" s="29" t="s">
        <v>468</v>
      </c>
      <c r="C7" s="5"/>
      <c r="G7" s="25"/>
      <c r="H7" s="26" t="s">
        <v>30</v>
      </c>
      <c r="I7" s="24"/>
    </row>
    <row r="8" spans="1:12" x14ac:dyDescent="0.3">
      <c r="A8" s="21"/>
      <c r="B8" s="21"/>
    </row>
    <row r="9" spans="1:12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69" t="s">
        <v>188</v>
      </c>
      <c r="K9" s="69" t="s">
        <v>191</v>
      </c>
      <c r="L9" s="416" t="s">
        <v>262</v>
      </c>
    </row>
    <row r="10" spans="1:12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3"/>
      <c r="J10" s="3"/>
      <c r="K10" s="232"/>
      <c r="L10" s="419"/>
    </row>
    <row r="11" spans="1:12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IF(T_T134145[[#This Row],[Total]]&lt;0,T_T134145[[#This Row],[Total]]*-1,0)</f>
        <v>0</v>
      </c>
      <c r="J11" s="232"/>
      <c r="K11" s="232"/>
      <c r="L11" s="419"/>
    </row>
    <row r="12" spans="1:12" x14ac:dyDescent="0.3">
      <c r="A12" s="361"/>
      <c r="B12" s="362" t="s">
        <v>467</v>
      </c>
      <c r="C12" s="424"/>
      <c r="D12" s="425"/>
      <c r="E12" s="425"/>
      <c r="F12" s="425"/>
      <c r="G12" s="425"/>
      <c r="H12" s="426">
        <v>0</v>
      </c>
      <c r="I12" s="430">
        <f>IF(T_T134145[[#This Row],[Total]]&lt;0,T_T134145[[#This Row],[Total]]*-1,0)</f>
        <v>0</v>
      </c>
      <c r="J12" s="419"/>
      <c r="K12" s="419"/>
      <c r="L12" s="419"/>
    </row>
    <row r="13" spans="1:12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IF(T_T134145[[#This Row],[Total]]&lt;0,T_T134145[[#This Row],[Total]]*-1,0)</f>
        <v>0</v>
      </c>
      <c r="J13" s="232"/>
      <c r="K13" s="232"/>
      <c r="L13" s="419"/>
    </row>
    <row r="14" spans="1:12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IF(T_T134145[[#This Row],[Total]]&lt;0,T_T134145[[#This Row],[Total]]*-1,0)</f>
        <v>0</v>
      </c>
      <c r="J14" s="485"/>
      <c r="K14" s="485"/>
      <c r="L14" s="485"/>
    </row>
    <row r="15" spans="1:12" x14ac:dyDescent="0.3">
      <c r="A15" s="17">
        <v>46052</v>
      </c>
      <c r="B15" s="18" t="s">
        <v>590</v>
      </c>
      <c r="C15" s="6"/>
      <c r="D15" s="2">
        <v>102</v>
      </c>
      <c r="E15" s="2">
        <v>15</v>
      </c>
      <c r="F15" s="20"/>
      <c r="G15" s="20">
        <f>SUM(D15:F15)</f>
        <v>117</v>
      </c>
      <c r="H15" s="233">
        <f>+H13+T_T134145[[#This Row],[Total]]</f>
        <v>117</v>
      </c>
      <c r="I15" s="240">
        <f>IF(T_T134145[[#This Row],[Total]]&lt;0,T_T134145[[#This Row],[Total]]*-1,0)</f>
        <v>0</v>
      </c>
      <c r="J15" s="232"/>
      <c r="K15" s="232"/>
      <c r="L15" s="419"/>
    </row>
    <row r="16" spans="1:12" x14ac:dyDescent="0.3">
      <c r="A16" s="17"/>
      <c r="B16" s="18" t="s">
        <v>591</v>
      </c>
      <c r="C16" s="6">
        <v>8645</v>
      </c>
      <c r="D16" s="2">
        <v>-102</v>
      </c>
      <c r="E16" s="2">
        <v>-15</v>
      </c>
      <c r="F16" s="230"/>
      <c r="G16" s="230">
        <f t="shared" ref="G16:G38" si="0">SUM(D16:F16)</f>
        <v>-117</v>
      </c>
      <c r="H16" s="233">
        <f t="shared" ref="H16:H40" si="1">H15+G16</f>
        <v>0</v>
      </c>
      <c r="I16" s="240">
        <f>IF(T_T134145[[#This Row],[Total]]&lt;0,T_T134145[[#This Row],[Total]]*-1,0)</f>
        <v>117</v>
      </c>
      <c r="J16" s="232"/>
      <c r="K16" s="232"/>
      <c r="L16" s="419"/>
    </row>
    <row r="17" spans="1:12" x14ac:dyDescent="0.3">
      <c r="A17" s="164">
        <v>45715</v>
      </c>
      <c r="B17" s="161" t="s">
        <v>532</v>
      </c>
      <c r="C17" s="6"/>
      <c r="D17" s="2">
        <v>102</v>
      </c>
      <c r="E17" s="2">
        <v>13</v>
      </c>
      <c r="F17" s="230"/>
      <c r="G17" s="230">
        <f t="shared" si="0"/>
        <v>115</v>
      </c>
      <c r="H17" s="233">
        <f t="shared" si="1"/>
        <v>115</v>
      </c>
      <c r="I17" s="240">
        <f>IF(T_T134145[[#This Row],[Total]]&lt;0,T_T134145[[#This Row],[Total]]*-1,0)</f>
        <v>0</v>
      </c>
      <c r="J17" s="232"/>
      <c r="K17" s="232"/>
      <c r="L17" s="419"/>
    </row>
    <row r="18" spans="1:12" x14ac:dyDescent="0.3">
      <c r="A18" s="187"/>
      <c r="B18" s="18" t="s">
        <v>533</v>
      </c>
      <c r="C18" s="6"/>
      <c r="D18" s="2"/>
      <c r="E18" s="2"/>
      <c r="F18" s="230"/>
      <c r="G18" s="230">
        <f t="shared" si="0"/>
        <v>0</v>
      </c>
      <c r="H18" s="233">
        <f t="shared" si="1"/>
        <v>115</v>
      </c>
      <c r="I18" s="240">
        <f>IF(T_T134145[[#This Row],[Total]]&lt;0,T_T134145[[#This Row],[Total]]*-1,0)</f>
        <v>0</v>
      </c>
      <c r="J18" s="232"/>
      <c r="K18" s="232"/>
      <c r="L18" s="419"/>
    </row>
    <row r="19" spans="1:12" x14ac:dyDescent="0.3">
      <c r="A19" s="188">
        <v>45747</v>
      </c>
      <c r="B19" s="3" t="s">
        <v>534</v>
      </c>
      <c r="C19" s="6"/>
      <c r="D19" s="2">
        <v>122</v>
      </c>
      <c r="E19" s="2">
        <v>9</v>
      </c>
      <c r="F19" s="230"/>
      <c r="G19" s="230">
        <f t="shared" si="0"/>
        <v>131</v>
      </c>
      <c r="H19" s="233">
        <f t="shared" si="1"/>
        <v>246</v>
      </c>
      <c r="I19" s="240">
        <f>IF(T_T134145[[#This Row],[Total]]&lt;0,T_T134145[[#This Row],[Total]]*-1,0)</f>
        <v>0</v>
      </c>
      <c r="J19" s="232"/>
      <c r="K19" s="232"/>
      <c r="L19" s="419"/>
    </row>
    <row r="20" spans="1:12" x14ac:dyDescent="0.3">
      <c r="A20" s="188"/>
      <c r="B20" s="82" t="s">
        <v>535</v>
      </c>
      <c r="C20" s="6"/>
      <c r="D20" s="2"/>
      <c r="E20" s="2"/>
      <c r="F20" s="230"/>
      <c r="G20" s="230">
        <f t="shared" si="0"/>
        <v>0</v>
      </c>
      <c r="H20" s="233">
        <f t="shared" si="1"/>
        <v>246</v>
      </c>
      <c r="I20" s="240">
        <f>IF(T_T134145[[#This Row],[Total]]&lt;0,T_T134145[[#This Row],[Total]]*-1,0)</f>
        <v>0</v>
      </c>
      <c r="J20" s="232"/>
      <c r="K20" s="232"/>
      <c r="L20" s="419"/>
    </row>
    <row r="21" spans="1:12" x14ac:dyDescent="0.3">
      <c r="A21" s="188">
        <v>45777</v>
      </c>
      <c r="B21" s="3" t="s">
        <v>536</v>
      </c>
      <c r="C21" s="6"/>
      <c r="D21" s="2">
        <v>122</v>
      </c>
      <c r="E21" s="2">
        <v>1</v>
      </c>
      <c r="F21" s="230"/>
      <c r="G21" s="230">
        <f t="shared" si="0"/>
        <v>123</v>
      </c>
      <c r="H21" s="233">
        <f t="shared" si="1"/>
        <v>369</v>
      </c>
      <c r="I21" s="309">
        <f>IF(T_T134145[[#This Row],[Total]]&lt;0,T_T134145[[#This Row],[Total]]*-1,0)</f>
        <v>0</v>
      </c>
      <c r="J21" s="313"/>
      <c r="K21" s="313"/>
      <c r="L21" s="419"/>
    </row>
    <row r="22" spans="1:12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369</v>
      </c>
      <c r="I22" s="309">
        <f>IF(T_T134145[[#This Row],[Total]]&lt;0,T_T134145[[#This Row],[Total]]*-1,0)</f>
        <v>0</v>
      </c>
      <c r="J22" s="313"/>
      <c r="K22" s="313"/>
      <c r="L22" s="419"/>
    </row>
    <row r="23" spans="1:12" x14ac:dyDescent="0.3">
      <c r="A23" s="40">
        <v>45807</v>
      </c>
      <c r="B23" s="3" t="s">
        <v>538</v>
      </c>
      <c r="C23" s="229"/>
      <c r="D23" s="230">
        <v>122</v>
      </c>
      <c r="E23" s="230">
        <v>8</v>
      </c>
      <c r="F23" s="230"/>
      <c r="G23" s="230">
        <f t="shared" si="0"/>
        <v>130</v>
      </c>
      <c r="H23" s="233">
        <f t="shared" si="1"/>
        <v>499</v>
      </c>
      <c r="I23" s="309">
        <f>IF(T_T134145[[#This Row],[Total]]&lt;0,T_T134145[[#This Row],[Total]]*-1,0)</f>
        <v>0</v>
      </c>
      <c r="J23" s="313"/>
      <c r="K23" s="313"/>
      <c r="L23" s="419"/>
    </row>
    <row r="24" spans="1:12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499</v>
      </c>
      <c r="I24" s="309">
        <f>IF(T_T134145[[#This Row],[Total]]&lt;0,T_T134145[[#This Row],[Total]]*-1,0)</f>
        <v>0</v>
      </c>
      <c r="J24" s="313"/>
      <c r="K24" s="313"/>
      <c r="L24" s="419"/>
    </row>
    <row r="25" spans="1:12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499</v>
      </c>
      <c r="I25" s="309">
        <f>IF(T_T134145[[#This Row],[Total]]&lt;0,T_T134145[[#This Row],[Total]]*-1,0)</f>
        <v>0</v>
      </c>
      <c r="J25" s="313"/>
      <c r="K25" s="313"/>
      <c r="L25" s="419"/>
    </row>
    <row r="26" spans="1:12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499</v>
      </c>
      <c r="I26" s="309">
        <f>IF(T_T134145[[#This Row],[Total]]&lt;0,T_T134145[[#This Row],[Total]]*-1,0)</f>
        <v>0</v>
      </c>
      <c r="J26" s="313"/>
      <c r="K26" s="313"/>
      <c r="L26" s="419"/>
    </row>
    <row r="27" spans="1:12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499</v>
      </c>
      <c r="I27" s="309">
        <f>IF(T_T134145[[#This Row],[Total]]&lt;0,T_T134145[[#This Row],[Total]]*-1,0)</f>
        <v>0</v>
      </c>
      <c r="J27" s="313"/>
      <c r="K27" s="313"/>
      <c r="L27" s="419"/>
    </row>
    <row r="28" spans="1:12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499</v>
      </c>
      <c r="I28" s="309">
        <f>IF(T_T134145[[#This Row],[Total]]&lt;0,T_T134145[[#This Row],[Total]]*-1,0)</f>
        <v>0</v>
      </c>
      <c r="J28" s="313"/>
      <c r="K28" s="313"/>
      <c r="L28" s="419"/>
    </row>
    <row r="29" spans="1:12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499</v>
      </c>
      <c r="I29" s="309">
        <f>IF(T_T134145[[#This Row],[Total]]&lt;0,T_T134145[[#This Row],[Total]]*-1,0)</f>
        <v>0</v>
      </c>
      <c r="J29" s="313"/>
      <c r="K29" s="313"/>
      <c r="L29" s="419"/>
    </row>
    <row r="30" spans="1:12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499</v>
      </c>
      <c r="I30" s="309">
        <f>IF(T_T134145[[#This Row],[Total]]&lt;0,T_T134145[[#This Row],[Total]]*-1,0)</f>
        <v>0</v>
      </c>
      <c r="J30" s="313"/>
      <c r="K30" s="313"/>
      <c r="L30" s="419"/>
    </row>
    <row r="31" spans="1:12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499</v>
      </c>
      <c r="I31" s="309">
        <f>IF(T_T134145[[#This Row],[Total]]&lt;0,T_T134145[[#This Row],[Total]]*-1,0)</f>
        <v>0</v>
      </c>
      <c r="J31" s="313"/>
      <c r="K31" s="313"/>
      <c r="L31" s="419"/>
    </row>
    <row r="32" spans="1:12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499</v>
      </c>
      <c r="I32" s="309">
        <f>IF(T_T134145[[#This Row],[Total]]&lt;0,T_T134145[[#This Row],[Total]]*-1,0)</f>
        <v>0</v>
      </c>
      <c r="J32" s="313"/>
      <c r="K32" s="313"/>
      <c r="L32" s="419"/>
    </row>
    <row r="33" spans="1:12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499</v>
      </c>
      <c r="I33" s="309">
        <f>IF(T_T134145[[#This Row],[Total]]&lt;0,T_T134145[[#This Row],[Total]]*-1,0)</f>
        <v>0</v>
      </c>
      <c r="J33" s="313"/>
      <c r="K33" s="313"/>
      <c r="L33" s="419"/>
    </row>
    <row r="34" spans="1:12" x14ac:dyDescent="0.3">
      <c r="A34" s="9"/>
      <c r="B34" s="3" t="s">
        <v>549</v>
      </c>
      <c r="C34" s="6"/>
      <c r="D34" s="230"/>
      <c r="E34" s="230"/>
      <c r="F34" s="230"/>
      <c r="G34" s="230">
        <f t="shared" si="0"/>
        <v>0</v>
      </c>
      <c r="H34" s="233">
        <f t="shared" si="1"/>
        <v>499</v>
      </c>
      <c r="I34" s="309">
        <f>IF(T_T134145[[#This Row],[Total]]&lt;0,T_T134145[[#This Row],[Total]]*-1,0)</f>
        <v>0</v>
      </c>
      <c r="J34" s="313"/>
      <c r="K34" s="313"/>
      <c r="L34" s="419"/>
    </row>
    <row r="35" spans="1:12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499</v>
      </c>
      <c r="I35" s="309">
        <f>IF(T_T134145[[#This Row],[Total]]&lt;0,T_T134145[[#This Row],[Total]]*-1,0)</f>
        <v>0</v>
      </c>
      <c r="J35" s="313"/>
      <c r="K35" s="313"/>
      <c r="L35" s="419"/>
    </row>
    <row r="36" spans="1:12" x14ac:dyDescent="0.3">
      <c r="A36" s="17"/>
      <c r="B36" s="18" t="s">
        <v>551</v>
      </c>
      <c r="C36" s="6"/>
      <c r="D36" s="230"/>
      <c r="E36" s="230"/>
      <c r="F36" s="230"/>
      <c r="G36" s="230">
        <f t="shared" si="0"/>
        <v>0</v>
      </c>
      <c r="H36" s="233">
        <f t="shared" si="1"/>
        <v>499</v>
      </c>
      <c r="I36" s="309">
        <f>IF(T_T134145[[#This Row],[Total]]&lt;0,T_T134145[[#This Row],[Total]]*-1,0)</f>
        <v>0</v>
      </c>
      <c r="J36" s="313"/>
      <c r="K36" s="313"/>
      <c r="L36" s="419"/>
    </row>
    <row r="37" spans="1:12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499</v>
      </c>
      <c r="I37" s="353">
        <f>IF(T_T134145[[#This Row],[Total]]&lt;0,T_T134145[[#This Row],[Total]]*-1,0)</f>
        <v>0</v>
      </c>
      <c r="J37" s="354"/>
      <c r="K37" s="354"/>
      <c r="L37" s="419"/>
    </row>
    <row r="38" spans="1:12" x14ac:dyDescent="0.3">
      <c r="A38" s="257"/>
      <c r="B38" s="110" t="s">
        <v>553</v>
      </c>
      <c r="C38" s="6"/>
      <c r="D38" s="230"/>
      <c r="E38" s="230"/>
      <c r="F38" s="230"/>
      <c r="G38" s="230">
        <f t="shared" si="0"/>
        <v>0</v>
      </c>
      <c r="H38" s="233">
        <f t="shared" si="1"/>
        <v>499</v>
      </c>
      <c r="I38" s="353">
        <f>IF(T_T134145[[#This Row],[Total]]&lt;0,T_T134145[[#This Row],[Total]]*-1,0)</f>
        <v>0</v>
      </c>
      <c r="J38" s="354"/>
      <c r="K38" s="354"/>
      <c r="L38" s="419"/>
    </row>
    <row r="39" spans="1:12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499</v>
      </c>
      <c r="I39" s="353">
        <f>IF(T_T134145[[#This Row],[Total]]&lt;0,T_T134145[[#This Row],[Total]]*-1,0)</f>
        <v>0</v>
      </c>
      <c r="J39" s="354"/>
      <c r="K39" s="354"/>
      <c r="L39" s="419"/>
    </row>
    <row r="40" spans="1:12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499</v>
      </c>
      <c r="I40" s="353">
        <f>IF(T_T134145[[#This Row],[Total]]&lt;0,T_T134145[[#This Row],[Total]]*-1,0)</f>
        <v>0</v>
      </c>
      <c r="J40" s="354"/>
      <c r="K40" s="354"/>
      <c r="L40" s="419"/>
    </row>
    <row r="41" spans="1:12" x14ac:dyDescent="0.3">
      <c r="A41" s="170"/>
      <c r="B41" s="537"/>
      <c r="C41" s="538"/>
      <c r="D41" s="539"/>
      <c r="E41" s="539"/>
      <c r="F41" s="539"/>
      <c r="G41" s="539"/>
      <c r="H41" s="508"/>
      <c r="I41" s="53"/>
      <c r="J41" s="540"/>
      <c r="K41" s="76"/>
      <c r="L41" s="76"/>
    </row>
  </sheetData>
  <hyperlinks>
    <hyperlink ref="B7" r:id="rId1" display="jose.orozco@outlook.com"/>
    <hyperlink ref="H7" location="Resumen!A1" display="Rsumen         "/>
  </hyperlinks>
  <pageMargins left="0.49" right="0.43" top="0.74803149606299213" bottom="0.74803149606299213" header="0.31496062992125984" footer="0.31496062992125984"/>
  <pageSetup scale="70" orientation="portrait" verticalDpi="360" r:id="rId2"/>
  <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2:N41"/>
  <sheetViews>
    <sheetView showGridLines="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3.6640625" customWidth="1"/>
    <col min="3" max="3" width="10.88671875" style="4" customWidth="1"/>
    <col min="4" max="4" width="11.44140625" style="1" customWidth="1"/>
    <col min="5" max="5" width="10.6640625" style="1" customWidth="1"/>
    <col min="6" max="6" width="9.109375" style="1" customWidth="1"/>
    <col min="7" max="7" width="11.88671875" style="1" customWidth="1"/>
    <col min="8" max="8" width="10.5546875" style="1" customWidth="1"/>
    <col min="9" max="9" width="7.6640625" customWidth="1"/>
    <col min="10" max="10" width="0.44140625" customWidth="1"/>
    <col min="11" max="11" width="1.88671875" customWidth="1"/>
    <col min="14" max="14" width="10.6640625" bestFit="1" customWidth="1"/>
  </cols>
  <sheetData>
    <row r="2" spans="1:12" ht="21" customHeight="1" x14ac:dyDescent="0.3">
      <c r="A2" s="27" t="s">
        <v>36</v>
      </c>
      <c r="B2" s="41" t="s">
        <v>77</v>
      </c>
    </row>
    <row r="3" spans="1:12" ht="18" customHeight="1" x14ac:dyDescent="0.3">
      <c r="A3" s="27" t="s">
        <v>31</v>
      </c>
      <c r="B3" s="28" t="s">
        <v>484</v>
      </c>
    </row>
    <row r="4" spans="1:12" hidden="1" x14ac:dyDescent="0.3">
      <c r="A4" s="27" t="s">
        <v>32</v>
      </c>
      <c r="B4" s="28" t="e">
        <f>LOOKUP(B2,#REF!,#REF!)</f>
        <v>#REF!</v>
      </c>
    </row>
    <row r="5" spans="1:12" hidden="1" x14ac:dyDescent="0.3">
      <c r="A5" s="27" t="s">
        <v>33</v>
      </c>
      <c r="B5" s="28" t="e">
        <f>LOOKUP(B2,#REF!,#REF!)</f>
        <v>#REF!</v>
      </c>
    </row>
    <row r="6" spans="1:12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2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2" x14ac:dyDescent="0.3">
      <c r="A8" s="21"/>
      <c r="B8" s="21"/>
    </row>
    <row r="9" spans="1:12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69" t="s">
        <v>188</v>
      </c>
      <c r="K9" s="96" t="s">
        <v>191</v>
      </c>
      <c r="L9" s="242" t="s">
        <v>262</v>
      </c>
    </row>
    <row r="10" spans="1:12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119">
        <f>IF(T_T1343[[#This Row],[Total]]&lt;0,T_T1343[[#This Row],[Total]]*-1,0)</f>
        <v>0</v>
      </c>
      <c r="J10" s="120"/>
      <c r="K10" s="97"/>
      <c r="L10" s="232"/>
    </row>
    <row r="11" spans="1:12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IF(T_T1343[[#This Row],[Total]]&lt;0,T_T1343[[#This Row],[Total]]*-1,0)</f>
        <v>0</v>
      </c>
      <c r="J11" s="231"/>
      <c r="K11" s="232"/>
      <c r="L11" s="232"/>
    </row>
    <row r="12" spans="1:12" x14ac:dyDescent="0.3">
      <c r="A12" s="361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IF(T_T1343[[#This Row],[Total]]&lt;0,T_T1343[[#This Row],[Total]]*-1,0)</f>
        <v>0</v>
      </c>
      <c r="J12" s="427"/>
      <c r="K12" s="419"/>
      <c r="L12" s="419"/>
    </row>
    <row r="13" spans="1:12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IF(T_T1343[[#This Row],[Total]]&lt;0,T_T1343[[#This Row],[Total]]*-1,0)</f>
        <v>0</v>
      </c>
      <c r="J13" s="231"/>
      <c r="K13" s="232"/>
      <c r="L13" s="232"/>
    </row>
    <row r="14" spans="1:12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IF(T_T1343[[#This Row],[Total]]&lt;0,T_T1343[[#This Row],[Total]]*-1,0)</f>
        <v>0</v>
      </c>
      <c r="J14" s="476"/>
      <c r="K14" s="485"/>
      <c r="L14" s="485"/>
    </row>
    <row r="15" spans="1:12" x14ac:dyDescent="0.3">
      <c r="A15" s="17">
        <v>46052</v>
      </c>
      <c r="B15" s="18" t="s">
        <v>590</v>
      </c>
      <c r="C15" s="6"/>
      <c r="D15" s="2">
        <v>101</v>
      </c>
      <c r="E15" s="2">
        <v>104</v>
      </c>
      <c r="F15" s="20"/>
      <c r="G15" s="20">
        <f>SUM(D15:F15)</f>
        <v>205</v>
      </c>
      <c r="H15" s="233">
        <f>+H13+T_T1343[[#This Row],[Total]]</f>
        <v>205</v>
      </c>
      <c r="I15" s="240">
        <f>IF(T_T1343[[#This Row],[Total]]&lt;0,T_T1343[[#This Row],[Total]]*-1,0)</f>
        <v>0</v>
      </c>
      <c r="J15" s="231"/>
      <c r="K15" s="232"/>
      <c r="L15" s="232"/>
    </row>
    <row r="16" spans="1:12" x14ac:dyDescent="0.3">
      <c r="A16" s="17"/>
      <c r="B16" s="18" t="s">
        <v>591</v>
      </c>
      <c r="C16" s="6"/>
      <c r="D16" s="2"/>
      <c r="E16" s="2"/>
      <c r="F16" s="230"/>
      <c r="G16" s="230">
        <f t="shared" ref="G16:G38" si="0">SUM(D16:F16)</f>
        <v>0</v>
      </c>
      <c r="H16" s="233">
        <f t="shared" ref="H16:H40" si="1">H15+G16</f>
        <v>205</v>
      </c>
      <c r="I16" s="240">
        <f>IF(T_T1343[[#This Row],[Total]]&lt;0,T_T1343[[#This Row],[Total]]*-1,0)</f>
        <v>0</v>
      </c>
      <c r="J16" s="231"/>
      <c r="K16" s="232"/>
      <c r="L16" s="232"/>
    </row>
    <row r="17" spans="1:14" x14ac:dyDescent="0.3">
      <c r="A17" s="164">
        <v>45715</v>
      </c>
      <c r="B17" s="161" t="s">
        <v>592</v>
      </c>
      <c r="C17" s="6"/>
      <c r="D17" s="2">
        <v>101</v>
      </c>
      <c r="E17" s="2">
        <v>259</v>
      </c>
      <c r="F17" s="230"/>
      <c r="G17" s="230">
        <f t="shared" si="0"/>
        <v>360</v>
      </c>
      <c r="H17" s="233">
        <f t="shared" si="1"/>
        <v>565</v>
      </c>
      <c r="I17" s="240">
        <f>IF(T_T1343[[#This Row],[Total]]&lt;0,T_T1343[[#This Row],[Total]]*-1,0)</f>
        <v>0</v>
      </c>
      <c r="J17" s="231"/>
      <c r="K17" s="232"/>
      <c r="L17" s="232"/>
    </row>
    <row r="18" spans="1:14" x14ac:dyDescent="0.3">
      <c r="A18" s="187"/>
      <c r="B18" s="18" t="s">
        <v>593</v>
      </c>
      <c r="C18" s="6"/>
      <c r="D18" s="2"/>
      <c r="E18" s="2"/>
      <c r="F18" s="230"/>
      <c r="G18" s="230">
        <f t="shared" si="0"/>
        <v>0</v>
      </c>
      <c r="H18" s="233">
        <f t="shared" si="1"/>
        <v>565</v>
      </c>
      <c r="I18" s="240">
        <f>IF(T_T1343[[#This Row],[Total]]&lt;0,T_T1343[[#This Row],[Total]]*-1,0)</f>
        <v>0</v>
      </c>
      <c r="J18" s="231"/>
      <c r="K18" s="232"/>
      <c r="L18" s="232"/>
    </row>
    <row r="19" spans="1:14" x14ac:dyDescent="0.3">
      <c r="A19" s="188">
        <v>45747</v>
      </c>
      <c r="B19" s="3" t="s">
        <v>534</v>
      </c>
      <c r="C19" s="6"/>
      <c r="D19" s="2">
        <v>121</v>
      </c>
      <c r="E19" s="2">
        <v>30</v>
      </c>
      <c r="F19" s="230"/>
      <c r="G19" s="230">
        <f t="shared" si="0"/>
        <v>151</v>
      </c>
      <c r="H19" s="233">
        <f t="shared" si="1"/>
        <v>716</v>
      </c>
      <c r="I19" s="240">
        <f>IF(T_T1343[[#This Row],[Total]]&lt;0,T_T1343[[#This Row],[Total]]*-1,0)</f>
        <v>0</v>
      </c>
      <c r="J19" s="231"/>
      <c r="K19" s="232"/>
      <c r="L19" s="232"/>
    </row>
    <row r="20" spans="1:14" x14ac:dyDescent="0.3">
      <c r="A20" s="188"/>
      <c r="B20" s="82" t="s">
        <v>535</v>
      </c>
      <c r="C20" s="6"/>
      <c r="D20" s="2"/>
      <c r="E20" s="2"/>
      <c r="F20" s="230"/>
      <c r="G20" s="230">
        <f t="shared" si="0"/>
        <v>0</v>
      </c>
      <c r="H20" s="233">
        <f t="shared" si="1"/>
        <v>716</v>
      </c>
      <c r="I20" s="240">
        <f>IF(T_T1343[[#This Row],[Total]]&lt;0,T_T1343[[#This Row],[Total]]*-1,0)</f>
        <v>0</v>
      </c>
      <c r="J20" s="231"/>
      <c r="K20" s="232"/>
      <c r="L20" s="232"/>
    </row>
    <row r="21" spans="1:14" x14ac:dyDescent="0.3">
      <c r="A21" s="188">
        <v>45777</v>
      </c>
      <c r="B21" s="3" t="s">
        <v>536</v>
      </c>
      <c r="C21" s="6"/>
      <c r="D21" s="2">
        <v>121</v>
      </c>
      <c r="E21" s="2">
        <v>3</v>
      </c>
      <c r="F21" s="230"/>
      <c r="G21" s="230">
        <f t="shared" si="0"/>
        <v>124</v>
      </c>
      <c r="H21" s="233">
        <f t="shared" si="1"/>
        <v>840</v>
      </c>
      <c r="I21" s="309">
        <f>IF(T_T1343[[#This Row],[Total]]&lt;0,T_T1343[[#This Row],[Total]]*-1,0)</f>
        <v>0</v>
      </c>
      <c r="J21" s="320"/>
      <c r="K21" s="313"/>
      <c r="L21" s="313"/>
    </row>
    <row r="22" spans="1:14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840</v>
      </c>
      <c r="I22" s="309">
        <f>IF(T_T1343[[#This Row],[Total]]&lt;0,T_T1343[[#This Row],[Total]]*-1,0)</f>
        <v>0</v>
      </c>
      <c r="J22" s="320"/>
      <c r="K22" s="313"/>
      <c r="L22" s="313"/>
    </row>
    <row r="23" spans="1:14" x14ac:dyDescent="0.3">
      <c r="A23" s="40">
        <v>45807</v>
      </c>
      <c r="B23" s="3" t="s">
        <v>538</v>
      </c>
      <c r="C23" s="229"/>
      <c r="D23" s="230">
        <v>121</v>
      </c>
      <c r="E23" s="230">
        <v>17</v>
      </c>
      <c r="F23" s="230"/>
      <c r="G23" s="230">
        <f t="shared" si="0"/>
        <v>138</v>
      </c>
      <c r="H23" s="233">
        <f t="shared" si="1"/>
        <v>978</v>
      </c>
      <c r="I23" s="309">
        <f>IF(T_T1343[[#This Row],[Total]]&lt;0,T_T1343[[#This Row],[Total]]*-1,0)</f>
        <v>0</v>
      </c>
      <c r="J23" s="320"/>
      <c r="K23" s="313"/>
      <c r="L23" s="313"/>
    </row>
    <row r="24" spans="1:14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978</v>
      </c>
      <c r="I24" s="309">
        <f>IF(T_T1343[[#This Row],[Total]]&lt;0,T_T1343[[#This Row],[Total]]*-1,0)</f>
        <v>0</v>
      </c>
      <c r="J24" s="320"/>
      <c r="K24" s="313"/>
      <c r="L24" s="313"/>
    </row>
    <row r="25" spans="1:14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978</v>
      </c>
      <c r="I25" s="309">
        <f>IF(T_T1343[[#This Row],[Total]]&lt;0,T_T1343[[#This Row],[Total]]*-1,0)</f>
        <v>0</v>
      </c>
      <c r="J25" s="320"/>
      <c r="K25" s="313"/>
      <c r="L25" s="313"/>
    </row>
    <row r="26" spans="1:14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978</v>
      </c>
      <c r="I26" s="309">
        <f>IF(T_T1343[[#This Row],[Total]]&lt;0,T_T1343[[#This Row],[Total]]*-1,0)</f>
        <v>0</v>
      </c>
      <c r="J26" s="320"/>
      <c r="K26" s="313"/>
      <c r="L26" s="313"/>
      <c r="N26" t="s">
        <v>577</v>
      </c>
    </row>
    <row r="27" spans="1:14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978</v>
      </c>
      <c r="I27" s="309">
        <f>IF(T_T1343[[#This Row],[Total]]&lt;0,T_T1343[[#This Row],[Total]]*-1,0)</f>
        <v>0</v>
      </c>
      <c r="J27" s="320"/>
      <c r="K27" s="313"/>
      <c r="L27" s="313"/>
    </row>
    <row r="28" spans="1:14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978</v>
      </c>
      <c r="I28" s="309">
        <f>IF(T_T1343[[#This Row],[Total]]&lt;0,T_T1343[[#This Row],[Total]]*-1,0)</f>
        <v>0</v>
      </c>
      <c r="J28" s="320"/>
      <c r="K28" s="313"/>
      <c r="L28" s="313"/>
    </row>
    <row r="29" spans="1:14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978</v>
      </c>
      <c r="I29" s="309">
        <f>IF(T_T1343[[#This Row],[Total]]&lt;0,T_T1343[[#This Row],[Total]]*-1,0)</f>
        <v>0</v>
      </c>
      <c r="J29" s="320"/>
      <c r="K29" s="313"/>
      <c r="L29" s="313"/>
    </row>
    <row r="30" spans="1:14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978</v>
      </c>
      <c r="I30" s="309">
        <f>IF(T_T1343[[#This Row],[Total]]&lt;0,T_T1343[[#This Row],[Total]]*-1,0)</f>
        <v>0</v>
      </c>
      <c r="J30" s="320"/>
      <c r="K30" s="313"/>
      <c r="L30" s="313"/>
    </row>
    <row r="31" spans="1:14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978</v>
      </c>
      <c r="I31" s="309">
        <f>IF(T_T1343[[#This Row],[Total]]&lt;0,T_T1343[[#This Row],[Total]]*-1,0)</f>
        <v>0</v>
      </c>
      <c r="J31" s="320"/>
      <c r="K31" s="313"/>
      <c r="L31" s="313"/>
    </row>
    <row r="32" spans="1:14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978</v>
      </c>
      <c r="I32" s="309">
        <f>IF(T_T1343[[#This Row],[Total]]&lt;0,T_T1343[[#This Row],[Total]]*-1,0)</f>
        <v>0</v>
      </c>
      <c r="J32" s="320"/>
      <c r="K32" s="313"/>
      <c r="L32" s="313"/>
    </row>
    <row r="33" spans="1:12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978</v>
      </c>
      <c r="I33" s="309">
        <f>IF(T_T1343[[#This Row],[Total]]&lt;0,T_T1343[[#This Row],[Total]]*-1,0)</f>
        <v>0</v>
      </c>
      <c r="J33" s="320"/>
      <c r="K33" s="313"/>
      <c r="L33" s="313"/>
    </row>
    <row r="34" spans="1:12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978</v>
      </c>
      <c r="I34" s="309">
        <f>IF(T_T1343[[#This Row],[Total]]&lt;0,T_T1343[[#This Row],[Total]]*-1,0)</f>
        <v>0</v>
      </c>
      <c r="J34" s="320"/>
      <c r="K34" s="313"/>
      <c r="L34" s="313"/>
    </row>
    <row r="35" spans="1:12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978</v>
      </c>
      <c r="I35" s="309">
        <f>IF(T_T1343[[#This Row],[Total]]&lt;0,T_T1343[[#This Row],[Total]]*-1,0)</f>
        <v>0</v>
      </c>
      <c r="J35" s="320"/>
      <c r="K35" s="313"/>
      <c r="L35" s="313"/>
    </row>
    <row r="36" spans="1:12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978</v>
      </c>
      <c r="I36" s="309">
        <f>IF(T_T1343[[#This Row],[Total]]&lt;0,T_T1343[[#This Row],[Total]]*-1,0)</f>
        <v>0</v>
      </c>
      <c r="J36" s="320"/>
      <c r="K36" s="313"/>
      <c r="L36" s="313"/>
    </row>
    <row r="37" spans="1:12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978</v>
      </c>
      <c r="I37" s="353">
        <f>IF(T_T1343[[#This Row],[Total]]&lt;0,T_T1343[[#This Row],[Total]]*-1,0)</f>
        <v>0</v>
      </c>
      <c r="J37" s="355"/>
      <c r="K37" s="354"/>
      <c r="L37" s="354"/>
    </row>
    <row r="38" spans="1:12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978</v>
      </c>
      <c r="I38" s="353">
        <f>IF(T_T1343[[#This Row],[Total]]&lt;0,T_T1343[[#This Row],[Total]]*-1,0)</f>
        <v>0</v>
      </c>
      <c r="J38" s="355"/>
      <c r="K38" s="354"/>
      <c r="L38" s="354"/>
    </row>
    <row r="39" spans="1:12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978</v>
      </c>
      <c r="I39" s="353">
        <f>IF(T_T1343[[#This Row],[Total]]&lt;0,T_T1343[[#This Row],[Total]]*-1,0)</f>
        <v>0</v>
      </c>
      <c r="J39" s="355"/>
      <c r="K39" s="354"/>
      <c r="L39" s="354"/>
    </row>
    <row r="40" spans="1:12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978</v>
      </c>
      <c r="I40" s="353">
        <f>IF(T_T1343[[#This Row],[Total]]&lt;0,T_T1343[[#This Row],[Total]]*-1,0)</f>
        <v>0</v>
      </c>
      <c r="J40" s="355"/>
      <c r="K40" s="354"/>
      <c r="L40" s="354"/>
    </row>
    <row r="41" spans="1:12" x14ac:dyDescent="0.3">
      <c r="A41" s="492"/>
      <c r="B41" s="493"/>
      <c r="C41" s="466"/>
      <c r="D41" s="467"/>
      <c r="E41" s="467"/>
      <c r="F41" s="467"/>
      <c r="G41" s="467"/>
      <c r="H41" s="474"/>
      <c r="I41" s="475"/>
      <c r="J41" s="480"/>
      <c r="K41" s="76"/>
      <c r="L41" s="76"/>
    </row>
  </sheetData>
  <hyperlinks>
    <hyperlink ref="B7" r:id="rId1" display="jose.orozco@outlook.com"/>
    <hyperlink ref="H7" location="Resumen!A1" display="Rsumen         "/>
  </hyperlinks>
  <pageMargins left="0.45" right="0.43" top="0.74803149606299213" bottom="0.74803149606299213" header="0.31496062992125984" footer="0.31496062992125984"/>
  <pageSetup scale="65" orientation="portrait" verticalDpi="360" r:id="rId2"/>
  <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2:I41"/>
  <sheetViews>
    <sheetView showGridLines="0" zoomScale="98" zoomScaleNormal="98" workbookViewId="0">
      <selection activeCell="D23" sqref="D23"/>
    </sheetView>
  </sheetViews>
  <sheetFormatPr baseColWidth="10" defaultColWidth="9.109375" defaultRowHeight="14.4" x14ac:dyDescent="0.3"/>
  <cols>
    <col min="1" max="1" width="14.6640625" customWidth="1"/>
    <col min="2" max="2" width="39.88671875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4" max="14" width="10.6640625" bestFit="1" customWidth="1"/>
  </cols>
  <sheetData>
    <row r="2" spans="1:9" ht="15.6" x14ac:dyDescent="0.3">
      <c r="A2" s="27" t="s">
        <v>36</v>
      </c>
      <c r="B2" s="41" t="s">
        <v>78</v>
      </c>
    </row>
    <row r="3" spans="1:9" ht="14.25" customHeight="1" x14ac:dyDescent="0.3">
      <c r="A3" s="27" t="s">
        <v>31</v>
      </c>
      <c r="B3" s="28" t="s">
        <v>380</v>
      </c>
    </row>
    <row r="4" spans="1:9" hidden="1" x14ac:dyDescent="0.3">
      <c r="A4" s="27" t="s">
        <v>32</v>
      </c>
      <c r="B4" s="28" t="e">
        <f>LOOKUP(B2,#REF!,#REF!)</f>
        <v>#REF!</v>
      </c>
    </row>
    <row r="5" spans="1:9" hidden="1" x14ac:dyDescent="0.3">
      <c r="A5" s="27" t="s">
        <v>33</v>
      </c>
      <c r="B5" s="28" t="e">
        <f>LOOKUP(B2,#REF!,#REF!)</f>
        <v>#REF!</v>
      </c>
    </row>
    <row r="6" spans="1:9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9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9" x14ac:dyDescent="0.3">
      <c r="A8" s="21" t="s">
        <v>387</v>
      </c>
      <c r="B8" s="21" t="s">
        <v>469</v>
      </c>
    </row>
    <row r="9" spans="1:9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9" x14ac:dyDescent="0.3">
      <c r="A10" s="288"/>
      <c r="B10" s="118" t="s">
        <v>431</v>
      </c>
      <c r="C10" s="284"/>
      <c r="D10" s="285"/>
      <c r="E10" s="285"/>
      <c r="F10" s="285"/>
      <c r="G10" s="285"/>
      <c r="H10" s="10">
        <v>0</v>
      </c>
      <c r="I10" s="6">
        <f>IF(T_T1345[[#This Row],[Total]]&lt;0,T_T1345[[#This Row],[Total]]*-1,0)</f>
        <v>0</v>
      </c>
    </row>
    <row r="11" spans="1:9" x14ac:dyDescent="0.3">
      <c r="A11" s="288"/>
      <c r="B11" s="118" t="s">
        <v>432</v>
      </c>
      <c r="C11" s="284"/>
      <c r="D11" s="285"/>
      <c r="E11" s="285"/>
      <c r="F11" s="285"/>
      <c r="G11" s="285"/>
      <c r="H11" s="255">
        <f t="shared" ref="H11:H40" si="0">H10+G11</f>
        <v>0</v>
      </c>
      <c r="I11" s="240">
        <f>IF(T_T1345[[#This Row],[Total]]&lt;0,T_T1345[[#This Row],[Total]]*-1,0)</f>
        <v>0</v>
      </c>
    </row>
    <row r="12" spans="1:9" x14ac:dyDescent="0.3">
      <c r="A12" s="361"/>
      <c r="B12" s="118" t="s">
        <v>467</v>
      </c>
      <c r="C12" s="424"/>
      <c r="D12" s="425"/>
      <c r="E12" s="425"/>
      <c r="F12" s="425"/>
      <c r="G12" s="425"/>
      <c r="H12" s="429">
        <f>H11+G12</f>
        <v>0</v>
      </c>
      <c r="I12" s="430">
        <f>IF(T_T1345[[#This Row],[Total]]&lt;0,T_T1345[[#This Row],[Total]]*-1,0)</f>
        <v>0</v>
      </c>
    </row>
    <row r="13" spans="1:9" x14ac:dyDescent="0.3">
      <c r="A13" s="288"/>
      <c r="B13" s="118" t="s">
        <v>502</v>
      </c>
      <c r="C13" s="289"/>
      <c r="D13" s="290"/>
      <c r="E13" s="290"/>
      <c r="F13" s="290"/>
      <c r="G13" s="290"/>
      <c r="H13" s="255">
        <f>H11+G13</f>
        <v>0</v>
      </c>
      <c r="I13" s="240">
        <f>IF(T_T1345[[#This Row],[Total]]&lt;0,T_T1345[[#This Row],[Total]]*-1,0)</f>
        <v>0</v>
      </c>
    </row>
    <row r="14" spans="1:9" x14ac:dyDescent="0.3">
      <c r="A14" s="288"/>
      <c r="B14" s="118" t="s">
        <v>529</v>
      </c>
      <c r="C14" s="481"/>
      <c r="D14" s="482"/>
      <c r="E14" s="482"/>
      <c r="F14" s="482"/>
      <c r="G14" s="482"/>
      <c r="H14" s="486">
        <f>H13+G14</f>
        <v>0</v>
      </c>
      <c r="I14" s="473">
        <f>IF(T_T1345[[#This Row],[Total]]&lt;0,T_T1345[[#This Row],[Total]]*-1,0)</f>
        <v>0</v>
      </c>
    </row>
    <row r="15" spans="1:9" x14ac:dyDescent="0.3">
      <c r="A15" s="17">
        <v>46052</v>
      </c>
      <c r="B15" s="18" t="s">
        <v>590</v>
      </c>
      <c r="C15" s="6"/>
      <c r="D15" s="2">
        <v>101</v>
      </c>
      <c r="E15" s="2">
        <v>13</v>
      </c>
      <c r="F15" s="20"/>
      <c r="G15" s="20">
        <f>SUM(D15:F15)</f>
        <v>114</v>
      </c>
      <c r="H15" s="255">
        <f>H13+G15</f>
        <v>114</v>
      </c>
      <c r="I15" s="240">
        <f>IF(T_T1345[[#This Row],[Total]]&lt;0,T_T1345[[#This Row],[Total]]*-1,0)</f>
        <v>0</v>
      </c>
    </row>
    <row r="16" spans="1:9" x14ac:dyDescent="0.3">
      <c r="A16" s="17"/>
      <c r="B16" s="18" t="s">
        <v>591</v>
      </c>
      <c r="C16" s="6">
        <v>8555</v>
      </c>
      <c r="D16" s="2">
        <v>-101</v>
      </c>
      <c r="E16" s="2">
        <v>-13</v>
      </c>
      <c r="F16" s="230"/>
      <c r="G16" s="230">
        <f t="shared" ref="G16:G38" si="1">SUM(D16:F16)</f>
        <v>-114</v>
      </c>
      <c r="H16" s="255">
        <f t="shared" si="0"/>
        <v>0</v>
      </c>
      <c r="I16" s="240">
        <f>IF(T_T1345[[#This Row],[Total]]&lt;0,T_T1345[[#This Row],[Total]]*-1,0)</f>
        <v>114</v>
      </c>
    </row>
    <row r="17" spans="1:9" x14ac:dyDescent="0.3">
      <c r="A17" s="164">
        <v>45715</v>
      </c>
      <c r="B17" s="161" t="s">
        <v>532</v>
      </c>
      <c r="C17" s="6"/>
      <c r="D17" s="2">
        <v>101</v>
      </c>
      <c r="E17" s="2">
        <v>13</v>
      </c>
      <c r="F17" s="230"/>
      <c r="G17" s="230">
        <f t="shared" si="1"/>
        <v>114</v>
      </c>
      <c r="H17" s="233">
        <f t="shared" si="0"/>
        <v>114</v>
      </c>
      <c r="I17" s="240">
        <f>IF(T_T1345[[#This Row],[Total]]&lt;0,T_T1345[[#This Row],[Total]]*-1,0)</f>
        <v>0</v>
      </c>
    </row>
    <row r="18" spans="1:9" x14ac:dyDescent="0.3">
      <c r="A18" s="187"/>
      <c r="B18" s="18" t="s">
        <v>533</v>
      </c>
      <c r="C18" s="6">
        <v>8736</v>
      </c>
      <c r="D18" s="2">
        <v>-101</v>
      </c>
      <c r="E18" s="2">
        <v>-13</v>
      </c>
      <c r="F18" s="230"/>
      <c r="G18" s="230">
        <f t="shared" si="1"/>
        <v>-114</v>
      </c>
      <c r="H18" s="255">
        <f t="shared" si="0"/>
        <v>0</v>
      </c>
      <c r="I18" s="240">
        <f>IF(T_T1345[[#This Row],[Total]]&lt;0,T_T1345[[#This Row],[Total]]*-1,0)</f>
        <v>114</v>
      </c>
    </row>
    <row r="19" spans="1:9" x14ac:dyDescent="0.3">
      <c r="A19" s="188">
        <v>45747</v>
      </c>
      <c r="B19" s="3" t="s">
        <v>534</v>
      </c>
      <c r="C19" s="6"/>
      <c r="D19" s="2">
        <v>121</v>
      </c>
      <c r="E19" s="2">
        <v>13</v>
      </c>
      <c r="F19" s="230"/>
      <c r="G19" s="230">
        <f t="shared" si="1"/>
        <v>134</v>
      </c>
      <c r="H19" s="255">
        <f t="shared" si="0"/>
        <v>134</v>
      </c>
      <c r="I19" s="240">
        <f>IF(T_T1345[[#This Row],[Total]]&lt;0,T_T1345[[#This Row],[Total]]*-1,0)</f>
        <v>0</v>
      </c>
    </row>
    <row r="20" spans="1:9" x14ac:dyDescent="0.3">
      <c r="A20" s="188"/>
      <c r="B20" s="82" t="s">
        <v>535</v>
      </c>
      <c r="C20" s="6">
        <v>8815</v>
      </c>
      <c r="D20" s="2">
        <v>-121</v>
      </c>
      <c r="E20" s="2">
        <v>-13</v>
      </c>
      <c r="F20" s="230"/>
      <c r="G20" s="230">
        <f t="shared" si="1"/>
        <v>-134</v>
      </c>
      <c r="H20" s="255">
        <f t="shared" si="0"/>
        <v>0</v>
      </c>
      <c r="I20" s="240">
        <f>IF(T_T1345[[#This Row],[Total]]&lt;0,T_T1345[[#This Row],[Total]]*-1,0)</f>
        <v>134</v>
      </c>
    </row>
    <row r="21" spans="1:9" x14ac:dyDescent="0.3">
      <c r="A21" s="188">
        <v>45777</v>
      </c>
      <c r="B21" s="3" t="s">
        <v>536</v>
      </c>
      <c r="C21" s="6"/>
      <c r="D21" s="2">
        <v>121</v>
      </c>
      <c r="E21" s="2">
        <v>13</v>
      </c>
      <c r="F21" s="230"/>
      <c r="G21" s="230">
        <f t="shared" si="1"/>
        <v>134</v>
      </c>
      <c r="H21" s="316">
        <f t="shared" si="0"/>
        <v>134</v>
      </c>
      <c r="I21" s="309">
        <f>IF(T_T1345[[#This Row],[Total]]&lt;0,T_T1345[[#This Row],[Total]]*-1,0)</f>
        <v>0</v>
      </c>
    </row>
    <row r="22" spans="1:9" x14ac:dyDescent="0.3">
      <c r="A22" s="83"/>
      <c r="B22" s="82" t="s">
        <v>537</v>
      </c>
      <c r="C22" s="6">
        <v>8951</v>
      </c>
      <c r="D22" s="2">
        <v>-121</v>
      </c>
      <c r="E22" s="2">
        <v>-13</v>
      </c>
      <c r="F22" s="230"/>
      <c r="G22" s="230">
        <f t="shared" si="1"/>
        <v>-134</v>
      </c>
      <c r="H22" s="323">
        <f t="shared" si="0"/>
        <v>0</v>
      </c>
      <c r="I22" s="309">
        <f>IF(T_T1345[[#This Row],[Total]]&lt;0,T_T1345[[#This Row],[Total]]*-1,0)</f>
        <v>134</v>
      </c>
    </row>
    <row r="23" spans="1:9" x14ac:dyDescent="0.3">
      <c r="A23" s="40">
        <v>45807</v>
      </c>
      <c r="B23" s="3" t="s">
        <v>538</v>
      </c>
      <c r="C23" s="229"/>
      <c r="D23" s="230"/>
      <c r="E23" s="230"/>
      <c r="F23" s="230"/>
      <c r="G23" s="230">
        <f t="shared" si="1"/>
        <v>0</v>
      </c>
      <c r="H23" s="323">
        <f t="shared" si="0"/>
        <v>0</v>
      </c>
      <c r="I23" s="309">
        <f>IF(T_T1345[[#This Row],[Total]]&lt;0,T_T1345[[#This Row],[Total]]*-1,0)</f>
        <v>0</v>
      </c>
    </row>
    <row r="24" spans="1:9" x14ac:dyDescent="0.3">
      <c r="A24" s="9"/>
      <c r="B24" s="18" t="s">
        <v>539</v>
      </c>
      <c r="C24" s="6"/>
      <c r="D24" s="230"/>
      <c r="E24" s="230"/>
      <c r="F24" s="230"/>
      <c r="G24" s="230">
        <f t="shared" si="1"/>
        <v>0</v>
      </c>
      <c r="H24" s="323">
        <f t="shared" si="0"/>
        <v>0</v>
      </c>
      <c r="I24" s="309">
        <f>IF(T_T1345[[#This Row],[Total]]&lt;0,T_T1345[[#This Row],[Total]]*-1,0)</f>
        <v>0</v>
      </c>
    </row>
    <row r="25" spans="1:9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1"/>
        <v>0</v>
      </c>
      <c r="H25" s="316">
        <f t="shared" si="0"/>
        <v>0</v>
      </c>
      <c r="I25" s="309">
        <f>IF(T_T1345[[#This Row],[Total]]&lt;0,T_T1345[[#This Row],[Total]]*-1,0)</f>
        <v>0</v>
      </c>
    </row>
    <row r="26" spans="1:9" x14ac:dyDescent="0.3">
      <c r="A26" s="9"/>
      <c r="B26" s="18" t="s">
        <v>541</v>
      </c>
      <c r="C26" s="6"/>
      <c r="D26" s="230"/>
      <c r="E26" s="230"/>
      <c r="F26" s="230"/>
      <c r="G26" s="230">
        <f t="shared" si="1"/>
        <v>0</v>
      </c>
      <c r="H26" s="323">
        <f t="shared" si="0"/>
        <v>0</v>
      </c>
      <c r="I26" s="309">
        <f>IF(T_T1345[[#This Row],[Total]]&lt;0,T_T1345[[#This Row],[Total]]*-1,0)</f>
        <v>0</v>
      </c>
    </row>
    <row r="27" spans="1:9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1"/>
        <v>0</v>
      </c>
      <c r="H27" s="323">
        <f t="shared" si="0"/>
        <v>0</v>
      </c>
      <c r="I27" s="309">
        <f>IF(T_T1345[[#This Row],[Total]]&lt;0,T_T1345[[#This Row],[Total]]*-1,0)</f>
        <v>0</v>
      </c>
    </row>
    <row r="28" spans="1:9" x14ac:dyDescent="0.3">
      <c r="A28" s="107"/>
      <c r="B28" s="82" t="s">
        <v>543</v>
      </c>
      <c r="C28" s="6"/>
      <c r="D28" s="230"/>
      <c r="E28" s="230"/>
      <c r="F28" s="230"/>
      <c r="G28" s="230">
        <f t="shared" si="1"/>
        <v>0</v>
      </c>
      <c r="H28" s="323">
        <f t="shared" si="0"/>
        <v>0</v>
      </c>
      <c r="I28" s="309">
        <f>IF(T_T1345[[#This Row],[Total]]&lt;0,T_T1345[[#This Row],[Total]]*-1,0)</f>
        <v>0</v>
      </c>
    </row>
    <row r="29" spans="1:9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1"/>
        <v>0</v>
      </c>
      <c r="H29" s="316">
        <f t="shared" si="0"/>
        <v>0</v>
      </c>
      <c r="I29" s="309">
        <f>IF(T_T1345[[#This Row],[Total]]&lt;0,T_T1345[[#This Row],[Total]]*-1,0)</f>
        <v>0</v>
      </c>
    </row>
    <row r="30" spans="1:9" x14ac:dyDescent="0.3">
      <c r="A30" s="107"/>
      <c r="B30" s="82" t="s">
        <v>545</v>
      </c>
      <c r="C30" s="6"/>
      <c r="D30" s="230"/>
      <c r="E30" s="230"/>
      <c r="F30" s="230"/>
      <c r="G30" s="230">
        <f t="shared" si="1"/>
        <v>0</v>
      </c>
      <c r="H30" s="323">
        <f t="shared" si="0"/>
        <v>0</v>
      </c>
      <c r="I30" s="309">
        <f>IF(T_T1345[[#This Row],[Total]]&lt;0,T_T1345[[#This Row],[Total]]*-1,0)</f>
        <v>0</v>
      </c>
    </row>
    <row r="31" spans="1:9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1"/>
        <v>0</v>
      </c>
      <c r="H31" s="323">
        <f t="shared" si="0"/>
        <v>0</v>
      </c>
      <c r="I31" s="309">
        <f>IF(T_T1345[[#This Row],[Total]]&lt;0,T_T1345[[#This Row],[Total]]*-1,0)</f>
        <v>0</v>
      </c>
    </row>
    <row r="32" spans="1:9" x14ac:dyDescent="0.3">
      <c r="A32" s="9"/>
      <c r="B32" s="3" t="s">
        <v>547</v>
      </c>
      <c r="C32" s="6"/>
      <c r="D32" s="230"/>
      <c r="E32" s="230"/>
      <c r="F32" s="230"/>
      <c r="G32" s="230">
        <f t="shared" si="1"/>
        <v>0</v>
      </c>
      <c r="H32" s="323">
        <f t="shared" si="0"/>
        <v>0</v>
      </c>
      <c r="I32" s="309">
        <f>IF(T_T1345[[#This Row],[Total]]&lt;0,T_T1345[[#This Row],[Total]]*-1,0)</f>
        <v>0</v>
      </c>
    </row>
    <row r="33" spans="1:9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1"/>
        <v>0</v>
      </c>
      <c r="H33" s="323">
        <f t="shared" si="0"/>
        <v>0</v>
      </c>
      <c r="I33" s="309">
        <f>IF(T_T1345[[#This Row],[Total]]&lt;0,T_T1345[[#This Row],[Total]]*-1,0)</f>
        <v>0</v>
      </c>
    </row>
    <row r="34" spans="1:9" x14ac:dyDescent="0.3">
      <c r="A34" s="9"/>
      <c r="B34" s="3" t="s">
        <v>549</v>
      </c>
      <c r="C34" s="229"/>
      <c r="D34" s="230"/>
      <c r="E34" s="230"/>
      <c r="F34" s="230"/>
      <c r="G34" s="230">
        <f t="shared" si="1"/>
        <v>0</v>
      </c>
      <c r="H34" s="323">
        <f t="shared" si="0"/>
        <v>0</v>
      </c>
      <c r="I34" s="309">
        <f>IF(T_T1345[[#This Row],[Total]]&lt;0,T_T1345[[#This Row],[Total]]*-1,0)</f>
        <v>0</v>
      </c>
    </row>
    <row r="35" spans="1:9" x14ac:dyDescent="0.3">
      <c r="A35" s="9">
        <v>45991</v>
      </c>
      <c r="B35" s="3" t="s">
        <v>550</v>
      </c>
      <c r="C35" s="6"/>
      <c r="D35" s="230"/>
      <c r="E35" s="230"/>
      <c r="F35" s="230"/>
      <c r="G35" s="230">
        <f t="shared" si="1"/>
        <v>0</v>
      </c>
      <c r="H35" s="323">
        <f t="shared" si="0"/>
        <v>0</v>
      </c>
      <c r="I35" s="309">
        <f>IF(T_T1345[[#This Row],[Total]]&lt;0,T_T1345[[#This Row],[Total]]*-1,0)</f>
        <v>0</v>
      </c>
    </row>
    <row r="36" spans="1:9" x14ac:dyDescent="0.3">
      <c r="A36" s="17"/>
      <c r="B36" s="18" t="s">
        <v>551</v>
      </c>
      <c r="C36" s="229"/>
      <c r="D36" s="230"/>
      <c r="E36" s="230"/>
      <c r="F36" s="230"/>
      <c r="G36" s="230">
        <f t="shared" si="1"/>
        <v>0</v>
      </c>
      <c r="H36" s="323">
        <f t="shared" si="0"/>
        <v>0</v>
      </c>
      <c r="I36" s="309">
        <f>IF(T_T1345[[#This Row],[Total]]&lt;0,T_T1345[[#This Row],[Total]]*-1,0)</f>
        <v>0</v>
      </c>
    </row>
    <row r="37" spans="1:9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1"/>
        <v>0</v>
      </c>
      <c r="H37" s="356">
        <f t="shared" si="0"/>
        <v>0</v>
      </c>
      <c r="I37" s="353">
        <f>IF(T_T1345[[#This Row],[Total]]&lt;0,T_T1345[[#This Row],[Total]]*-1,0)</f>
        <v>0</v>
      </c>
    </row>
    <row r="38" spans="1:9" x14ac:dyDescent="0.3">
      <c r="A38" s="257"/>
      <c r="B38" s="110" t="s">
        <v>553</v>
      </c>
      <c r="C38" s="229"/>
      <c r="D38" s="230"/>
      <c r="E38" s="230"/>
      <c r="F38" s="230"/>
      <c r="G38" s="230">
        <f t="shared" si="1"/>
        <v>0</v>
      </c>
      <c r="H38" s="357">
        <f t="shared" si="0"/>
        <v>0</v>
      </c>
      <c r="I38" s="353">
        <f>IF(T_T1345[[#This Row],[Total]]&lt;0,T_T1345[[#This Row],[Total]]*-1,0)</f>
        <v>0</v>
      </c>
    </row>
    <row r="39" spans="1:9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357">
        <f t="shared" si="0"/>
        <v>0</v>
      </c>
      <c r="I39" s="353">
        <f>IF(T_T1345[[#This Row],[Total]]&lt;0,T_T1345[[#This Row],[Total]]*-1,0)</f>
        <v>0</v>
      </c>
    </row>
    <row r="40" spans="1:9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357">
        <f t="shared" si="0"/>
        <v>0</v>
      </c>
      <c r="I40" s="353">
        <f>IF(T_T1345[[#This Row],[Total]]&lt;0,T_T1345[[#This Row],[Total]]*-1,0)</f>
        <v>0</v>
      </c>
    </row>
    <row r="41" spans="1:9" x14ac:dyDescent="0.3">
      <c r="A41" s="492"/>
      <c r="B41" s="493"/>
      <c r="C41" s="466"/>
      <c r="D41" s="467"/>
      <c r="E41" s="467"/>
      <c r="F41" s="467"/>
      <c r="G41" s="467"/>
      <c r="H41" s="474"/>
      <c r="I41" s="475"/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scale="60" orientation="portrait" verticalDpi="360" r:id="rId2"/>
  <drawing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2:L65"/>
  <sheetViews>
    <sheetView showGridLines="0" topLeftCell="A2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2.6640625" customWidth="1"/>
    <col min="2" max="2" width="36.44140625" customWidth="1"/>
    <col min="3" max="3" width="11.33203125" style="4" customWidth="1"/>
    <col min="4" max="4" width="11.88671875" style="1" customWidth="1"/>
    <col min="5" max="5" width="9.88671875" style="1" customWidth="1"/>
    <col min="6" max="6" width="7.109375" style="1" customWidth="1"/>
    <col min="7" max="7" width="10.5546875" style="1" customWidth="1"/>
    <col min="8" max="8" width="9.88671875" style="1" customWidth="1"/>
    <col min="9" max="9" width="12.88671875" hidden="1" customWidth="1"/>
    <col min="10" max="10" width="12.33203125" customWidth="1"/>
    <col min="13" max="13" width="10.6640625" bestFit="1" customWidth="1"/>
  </cols>
  <sheetData>
    <row r="2" spans="1:11" ht="15.6" x14ac:dyDescent="0.3">
      <c r="A2" s="27" t="s">
        <v>36</v>
      </c>
      <c r="B2" s="41" t="s">
        <v>79</v>
      </c>
    </row>
    <row r="3" spans="1:11" hidden="1" x14ac:dyDescent="0.3">
      <c r="A3" s="27" t="s">
        <v>31</v>
      </c>
      <c r="B3" s="28" t="e">
        <f>LOOKUP(B2,#REF!,#REF!)</f>
        <v>#REF!</v>
      </c>
    </row>
    <row r="4" spans="1:11" hidden="1" x14ac:dyDescent="0.3">
      <c r="A4" s="27" t="s">
        <v>32</v>
      </c>
      <c r="B4" s="28" t="e">
        <f>LOOKUP(B2,#REF!,#REF!)</f>
        <v>#REF!</v>
      </c>
    </row>
    <row r="5" spans="1:11" hidden="1" x14ac:dyDescent="0.3">
      <c r="A5" s="27" t="s">
        <v>33</v>
      </c>
      <c r="B5" s="28" t="e">
        <f>LOOKUP(B2,#REF!,#REF!)</f>
        <v>#REF!</v>
      </c>
    </row>
    <row r="6" spans="1:11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1" ht="12.75" customHeight="1" x14ac:dyDescent="0.3">
      <c r="A7" s="27" t="s">
        <v>35</v>
      </c>
      <c r="B7" s="21" t="s">
        <v>463</v>
      </c>
      <c r="C7" s="5"/>
      <c r="G7" s="25"/>
      <c r="H7" s="26"/>
      <c r="I7" s="24"/>
    </row>
    <row r="8" spans="1:11" x14ac:dyDescent="0.3">
      <c r="A8" s="21" t="s">
        <v>470</v>
      </c>
    </row>
    <row r="9" spans="1:11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69" t="s">
        <v>188</v>
      </c>
      <c r="K9" s="551" t="s">
        <v>191</v>
      </c>
    </row>
    <row r="10" spans="1:11" ht="15" customHeight="1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IF(T_T1346[[#This Row],[Total]]&lt;0,T_T1346[[#This Row],[Total]]*-1,0)</f>
        <v>0</v>
      </c>
      <c r="J10" s="68"/>
      <c r="K10" s="550"/>
    </row>
    <row r="11" spans="1:11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355">
        <f>IF(T_T1346[[#This Row],[Total]]&lt;0,T_T1346[[#This Row],[Total]]*-1,0)</f>
        <v>0</v>
      </c>
      <c r="J11" s="353"/>
      <c r="K11" s="550"/>
    </row>
    <row r="12" spans="1:11" x14ac:dyDescent="0.3">
      <c r="A12" s="288"/>
      <c r="B12" s="118" t="s">
        <v>467</v>
      </c>
      <c r="C12" s="424"/>
      <c r="D12" s="425"/>
      <c r="E12" s="425"/>
      <c r="F12" s="425"/>
      <c r="G12" s="425"/>
      <c r="H12" s="426">
        <v>0</v>
      </c>
      <c r="I12" s="427">
        <f>IF(T_T1346[[#This Row],[Total]]&lt;0,T_T1346[[#This Row],[Total]]*-1,0)</f>
        <v>0</v>
      </c>
      <c r="J12" s="430"/>
      <c r="K12" s="550"/>
    </row>
    <row r="13" spans="1:11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355">
        <f>IF(T_T1346[[#This Row],[Total]]&lt;0,T_T1346[[#This Row],[Total]]*-1,0)</f>
        <v>0</v>
      </c>
      <c r="J13" s="353"/>
      <c r="K13" s="550"/>
    </row>
    <row r="14" spans="1:11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6">
        <f>IF(T_T1346[[#This Row],[Total]]&lt;0,T_T1346[[#This Row],[Total]]*-1,0)</f>
        <v>0</v>
      </c>
      <c r="J14" s="473"/>
      <c r="K14" s="550"/>
    </row>
    <row r="15" spans="1:11" x14ac:dyDescent="0.3">
      <c r="A15" s="17">
        <v>46052</v>
      </c>
      <c r="B15" s="18" t="s">
        <v>590</v>
      </c>
      <c r="C15" s="6"/>
      <c r="D15" s="2">
        <v>134</v>
      </c>
      <c r="E15" s="2">
        <v>5</v>
      </c>
      <c r="F15" s="20"/>
      <c r="G15" s="20">
        <f>SUM(D15:F15)</f>
        <v>139</v>
      </c>
      <c r="H15" s="233">
        <f>+H13+T_T1346[[#This Row],[Total]]</f>
        <v>139</v>
      </c>
      <c r="I15" s="355">
        <f>IF(T_T1346[[#This Row],[Total]]&lt;0,T_T1346[[#This Row],[Total]]*-1,0)</f>
        <v>0</v>
      </c>
      <c r="J15" s="353"/>
      <c r="K15" s="550"/>
    </row>
    <row r="16" spans="1:11" x14ac:dyDescent="0.3">
      <c r="A16" s="17"/>
      <c r="B16" s="18" t="s">
        <v>591</v>
      </c>
      <c r="C16" s="6" t="s">
        <v>619</v>
      </c>
      <c r="D16" s="2">
        <f>-108-26</f>
        <v>-134</v>
      </c>
      <c r="E16" s="2">
        <v>-5</v>
      </c>
      <c r="F16" s="230"/>
      <c r="G16" s="230">
        <f t="shared" ref="G16:G38" si="0">SUM(D16:F16)</f>
        <v>-139</v>
      </c>
      <c r="H16" s="233">
        <f t="shared" ref="H16:H39" si="1">H15+G16</f>
        <v>0</v>
      </c>
      <c r="I16" s="355">
        <f>IF(T_T1346[[#This Row],[Total]]&lt;0,T_T1346[[#This Row],[Total]]*-1,0)</f>
        <v>139</v>
      </c>
      <c r="J16" s="353"/>
      <c r="K16" s="550" t="s">
        <v>617</v>
      </c>
    </row>
    <row r="17" spans="1:12" x14ac:dyDescent="0.3">
      <c r="A17" s="164">
        <v>45715</v>
      </c>
      <c r="B17" s="161" t="s">
        <v>532</v>
      </c>
      <c r="C17" s="6"/>
      <c r="D17" s="2">
        <v>134</v>
      </c>
      <c r="E17" s="2">
        <v>18</v>
      </c>
      <c r="F17" s="230"/>
      <c r="G17" s="230">
        <f t="shared" si="0"/>
        <v>152</v>
      </c>
      <c r="H17" s="233">
        <f t="shared" si="1"/>
        <v>152</v>
      </c>
      <c r="I17" s="355">
        <f>IF(T_T1346[[#This Row],[Total]]&lt;0,T_T1346[[#This Row],[Total]]*-1,0)</f>
        <v>0</v>
      </c>
      <c r="J17" s="353"/>
      <c r="K17" s="550"/>
    </row>
    <row r="18" spans="1:12" x14ac:dyDescent="0.3">
      <c r="A18" s="187"/>
      <c r="B18" s="18" t="s">
        <v>533</v>
      </c>
      <c r="C18" s="6" t="s">
        <v>622</v>
      </c>
      <c r="D18" s="2">
        <f>-108-26</f>
        <v>-134</v>
      </c>
      <c r="E18" s="2">
        <v>-18</v>
      </c>
      <c r="F18" s="230"/>
      <c r="G18" s="230">
        <f t="shared" si="0"/>
        <v>-152</v>
      </c>
      <c r="H18" s="233">
        <f t="shared" si="1"/>
        <v>0</v>
      </c>
      <c r="I18" s="355">
        <f>IF(T_T1346[[#This Row],[Total]]&lt;0,T_T1346[[#This Row],[Total]]*-1,0)</f>
        <v>152</v>
      </c>
      <c r="J18" s="353"/>
      <c r="K18" s="550"/>
    </row>
    <row r="19" spans="1:12" x14ac:dyDescent="0.3">
      <c r="A19" s="188">
        <v>45747</v>
      </c>
      <c r="B19" s="3" t="s">
        <v>534</v>
      </c>
      <c r="C19" s="6"/>
      <c r="D19" s="2">
        <f>129+30</f>
        <v>159</v>
      </c>
      <c r="E19" s="2">
        <v>45</v>
      </c>
      <c r="F19" s="230"/>
      <c r="G19" s="230">
        <f t="shared" si="0"/>
        <v>204</v>
      </c>
      <c r="H19" s="233">
        <f t="shared" si="1"/>
        <v>204</v>
      </c>
      <c r="I19" s="355">
        <f>IF(T_T1346[[#This Row],[Total]]&lt;0,T_T1346[[#This Row],[Total]]*-1,0)</f>
        <v>0</v>
      </c>
      <c r="J19" s="353"/>
      <c r="K19" s="550"/>
    </row>
    <row r="20" spans="1:12" x14ac:dyDescent="0.3">
      <c r="A20" s="188"/>
      <c r="B20" s="82" t="s">
        <v>535</v>
      </c>
      <c r="C20" s="6" t="s">
        <v>637</v>
      </c>
      <c r="D20" s="2">
        <f>-30-129</f>
        <v>-159</v>
      </c>
      <c r="E20" s="2">
        <v>-45</v>
      </c>
      <c r="F20" s="230"/>
      <c r="G20" s="230">
        <f t="shared" si="0"/>
        <v>-204</v>
      </c>
      <c r="H20" s="233">
        <f t="shared" si="1"/>
        <v>0</v>
      </c>
      <c r="I20" s="355">
        <f>IF(T_T1346[[#This Row],[Total]]&lt;0,T_T1346[[#This Row],[Total]]*-1,0)</f>
        <v>204</v>
      </c>
      <c r="J20" s="353"/>
      <c r="K20" s="550"/>
    </row>
    <row r="21" spans="1:12" x14ac:dyDescent="0.3">
      <c r="A21" s="188">
        <v>45777</v>
      </c>
      <c r="B21" s="3" t="s">
        <v>536</v>
      </c>
      <c r="C21" s="6"/>
      <c r="D21" s="2">
        <f>129+30</f>
        <v>159</v>
      </c>
      <c r="E21" s="2">
        <v>70</v>
      </c>
      <c r="F21" s="230"/>
      <c r="G21" s="230">
        <f t="shared" si="0"/>
        <v>229</v>
      </c>
      <c r="H21" s="233">
        <f t="shared" si="1"/>
        <v>229</v>
      </c>
      <c r="I21" s="355">
        <f>IF(T_T1346[[#This Row],[Total]]&lt;0,T_T1346[[#This Row],[Total]]*-1,0)</f>
        <v>0</v>
      </c>
      <c r="J21" s="353"/>
      <c r="K21" s="550"/>
    </row>
    <row r="22" spans="1:12" x14ac:dyDescent="0.3">
      <c r="A22" s="83"/>
      <c r="B22" s="82" t="s">
        <v>537</v>
      </c>
      <c r="C22" s="6" t="s">
        <v>662</v>
      </c>
      <c r="D22" s="2">
        <f>-30-129</f>
        <v>-159</v>
      </c>
      <c r="E22" s="2">
        <v>-70</v>
      </c>
      <c r="F22" s="230"/>
      <c r="G22" s="230">
        <f t="shared" si="0"/>
        <v>-229</v>
      </c>
      <c r="H22" s="233">
        <f t="shared" si="1"/>
        <v>0</v>
      </c>
      <c r="I22" s="355">
        <f>IF(T_T1346[[#This Row],[Total]]&lt;0,T_T1346[[#This Row],[Total]]*-1,0)</f>
        <v>229</v>
      </c>
      <c r="J22" s="353"/>
      <c r="K22" s="550"/>
    </row>
    <row r="23" spans="1:12" x14ac:dyDescent="0.3">
      <c r="A23" s="40">
        <v>45807</v>
      </c>
      <c r="B23" s="3" t="s">
        <v>538</v>
      </c>
      <c r="C23" s="6"/>
      <c r="D23" s="230">
        <v>159</v>
      </c>
      <c r="E23" s="230">
        <v>72</v>
      </c>
      <c r="F23" s="230"/>
      <c r="G23" s="230">
        <f t="shared" si="0"/>
        <v>231</v>
      </c>
      <c r="H23" s="233">
        <f t="shared" si="1"/>
        <v>231</v>
      </c>
      <c r="I23" s="355">
        <f>IF(T_T1346[[#This Row],[Total]]&lt;0,T_T1346[[#This Row],[Total]]*-1,0)</f>
        <v>0</v>
      </c>
      <c r="J23" s="353"/>
      <c r="K23" s="550"/>
    </row>
    <row r="24" spans="1:12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231</v>
      </c>
      <c r="I24" s="355">
        <f>IF(T_T1346[[#This Row],[Total]]&lt;0,T_T1346[[#This Row],[Total]]*-1,0)</f>
        <v>0</v>
      </c>
      <c r="J24" s="353"/>
      <c r="K24" s="550"/>
    </row>
    <row r="25" spans="1:12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231</v>
      </c>
      <c r="I25" s="355">
        <f>IF(T_T1346[[#This Row],[Total]]&lt;0,T_T1346[[#This Row],[Total]]*-1,0)</f>
        <v>0</v>
      </c>
      <c r="J25" s="353"/>
      <c r="K25" s="550"/>
    </row>
    <row r="26" spans="1:12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231</v>
      </c>
      <c r="I26" s="355">
        <f>IF(T_T1346[[#This Row],[Total]]&lt;0,T_T1346[[#This Row],[Total]]*-1,0)</f>
        <v>0</v>
      </c>
      <c r="J26" s="353"/>
      <c r="K26" s="550"/>
      <c r="L26" t="s">
        <v>522</v>
      </c>
    </row>
    <row r="27" spans="1:12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231</v>
      </c>
      <c r="I27" s="355">
        <f>IF(T_T1346[[#This Row],[Total]]&lt;0,T_T1346[[#This Row],[Total]]*-1,0)</f>
        <v>0</v>
      </c>
      <c r="J27" s="353"/>
      <c r="K27" s="550"/>
      <c r="L27" t="s">
        <v>523</v>
      </c>
    </row>
    <row r="28" spans="1:12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231</v>
      </c>
      <c r="I28" s="355">
        <f>IF(T_T1346[[#This Row],[Total]]&lt;0,T_T1346[[#This Row],[Total]]*-1,0)</f>
        <v>0</v>
      </c>
      <c r="J28" s="353"/>
      <c r="K28" s="550"/>
    </row>
    <row r="29" spans="1:12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231</v>
      </c>
      <c r="I29" s="355">
        <f>IF(T_T1346[[#This Row],[Total]]&lt;0,T_T1346[[#This Row],[Total]]*-1,0)</f>
        <v>0</v>
      </c>
      <c r="J29" s="353"/>
      <c r="K29" s="550"/>
    </row>
    <row r="30" spans="1:12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231</v>
      </c>
      <c r="I30" s="355">
        <f>IF(T_T1346[[#This Row],[Total]]&lt;0,T_T1346[[#This Row],[Total]]*-1,0)</f>
        <v>0</v>
      </c>
      <c r="J30" s="353"/>
      <c r="K30" s="550"/>
    </row>
    <row r="31" spans="1:12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231</v>
      </c>
      <c r="I31" s="355">
        <f>IF(T_T1346[[#This Row],[Total]]&lt;0,T_T1346[[#This Row],[Total]]*-1,0)</f>
        <v>0</v>
      </c>
      <c r="J31" s="353"/>
      <c r="K31" s="550"/>
    </row>
    <row r="32" spans="1:12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231</v>
      </c>
      <c r="I32" s="355">
        <f>IF(T_T1346[[#This Row],[Total]]&lt;0,T_T1346[[#This Row],[Total]]*-1,0)</f>
        <v>0</v>
      </c>
      <c r="J32" s="353"/>
      <c r="K32" s="550"/>
    </row>
    <row r="33" spans="1:11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231</v>
      </c>
      <c r="I33" s="355">
        <f>IF(T_T1346[[#This Row],[Total]]&lt;0,T_T1346[[#This Row],[Total]]*-1,0)</f>
        <v>0</v>
      </c>
      <c r="J33" s="353"/>
      <c r="K33" s="550"/>
    </row>
    <row r="34" spans="1:11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231</v>
      </c>
      <c r="I34" s="355">
        <f>IF(T_T1346[[#This Row],[Total]]&lt;0,T_T1346[[#This Row],[Total]]*-1,0)</f>
        <v>0</v>
      </c>
      <c r="J34" s="353"/>
      <c r="K34" s="550"/>
    </row>
    <row r="35" spans="1:11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231</v>
      </c>
      <c r="I35" s="355">
        <f>IF(T_T1346[[#This Row],[Total]]&lt;0,T_T1346[[#This Row],[Total]]*-1,0)</f>
        <v>0</v>
      </c>
      <c r="J35" s="353"/>
      <c r="K35" s="550"/>
    </row>
    <row r="36" spans="1:11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231</v>
      </c>
      <c r="I36" s="355">
        <f>IF(T_T1346[[#This Row],[Total]]&lt;0,T_T1346[[#This Row],[Total]]*-1,0)</f>
        <v>0</v>
      </c>
      <c r="J36" s="353"/>
      <c r="K36" s="550"/>
    </row>
    <row r="37" spans="1:11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231</v>
      </c>
      <c r="I37" s="355">
        <f>IF(T_T1346[[#This Row],[Total]]&lt;0,T_T1346[[#This Row],[Total]]*-1,0)</f>
        <v>0</v>
      </c>
      <c r="J37" s="353"/>
      <c r="K37" s="550"/>
    </row>
    <row r="38" spans="1:11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231</v>
      </c>
      <c r="I38" s="355">
        <f>IF(T_T1346[[#This Row],[Total]]&lt;0,T_T1346[[#This Row],[Total]]*-1,0)</f>
        <v>0</v>
      </c>
      <c r="J38" s="353"/>
      <c r="K38" s="550"/>
    </row>
    <row r="39" spans="1:11" x14ac:dyDescent="0.3">
      <c r="A39" s="107"/>
      <c r="B39" s="82" t="s">
        <v>465</v>
      </c>
      <c r="C39" s="229"/>
      <c r="D39" s="230"/>
      <c r="E39" s="230"/>
      <c r="F39" s="230"/>
      <c r="G39" s="230">
        <f>SUM(D39:F47)</f>
        <v>0</v>
      </c>
      <c r="H39" s="233">
        <f t="shared" si="1"/>
        <v>231</v>
      </c>
      <c r="I39" s="355">
        <f>IF(T_T1346[[#This Row],[Total]]&lt;0,T_T1346[[#This Row],[Total]]*-1,0)</f>
        <v>0</v>
      </c>
      <c r="J39" s="353"/>
      <c r="K39" s="550"/>
    </row>
    <row r="40" spans="1:11" x14ac:dyDescent="0.3">
      <c r="A40" s="107"/>
      <c r="B40" s="82"/>
      <c r="C40" s="229"/>
      <c r="D40" s="230"/>
      <c r="E40" s="230"/>
      <c r="F40" s="230"/>
      <c r="G40" s="230"/>
      <c r="H40" s="233"/>
      <c r="I40" s="355">
        <f>IF(T_T1346[[#This Row],[Total]]&lt;0,T_T1346[[#This Row],[Total]]*-1,0)</f>
        <v>0</v>
      </c>
      <c r="J40" s="353"/>
      <c r="K40" s="550"/>
    </row>
    <row r="41" spans="1:11" x14ac:dyDescent="0.3">
      <c r="A41" s="170"/>
      <c r="B41" s="18"/>
      <c r="C41" s="481"/>
      <c r="D41" s="482"/>
      <c r="E41" s="482"/>
      <c r="F41" s="482"/>
      <c r="G41" s="482"/>
      <c r="H41" s="483"/>
      <c r="I41" s="476">
        <f>IF(T_T1346[[#This Row],[Total]]&lt;0,T_T1346[[#This Row],[Total]]*-1,0)</f>
        <v>0</v>
      </c>
      <c r="J41" s="473"/>
      <c r="K41" s="550"/>
    </row>
    <row r="42" spans="1:11" x14ac:dyDescent="0.3">
      <c r="A42" s="17"/>
      <c r="B42" s="18"/>
      <c r="C42" s="6"/>
      <c r="D42" s="2"/>
      <c r="E42" s="2"/>
      <c r="F42" s="2"/>
      <c r="G42" s="111"/>
      <c r="H42" s="122"/>
      <c r="J42" s="293"/>
    </row>
    <row r="43" spans="1:11" x14ac:dyDescent="0.3">
      <c r="A43" s="17"/>
      <c r="B43" s="18"/>
      <c r="C43" s="6"/>
      <c r="D43" s="2"/>
      <c r="E43" s="2"/>
      <c r="F43" s="2"/>
      <c r="G43" s="111"/>
      <c r="H43" s="122"/>
      <c r="J43" s="293"/>
    </row>
    <row r="44" spans="1:11" x14ac:dyDescent="0.3">
      <c r="A44" s="164"/>
      <c r="B44" s="161"/>
      <c r="C44" s="6"/>
      <c r="D44" s="2"/>
      <c r="E44" s="2"/>
      <c r="F44" s="2"/>
      <c r="G44" s="111"/>
      <c r="H44" s="122"/>
      <c r="J44" s="293"/>
    </row>
    <row r="45" spans="1:11" x14ac:dyDescent="0.3">
      <c r="A45" s="185"/>
      <c r="B45" s="3"/>
      <c r="C45" s="19"/>
      <c r="D45" s="212"/>
      <c r="E45" s="212"/>
      <c r="F45" s="212"/>
      <c r="G45" s="281"/>
      <c r="H45" s="198"/>
      <c r="J45" s="293"/>
    </row>
    <row r="46" spans="1:11" x14ac:dyDescent="0.3">
      <c r="A46" s="164"/>
      <c r="B46" s="161"/>
      <c r="C46" s="6"/>
      <c r="D46" s="2"/>
      <c r="E46" s="2"/>
      <c r="F46" s="2"/>
      <c r="G46" s="281"/>
      <c r="H46" s="198"/>
      <c r="J46" s="293"/>
    </row>
    <row r="47" spans="1:11" x14ac:dyDescent="0.3">
      <c r="A47" s="185"/>
      <c r="B47" s="3"/>
      <c r="C47" s="6"/>
      <c r="D47" s="2"/>
      <c r="E47" s="2"/>
      <c r="F47" s="2"/>
      <c r="G47" s="281"/>
      <c r="H47" s="198"/>
      <c r="J47" s="293"/>
    </row>
    <row r="48" spans="1:11" x14ac:dyDescent="0.3">
      <c r="A48" s="188"/>
      <c r="B48" s="3"/>
      <c r="C48" s="6"/>
      <c r="D48" s="2"/>
      <c r="E48" s="2"/>
      <c r="F48" s="2"/>
      <c r="G48" s="281"/>
      <c r="H48" s="198"/>
      <c r="J48" s="293"/>
    </row>
    <row r="49" spans="1:10" x14ac:dyDescent="0.3">
      <c r="A49" s="83"/>
      <c r="B49" s="82"/>
      <c r="C49" s="19"/>
      <c r="D49" s="212"/>
      <c r="E49" s="212"/>
      <c r="F49" s="212"/>
      <c r="G49" s="281"/>
      <c r="H49" s="198"/>
      <c r="J49" s="329"/>
    </row>
    <row r="50" spans="1:10" x14ac:dyDescent="0.3">
      <c r="A50" s="188"/>
      <c r="B50" s="3"/>
      <c r="C50" s="6"/>
      <c r="D50" s="2"/>
      <c r="E50" s="2"/>
      <c r="F50" s="2"/>
      <c r="G50" s="281"/>
      <c r="H50" s="198"/>
      <c r="I50" s="3"/>
      <c r="J50" s="3"/>
    </row>
    <row r="51" spans="1:10" x14ac:dyDescent="0.3">
      <c r="A51" s="107"/>
      <c r="B51" s="127"/>
      <c r="C51" s="6"/>
      <c r="D51" s="2"/>
      <c r="E51" s="2"/>
      <c r="F51" s="2"/>
      <c r="G51" s="281"/>
      <c r="H51" s="198"/>
      <c r="I51" s="3"/>
      <c r="J51" s="3"/>
    </row>
    <row r="52" spans="1:10" x14ac:dyDescent="0.3">
      <c r="A52" s="188"/>
      <c r="B52" s="3"/>
      <c r="C52" s="6"/>
      <c r="D52" s="2"/>
      <c r="E52" s="2"/>
      <c r="F52" s="2"/>
      <c r="G52" s="281"/>
      <c r="H52" s="198"/>
      <c r="I52" s="3"/>
      <c r="J52" s="3"/>
    </row>
    <row r="53" spans="1:10" x14ac:dyDescent="0.3">
      <c r="A53" s="107"/>
      <c r="B53" s="127"/>
      <c r="C53" s="6"/>
      <c r="D53" s="2"/>
      <c r="E53" s="2"/>
      <c r="F53" s="2"/>
      <c r="G53" s="281"/>
      <c r="H53" s="198"/>
      <c r="I53" s="3"/>
      <c r="J53" s="3"/>
    </row>
    <row r="54" spans="1:10" x14ac:dyDescent="0.3">
      <c r="A54" s="107"/>
      <c r="B54" s="82"/>
      <c r="C54" s="6"/>
      <c r="D54" s="2"/>
      <c r="E54" s="2"/>
      <c r="F54" s="2"/>
      <c r="G54" s="281"/>
      <c r="H54" s="198"/>
      <c r="I54" s="3"/>
      <c r="J54" s="3"/>
    </row>
    <row r="55" spans="1:10" x14ac:dyDescent="0.3">
      <c r="A55" s="107"/>
      <c r="B55" s="82"/>
      <c r="C55" s="6"/>
      <c r="D55" s="2"/>
      <c r="E55" s="2"/>
      <c r="F55" s="2"/>
      <c r="G55" s="281"/>
      <c r="H55" s="198"/>
      <c r="I55" s="3"/>
      <c r="J55" s="3"/>
    </row>
    <row r="56" spans="1:10" x14ac:dyDescent="0.3">
      <c r="A56" s="107"/>
      <c r="B56" s="82"/>
      <c r="C56" s="6"/>
      <c r="D56" s="2"/>
      <c r="E56" s="2"/>
      <c r="F56" s="2"/>
      <c r="G56" s="281"/>
      <c r="H56" s="198"/>
      <c r="I56" s="3"/>
      <c r="J56" s="3"/>
    </row>
    <row r="57" spans="1:10" x14ac:dyDescent="0.3">
      <c r="A57" s="107"/>
      <c r="B57" s="82"/>
      <c r="C57" s="19"/>
      <c r="D57" s="212"/>
      <c r="E57" s="212"/>
      <c r="F57" s="212"/>
      <c r="G57" s="281"/>
      <c r="H57" s="198"/>
      <c r="I57" s="18"/>
      <c r="J57" s="18"/>
    </row>
    <row r="58" spans="1:10" x14ac:dyDescent="0.3">
      <c r="A58" s="188"/>
      <c r="B58" s="3"/>
      <c r="C58" s="6"/>
      <c r="D58" s="2"/>
      <c r="E58" s="2"/>
      <c r="F58" s="2"/>
      <c r="G58" s="2"/>
      <c r="H58" s="198"/>
      <c r="I58" s="3"/>
      <c r="J58" s="3"/>
    </row>
    <row r="59" spans="1:10" x14ac:dyDescent="0.3">
      <c r="A59" s="107"/>
      <c r="B59" s="82"/>
      <c r="C59" s="6"/>
      <c r="D59" s="2"/>
      <c r="E59" s="2"/>
      <c r="F59" s="2"/>
      <c r="G59" s="2"/>
      <c r="H59" s="198"/>
      <c r="I59" s="3"/>
      <c r="J59" s="3"/>
    </row>
    <row r="60" spans="1:10" x14ac:dyDescent="0.3">
      <c r="A60" s="188"/>
      <c r="B60" s="3"/>
      <c r="C60" s="6"/>
      <c r="D60" s="2"/>
      <c r="E60" s="2"/>
      <c r="F60" s="2"/>
      <c r="G60" s="2"/>
      <c r="H60" s="198"/>
      <c r="I60" s="3"/>
      <c r="J60" s="3"/>
    </row>
    <row r="61" spans="1:10" x14ac:dyDescent="0.3">
      <c r="A61" s="107"/>
      <c r="B61" s="82"/>
      <c r="C61" s="6"/>
      <c r="D61" s="2"/>
      <c r="E61" s="2"/>
      <c r="F61" s="2"/>
      <c r="G61" s="2"/>
      <c r="H61" s="198"/>
      <c r="I61" s="3"/>
      <c r="J61" s="3"/>
    </row>
    <row r="62" spans="1:10" x14ac:dyDescent="0.3">
      <c r="A62" s="188"/>
      <c r="B62" s="3"/>
      <c r="C62" s="6"/>
      <c r="D62" s="2"/>
      <c r="E62" s="2"/>
      <c r="F62" s="2"/>
      <c r="G62" s="2"/>
      <c r="H62" s="198"/>
      <c r="I62" s="3"/>
      <c r="J62" s="3"/>
    </row>
    <row r="63" spans="1:10" x14ac:dyDescent="0.3">
      <c r="A63" s="83"/>
      <c r="B63" s="127"/>
      <c r="C63" s="6"/>
      <c r="F63" s="2"/>
      <c r="G63" s="2"/>
      <c r="H63" s="198"/>
      <c r="I63" s="3"/>
      <c r="J63" s="3"/>
    </row>
    <row r="64" spans="1:10" x14ac:dyDescent="0.3">
      <c r="A64" s="188"/>
      <c r="B64" s="3"/>
      <c r="C64" s="6"/>
      <c r="D64" s="2"/>
      <c r="E64" s="2"/>
      <c r="F64" s="2"/>
      <c r="G64" s="2"/>
      <c r="H64" s="198"/>
      <c r="I64" s="3"/>
      <c r="J64" s="3"/>
    </row>
    <row r="65" spans="1:10" x14ac:dyDescent="0.3">
      <c r="A65" s="257"/>
      <c r="B65" s="110"/>
      <c r="C65" s="6"/>
      <c r="D65" s="2"/>
      <c r="E65" s="2"/>
      <c r="F65" s="2"/>
      <c r="G65" s="2"/>
      <c r="H65" s="198"/>
      <c r="I65" s="3"/>
      <c r="J65" s="3"/>
    </row>
  </sheetData>
  <phoneticPr fontId="92" type="noConversion"/>
  <pageMargins left="0.51181102362204722" right="0.35433070866141736" top="0.35433070866141736" bottom="0.35" header="0.31496062992125984" footer="0.31496062992125984"/>
  <pageSetup scale="60" orientation="portrait" verticalDpi="360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2:M46"/>
  <sheetViews>
    <sheetView showGridLines="0" topLeftCell="A2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4.109375" customWidth="1"/>
    <col min="3" max="3" width="11.44140625" style="4" customWidth="1"/>
    <col min="4" max="4" width="11.55468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0.6640625" bestFit="1" customWidth="1"/>
  </cols>
  <sheetData>
    <row r="2" spans="1:13" ht="15.6" x14ac:dyDescent="0.3">
      <c r="A2" s="27" t="s">
        <v>36</v>
      </c>
      <c r="B2" s="41" t="s">
        <v>81</v>
      </c>
    </row>
    <row r="3" spans="1:13" ht="14.25" customHeight="1" x14ac:dyDescent="0.3">
      <c r="A3" s="27" t="s">
        <v>31</v>
      </c>
      <c r="B3" s="28" t="e">
        <f>LOOKUP(B2,#REF!,#REF!)</f>
        <v>#REF!</v>
      </c>
    </row>
    <row r="4" spans="1:13" hidden="1" x14ac:dyDescent="0.3">
      <c r="A4" s="27" t="s">
        <v>32</v>
      </c>
      <c r="B4" s="28" t="e">
        <f>LOOKUP(B2,#REF!,#REF!)</f>
        <v>#REF!</v>
      </c>
    </row>
    <row r="5" spans="1:13" hidden="1" x14ac:dyDescent="0.3">
      <c r="A5" s="27" t="s">
        <v>33</v>
      </c>
      <c r="B5" s="28" t="e">
        <f>LOOKUP(B2,#REF!,#REF!)</f>
        <v>#REF!</v>
      </c>
    </row>
    <row r="6" spans="1:13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3" ht="14.25" customHeight="1" x14ac:dyDescent="0.3">
      <c r="A7" s="27" t="s">
        <v>32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3" x14ac:dyDescent="0.3">
      <c r="A8" s="21"/>
      <c r="B8" s="21"/>
    </row>
    <row r="9" spans="1:13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416" t="s">
        <v>188</v>
      </c>
    </row>
    <row r="10" spans="1:13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IF(T_T1347[[#This Row],[Total]]&lt;0,T_T1347[[#This Row],[Total]]*-1,0)</f>
        <v>0</v>
      </c>
      <c r="J10" s="445"/>
      <c r="M10" s="178"/>
    </row>
    <row r="11" spans="1:13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IF(T_T1347[[#This Row],[Total]]&lt;0,T_T1347[[#This Row],[Total]]*-1,0)</f>
        <v>0</v>
      </c>
      <c r="J11" s="427"/>
    </row>
    <row r="12" spans="1:13" x14ac:dyDescent="0.3">
      <c r="A12" s="361"/>
      <c r="B12" s="362" t="s">
        <v>467</v>
      </c>
      <c r="C12" s="424"/>
      <c r="D12" s="425"/>
      <c r="E12" s="425"/>
      <c r="F12" s="425"/>
      <c r="G12" s="425"/>
      <c r="H12" s="426">
        <v>0</v>
      </c>
      <c r="I12" s="430">
        <f>IF(T_T1347[[#This Row],[Total]]&lt;0,T_T1347[[#This Row],[Total]]*-1,0)</f>
        <v>0</v>
      </c>
      <c r="J12" s="427"/>
    </row>
    <row r="13" spans="1:13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IF(T_T1347[[#This Row],[Total]]&lt;0,T_T1347[[#This Row],[Total]]*-1,0)</f>
        <v>0</v>
      </c>
      <c r="J13" s="427"/>
    </row>
    <row r="14" spans="1:13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IF(T_T1347[[#This Row],[Total]]&lt;0,T_T1347[[#This Row],[Total]]*-1,0)</f>
        <v>0</v>
      </c>
      <c r="J14" s="476"/>
    </row>
    <row r="15" spans="1:13" x14ac:dyDescent="0.3">
      <c r="A15" s="17">
        <v>46052</v>
      </c>
      <c r="B15" s="18" t="s">
        <v>590</v>
      </c>
      <c r="C15" s="6"/>
      <c r="D15" s="2">
        <v>74</v>
      </c>
      <c r="E15" s="2">
        <v>13</v>
      </c>
      <c r="F15" s="20"/>
      <c r="G15" s="20">
        <f>SUM(D15:F15)</f>
        <v>87</v>
      </c>
      <c r="H15" s="233">
        <f>+H13+T_T1347[[#This Row],[Total]]</f>
        <v>87</v>
      </c>
      <c r="I15" s="240">
        <f>IF(T_T1347[[#This Row],[Total]]&lt;0,T_T1347[[#This Row],[Total]]*-1,0)</f>
        <v>0</v>
      </c>
      <c r="J15" s="427"/>
    </row>
    <row r="16" spans="1:13" x14ac:dyDescent="0.3">
      <c r="A16" s="17"/>
      <c r="B16" s="18" t="s">
        <v>591</v>
      </c>
      <c r="C16" s="6"/>
      <c r="D16" s="2"/>
      <c r="E16" s="2"/>
      <c r="F16" s="230"/>
      <c r="G16" s="230">
        <f t="shared" ref="G16:G38" si="0">SUM(D16:F16)</f>
        <v>0</v>
      </c>
      <c r="H16" s="233">
        <f t="shared" ref="H16:H40" si="1">H15+G16</f>
        <v>87</v>
      </c>
      <c r="I16" s="240">
        <f>IF(T_T1347[[#This Row],[Total]]&lt;0,T_T1347[[#This Row],[Total]]*-1,0)</f>
        <v>0</v>
      </c>
      <c r="J16" s="427"/>
    </row>
    <row r="17" spans="1:10" x14ac:dyDescent="0.3">
      <c r="A17" s="164">
        <v>45715</v>
      </c>
      <c r="B17" s="161" t="s">
        <v>532</v>
      </c>
      <c r="C17" s="6"/>
      <c r="D17" s="2">
        <v>74</v>
      </c>
      <c r="E17" s="2">
        <v>13</v>
      </c>
      <c r="F17" s="230"/>
      <c r="G17" s="230">
        <f t="shared" si="0"/>
        <v>87</v>
      </c>
      <c r="H17" s="233">
        <f t="shared" si="1"/>
        <v>174</v>
      </c>
      <c r="I17" s="240">
        <f>IF(T_T1347[[#This Row],[Total]]&lt;0,T_T1347[[#This Row],[Total]]*-1,0)</f>
        <v>0</v>
      </c>
      <c r="J17" s="427"/>
    </row>
    <row r="18" spans="1:10" x14ac:dyDescent="0.3">
      <c r="A18" s="187"/>
      <c r="B18" s="18" t="s">
        <v>533</v>
      </c>
      <c r="C18" s="6"/>
      <c r="D18" s="2"/>
      <c r="E18" s="2"/>
      <c r="F18" s="230"/>
      <c r="G18" s="230">
        <f t="shared" si="0"/>
        <v>0</v>
      </c>
      <c r="H18" s="233">
        <f t="shared" si="1"/>
        <v>174</v>
      </c>
      <c r="I18" s="240">
        <f>IF(T_T1347[[#This Row],[Total]]&lt;0,T_T1347[[#This Row],[Total]]*-1,0)</f>
        <v>0</v>
      </c>
      <c r="J18" s="427"/>
    </row>
    <row r="19" spans="1:10" x14ac:dyDescent="0.3">
      <c r="A19" s="188">
        <v>45747</v>
      </c>
      <c r="B19" s="3" t="s">
        <v>534</v>
      </c>
      <c r="C19" s="6"/>
      <c r="D19" s="2">
        <v>89</v>
      </c>
      <c r="E19" s="2">
        <v>13</v>
      </c>
      <c r="F19" s="230"/>
      <c r="G19" s="230">
        <f t="shared" si="0"/>
        <v>102</v>
      </c>
      <c r="H19" s="233">
        <f t="shared" si="1"/>
        <v>276</v>
      </c>
      <c r="I19" s="240">
        <f>IF(T_T1347[[#This Row],[Total]]&lt;0,T_T1347[[#This Row],[Total]]*-1,0)</f>
        <v>0</v>
      </c>
      <c r="J19" s="427"/>
    </row>
    <row r="20" spans="1:10" x14ac:dyDescent="0.3">
      <c r="A20" s="188"/>
      <c r="B20" s="82" t="s">
        <v>535</v>
      </c>
      <c r="C20" s="6"/>
      <c r="D20" s="2"/>
      <c r="E20" s="2"/>
      <c r="F20" s="230"/>
      <c r="G20" s="230">
        <f t="shared" si="0"/>
        <v>0</v>
      </c>
      <c r="H20" s="233">
        <f t="shared" si="1"/>
        <v>276</v>
      </c>
      <c r="I20" s="240">
        <f>IF(T_T1347[[#This Row],[Total]]&lt;0,T_T1347[[#This Row],[Total]]*-1,0)</f>
        <v>0</v>
      </c>
      <c r="J20" s="427"/>
    </row>
    <row r="21" spans="1:10" x14ac:dyDescent="0.3">
      <c r="A21" s="188">
        <v>45777</v>
      </c>
      <c r="B21" s="3" t="s">
        <v>536</v>
      </c>
      <c r="C21" s="6"/>
      <c r="D21" s="2">
        <v>89</v>
      </c>
      <c r="E21" s="2">
        <v>13</v>
      </c>
      <c r="F21" s="230"/>
      <c r="G21" s="230">
        <f t="shared" si="0"/>
        <v>102</v>
      </c>
      <c r="H21" s="233">
        <f t="shared" si="1"/>
        <v>378</v>
      </c>
      <c r="I21" s="309">
        <f>IF(T_T1347[[#This Row],[Total]]&lt;0,T_T1347[[#This Row],[Total]]*-1,0)</f>
        <v>0</v>
      </c>
      <c r="J21" s="427"/>
    </row>
    <row r="22" spans="1:10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378</v>
      </c>
      <c r="I22" s="309">
        <f>IF(T_T1347[[#This Row],[Total]]&lt;0,T_T1347[[#This Row],[Total]]*-1,0)</f>
        <v>0</v>
      </c>
      <c r="J22" s="427"/>
    </row>
    <row r="23" spans="1:10" x14ac:dyDescent="0.3">
      <c r="A23" s="40">
        <v>45807</v>
      </c>
      <c r="B23" s="3" t="s">
        <v>538</v>
      </c>
      <c r="C23" s="229"/>
      <c r="D23" s="230">
        <v>89</v>
      </c>
      <c r="E23" s="230">
        <v>13</v>
      </c>
      <c r="F23" s="230"/>
      <c r="G23" s="230">
        <f t="shared" si="0"/>
        <v>102</v>
      </c>
      <c r="H23" s="233">
        <f t="shared" si="1"/>
        <v>480</v>
      </c>
      <c r="I23" s="309">
        <f>IF(T_T1347[[#This Row],[Total]]&lt;0,T_T1347[[#This Row],[Total]]*-1,0)</f>
        <v>0</v>
      </c>
      <c r="J23" s="427"/>
    </row>
    <row r="24" spans="1:10" x14ac:dyDescent="0.3">
      <c r="A24" s="9"/>
      <c r="B24" s="18" t="s">
        <v>539</v>
      </c>
      <c r="C24" s="6"/>
      <c r="D24" s="2"/>
      <c r="E24" s="7"/>
      <c r="F24" s="230"/>
      <c r="G24" s="230">
        <f t="shared" si="0"/>
        <v>0</v>
      </c>
      <c r="H24" s="233">
        <f t="shared" si="1"/>
        <v>480</v>
      </c>
      <c r="I24" s="309">
        <f>IF(T_T1347[[#This Row],[Total]]&lt;0,T_T1347[[#This Row],[Total]]*-1,0)</f>
        <v>0</v>
      </c>
      <c r="J24" s="427"/>
    </row>
    <row r="25" spans="1:10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480</v>
      </c>
      <c r="I25" s="309">
        <f>IF(T_T1347[[#This Row],[Total]]&lt;0,T_T1347[[#This Row],[Total]]*-1,0)</f>
        <v>0</v>
      </c>
      <c r="J25" s="427"/>
    </row>
    <row r="26" spans="1:10" x14ac:dyDescent="0.3">
      <c r="A26" s="9"/>
      <c r="B26" s="18" t="s">
        <v>541</v>
      </c>
      <c r="C26" s="6"/>
      <c r="D26" s="2"/>
      <c r="E26" s="230"/>
      <c r="F26" s="230"/>
      <c r="G26" s="230">
        <f t="shared" si="0"/>
        <v>0</v>
      </c>
      <c r="H26" s="233">
        <f t="shared" si="1"/>
        <v>480</v>
      </c>
      <c r="I26" s="309">
        <f>IF(T_T1347[[#This Row],[Total]]&lt;0,T_T1347[[#This Row],[Total]]*-1,0)</f>
        <v>0</v>
      </c>
      <c r="J26" s="427"/>
    </row>
    <row r="27" spans="1:10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480</v>
      </c>
      <c r="I27" s="309">
        <f>IF(T_T1347[[#This Row],[Total]]&lt;0,T_T1347[[#This Row],[Total]]*-1,0)</f>
        <v>0</v>
      </c>
      <c r="J27" s="427"/>
    </row>
    <row r="28" spans="1:10" x14ac:dyDescent="0.3">
      <c r="A28" s="107"/>
      <c r="B28" s="82" t="s">
        <v>543</v>
      </c>
      <c r="C28" s="6"/>
      <c r="D28" s="2"/>
      <c r="E28" s="230"/>
      <c r="F28" s="230"/>
      <c r="G28" s="230">
        <f t="shared" si="0"/>
        <v>0</v>
      </c>
      <c r="H28" s="233">
        <f t="shared" si="1"/>
        <v>480</v>
      </c>
      <c r="I28" s="309">
        <f>IF(T_T1347[[#This Row],[Total]]&lt;0,T_T1347[[#This Row],[Total]]*-1,0)</f>
        <v>0</v>
      </c>
      <c r="J28" s="427"/>
    </row>
    <row r="29" spans="1:10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480</v>
      </c>
      <c r="I29" s="309">
        <f>IF(T_T1347[[#This Row],[Total]]&lt;0,T_T1347[[#This Row],[Total]]*-1,0)</f>
        <v>0</v>
      </c>
      <c r="J29" s="427"/>
    </row>
    <row r="30" spans="1:10" x14ac:dyDescent="0.3">
      <c r="A30" s="107"/>
      <c r="B30" s="82" t="s">
        <v>545</v>
      </c>
      <c r="C30" s="6"/>
      <c r="D30" s="2"/>
      <c r="E30" s="7"/>
      <c r="F30" s="230"/>
      <c r="G30" s="230">
        <f t="shared" si="0"/>
        <v>0</v>
      </c>
      <c r="H30" s="233">
        <f t="shared" si="1"/>
        <v>480</v>
      </c>
      <c r="I30" s="309">
        <f>IF(T_T1347[[#This Row],[Total]]&lt;0,T_T1347[[#This Row],[Total]]*-1,0)</f>
        <v>0</v>
      </c>
      <c r="J30" s="427"/>
    </row>
    <row r="31" spans="1:10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480</v>
      </c>
      <c r="I31" s="309">
        <f>IF(T_T1347[[#This Row],[Total]]&lt;0,T_T1347[[#This Row],[Total]]*-1,0)</f>
        <v>0</v>
      </c>
      <c r="J31" s="427"/>
    </row>
    <row r="32" spans="1:10" x14ac:dyDescent="0.3">
      <c r="A32" s="9"/>
      <c r="B32" s="3" t="s">
        <v>547</v>
      </c>
      <c r="C32" s="6"/>
      <c r="D32" s="2"/>
      <c r="E32" s="230"/>
      <c r="F32" s="230"/>
      <c r="G32" s="230">
        <f t="shared" si="0"/>
        <v>0</v>
      </c>
      <c r="H32" s="233">
        <f t="shared" si="1"/>
        <v>480</v>
      </c>
      <c r="I32" s="309">
        <f>IF(T_T1347[[#This Row],[Total]]&lt;0,T_T1347[[#This Row],[Total]]*-1,0)</f>
        <v>0</v>
      </c>
      <c r="J32" s="427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480</v>
      </c>
      <c r="I33" s="309">
        <f>IF(T_T1347[[#This Row],[Total]]&lt;0,T_T1347[[#This Row],[Total]]*-1,0)</f>
        <v>0</v>
      </c>
      <c r="J33" s="427"/>
    </row>
    <row r="34" spans="1:10" x14ac:dyDescent="0.3">
      <c r="A34" s="9"/>
      <c r="B34" s="3" t="s">
        <v>549</v>
      </c>
      <c r="C34" s="6"/>
      <c r="D34" s="2"/>
      <c r="E34" s="230"/>
      <c r="F34" s="230"/>
      <c r="G34" s="230">
        <f t="shared" si="0"/>
        <v>0</v>
      </c>
      <c r="H34" s="233">
        <f t="shared" si="1"/>
        <v>480</v>
      </c>
      <c r="I34" s="309">
        <f>IF(T_T1347[[#This Row],[Total]]&lt;0,T_T1347[[#This Row],[Total]]*-1,0)</f>
        <v>0</v>
      </c>
      <c r="J34" s="427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480</v>
      </c>
      <c r="I35" s="309">
        <f>IF(T_T1347[[#This Row],[Total]]&lt;0,T_T1347[[#This Row],[Total]]*-1,0)</f>
        <v>0</v>
      </c>
      <c r="J35" s="427"/>
    </row>
    <row r="36" spans="1:10" x14ac:dyDescent="0.3">
      <c r="A36" s="17"/>
      <c r="B36" s="18" t="s">
        <v>551</v>
      </c>
      <c r="C36" s="6"/>
      <c r="D36" s="2"/>
      <c r="E36" s="230"/>
      <c r="F36" s="230"/>
      <c r="G36" s="230">
        <f t="shared" si="0"/>
        <v>0</v>
      </c>
      <c r="H36" s="233">
        <f t="shared" si="1"/>
        <v>480</v>
      </c>
      <c r="I36" s="309">
        <f>IF(T_T1347[[#This Row],[Total]]&lt;0,T_T1347[[#This Row],[Total]]*-1,0)</f>
        <v>0</v>
      </c>
      <c r="J36" s="427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480</v>
      </c>
      <c r="I37" s="353">
        <f>IF(T_T1347[[#This Row],[Total]]&lt;0,T_T1347[[#This Row],[Total]]*-1,0)</f>
        <v>0</v>
      </c>
      <c r="J37" s="427"/>
    </row>
    <row r="38" spans="1:10" x14ac:dyDescent="0.3">
      <c r="A38" s="257"/>
      <c r="B38" s="110" t="s">
        <v>553</v>
      </c>
      <c r="C38" s="6"/>
      <c r="D38" s="2"/>
      <c r="E38" s="230"/>
      <c r="F38" s="230"/>
      <c r="G38" s="230">
        <f t="shared" si="0"/>
        <v>0</v>
      </c>
      <c r="H38" s="233">
        <f t="shared" si="1"/>
        <v>480</v>
      </c>
      <c r="I38" s="353">
        <f>IF(T_T1347[[#This Row],[Total]]&lt;0,T_T1347[[#This Row],[Total]]*-1,0)</f>
        <v>0</v>
      </c>
      <c r="J38" s="427"/>
    </row>
    <row r="39" spans="1:10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480</v>
      </c>
      <c r="I39" s="353">
        <f>IF(T_T1347[[#This Row],[Total]]&lt;0,T_T1347[[#This Row],[Total]]*-1,0)</f>
        <v>0</v>
      </c>
      <c r="J39" s="427"/>
    </row>
    <row r="40" spans="1:10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480</v>
      </c>
      <c r="I40" s="353">
        <f>IF(T_T1347[[#This Row],[Total]]&lt;0,T_T1347[[#This Row],[Total]]*-1,0)</f>
        <v>0</v>
      </c>
      <c r="J40" s="446"/>
    </row>
    <row r="41" spans="1:10" x14ac:dyDescent="0.3">
      <c r="A41" s="170"/>
      <c r="B41" s="537"/>
      <c r="C41" s="538"/>
      <c r="D41" s="539"/>
      <c r="E41" s="539"/>
      <c r="F41" s="539"/>
      <c r="G41" s="539"/>
      <c r="H41" s="508"/>
      <c r="I41" s="53"/>
      <c r="J41" s="540"/>
    </row>
    <row r="42" spans="1:10" x14ac:dyDescent="0.3">
      <c r="G42" s="71"/>
    </row>
    <row r="45" spans="1:10" x14ac:dyDescent="0.3">
      <c r="G45" s="1">
        <f>+G42-F46</f>
        <v>0</v>
      </c>
    </row>
    <row r="46" spans="1:10" x14ac:dyDescent="0.3">
      <c r="F46" s="1">
        <f>+C46+D46+E46</f>
        <v>0</v>
      </c>
    </row>
  </sheetData>
  <hyperlinks>
    <hyperlink ref="B7" r:id="rId1" display="jose.orozco@outlook.com"/>
    <hyperlink ref="H7" location="Resumen!A1" display="Rsumen         "/>
  </hyperlinks>
  <pageMargins left="0.70866141732283472" right="0.70866141732283472" top="0.74803149606299213" bottom="0.59" header="0.31496062992125984" footer="0.31496062992125984"/>
  <pageSetup scale="55" orientation="portrait" verticalDpi="360" r:id="rId2"/>
  <drawing r:id="rId3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B3:I35"/>
  <sheetViews>
    <sheetView workbookViewId="0">
      <selection activeCell="F20" sqref="F20"/>
    </sheetView>
  </sheetViews>
  <sheetFormatPr baseColWidth="10" defaultRowHeight="14.4" x14ac:dyDescent="0.3"/>
  <cols>
    <col min="2" max="2" width="15.5546875" customWidth="1"/>
    <col min="3" max="3" width="36" customWidth="1"/>
  </cols>
  <sheetData>
    <row r="3" spans="2:9" ht="15.6" x14ac:dyDescent="0.3">
      <c r="B3" s="27" t="s">
        <v>36</v>
      </c>
      <c r="C3" s="41" t="s">
        <v>80</v>
      </c>
      <c r="D3" s="4"/>
      <c r="E3" s="1"/>
      <c r="F3" s="1"/>
      <c r="G3" s="1"/>
      <c r="H3" s="1"/>
      <c r="I3" s="1"/>
    </row>
    <row r="4" spans="2:9" x14ac:dyDescent="0.3">
      <c r="B4" s="21"/>
      <c r="C4" s="21"/>
      <c r="D4" s="4"/>
      <c r="E4" s="1"/>
      <c r="F4" s="1"/>
      <c r="G4" s="1"/>
      <c r="H4" s="1"/>
      <c r="I4" s="1"/>
    </row>
    <row r="5" spans="2:9" x14ac:dyDescent="0.3">
      <c r="B5" s="11" t="s">
        <v>3</v>
      </c>
      <c r="C5" s="12" t="s">
        <v>1</v>
      </c>
      <c r="D5" s="13" t="s">
        <v>23</v>
      </c>
      <c r="E5" s="14" t="s">
        <v>21</v>
      </c>
      <c r="F5" s="14" t="s">
        <v>4</v>
      </c>
      <c r="G5" s="14" t="s">
        <v>50</v>
      </c>
      <c r="H5" s="15" t="s">
        <v>5</v>
      </c>
      <c r="I5" s="16" t="s">
        <v>28</v>
      </c>
    </row>
    <row r="6" spans="2:9" x14ac:dyDescent="0.3">
      <c r="B6" s="288"/>
      <c r="C6" s="118" t="s">
        <v>431</v>
      </c>
      <c r="D6" s="284"/>
      <c r="E6" s="285"/>
      <c r="F6" s="285"/>
      <c r="G6" s="285"/>
      <c r="H6" s="285"/>
      <c r="I6" s="233">
        <v>0</v>
      </c>
    </row>
    <row r="7" spans="2:9" x14ac:dyDescent="0.3">
      <c r="B7" s="288"/>
      <c r="C7" s="118" t="s">
        <v>432</v>
      </c>
      <c r="D7" s="284"/>
      <c r="E7" s="285"/>
      <c r="F7" s="285"/>
      <c r="G7" s="285"/>
      <c r="H7" s="285"/>
      <c r="I7" s="10">
        <v>0</v>
      </c>
    </row>
    <row r="8" spans="2:9" x14ac:dyDescent="0.3">
      <c r="B8" s="288"/>
      <c r="C8" s="118" t="s">
        <v>467</v>
      </c>
      <c r="D8" s="424"/>
      <c r="E8" s="425"/>
      <c r="F8" s="425"/>
      <c r="G8" s="425"/>
      <c r="H8" s="425"/>
      <c r="I8" s="426">
        <v>0</v>
      </c>
    </row>
    <row r="9" spans="2:9" x14ac:dyDescent="0.3">
      <c r="B9" s="288"/>
      <c r="C9" s="118" t="s">
        <v>502</v>
      </c>
      <c r="D9" s="289"/>
      <c r="E9" s="290"/>
      <c r="F9" s="290"/>
      <c r="G9" s="290"/>
      <c r="H9" s="290"/>
      <c r="I9" s="291">
        <v>0</v>
      </c>
    </row>
    <row r="10" spans="2:9" x14ac:dyDescent="0.3">
      <c r="B10" s="288"/>
      <c r="C10" s="118" t="s">
        <v>529</v>
      </c>
      <c r="D10" s="481"/>
      <c r="E10" s="482"/>
      <c r="F10" s="482"/>
      <c r="G10" s="482"/>
      <c r="H10" s="482"/>
      <c r="I10" s="484"/>
    </row>
    <row r="11" spans="2:9" x14ac:dyDescent="0.3">
      <c r="B11" s="17">
        <v>46052</v>
      </c>
      <c r="C11" s="18" t="s">
        <v>590</v>
      </c>
      <c r="D11" s="6"/>
      <c r="E11" s="2">
        <v>68</v>
      </c>
      <c r="F11" s="2">
        <v>13</v>
      </c>
      <c r="G11" s="20"/>
      <c r="H11" s="20">
        <f>SUM(E11:G11)</f>
        <v>81</v>
      </c>
      <c r="I11" s="233">
        <f>+I10+H11</f>
        <v>81</v>
      </c>
    </row>
    <row r="12" spans="2:9" x14ac:dyDescent="0.3">
      <c r="B12" s="17"/>
      <c r="C12" s="18" t="s">
        <v>591</v>
      </c>
      <c r="D12" s="6">
        <v>8608</v>
      </c>
      <c r="E12" s="2">
        <v>-68</v>
      </c>
      <c r="F12" s="2">
        <v>-13</v>
      </c>
      <c r="G12" s="230"/>
      <c r="H12" s="230">
        <f t="shared" ref="H12:H34" si="0">SUM(E12:G12)</f>
        <v>-81</v>
      </c>
      <c r="I12" s="233">
        <f t="shared" ref="I12:I35" si="1">I11+H12</f>
        <v>0</v>
      </c>
    </row>
    <row r="13" spans="2:9" x14ac:dyDescent="0.3">
      <c r="B13" s="164">
        <v>45715</v>
      </c>
      <c r="C13" s="161" t="s">
        <v>532</v>
      </c>
      <c r="D13" s="6"/>
      <c r="E13" s="2">
        <v>68</v>
      </c>
      <c r="F13" s="2">
        <v>13</v>
      </c>
      <c r="G13" s="230"/>
      <c r="H13" s="230">
        <f t="shared" si="0"/>
        <v>81</v>
      </c>
      <c r="I13" s="233">
        <f t="shared" si="1"/>
        <v>81</v>
      </c>
    </row>
    <row r="14" spans="2:9" x14ac:dyDescent="0.3">
      <c r="B14" s="187"/>
      <c r="C14" s="18" t="s">
        <v>533</v>
      </c>
      <c r="D14" s="6">
        <v>8723</v>
      </c>
      <c r="E14" s="2">
        <v>-68</v>
      </c>
      <c r="F14" s="2">
        <v>-13</v>
      </c>
      <c r="G14" s="230"/>
      <c r="H14" s="230">
        <f t="shared" si="0"/>
        <v>-81</v>
      </c>
      <c r="I14" s="233">
        <f t="shared" si="1"/>
        <v>0</v>
      </c>
    </row>
    <row r="15" spans="2:9" x14ac:dyDescent="0.3">
      <c r="B15" s="188">
        <v>45747</v>
      </c>
      <c r="C15" s="3" t="s">
        <v>534</v>
      </c>
      <c r="D15" s="6"/>
      <c r="E15" s="2">
        <v>81</v>
      </c>
      <c r="F15" s="2">
        <v>13</v>
      </c>
      <c r="G15" s="230"/>
      <c r="H15" s="230">
        <f t="shared" si="0"/>
        <v>94</v>
      </c>
      <c r="I15" s="233">
        <f t="shared" si="1"/>
        <v>94</v>
      </c>
    </row>
    <row r="16" spans="2:9" x14ac:dyDescent="0.3">
      <c r="B16" s="188"/>
      <c r="C16" s="82" t="s">
        <v>535</v>
      </c>
      <c r="D16" s="6">
        <v>8890</v>
      </c>
      <c r="E16" s="2">
        <v>-81</v>
      </c>
      <c r="F16" s="2">
        <v>-13</v>
      </c>
      <c r="G16" s="230"/>
      <c r="H16" s="230">
        <f t="shared" si="0"/>
        <v>-94</v>
      </c>
      <c r="I16" s="233">
        <f t="shared" si="1"/>
        <v>0</v>
      </c>
    </row>
    <row r="17" spans="2:9" x14ac:dyDescent="0.3">
      <c r="B17" s="188">
        <v>45777</v>
      </c>
      <c r="C17" s="3" t="s">
        <v>536</v>
      </c>
      <c r="D17" s="6"/>
      <c r="E17" s="2">
        <v>81</v>
      </c>
      <c r="F17" s="2">
        <v>13</v>
      </c>
      <c r="G17" s="230"/>
      <c r="H17" s="230">
        <f t="shared" si="0"/>
        <v>94</v>
      </c>
      <c r="I17" s="233">
        <f t="shared" si="1"/>
        <v>94</v>
      </c>
    </row>
    <row r="18" spans="2:9" x14ac:dyDescent="0.3">
      <c r="B18" s="83"/>
      <c r="C18" s="82" t="s">
        <v>537</v>
      </c>
      <c r="D18" s="6">
        <v>8890</v>
      </c>
      <c r="E18" s="2">
        <v>-81</v>
      </c>
      <c r="F18" s="2">
        <v>-13</v>
      </c>
      <c r="G18" s="230"/>
      <c r="H18" s="230">
        <f t="shared" si="0"/>
        <v>-94</v>
      </c>
      <c r="I18" s="233">
        <f t="shared" si="1"/>
        <v>0</v>
      </c>
    </row>
    <row r="19" spans="2:9" x14ac:dyDescent="0.3">
      <c r="B19" s="40">
        <v>45807</v>
      </c>
      <c r="C19" s="3" t="s">
        <v>538</v>
      </c>
      <c r="D19" s="229"/>
      <c r="E19" s="230">
        <v>81</v>
      </c>
      <c r="F19" s="230">
        <v>13</v>
      </c>
      <c r="G19" s="230"/>
      <c r="H19" s="230">
        <f t="shared" si="0"/>
        <v>94</v>
      </c>
      <c r="I19" s="233">
        <f t="shared" si="1"/>
        <v>94</v>
      </c>
    </row>
    <row r="20" spans="2:9" x14ac:dyDescent="0.3">
      <c r="B20" s="9"/>
      <c r="C20" s="18" t="s">
        <v>539</v>
      </c>
      <c r="D20" s="6"/>
      <c r="E20" s="230"/>
      <c r="F20" s="230"/>
      <c r="G20" s="230"/>
      <c r="H20" s="230">
        <f t="shared" si="0"/>
        <v>0</v>
      </c>
      <c r="I20" s="233">
        <f t="shared" si="1"/>
        <v>94</v>
      </c>
    </row>
    <row r="21" spans="2:9" x14ac:dyDescent="0.3">
      <c r="B21" s="9">
        <v>45838</v>
      </c>
      <c r="C21" s="3" t="s">
        <v>540</v>
      </c>
      <c r="D21" s="229"/>
      <c r="E21" s="230"/>
      <c r="F21" s="230"/>
      <c r="G21" s="230"/>
      <c r="H21" s="230">
        <f t="shared" si="0"/>
        <v>0</v>
      </c>
      <c r="I21" s="233">
        <f t="shared" si="1"/>
        <v>94</v>
      </c>
    </row>
    <row r="22" spans="2:9" x14ac:dyDescent="0.3">
      <c r="B22" s="9"/>
      <c r="C22" s="18" t="s">
        <v>541</v>
      </c>
      <c r="D22" s="6"/>
      <c r="E22" s="230"/>
      <c r="F22" s="230"/>
      <c r="G22" s="230"/>
      <c r="H22" s="230">
        <f t="shared" si="0"/>
        <v>0</v>
      </c>
      <c r="I22" s="233">
        <f t="shared" si="1"/>
        <v>94</v>
      </c>
    </row>
    <row r="23" spans="2:9" x14ac:dyDescent="0.3">
      <c r="B23" s="107">
        <v>45868</v>
      </c>
      <c r="C23" s="82" t="s">
        <v>542</v>
      </c>
      <c r="D23" s="229"/>
      <c r="E23" s="230"/>
      <c r="F23" s="230"/>
      <c r="G23" s="230"/>
      <c r="H23" s="230">
        <f t="shared" si="0"/>
        <v>0</v>
      </c>
      <c r="I23" s="233">
        <f t="shared" si="1"/>
        <v>94</v>
      </c>
    </row>
    <row r="24" spans="2:9" x14ac:dyDescent="0.3">
      <c r="B24" s="107"/>
      <c r="C24" s="82" t="s">
        <v>543</v>
      </c>
      <c r="D24" s="6"/>
      <c r="E24" s="230"/>
      <c r="F24" s="230"/>
      <c r="G24" s="230"/>
      <c r="H24" s="230">
        <f t="shared" si="0"/>
        <v>0</v>
      </c>
      <c r="I24" s="233">
        <f t="shared" si="1"/>
        <v>94</v>
      </c>
    </row>
    <row r="25" spans="2:9" x14ac:dyDescent="0.3">
      <c r="B25" s="107">
        <v>45899</v>
      </c>
      <c r="C25" s="82" t="s">
        <v>544</v>
      </c>
      <c r="D25" s="229"/>
      <c r="E25" s="230"/>
      <c r="F25" s="230"/>
      <c r="G25" s="230"/>
      <c r="H25" s="230">
        <f t="shared" si="0"/>
        <v>0</v>
      </c>
      <c r="I25" s="233">
        <f t="shared" si="1"/>
        <v>94</v>
      </c>
    </row>
    <row r="26" spans="2:9" x14ac:dyDescent="0.3">
      <c r="B26" s="107"/>
      <c r="C26" s="82" t="s">
        <v>545</v>
      </c>
      <c r="D26" s="6"/>
      <c r="E26" s="230"/>
      <c r="F26" s="230"/>
      <c r="G26" s="230"/>
      <c r="H26" s="230">
        <f t="shared" si="0"/>
        <v>0</v>
      </c>
      <c r="I26" s="233">
        <f t="shared" si="1"/>
        <v>94</v>
      </c>
    </row>
    <row r="27" spans="2:9" x14ac:dyDescent="0.3">
      <c r="B27" s="9">
        <v>45930</v>
      </c>
      <c r="C27" s="3" t="s">
        <v>546</v>
      </c>
      <c r="D27" s="229"/>
      <c r="E27" s="230"/>
      <c r="F27" s="230"/>
      <c r="G27" s="230"/>
      <c r="H27" s="230">
        <f t="shared" si="0"/>
        <v>0</v>
      </c>
      <c r="I27" s="233">
        <f t="shared" si="1"/>
        <v>94</v>
      </c>
    </row>
    <row r="28" spans="2:9" x14ac:dyDescent="0.3">
      <c r="B28" s="9"/>
      <c r="C28" s="3" t="s">
        <v>547</v>
      </c>
      <c r="D28" s="6"/>
      <c r="E28" s="230"/>
      <c r="F28" s="230"/>
      <c r="G28" s="230"/>
      <c r="H28" s="230">
        <f t="shared" si="0"/>
        <v>0</v>
      </c>
      <c r="I28" s="233">
        <f t="shared" si="1"/>
        <v>94</v>
      </c>
    </row>
    <row r="29" spans="2:9" x14ac:dyDescent="0.3">
      <c r="B29" s="9">
        <v>45960</v>
      </c>
      <c r="C29" s="3" t="s">
        <v>548</v>
      </c>
      <c r="D29" s="229"/>
      <c r="E29" s="230"/>
      <c r="F29" s="230"/>
      <c r="G29" s="230"/>
      <c r="H29" s="230">
        <f t="shared" si="0"/>
        <v>0</v>
      </c>
      <c r="I29" s="233">
        <f t="shared" si="1"/>
        <v>94</v>
      </c>
    </row>
    <row r="30" spans="2:9" x14ac:dyDescent="0.3">
      <c r="B30" s="9"/>
      <c r="C30" s="3" t="s">
        <v>549</v>
      </c>
      <c r="D30" s="229"/>
      <c r="E30" s="230"/>
      <c r="F30" s="230"/>
      <c r="G30" s="230"/>
      <c r="H30" s="230">
        <f t="shared" si="0"/>
        <v>0</v>
      </c>
      <c r="I30" s="233">
        <f t="shared" si="1"/>
        <v>94</v>
      </c>
    </row>
    <row r="31" spans="2:9" x14ac:dyDescent="0.3">
      <c r="B31" s="9">
        <v>45991</v>
      </c>
      <c r="C31" s="3" t="s">
        <v>550</v>
      </c>
      <c r="D31" s="229"/>
      <c r="E31" s="230"/>
      <c r="F31" s="230"/>
      <c r="G31" s="230"/>
      <c r="H31" s="230">
        <f t="shared" si="0"/>
        <v>0</v>
      </c>
      <c r="I31" s="233">
        <f t="shared" si="1"/>
        <v>94</v>
      </c>
    </row>
    <row r="32" spans="2:9" x14ac:dyDescent="0.3">
      <c r="B32" s="17"/>
      <c r="C32" s="18" t="s">
        <v>551</v>
      </c>
      <c r="D32" s="229"/>
      <c r="E32" s="230"/>
      <c r="F32" s="230"/>
      <c r="G32" s="230"/>
      <c r="H32" s="230">
        <f t="shared" si="0"/>
        <v>0</v>
      </c>
      <c r="I32" s="233">
        <f t="shared" si="1"/>
        <v>94</v>
      </c>
    </row>
    <row r="33" spans="2:9" x14ac:dyDescent="0.3">
      <c r="B33" s="188">
        <v>46021</v>
      </c>
      <c r="C33" s="3" t="s">
        <v>552</v>
      </c>
      <c r="D33" s="229"/>
      <c r="E33" s="230"/>
      <c r="F33" s="230"/>
      <c r="G33" s="230"/>
      <c r="H33" s="230">
        <f t="shared" si="0"/>
        <v>0</v>
      </c>
      <c r="I33" s="233">
        <f t="shared" si="1"/>
        <v>94</v>
      </c>
    </row>
    <row r="34" spans="2:9" x14ac:dyDescent="0.3">
      <c r="B34" s="257"/>
      <c r="C34" s="110" t="s">
        <v>553</v>
      </c>
      <c r="D34" s="229"/>
      <c r="E34" s="230"/>
      <c r="F34" s="230"/>
      <c r="G34" s="7" t="s">
        <v>366</v>
      </c>
      <c r="H34" s="230">
        <f t="shared" si="0"/>
        <v>0</v>
      </c>
      <c r="I34" s="233">
        <f t="shared" si="1"/>
        <v>94</v>
      </c>
    </row>
    <row r="35" spans="2:9" x14ac:dyDescent="0.3">
      <c r="B35" s="107"/>
      <c r="C35" s="82"/>
      <c r="D35" s="229"/>
      <c r="E35" s="230"/>
      <c r="F35" s="230"/>
      <c r="G35" s="230"/>
      <c r="H35" s="230">
        <f>SUM(E35:G43)</f>
        <v>0</v>
      </c>
      <c r="I35" s="233">
        <f t="shared" si="1"/>
        <v>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2:L65"/>
  <sheetViews>
    <sheetView showGridLines="0" zoomScale="85" zoomScaleNormal="85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45.109375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0" max="10" width="15.109375" customWidth="1"/>
    <col min="13" max="13" width="10.88671875" bestFit="1" customWidth="1"/>
  </cols>
  <sheetData>
    <row r="2" spans="1:12" ht="15.6" x14ac:dyDescent="0.3">
      <c r="A2" s="27" t="s">
        <v>36</v>
      </c>
      <c r="B2" s="41" t="s">
        <v>82</v>
      </c>
    </row>
    <row r="3" spans="1:12" ht="14.25" customHeight="1" x14ac:dyDescent="0.3">
      <c r="A3" s="27" t="s">
        <v>31</v>
      </c>
      <c r="B3" s="28" t="e">
        <f>LOOKUP(B2,#REF!,#REF!)</f>
        <v>#REF!</v>
      </c>
    </row>
    <row r="4" spans="1:12" hidden="1" x14ac:dyDescent="0.3">
      <c r="A4" s="27" t="s">
        <v>32</v>
      </c>
      <c r="B4" s="28" t="e">
        <f>LOOKUP(B2,#REF!,#REF!)</f>
        <v>#REF!</v>
      </c>
    </row>
    <row r="5" spans="1:12" hidden="1" x14ac:dyDescent="0.3">
      <c r="A5" s="27" t="s">
        <v>33</v>
      </c>
      <c r="B5" s="28" t="e">
        <f>LOOKUP(B2,#REF!,#REF!)</f>
        <v>#REF!</v>
      </c>
    </row>
    <row r="6" spans="1:12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2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2" x14ac:dyDescent="0.3">
      <c r="A8" s="21"/>
      <c r="B8" s="21" t="s">
        <v>378</v>
      </c>
    </row>
    <row r="9" spans="1:12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75" t="s">
        <v>188</v>
      </c>
    </row>
    <row r="10" spans="1:12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IF(T_T1349[[#This Row],[Total]]&lt;0,T_T1349[[#This Row],[Total]]*-1,0)</f>
        <v>0</v>
      </c>
      <c r="J10" s="422"/>
    </row>
    <row r="11" spans="1:12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355">
        <f>IF(T_T1349[[#This Row],[Total]]&lt;0,T_T1349[[#This Row],[Total]]*-1,0)</f>
        <v>0</v>
      </c>
      <c r="J11" s="287"/>
    </row>
    <row r="12" spans="1:12" x14ac:dyDescent="0.3">
      <c r="A12" s="288"/>
      <c r="B12" s="118" t="s">
        <v>467</v>
      </c>
      <c r="C12" s="424"/>
      <c r="D12" s="425"/>
      <c r="E12" s="425"/>
      <c r="F12" s="425"/>
      <c r="G12" s="425"/>
      <c r="H12" s="426">
        <v>0</v>
      </c>
      <c r="I12" s="427">
        <f>IF(T_T1349[[#This Row],[Total]]&lt;0,T_T1349[[#This Row],[Total]]*-1,0)</f>
        <v>0</v>
      </c>
      <c r="J12" s="413"/>
    </row>
    <row r="13" spans="1:12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355">
        <f>IF(T_T1349[[#This Row],[Total]]&lt;0,T_T1349[[#This Row],[Total]]*-1,0)</f>
        <v>0</v>
      </c>
      <c r="J13" s="287"/>
    </row>
    <row r="14" spans="1:12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6">
        <f>IF(T_T1349[[#This Row],[Total]]&lt;0,T_T1349[[#This Row],[Total]]*-1,0)</f>
        <v>0</v>
      </c>
      <c r="J14" s="487"/>
    </row>
    <row r="15" spans="1:12" x14ac:dyDescent="0.3">
      <c r="A15" s="17">
        <v>46052</v>
      </c>
      <c r="B15" s="18" t="s">
        <v>590</v>
      </c>
      <c r="C15" s="6"/>
      <c r="D15" s="2">
        <v>75</v>
      </c>
      <c r="E15" s="2">
        <v>13</v>
      </c>
      <c r="F15" s="20"/>
      <c r="G15" s="20">
        <f>SUM(D15:F15)</f>
        <v>88</v>
      </c>
      <c r="H15" s="233">
        <f>+H13+H10+H11+H12+T_T1349[[#This Row],[Total]]</f>
        <v>88</v>
      </c>
      <c r="I15" s="355">
        <f>IF(T_T1349[[#This Row],[Total]]&lt;0,T_T1349[[#This Row],[Total]]*-1,0)</f>
        <v>0</v>
      </c>
      <c r="J15" s="287"/>
      <c r="L15" t="s">
        <v>466</v>
      </c>
    </row>
    <row r="16" spans="1:12" x14ac:dyDescent="0.3">
      <c r="A16" s="17"/>
      <c r="B16" s="18" t="s">
        <v>591</v>
      </c>
      <c r="C16" s="6">
        <v>8754</v>
      </c>
      <c r="D16" s="2">
        <v>-75</v>
      </c>
      <c r="E16" s="2">
        <v>-13</v>
      </c>
      <c r="F16" s="230"/>
      <c r="G16" s="230">
        <f t="shared" ref="G16:G38" si="0">SUM(D16:F16)</f>
        <v>-88</v>
      </c>
      <c r="H16" s="233">
        <f t="shared" ref="H16:H21" si="1">H15+G16</f>
        <v>0</v>
      </c>
      <c r="I16" s="355">
        <f>IF(T_T1349[[#This Row],[Total]]&lt;0,T_T1349[[#This Row],[Total]]*-1,0)</f>
        <v>88</v>
      </c>
      <c r="J16" s="287"/>
    </row>
    <row r="17" spans="1:10" x14ac:dyDescent="0.3">
      <c r="A17" s="164">
        <v>46081</v>
      </c>
      <c r="B17" s="161" t="s">
        <v>592</v>
      </c>
      <c r="C17" s="6"/>
      <c r="D17" s="2">
        <v>75</v>
      </c>
      <c r="E17" s="2">
        <v>13</v>
      </c>
      <c r="F17" s="230"/>
      <c r="G17" s="230">
        <f t="shared" si="0"/>
        <v>88</v>
      </c>
      <c r="H17" s="233">
        <f t="shared" si="1"/>
        <v>88</v>
      </c>
      <c r="I17" s="355">
        <f>IF(T_T1349[[#This Row],[Total]]&lt;0,T_T1349[[#This Row],[Total]]*-1,0)</f>
        <v>0</v>
      </c>
      <c r="J17" s="287"/>
    </row>
    <row r="18" spans="1:10" x14ac:dyDescent="0.3">
      <c r="A18" s="164"/>
      <c r="B18" s="18" t="s">
        <v>593</v>
      </c>
      <c r="C18" s="6"/>
      <c r="D18" s="2"/>
      <c r="E18" s="2"/>
      <c r="F18" s="230"/>
      <c r="G18" s="230">
        <f t="shared" si="0"/>
        <v>0</v>
      </c>
      <c r="H18" s="233">
        <f t="shared" si="1"/>
        <v>88</v>
      </c>
      <c r="I18" s="355">
        <f>IF(T_T1349[[#This Row],[Total]]&lt;0,T_T1349[[#This Row],[Total]]*-1,0)</f>
        <v>0</v>
      </c>
      <c r="J18" s="287"/>
    </row>
    <row r="19" spans="1:10" x14ac:dyDescent="0.3">
      <c r="A19" s="188">
        <v>45747</v>
      </c>
      <c r="B19" s="3" t="s">
        <v>534</v>
      </c>
      <c r="C19" s="6"/>
      <c r="D19" s="2">
        <v>90</v>
      </c>
      <c r="E19" s="2">
        <v>13</v>
      </c>
      <c r="F19" s="230"/>
      <c r="G19" s="230">
        <f t="shared" si="0"/>
        <v>103</v>
      </c>
      <c r="H19" s="233">
        <f t="shared" si="1"/>
        <v>191</v>
      </c>
      <c r="I19" s="355">
        <f>IF(T_T1349[[#This Row],[Total]]&lt;0,T_T1349[[#This Row],[Total]]*-1,0)</f>
        <v>0</v>
      </c>
      <c r="J19" s="287"/>
    </row>
    <row r="20" spans="1:10" x14ac:dyDescent="0.3">
      <c r="A20" s="188"/>
      <c r="B20" s="82" t="s">
        <v>535</v>
      </c>
      <c r="C20" s="6"/>
      <c r="D20" s="2"/>
      <c r="E20" s="2"/>
      <c r="F20" s="230"/>
      <c r="G20" s="230">
        <f t="shared" si="0"/>
        <v>0</v>
      </c>
      <c r="H20" s="233">
        <f t="shared" si="1"/>
        <v>191</v>
      </c>
      <c r="I20" s="355">
        <f>IF(T_T1349[[#This Row],[Total]]&lt;0,T_T1349[[#This Row],[Total]]*-1,0)</f>
        <v>0</v>
      </c>
      <c r="J20" s="287"/>
    </row>
    <row r="21" spans="1:10" x14ac:dyDescent="0.3">
      <c r="A21" s="188">
        <v>45777</v>
      </c>
      <c r="B21" s="3" t="s">
        <v>536</v>
      </c>
      <c r="C21" s="6"/>
      <c r="D21" s="2">
        <v>90</v>
      </c>
      <c r="E21" s="2">
        <v>13</v>
      </c>
      <c r="F21" s="230"/>
      <c r="G21" s="230">
        <f t="shared" si="0"/>
        <v>103</v>
      </c>
      <c r="H21" s="233">
        <f t="shared" si="1"/>
        <v>294</v>
      </c>
      <c r="I21" s="355">
        <f>IF(T_T1349[[#This Row],[Total]]&lt;0,T_T1349[[#This Row],[Total]]*-1,0)</f>
        <v>0</v>
      </c>
      <c r="J21" s="287"/>
    </row>
    <row r="22" spans="1:10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ref="H22:H41" si="2">H21+G22</f>
        <v>294</v>
      </c>
      <c r="I22" s="355">
        <f>IF(T_T1349[[#This Row],[Total]]&lt;0,T_T1349[[#This Row],[Total]]*-1,0)</f>
        <v>0</v>
      </c>
      <c r="J22" s="287"/>
    </row>
    <row r="23" spans="1:10" x14ac:dyDescent="0.3">
      <c r="A23" s="40">
        <v>45807</v>
      </c>
      <c r="B23" s="3" t="s">
        <v>538</v>
      </c>
      <c r="C23" s="229"/>
      <c r="D23" s="230">
        <v>90</v>
      </c>
      <c r="E23" s="230">
        <v>13</v>
      </c>
      <c r="F23" s="230"/>
      <c r="G23" s="230">
        <f t="shared" si="0"/>
        <v>103</v>
      </c>
      <c r="H23" s="233">
        <f t="shared" si="2"/>
        <v>397</v>
      </c>
      <c r="I23" s="355">
        <f>IF(T_T1349[[#This Row],[Total]]&lt;0,T_T1349[[#This Row],[Total]]*-1,0)</f>
        <v>0</v>
      </c>
      <c r="J23" s="287"/>
    </row>
    <row r="24" spans="1:10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2"/>
        <v>397</v>
      </c>
      <c r="I24" s="355">
        <f>IF(T_T1349[[#This Row],[Total]]&lt;0,T_T1349[[#This Row],[Total]]*-1,0)</f>
        <v>0</v>
      </c>
      <c r="J24" s="287"/>
    </row>
    <row r="25" spans="1:10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2"/>
        <v>397</v>
      </c>
      <c r="I25" s="355">
        <f>IF(T_T1349[[#This Row],[Total]]&lt;0,T_T1349[[#This Row],[Total]]*-1,0)</f>
        <v>0</v>
      </c>
      <c r="J25" s="287"/>
    </row>
    <row r="26" spans="1:10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2"/>
        <v>397</v>
      </c>
      <c r="I26" s="355">
        <f>IF(T_T1349[[#This Row],[Total]]&lt;0,T_T1349[[#This Row],[Total]]*-1,0)</f>
        <v>0</v>
      </c>
      <c r="J26" s="287"/>
    </row>
    <row r="27" spans="1:10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2"/>
        <v>397</v>
      </c>
      <c r="I27" s="355">
        <f>IF(T_T1349[[#This Row],[Total]]&lt;0,T_T1349[[#This Row],[Total]]*-1,0)</f>
        <v>0</v>
      </c>
      <c r="J27" s="287"/>
    </row>
    <row r="28" spans="1:10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2"/>
        <v>397</v>
      </c>
      <c r="I28" s="355">
        <f>IF(T_T1349[[#This Row],[Total]]&lt;0,T_T1349[[#This Row],[Total]]*-1,0)</f>
        <v>0</v>
      </c>
      <c r="J28" s="287"/>
    </row>
    <row r="29" spans="1:10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2"/>
        <v>397</v>
      </c>
      <c r="I29" s="355">
        <f>IF(T_T1349[[#This Row],[Total]]&lt;0,T_T1349[[#This Row],[Total]]*-1,0)</f>
        <v>0</v>
      </c>
      <c r="J29" s="287"/>
    </row>
    <row r="30" spans="1:10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2"/>
        <v>397</v>
      </c>
      <c r="I30" s="355">
        <f>IF(T_T1349[[#This Row],[Total]]&lt;0,T_T1349[[#This Row],[Total]]*-1,0)</f>
        <v>0</v>
      </c>
      <c r="J30" s="287"/>
    </row>
    <row r="31" spans="1:10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2"/>
        <v>397</v>
      </c>
      <c r="I31" s="355">
        <f>IF(T_T1349[[#This Row],[Total]]&lt;0,T_T1349[[#This Row],[Total]]*-1,0)</f>
        <v>0</v>
      </c>
      <c r="J31" s="287"/>
    </row>
    <row r="32" spans="1:10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2"/>
        <v>397</v>
      </c>
      <c r="I32" s="355">
        <f>IF(T_T1349[[#This Row],[Total]]&lt;0,T_T1349[[#This Row],[Total]]*-1,0)</f>
        <v>0</v>
      </c>
      <c r="J32" s="287"/>
    </row>
    <row r="33" spans="1:10" x14ac:dyDescent="0.3">
      <c r="A33" s="9">
        <v>45960</v>
      </c>
      <c r="B33" s="3" t="s">
        <v>548</v>
      </c>
      <c r="C33" s="229"/>
      <c r="D33" s="230"/>
      <c r="E33" s="7"/>
      <c r="F33" s="230"/>
      <c r="G33" s="230">
        <f t="shared" si="0"/>
        <v>0</v>
      </c>
      <c r="H33" s="233">
        <f t="shared" si="2"/>
        <v>397</v>
      </c>
      <c r="I33" s="355">
        <f>IF(T_T1349[[#This Row],[Total]]&lt;0,T_T1349[[#This Row],[Total]]*-1,0)</f>
        <v>0</v>
      </c>
      <c r="J33" s="287"/>
    </row>
    <row r="34" spans="1:10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2"/>
        <v>397</v>
      </c>
      <c r="I34" s="355">
        <f>IF(T_T1349[[#This Row],[Total]]&lt;0,T_T1349[[#This Row],[Total]]*-1,0)</f>
        <v>0</v>
      </c>
      <c r="J34" s="287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2"/>
        <v>397</v>
      </c>
      <c r="I35" s="355">
        <f>IF(T_T1349[[#This Row],[Total]]&lt;0,T_T1349[[#This Row],[Total]]*-1,0)</f>
        <v>0</v>
      </c>
      <c r="J35" s="287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2"/>
        <v>397</v>
      </c>
      <c r="I36" s="355">
        <f>IF(T_T1349[[#This Row],[Total]]&lt;0,T_T1349[[#This Row],[Total]]*-1,0)</f>
        <v>0</v>
      </c>
      <c r="J36" s="287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2"/>
        <v>397</v>
      </c>
      <c r="I37" s="355">
        <f>IF(T_T1349[[#This Row],[Total]]&lt;0,T_T1349[[#This Row],[Total]]*-1,0)</f>
        <v>0</v>
      </c>
      <c r="J37" s="287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2"/>
        <v>397</v>
      </c>
      <c r="I38" s="355">
        <f>IF(T_T1349[[#This Row],[Total]]&lt;0,T_T1349[[#This Row],[Total]]*-1,0)</f>
        <v>0</v>
      </c>
      <c r="J38" s="287"/>
    </row>
    <row r="39" spans="1:10" x14ac:dyDescent="0.3">
      <c r="A39" s="107"/>
      <c r="B39" s="82"/>
      <c r="C39" s="229"/>
      <c r="D39" s="230"/>
      <c r="E39" s="230"/>
      <c r="F39" s="230"/>
      <c r="G39" s="230">
        <f>SUM(D39:F47)</f>
        <v>0</v>
      </c>
      <c r="H39" s="233">
        <f t="shared" si="2"/>
        <v>397</v>
      </c>
      <c r="I39" s="355">
        <f>IF(T_T1349[[#This Row],[Total]]&lt;0,T_T1349[[#This Row],[Total]]*-1,0)</f>
        <v>0</v>
      </c>
      <c r="J39" s="287"/>
    </row>
    <row r="40" spans="1:10" x14ac:dyDescent="0.3">
      <c r="A40" s="107"/>
      <c r="B40" s="82"/>
      <c r="C40" s="229"/>
      <c r="D40" s="230"/>
      <c r="E40" s="230"/>
      <c r="F40" s="230"/>
      <c r="G40" s="230"/>
      <c r="H40" s="233">
        <f t="shared" si="2"/>
        <v>397</v>
      </c>
      <c r="I40" s="355">
        <f>IF(T_T1349[[#This Row],[Total]]&lt;0,T_T1349[[#This Row],[Total]]*-1,0)</f>
        <v>0</v>
      </c>
      <c r="J40" s="423"/>
    </row>
    <row r="41" spans="1:10" x14ac:dyDescent="0.3">
      <c r="A41" s="170"/>
      <c r="B41" s="18"/>
      <c r="C41" s="481"/>
      <c r="D41" s="482"/>
      <c r="E41" s="482"/>
      <c r="F41" s="482"/>
      <c r="G41" s="482"/>
      <c r="H41" s="233">
        <f t="shared" si="2"/>
        <v>397</v>
      </c>
      <c r="I41" s="476">
        <f>IF(T_T1349[[#This Row],[Total]]&lt;0,T_T1349[[#This Row],[Total]]*-1,0)</f>
        <v>0</v>
      </c>
      <c r="J41" s="487"/>
    </row>
    <row r="42" spans="1:10" x14ac:dyDescent="0.3">
      <c r="A42" s="17"/>
      <c r="B42" s="18"/>
      <c r="C42" s="6"/>
      <c r="D42" s="2"/>
      <c r="E42" s="2"/>
      <c r="F42" s="2"/>
      <c r="G42" s="294"/>
      <c r="H42" s="146"/>
    </row>
    <row r="43" spans="1:10" x14ac:dyDescent="0.3">
      <c r="A43" s="17"/>
      <c r="B43" s="296"/>
      <c r="C43" s="6"/>
      <c r="D43" s="2"/>
      <c r="E43" s="2"/>
      <c r="F43" s="2"/>
      <c r="G43" s="294"/>
      <c r="H43" s="146"/>
    </row>
    <row r="44" spans="1:10" x14ac:dyDescent="0.3">
      <c r="A44" s="164"/>
      <c r="B44" s="161"/>
      <c r="C44" s="6"/>
      <c r="D44" s="2"/>
      <c r="E44" s="2"/>
      <c r="F44" s="2"/>
      <c r="G44" s="294"/>
      <c r="H44" s="146"/>
    </row>
    <row r="45" spans="1:10" x14ac:dyDescent="0.3">
      <c r="A45" s="185"/>
      <c r="B45" s="147"/>
      <c r="C45" s="19"/>
      <c r="D45" s="212"/>
      <c r="E45" s="212"/>
      <c r="F45" s="212"/>
      <c r="G45" s="294"/>
      <c r="H45" s="295"/>
    </row>
    <row r="46" spans="1:10" x14ac:dyDescent="0.3">
      <c r="A46" s="188"/>
      <c r="B46" s="3"/>
      <c r="C46" s="6"/>
      <c r="D46" s="2"/>
      <c r="E46" s="2"/>
      <c r="F46" s="2"/>
      <c r="G46" s="294"/>
      <c r="H46" s="295"/>
    </row>
    <row r="47" spans="1:10" x14ac:dyDescent="0.3">
      <c r="A47" s="188"/>
      <c r="B47" s="82"/>
      <c r="C47" s="6"/>
      <c r="D47" s="2"/>
      <c r="E47" s="2"/>
      <c r="F47" s="2"/>
      <c r="G47" s="294"/>
      <c r="H47" s="295"/>
    </row>
    <row r="48" spans="1:10" x14ac:dyDescent="0.3">
      <c r="A48" s="188"/>
      <c r="B48" s="3"/>
      <c r="C48" s="6"/>
      <c r="D48" s="2"/>
      <c r="E48" s="2"/>
      <c r="F48" s="2"/>
      <c r="G48" s="294"/>
      <c r="H48" s="295"/>
    </row>
    <row r="49" spans="1:8" x14ac:dyDescent="0.3">
      <c r="A49" s="83"/>
      <c r="B49" s="82"/>
      <c r="C49" s="19"/>
      <c r="D49" s="212"/>
      <c r="E49" s="212"/>
      <c r="F49" s="212"/>
      <c r="G49" s="294"/>
      <c r="H49" s="295"/>
    </row>
    <row r="50" spans="1:8" x14ac:dyDescent="0.3">
      <c r="A50" s="188"/>
      <c r="B50" s="3"/>
      <c r="C50" s="6"/>
      <c r="D50" s="2"/>
      <c r="E50" s="2"/>
      <c r="F50" s="2"/>
      <c r="G50" s="2"/>
      <c r="H50" s="295"/>
    </row>
    <row r="51" spans="1:8" x14ac:dyDescent="0.3">
      <c r="A51" s="107"/>
      <c r="B51" s="127"/>
      <c r="C51" s="6"/>
      <c r="D51" s="2"/>
      <c r="E51" s="2"/>
      <c r="F51" s="2"/>
      <c r="G51" s="2"/>
      <c r="H51" s="295"/>
    </row>
    <row r="52" spans="1:8" x14ac:dyDescent="0.3">
      <c r="A52" s="188"/>
      <c r="B52" s="3"/>
      <c r="C52" s="6"/>
      <c r="D52" s="2"/>
      <c r="E52" s="2"/>
      <c r="F52" s="2"/>
      <c r="G52" s="2"/>
      <c r="H52" s="295"/>
    </row>
    <row r="53" spans="1:8" x14ac:dyDescent="0.3">
      <c r="A53" s="107"/>
      <c r="B53" s="127"/>
      <c r="C53" s="6"/>
      <c r="D53" s="2"/>
      <c r="E53" s="2"/>
      <c r="F53" s="2"/>
      <c r="G53" s="2"/>
      <c r="H53" s="295"/>
    </row>
    <row r="54" spans="1:8" x14ac:dyDescent="0.3">
      <c r="A54" s="107"/>
      <c r="B54" s="82"/>
      <c r="C54" s="6"/>
      <c r="D54" s="2"/>
      <c r="E54" s="2"/>
      <c r="F54" s="2"/>
      <c r="G54" s="2"/>
      <c r="H54" s="295"/>
    </row>
    <row r="55" spans="1:8" x14ac:dyDescent="0.3">
      <c r="A55" s="107"/>
      <c r="B55" s="82"/>
      <c r="C55" s="6"/>
      <c r="D55" s="2"/>
      <c r="E55" s="2"/>
      <c r="F55" s="2"/>
      <c r="G55" s="2"/>
      <c r="H55" s="295"/>
    </row>
    <row r="56" spans="1:8" x14ac:dyDescent="0.3">
      <c r="A56" s="107"/>
      <c r="B56" s="82"/>
      <c r="C56" s="6"/>
      <c r="D56" s="2"/>
      <c r="E56" s="2"/>
      <c r="F56" s="2"/>
      <c r="G56" s="2"/>
      <c r="H56" s="295"/>
    </row>
    <row r="57" spans="1:8" x14ac:dyDescent="0.3">
      <c r="A57" s="107"/>
      <c r="B57" s="82"/>
      <c r="C57" s="19"/>
      <c r="D57" s="212"/>
      <c r="E57" s="212"/>
      <c r="F57" s="212"/>
      <c r="G57" s="212"/>
      <c r="H57" s="295"/>
    </row>
    <row r="58" spans="1:8" x14ac:dyDescent="0.3">
      <c r="A58" s="188"/>
      <c r="B58" s="3"/>
      <c r="C58" s="6"/>
      <c r="D58" s="2"/>
      <c r="E58" s="2"/>
      <c r="F58" s="2"/>
      <c r="G58" s="212"/>
      <c r="H58" s="295"/>
    </row>
    <row r="59" spans="1:8" x14ac:dyDescent="0.3">
      <c r="A59" s="107"/>
      <c r="B59" s="82"/>
      <c r="C59" s="6"/>
      <c r="D59" s="2"/>
      <c r="E59" s="2"/>
      <c r="F59" s="2"/>
      <c r="G59" s="212"/>
      <c r="H59" s="295"/>
    </row>
    <row r="60" spans="1:8" x14ac:dyDescent="0.3">
      <c r="A60" s="188"/>
      <c r="B60" s="3"/>
      <c r="C60" s="6"/>
      <c r="D60" s="2"/>
      <c r="E60" s="2"/>
      <c r="F60" s="2"/>
      <c r="G60" s="212"/>
      <c r="H60" s="295"/>
    </row>
    <row r="61" spans="1:8" x14ac:dyDescent="0.3">
      <c r="A61" s="107"/>
      <c r="B61" s="82"/>
      <c r="C61" s="6"/>
      <c r="D61" s="2"/>
      <c r="E61" s="2"/>
      <c r="F61" s="2"/>
      <c r="G61" s="212"/>
      <c r="H61" s="295"/>
    </row>
    <row r="62" spans="1:8" x14ac:dyDescent="0.3">
      <c r="A62" s="188"/>
      <c r="B62" s="3"/>
      <c r="C62" s="6"/>
      <c r="D62" s="2"/>
      <c r="E62" s="2"/>
      <c r="F62" s="2"/>
      <c r="G62" s="212"/>
      <c r="H62" s="295"/>
    </row>
    <row r="63" spans="1:8" x14ac:dyDescent="0.3">
      <c r="A63" s="83"/>
      <c r="B63" s="127"/>
      <c r="C63" s="6"/>
      <c r="D63" s="2"/>
      <c r="E63" s="2"/>
      <c r="F63" s="2"/>
      <c r="G63" s="212"/>
      <c r="H63" s="295"/>
    </row>
    <row r="64" spans="1:8" x14ac:dyDescent="0.3">
      <c r="A64" s="188"/>
      <c r="B64" s="3"/>
      <c r="C64" s="6"/>
      <c r="D64" s="2"/>
      <c r="E64" s="2"/>
      <c r="F64" s="2"/>
      <c r="G64" s="2"/>
      <c r="H64" s="295"/>
    </row>
    <row r="65" spans="1:8" x14ac:dyDescent="0.3">
      <c r="A65" s="257"/>
      <c r="B65" s="110"/>
      <c r="C65" s="6"/>
      <c r="D65" s="2"/>
      <c r="E65" s="2"/>
      <c r="F65" s="2"/>
      <c r="G65" s="2"/>
      <c r="H65" s="295"/>
    </row>
  </sheetData>
  <hyperlinks>
    <hyperlink ref="B7" r:id="rId1" display="jose.orozco@outlook.com"/>
    <hyperlink ref="H7" location="Resumen!A1" display="Rsumen         "/>
  </hyperlinks>
  <pageMargins left="0.43307086614173229" right="0.27559055118110237" top="0.31496062992125984" bottom="0.47244094488188981" header="0.31496062992125984" footer="0.31496062992125984"/>
  <pageSetup scale="70" orientation="portrait" verticalDpi="360" r:id="rId2"/>
  <drawing r:id="rId3"/>
  <tableParts count="1"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B3:I40"/>
  <sheetViews>
    <sheetView workbookViewId="0">
      <selection activeCell="F25" sqref="F25"/>
    </sheetView>
  </sheetViews>
  <sheetFormatPr baseColWidth="10" defaultRowHeight="14.4" x14ac:dyDescent="0.3"/>
  <cols>
    <col min="2" max="2" width="14.21875" customWidth="1"/>
    <col min="3" max="3" width="44" customWidth="1"/>
  </cols>
  <sheetData>
    <row r="3" spans="2:9" ht="15.6" x14ac:dyDescent="0.3">
      <c r="B3" s="27" t="s">
        <v>36</v>
      </c>
      <c r="C3" s="41" t="s">
        <v>261</v>
      </c>
      <c r="D3" s="4"/>
      <c r="E3" s="1"/>
      <c r="F3" s="1"/>
      <c r="G3" s="1"/>
      <c r="H3" s="1"/>
      <c r="I3" s="1"/>
    </row>
    <row r="4" spans="2:9" x14ac:dyDescent="0.3">
      <c r="B4" s="27" t="s">
        <v>31</v>
      </c>
      <c r="C4" s="28" t="s">
        <v>229</v>
      </c>
      <c r="D4" s="4"/>
      <c r="E4" s="1"/>
      <c r="F4" s="1"/>
      <c r="G4" s="1"/>
      <c r="H4" s="1"/>
      <c r="I4" s="1"/>
    </row>
    <row r="5" spans="2:9" x14ac:dyDescent="0.3">
      <c r="B5" s="27"/>
      <c r="C5" s="28"/>
      <c r="D5" s="4"/>
      <c r="E5" s="1"/>
      <c r="F5" s="1"/>
      <c r="G5" s="1"/>
      <c r="H5" s="1"/>
      <c r="I5" s="1"/>
    </row>
    <row r="6" spans="2:9" x14ac:dyDescent="0.3">
      <c r="B6" s="27"/>
      <c r="C6" s="28"/>
      <c r="D6" s="4"/>
      <c r="E6" s="1"/>
      <c r="F6" s="1"/>
      <c r="G6" s="1"/>
      <c r="H6" s="1"/>
      <c r="I6" s="1"/>
    </row>
    <row r="7" spans="2:9" x14ac:dyDescent="0.3">
      <c r="B7" s="27"/>
      <c r="C7" s="28"/>
      <c r="D7" s="4"/>
      <c r="E7" s="1"/>
      <c r="F7" s="1"/>
      <c r="G7" s="1"/>
      <c r="H7" s="1"/>
      <c r="I7" s="1"/>
    </row>
    <row r="8" spans="2:9" x14ac:dyDescent="0.3">
      <c r="B8" s="27"/>
      <c r="C8" s="28"/>
      <c r="D8" s="4"/>
      <c r="E8" s="1"/>
      <c r="F8" s="1"/>
      <c r="G8" s="1"/>
      <c r="H8" s="1"/>
      <c r="I8" s="1"/>
    </row>
    <row r="9" spans="2:9" x14ac:dyDescent="0.3">
      <c r="B9" s="21"/>
      <c r="C9" s="21"/>
      <c r="D9" s="4"/>
      <c r="E9" s="1"/>
      <c r="F9" s="1"/>
      <c r="G9" s="1"/>
      <c r="H9" s="1"/>
      <c r="I9" s="1"/>
    </row>
    <row r="10" spans="2:9" x14ac:dyDescent="0.3">
      <c r="B10" s="11" t="s">
        <v>3</v>
      </c>
      <c r="C10" s="12" t="s">
        <v>1</v>
      </c>
      <c r="D10" s="13" t="s">
        <v>23</v>
      </c>
      <c r="E10" s="14" t="s">
        <v>21</v>
      </c>
      <c r="F10" s="14" t="s">
        <v>4</v>
      </c>
      <c r="G10" s="14" t="s">
        <v>50</v>
      </c>
      <c r="H10" s="15" t="s">
        <v>5</v>
      </c>
      <c r="I10" s="16" t="s">
        <v>28</v>
      </c>
    </row>
    <row r="11" spans="2:9" x14ac:dyDescent="0.3">
      <c r="B11" s="288"/>
      <c r="C11" s="118" t="s">
        <v>431</v>
      </c>
      <c r="D11" s="284"/>
      <c r="E11" s="285"/>
      <c r="F11" s="285"/>
      <c r="G11" s="285"/>
      <c r="H11" s="285"/>
      <c r="I11" s="233">
        <v>0</v>
      </c>
    </row>
    <row r="12" spans="2:9" x14ac:dyDescent="0.3">
      <c r="B12" s="288"/>
      <c r="C12" s="118" t="s">
        <v>432</v>
      </c>
      <c r="D12" s="284"/>
      <c r="E12" s="285"/>
      <c r="F12" s="285"/>
      <c r="G12" s="285"/>
      <c r="H12" s="285"/>
      <c r="I12" s="10">
        <v>0</v>
      </c>
    </row>
    <row r="13" spans="2:9" x14ac:dyDescent="0.3">
      <c r="B13" s="288"/>
      <c r="C13" s="118" t="s">
        <v>467</v>
      </c>
      <c r="D13" s="424"/>
      <c r="E13" s="425"/>
      <c r="F13" s="425"/>
      <c r="G13" s="425"/>
      <c r="H13" s="425"/>
      <c r="I13" s="426">
        <v>0</v>
      </c>
    </row>
    <row r="14" spans="2:9" x14ac:dyDescent="0.3">
      <c r="B14" s="288"/>
      <c r="C14" s="118" t="s">
        <v>502</v>
      </c>
      <c r="D14" s="289"/>
      <c r="E14" s="290"/>
      <c r="F14" s="290"/>
      <c r="G14" s="290"/>
      <c r="H14" s="290"/>
      <c r="I14" s="291">
        <v>0</v>
      </c>
    </row>
    <row r="15" spans="2:9" x14ac:dyDescent="0.3">
      <c r="B15" s="288"/>
      <c r="C15" s="118" t="s">
        <v>529</v>
      </c>
      <c r="D15" s="481"/>
      <c r="E15" s="482"/>
      <c r="F15" s="482"/>
      <c r="G15" s="482"/>
      <c r="H15" s="482"/>
      <c r="I15" s="484"/>
    </row>
    <row r="16" spans="2:9" x14ac:dyDescent="0.3">
      <c r="B16" s="17">
        <v>46052</v>
      </c>
      <c r="C16" s="18" t="s">
        <v>590</v>
      </c>
      <c r="D16" s="6"/>
      <c r="E16" s="2">
        <v>82</v>
      </c>
      <c r="F16" s="2">
        <v>75</v>
      </c>
      <c r="G16" s="20"/>
      <c r="H16" s="20">
        <f>SUM(E16:G16)</f>
        <v>157</v>
      </c>
      <c r="I16" s="233">
        <f>+I15+H16</f>
        <v>157</v>
      </c>
    </row>
    <row r="17" spans="2:9" x14ac:dyDescent="0.3">
      <c r="B17" s="17"/>
      <c r="C17" s="18" t="s">
        <v>591</v>
      </c>
      <c r="D17" s="6">
        <v>8823</v>
      </c>
      <c r="E17" s="2">
        <v>-82</v>
      </c>
      <c r="F17" s="2">
        <v>-75</v>
      </c>
      <c r="G17" s="230"/>
      <c r="H17" s="230">
        <f t="shared" ref="H17:H39" si="0">SUM(E17:G17)</f>
        <v>-157</v>
      </c>
      <c r="I17" s="233">
        <f t="shared" ref="I17:I40" si="1">I16+H17</f>
        <v>0</v>
      </c>
    </row>
    <row r="18" spans="2:9" x14ac:dyDescent="0.3">
      <c r="B18" s="164">
        <v>45716</v>
      </c>
      <c r="C18" s="161" t="s">
        <v>592</v>
      </c>
      <c r="D18" s="6"/>
      <c r="E18" s="2">
        <v>82</v>
      </c>
      <c r="F18" s="2">
        <v>61</v>
      </c>
      <c r="G18" s="230"/>
      <c r="H18" s="230">
        <f t="shared" si="0"/>
        <v>143</v>
      </c>
      <c r="I18" s="233">
        <f t="shared" si="1"/>
        <v>143</v>
      </c>
    </row>
    <row r="19" spans="2:9" x14ac:dyDescent="0.3">
      <c r="B19" s="187"/>
      <c r="C19" s="18" t="s">
        <v>593</v>
      </c>
      <c r="D19" s="6">
        <v>8823</v>
      </c>
      <c r="E19" s="2">
        <v>-82</v>
      </c>
      <c r="F19" s="2">
        <v>-61</v>
      </c>
      <c r="G19" s="230"/>
      <c r="H19" s="230">
        <f t="shared" si="0"/>
        <v>-143</v>
      </c>
      <c r="I19" s="233">
        <f t="shared" si="1"/>
        <v>0</v>
      </c>
    </row>
    <row r="20" spans="2:9" x14ac:dyDescent="0.3">
      <c r="B20" s="188">
        <v>45747</v>
      </c>
      <c r="C20" s="3" t="s">
        <v>534</v>
      </c>
      <c r="D20" s="6"/>
      <c r="E20" s="2">
        <v>98</v>
      </c>
      <c r="F20" s="2">
        <v>54</v>
      </c>
      <c r="G20" s="230"/>
      <c r="H20" s="230">
        <f t="shared" si="0"/>
        <v>152</v>
      </c>
      <c r="I20" s="233">
        <f t="shared" si="1"/>
        <v>152</v>
      </c>
    </row>
    <row r="21" spans="2:9" x14ac:dyDescent="0.3">
      <c r="B21" s="188"/>
      <c r="C21" s="82" t="s">
        <v>535</v>
      </c>
      <c r="D21" s="6">
        <v>8823</v>
      </c>
      <c r="E21" s="2">
        <v>-98</v>
      </c>
      <c r="F21" s="2">
        <v>-54</v>
      </c>
      <c r="G21" s="230"/>
      <c r="H21" s="230">
        <f t="shared" si="0"/>
        <v>-152</v>
      </c>
      <c r="I21" s="233">
        <f t="shared" si="1"/>
        <v>0</v>
      </c>
    </row>
    <row r="22" spans="2:9" x14ac:dyDescent="0.3">
      <c r="B22" s="188">
        <v>45777</v>
      </c>
      <c r="C22" s="3" t="s">
        <v>536</v>
      </c>
      <c r="D22" s="6"/>
      <c r="E22" s="2">
        <v>98</v>
      </c>
      <c r="F22" s="2">
        <v>57</v>
      </c>
      <c r="G22" s="230"/>
      <c r="H22" s="230">
        <f t="shared" si="0"/>
        <v>155</v>
      </c>
      <c r="I22" s="233">
        <f t="shared" si="1"/>
        <v>155</v>
      </c>
    </row>
    <row r="23" spans="2:9" x14ac:dyDescent="0.3">
      <c r="B23" s="83"/>
      <c r="C23" s="82" t="s">
        <v>537</v>
      </c>
      <c r="D23" s="6">
        <v>8945</v>
      </c>
      <c r="E23" s="2">
        <v>-98</v>
      </c>
      <c r="F23" s="2">
        <v>-57</v>
      </c>
      <c r="G23" s="230"/>
      <c r="H23" s="230">
        <f t="shared" si="0"/>
        <v>-155</v>
      </c>
      <c r="I23" s="233">
        <f t="shared" si="1"/>
        <v>0</v>
      </c>
    </row>
    <row r="24" spans="2:9" x14ac:dyDescent="0.3">
      <c r="B24" s="40">
        <v>45807</v>
      </c>
      <c r="C24" s="3" t="s">
        <v>538</v>
      </c>
      <c r="D24" s="229"/>
      <c r="E24" s="230">
        <v>98</v>
      </c>
      <c r="F24" s="230">
        <v>55</v>
      </c>
      <c r="G24" s="230"/>
      <c r="H24" s="230">
        <f t="shared" si="0"/>
        <v>153</v>
      </c>
      <c r="I24" s="233">
        <f t="shared" si="1"/>
        <v>153</v>
      </c>
    </row>
    <row r="25" spans="2:9" x14ac:dyDescent="0.3">
      <c r="B25" s="9"/>
      <c r="C25" s="18" t="s">
        <v>539</v>
      </c>
      <c r="D25" s="6"/>
      <c r="E25" s="230"/>
      <c r="F25" s="230"/>
      <c r="G25" s="230"/>
      <c r="H25" s="230">
        <f t="shared" si="0"/>
        <v>0</v>
      </c>
      <c r="I25" s="233">
        <f t="shared" si="1"/>
        <v>153</v>
      </c>
    </row>
    <row r="26" spans="2:9" x14ac:dyDescent="0.3">
      <c r="B26" s="9">
        <v>45838</v>
      </c>
      <c r="C26" s="3" t="s">
        <v>540</v>
      </c>
      <c r="D26" s="229"/>
      <c r="E26" s="230"/>
      <c r="F26" s="230"/>
      <c r="G26" s="230"/>
      <c r="H26" s="230">
        <f t="shared" si="0"/>
        <v>0</v>
      </c>
      <c r="I26" s="233">
        <f t="shared" si="1"/>
        <v>153</v>
      </c>
    </row>
    <row r="27" spans="2:9" x14ac:dyDescent="0.3">
      <c r="B27" s="9"/>
      <c r="C27" s="18" t="s">
        <v>541</v>
      </c>
      <c r="D27" s="6"/>
      <c r="E27" s="230"/>
      <c r="F27" s="230"/>
      <c r="G27" s="230"/>
      <c r="H27" s="230">
        <f t="shared" si="0"/>
        <v>0</v>
      </c>
      <c r="I27" s="233">
        <f t="shared" si="1"/>
        <v>153</v>
      </c>
    </row>
    <row r="28" spans="2:9" x14ac:dyDescent="0.3">
      <c r="B28" s="107">
        <v>45868</v>
      </c>
      <c r="C28" s="82" t="s">
        <v>542</v>
      </c>
      <c r="D28" s="229"/>
      <c r="E28" s="230"/>
      <c r="F28" s="230"/>
      <c r="G28" s="230"/>
      <c r="H28" s="230">
        <f t="shared" si="0"/>
        <v>0</v>
      </c>
      <c r="I28" s="233">
        <f t="shared" si="1"/>
        <v>153</v>
      </c>
    </row>
    <row r="29" spans="2:9" x14ac:dyDescent="0.3">
      <c r="B29" s="107"/>
      <c r="C29" s="82" t="s">
        <v>543</v>
      </c>
      <c r="D29" s="6"/>
      <c r="E29" s="230"/>
      <c r="F29" s="230"/>
      <c r="G29" s="230"/>
      <c r="H29" s="230">
        <f t="shared" si="0"/>
        <v>0</v>
      </c>
      <c r="I29" s="233">
        <f t="shared" si="1"/>
        <v>153</v>
      </c>
    </row>
    <row r="30" spans="2:9" x14ac:dyDescent="0.3">
      <c r="B30" s="107">
        <v>45899</v>
      </c>
      <c r="C30" s="82" t="s">
        <v>544</v>
      </c>
      <c r="D30" s="229"/>
      <c r="E30" s="230"/>
      <c r="F30" s="230"/>
      <c r="G30" s="230"/>
      <c r="H30" s="230">
        <f t="shared" si="0"/>
        <v>0</v>
      </c>
      <c r="I30" s="233">
        <f t="shared" si="1"/>
        <v>153</v>
      </c>
    </row>
    <row r="31" spans="2:9" x14ac:dyDescent="0.3">
      <c r="B31" s="107"/>
      <c r="C31" s="82" t="s">
        <v>545</v>
      </c>
      <c r="D31" s="6"/>
      <c r="E31" s="230"/>
      <c r="F31" s="230"/>
      <c r="G31" s="230"/>
      <c r="H31" s="230">
        <f t="shared" si="0"/>
        <v>0</v>
      </c>
      <c r="I31" s="233">
        <f t="shared" si="1"/>
        <v>153</v>
      </c>
    </row>
    <row r="32" spans="2:9" x14ac:dyDescent="0.3">
      <c r="B32" s="9">
        <v>45930</v>
      </c>
      <c r="C32" s="3" t="s">
        <v>546</v>
      </c>
      <c r="D32" s="229"/>
      <c r="E32" s="230"/>
      <c r="F32" s="7"/>
      <c r="G32" s="230"/>
      <c r="H32" s="230">
        <f t="shared" si="0"/>
        <v>0</v>
      </c>
      <c r="I32" s="233">
        <f t="shared" si="1"/>
        <v>153</v>
      </c>
    </row>
    <row r="33" spans="2:9" x14ac:dyDescent="0.3">
      <c r="B33" s="9"/>
      <c r="C33" s="3" t="s">
        <v>547</v>
      </c>
      <c r="D33" s="6"/>
      <c r="E33" s="230"/>
      <c r="F33" s="230"/>
      <c r="G33" s="230"/>
      <c r="H33" s="230">
        <f t="shared" si="0"/>
        <v>0</v>
      </c>
      <c r="I33" s="233">
        <f t="shared" si="1"/>
        <v>153</v>
      </c>
    </row>
    <row r="34" spans="2:9" x14ac:dyDescent="0.3">
      <c r="B34" s="9">
        <v>45960</v>
      </c>
      <c r="C34" s="3" t="s">
        <v>548</v>
      </c>
      <c r="D34" s="229"/>
      <c r="E34" s="230"/>
      <c r="F34" s="7"/>
      <c r="G34" s="230"/>
      <c r="H34" s="230">
        <f t="shared" si="0"/>
        <v>0</v>
      </c>
      <c r="I34" s="233">
        <f t="shared" si="1"/>
        <v>153</v>
      </c>
    </row>
    <row r="35" spans="2:9" x14ac:dyDescent="0.3">
      <c r="B35" s="9"/>
      <c r="C35" s="3" t="s">
        <v>549</v>
      </c>
      <c r="D35" s="229"/>
      <c r="E35" s="230"/>
      <c r="F35" s="230"/>
      <c r="G35" s="230"/>
      <c r="H35" s="230">
        <f t="shared" si="0"/>
        <v>0</v>
      </c>
      <c r="I35" s="233">
        <f t="shared" si="1"/>
        <v>153</v>
      </c>
    </row>
    <row r="36" spans="2:9" x14ac:dyDescent="0.3">
      <c r="B36" s="9">
        <v>45991</v>
      </c>
      <c r="C36" s="3" t="s">
        <v>550</v>
      </c>
      <c r="D36" s="229"/>
      <c r="E36" s="230"/>
      <c r="F36" s="230"/>
      <c r="G36" s="230"/>
      <c r="H36" s="230">
        <f t="shared" si="0"/>
        <v>0</v>
      </c>
      <c r="I36" s="233">
        <f t="shared" si="1"/>
        <v>153</v>
      </c>
    </row>
    <row r="37" spans="2:9" x14ac:dyDescent="0.3">
      <c r="B37" s="17"/>
      <c r="C37" s="18" t="s">
        <v>551</v>
      </c>
      <c r="D37" s="229"/>
      <c r="E37" s="230"/>
      <c r="F37" s="230"/>
      <c r="G37" s="230"/>
      <c r="H37" s="230">
        <f t="shared" si="0"/>
        <v>0</v>
      </c>
      <c r="I37" s="233">
        <f t="shared" si="1"/>
        <v>153</v>
      </c>
    </row>
    <row r="38" spans="2:9" x14ac:dyDescent="0.3">
      <c r="B38" s="188">
        <v>46021</v>
      </c>
      <c r="C38" s="3" t="s">
        <v>552</v>
      </c>
      <c r="D38" s="229"/>
      <c r="E38" s="230"/>
      <c r="F38" s="230"/>
      <c r="G38" s="230"/>
      <c r="H38" s="230">
        <f t="shared" si="0"/>
        <v>0</v>
      </c>
      <c r="I38" s="233">
        <f t="shared" si="1"/>
        <v>153</v>
      </c>
    </row>
    <row r="39" spans="2:9" x14ac:dyDescent="0.3">
      <c r="B39" s="257"/>
      <c r="C39" s="110" t="s">
        <v>553</v>
      </c>
      <c r="D39" s="229"/>
      <c r="E39" s="230"/>
      <c r="F39" s="230"/>
      <c r="G39" s="230"/>
      <c r="H39" s="230">
        <f t="shared" si="0"/>
        <v>0</v>
      </c>
      <c r="I39" s="233">
        <f t="shared" si="1"/>
        <v>153</v>
      </c>
    </row>
    <row r="40" spans="2:9" x14ac:dyDescent="0.3">
      <c r="B40" s="107"/>
      <c r="C40" s="82"/>
      <c r="D40" s="229"/>
      <c r="E40" s="230"/>
      <c r="F40" s="230"/>
      <c r="G40" s="230"/>
      <c r="H40" s="230">
        <f>SUM(E40:G40)</f>
        <v>0</v>
      </c>
      <c r="I40" s="233">
        <f t="shared" si="1"/>
        <v>153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2:M41"/>
  <sheetViews>
    <sheetView showGridLines="0" zoomScale="85" zoomScaleNormal="85" workbookViewId="0">
      <selection activeCell="E24" sqref="E24"/>
    </sheetView>
  </sheetViews>
  <sheetFormatPr baseColWidth="10" defaultColWidth="9.109375" defaultRowHeight="14.4" x14ac:dyDescent="0.3"/>
  <cols>
    <col min="1" max="1" width="13.109375" customWidth="1"/>
    <col min="2" max="2" width="34.109375" customWidth="1"/>
    <col min="3" max="3" width="13.33203125" style="4" bestFit="1" customWidth="1"/>
    <col min="4" max="4" width="14.109375" style="1" customWidth="1"/>
    <col min="5" max="5" width="9.6640625" style="1" customWidth="1"/>
    <col min="6" max="6" width="5.44140625" style="1" customWidth="1"/>
    <col min="7" max="7" width="10.33203125" style="1" customWidth="1"/>
    <col min="8" max="8" width="13" style="1" customWidth="1"/>
    <col min="9" max="9" width="12.88671875" hidden="1" customWidth="1"/>
  </cols>
  <sheetData>
    <row r="2" spans="1:13" ht="15.6" x14ac:dyDescent="0.3">
      <c r="A2" s="27" t="s">
        <v>36</v>
      </c>
      <c r="B2" s="41" t="s">
        <v>199</v>
      </c>
    </row>
    <row r="3" spans="1:13" x14ac:dyDescent="0.3">
      <c r="A3" s="27" t="s">
        <v>31</v>
      </c>
      <c r="B3" s="28" t="s">
        <v>202</v>
      </c>
    </row>
    <row r="4" spans="1:13" hidden="1" x14ac:dyDescent="0.3">
      <c r="A4" s="27" t="s">
        <v>32</v>
      </c>
      <c r="B4" s="28" t="e">
        <f>LOOKUP(B2,#REF!,#REF!)</f>
        <v>#REF!</v>
      </c>
    </row>
    <row r="5" spans="1:13" hidden="1" x14ac:dyDescent="0.3">
      <c r="A5" s="27" t="s">
        <v>33</v>
      </c>
      <c r="B5" s="28" t="e">
        <f>LOOKUP(B2,#REF!,#REF!)</f>
        <v>#REF!</v>
      </c>
    </row>
    <row r="6" spans="1:13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3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3" x14ac:dyDescent="0.3">
      <c r="A8" s="21"/>
      <c r="B8" s="21" t="s">
        <v>379</v>
      </c>
    </row>
    <row r="9" spans="1:13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69" t="s">
        <v>188</v>
      </c>
      <c r="K9" s="96" t="s">
        <v>191</v>
      </c>
    </row>
    <row r="10" spans="1:13" hidden="1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IF(T_T1341112131415161718[[#This Row],[Total]]&lt;0,T_T1341112131415161718[[#This Row],[Total]]*-1,0)</f>
        <v>0</v>
      </c>
      <c r="J10" s="68"/>
      <c r="K10" s="97"/>
      <c r="M10">
        <v>300</v>
      </c>
    </row>
    <row r="11" spans="1:13" hidden="1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IF(T_T1341112131415161718[[#This Row],[Total]]&lt;0,T_T1341112131415161718[[#This Row],[Total]]*-1,0)</f>
        <v>0</v>
      </c>
      <c r="J11" s="240"/>
      <c r="K11" s="232"/>
    </row>
    <row r="12" spans="1:13" hidden="1" x14ac:dyDescent="0.3">
      <c r="A12" s="117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IF(T_T1341112131415161718[[#This Row],[Total]]&lt;0,T_T1341112131415161718[[#This Row],[Total]]*-1,0)</f>
        <v>0</v>
      </c>
      <c r="J12" s="430"/>
      <c r="K12" s="419"/>
    </row>
    <row r="13" spans="1:13" hidden="1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IF(T_T1341112131415161718[[#This Row],[Total]]&lt;0,T_T1341112131415161718[[#This Row],[Total]]*-1,0)</f>
        <v>0</v>
      </c>
      <c r="J13" s="240"/>
      <c r="K13" s="232"/>
    </row>
    <row r="14" spans="1:13" hidden="1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IF(T_T1341112131415161718[[#This Row],[Total]]&lt;0,T_T1341112131415161718[[#This Row],[Total]]*-1,0)</f>
        <v>0</v>
      </c>
      <c r="J14" s="473"/>
      <c r="K14" s="485"/>
    </row>
    <row r="15" spans="1:13" x14ac:dyDescent="0.3">
      <c r="A15" s="17">
        <v>46052</v>
      </c>
      <c r="B15" s="18" t="s">
        <v>590</v>
      </c>
      <c r="C15" s="6"/>
      <c r="D15" s="2">
        <v>69</v>
      </c>
      <c r="E15" s="2">
        <v>5</v>
      </c>
      <c r="F15" s="20"/>
      <c r="G15" s="20">
        <f>SUM(D15:F15)</f>
        <v>74</v>
      </c>
      <c r="H15" s="233">
        <f>+H13+T_T1341112131415161718[[#This Row],[Total]]+H10</f>
        <v>74</v>
      </c>
      <c r="I15" s="240">
        <f>IF(T_T1341112131415161718[[#This Row],[Total]]&lt;0,T_T1341112131415161718[[#This Row],[Total]]*-1,0)</f>
        <v>0</v>
      </c>
      <c r="J15" s="240"/>
      <c r="K15" s="232"/>
    </row>
    <row r="16" spans="1:13" x14ac:dyDescent="0.3">
      <c r="A16" s="17"/>
      <c r="B16" s="18" t="s">
        <v>591</v>
      </c>
      <c r="C16" s="6">
        <v>8578</v>
      </c>
      <c r="D16" s="2">
        <v>-69</v>
      </c>
      <c r="E16" s="2">
        <v>-5</v>
      </c>
      <c r="F16" s="230"/>
      <c r="G16" s="230">
        <f t="shared" ref="G16:G38" si="0">SUM(D16:F16)</f>
        <v>-74</v>
      </c>
      <c r="H16" s="233">
        <f t="shared" ref="H16:H40" si="1">H15+G16</f>
        <v>0</v>
      </c>
      <c r="I16" s="239">
        <f>IF(T_T1341112131415161718[[#This Row],[Total]]&lt;0,T_T1341112131415161718[[#This Row],[Total]]*-1,0)</f>
        <v>74</v>
      </c>
      <c r="J16" s="239"/>
      <c r="K16" s="232"/>
    </row>
    <row r="17" spans="1:11" x14ac:dyDescent="0.3">
      <c r="A17" s="164">
        <v>46080</v>
      </c>
      <c r="B17" s="161" t="s">
        <v>592</v>
      </c>
      <c r="C17" s="6"/>
      <c r="D17" s="2">
        <v>69</v>
      </c>
      <c r="E17" s="2">
        <v>5</v>
      </c>
      <c r="F17" s="230"/>
      <c r="G17" s="230">
        <f t="shared" si="0"/>
        <v>74</v>
      </c>
      <c r="H17" s="233">
        <f t="shared" si="1"/>
        <v>74</v>
      </c>
      <c r="I17" s="240">
        <f>IF(T_T1341112131415161718[[#This Row],[Total]]&lt;0,T_T1341112131415161718[[#This Row],[Total]]*-1,0)</f>
        <v>0</v>
      </c>
      <c r="J17" s="240"/>
      <c r="K17" s="232"/>
    </row>
    <row r="18" spans="1:11" x14ac:dyDescent="0.3">
      <c r="A18" s="187"/>
      <c r="B18" s="18" t="s">
        <v>593</v>
      </c>
      <c r="C18" s="6">
        <v>8720</v>
      </c>
      <c r="D18" s="2">
        <v>-69</v>
      </c>
      <c r="E18" s="2">
        <v>-5</v>
      </c>
      <c r="F18" s="230"/>
      <c r="G18" s="230">
        <f t="shared" si="0"/>
        <v>-74</v>
      </c>
      <c r="H18" s="233">
        <f t="shared" si="1"/>
        <v>0</v>
      </c>
      <c r="I18" s="240">
        <f>IF(T_T1341112131415161718[[#This Row],[Total]]&lt;0,T_T1341112131415161718[[#This Row],[Total]]*-1,0)</f>
        <v>74</v>
      </c>
      <c r="J18" s="240"/>
      <c r="K18" s="232"/>
    </row>
    <row r="19" spans="1:11" x14ac:dyDescent="0.3">
      <c r="A19" s="188">
        <v>45747</v>
      </c>
      <c r="B19" s="3" t="s">
        <v>534</v>
      </c>
      <c r="C19" s="6"/>
      <c r="D19" s="2">
        <v>83</v>
      </c>
      <c r="E19" s="2">
        <v>5</v>
      </c>
      <c r="F19" s="230"/>
      <c r="G19" s="230">
        <f t="shared" si="0"/>
        <v>88</v>
      </c>
      <c r="H19" s="233">
        <f t="shared" si="1"/>
        <v>88</v>
      </c>
      <c r="I19" s="240">
        <f>IF(T_T1341112131415161718[[#This Row],[Total]]&lt;0,T_T1341112131415161718[[#This Row],[Total]]*-1,0)</f>
        <v>0</v>
      </c>
      <c r="J19" s="240"/>
      <c r="K19" s="232"/>
    </row>
    <row r="20" spans="1:11" x14ac:dyDescent="0.3">
      <c r="A20" s="188"/>
      <c r="B20" s="82" t="s">
        <v>535</v>
      </c>
      <c r="C20" s="6">
        <v>8830</v>
      </c>
      <c r="D20" s="2">
        <v>-83</v>
      </c>
      <c r="E20" s="2">
        <v>-5</v>
      </c>
      <c r="F20" s="230"/>
      <c r="G20" s="230">
        <f t="shared" si="0"/>
        <v>-88</v>
      </c>
      <c r="H20" s="233">
        <f t="shared" si="1"/>
        <v>0</v>
      </c>
      <c r="I20" s="239">
        <f>IF(T_T1341112131415161718[[#This Row],[Total]]&lt;0,T_T1341112131415161718[[#This Row],[Total]]*-1,0)</f>
        <v>88</v>
      </c>
      <c r="J20" s="239"/>
      <c r="K20" s="232"/>
    </row>
    <row r="21" spans="1:11" x14ac:dyDescent="0.3">
      <c r="A21" s="188">
        <v>45777</v>
      </c>
      <c r="B21" s="3" t="s">
        <v>536</v>
      </c>
      <c r="C21" s="6"/>
      <c r="D21" s="2">
        <v>83</v>
      </c>
      <c r="E21" s="2">
        <v>5</v>
      </c>
      <c r="F21" s="230"/>
      <c r="G21" s="230">
        <f t="shared" si="0"/>
        <v>88</v>
      </c>
      <c r="H21" s="233">
        <f t="shared" si="1"/>
        <v>88</v>
      </c>
      <c r="I21" s="309">
        <f>IF(T_T1341112131415161718[[#This Row],[Total]]&lt;0,T_T1341112131415161718[[#This Row],[Total]]*-1,0)</f>
        <v>0</v>
      </c>
      <c r="J21" s="309"/>
      <c r="K21" s="313"/>
    </row>
    <row r="22" spans="1:11" x14ac:dyDescent="0.3">
      <c r="A22" s="83"/>
      <c r="B22" s="82" t="s">
        <v>537</v>
      </c>
      <c r="C22" s="6">
        <v>8953</v>
      </c>
      <c r="D22" s="2">
        <v>-83</v>
      </c>
      <c r="E22" s="2">
        <v>-5</v>
      </c>
      <c r="F22" s="230"/>
      <c r="G22" s="230">
        <f t="shared" si="0"/>
        <v>-88</v>
      </c>
      <c r="H22" s="233">
        <f t="shared" si="1"/>
        <v>0</v>
      </c>
      <c r="I22" s="309">
        <f>IF(T_T1341112131415161718[[#This Row],[Total]]&lt;0,T_T1341112131415161718[[#This Row],[Total]]*-1,0)</f>
        <v>88</v>
      </c>
      <c r="J22" s="309"/>
      <c r="K22" s="313"/>
    </row>
    <row r="23" spans="1:11" x14ac:dyDescent="0.3">
      <c r="A23" s="40">
        <v>45807</v>
      </c>
      <c r="B23" s="3" t="s">
        <v>538</v>
      </c>
      <c r="C23" s="229"/>
      <c r="D23" s="230">
        <v>83</v>
      </c>
      <c r="E23" s="230">
        <v>10</v>
      </c>
      <c r="F23" s="230"/>
      <c r="G23" s="230">
        <f t="shared" si="0"/>
        <v>93</v>
      </c>
      <c r="H23" s="233">
        <f t="shared" si="1"/>
        <v>93</v>
      </c>
      <c r="I23" s="309">
        <f>IF(T_T1341112131415161718[[#This Row],[Total]]&lt;0,T_T1341112131415161718[[#This Row],[Total]]*-1,0)</f>
        <v>0</v>
      </c>
      <c r="J23" s="309"/>
      <c r="K23" s="313"/>
    </row>
    <row r="24" spans="1:11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93</v>
      </c>
      <c r="I24" s="311">
        <f>IF(T_T1341112131415161718[[#This Row],[Total]]&lt;0,T_T1341112131415161718[[#This Row],[Total]]*-1,0)</f>
        <v>0</v>
      </c>
      <c r="J24" s="311"/>
      <c r="K24" s="313"/>
    </row>
    <row r="25" spans="1:11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93</v>
      </c>
      <c r="I25" s="309">
        <f>IF(T_T1341112131415161718[[#This Row],[Total]]&lt;0,T_T1341112131415161718[[#This Row],[Total]]*-1,0)</f>
        <v>0</v>
      </c>
      <c r="J25" s="309"/>
      <c r="K25" s="313"/>
    </row>
    <row r="26" spans="1:11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93</v>
      </c>
      <c r="I26" s="309">
        <f>IF(T_T1341112131415161718[[#This Row],[Total]]&lt;0,T_T1341112131415161718[[#This Row],[Total]]*-1,0)</f>
        <v>0</v>
      </c>
      <c r="J26" s="309"/>
      <c r="K26" s="313"/>
    </row>
    <row r="27" spans="1:11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93</v>
      </c>
      <c r="I27" s="309">
        <f>IF(T_T1341112131415161718[[#This Row],[Total]]&lt;0,T_T1341112131415161718[[#This Row],[Total]]*-1,0)</f>
        <v>0</v>
      </c>
      <c r="J27" s="309"/>
      <c r="K27" s="313"/>
    </row>
    <row r="28" spans="1:11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93</v>
      </c>
      <c r="I28" s="311">
        <f>IF(T_T1341112131415161718[[#This Row],[Total]]&lt;0,T_T1341112131415161718[[#This Row],[Total]]*-1,0)</f>
        <v>0</v>
      </c>
      <c r="J28" s="311"/>
      <c r="K28" s="313"/>
    </row>
    <row r="29" spans="1:11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93</v>
      </c>
      <c r="I29" s="309">
        <f>IF(T_T1341112131415161718[[#This Row],[Total]]&lt;0,T_T1341112131415161718[[#This Row],[Total]]*-1,0)</f>
        <v>0</v>
      </c>
      <c r="J29" s="309"/>
      <c r="K29" s="313"/>
    </row>
    <row r="30" spans="1:11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93</v>
      </c>
      <c r="I30" s="309">
        <f>IF(T_T1341112131415161718[[#This Row],[Total]]&lt;0,T_T1341112131415161718[[#This Row],[Total]]*-1,0)</f>
        <v>0</v>
      </c>
      <c r="J30" s="309"/>
      <c r="K30" s="313"/>
    </row>
    <row r="31" spans="1:11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93</v>
      </c>
      <c r="I31" s="309">
        <f>IF(T_T1341112131415161718[[#This Row],[Total]]&lt;0,T_T1341112131415161718[[#This Row],[Total]]*-1,0)</f>
        <v>0</v>
      </c>
      <c r="J31" s="309"/>
      <c r="K31" s="313"/>
    </row>
    <row r="32" spans="1:11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93</v>
      </c>
      <c r="I32" s="309">
        <f>IF(T_T1341112131415161718[[#This Row],[Total]]&lt;0,T_T1341112131415161718[[#This Row],[Total]]*-1,0)</f>
        <v>0</v>
      </c>
      <c r="J32" s="309"/>
      <c r="K32" s="313"/>
    </row>
    <row r="33" spans="1:11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93</v>
      </c>
      <c r="I33" s="309">
        <f>IF(T_T1341112131415161718[[#This Row],[Total]]&lt;0,T_T1341112131415161718[[#This Row],[Total]]*-1,0)</f>
        <v>0</v>
      </c>
      <c r="J33" s="309"/>
      <c r="K33" s="313"/>
    </row>
    <row r="34" spans="1:11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93</v>
      </c>
      <c r="I34" s="309">
        <f>IF(T_T1341112131415161718[[#This Row],[Total]]&lt;0,T_T1341112131415161718[[#This Row],[Total]]*-1,0)</f>
        <v>0</v>
      </c>
      <c r="J34" s="309"/>
      <c r="K34" s="313"/>
    </row>
    <row r="35" spans="1:11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93</v>
      </c>
      <c r="I35" s="309">
        <f>IF(T_T1341112131415161718[[#This Row],[Total]]&lt;0,T_T1341112131415161718[[#This Row],[Total]]*-1,0)</f>
        <v>0</v>
      </c>
      <c r="J35" s="309"/>
      <c r="K35" s="313"/>
    </row>
    <row r="36" spans="1:11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93</v>
      </c>
      <c r="I36" s="311">
        <f>IF(T_T1341112131415161718[[#This Row],[Total]]&lt;0,T_T1341112131415161718[[#This Row],[Total]]*-1,0)</f>
        <v>0</v>
      </c>
      <c r="J36" s="311"/>
      <c r="K36" s="313"/>
    </row>
    <row r="37" spans="1:11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93</v>
      </c>
      <c r="I37" s="353">
        <f>IF(T_T1341112131415161718[[#This Row],[Total]]&lt;0,T_T1341112131415161718[[#This Row],[Total]]*-1,0)</f>
        <v>0</v>
      </c>
      <c r="J37" s="353"/>
      <c r="K37" s="354"/>
    </row>
    <row r="38" spans="1:11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93</v>
      </c>
      <c r="I38" s="353">
        <f>IF(T_T1341112131415161718[[#This Row],[Total]]&lt;0,T_T1341112131415161718[[#This Row],[Total]]*-1,0)</f>
        <v>0</v>
      </c>
      <c r="J38" s="353"/>
      <c r="K38" s="354"/>
    </row>
    <row r="39" spans="1:11" x14ac:dyDescent="0.3">
      <c r="A39" s="107"/>
      <c r="B39" s="82"/>
      <c r="C39" s="229"/>
      <c r="D39" s="230"/>
      <c r="E39" s="230"/>
      <c r="F39" s="230"/>
      <c r="G39" s="230">
        <f>SUM(D39:F47)</f>
        <v>0</v>
      </c>
      <c r="H39" s="233">
        <f t="shared" si="1"/>
        <v>93</v>
      </c>
      <c r="I39" s="353">
        <f>IF(T_T1341112131415161718[[#This Row],[Total]]&lt;0,T_T1341112131415161718[[#This Row],[Total]]*-1,0)</f>
        <v>0</v>
      </c>
      <c r="J39" s="353"/>
      <c r="K39" s="354"/>
    </row>
    <row r="40" spans="1:11" x14ac:dyDescent="0.3">
      <c r="A40" s="107"/>
      <c r="B40" s="82"/>
      <c r="C40" s="229"/>
      <c r="D40" s="230"/>
      <c r="E40" s="230"/>
      <c r="F40" s="230"/>
      <c r="G40" s="230">
        <f>SUM(D40:F48)</f>
        <v>0</v>
      </c>
      <c r="H40" s="233">
        <f t="shared" si="1"/>
        <v>93</v>
      </c>
      <c r="I40" s="353">
        <f>IF(T_T1341112131415161718[[#This Row],[Total]]&lt;0,T_T1341112131415161718[[#This Row],[Total]]*-1,0)</f>
        <v>0</v>
      </c>
      <c r="J40" s="353"/>
      <c r="K40" s="354"/>
    </row>
    <row r="41" spans="1:11" x14ac:dyDescent="0.3">
      <c r="A41" s="170"/>
      <c r="B41" s="18"/>
      <c r="C41" s="471"/>
      <c r="D41" s="472"/>
      <c r="E41" s="472"/>
      <c r="F41" s="472"/>
      <c r="G41" s="472"/>
      <c r="H41" s="483"/>
      <c r="I41" s="473">
        <f>IF(T_T1341112131415161718[[#This Row],[Total]]&lt;0,T_T1341112131415161718[[#This Row],[Total]]*-1,0)</f>
        <v>0</v>
      </c>
      <c r="J41" s="473"/>
      <c r="K41" s="485"/>
    </row>
  </sheetData>
  <hyperlinks>
    <hyperlink ref="B7" r:id="rId1" display="jose.orozco@outlook.com"/>
    <hyperlink ref="H7" location="Resumen!A1" display="Rsumen         "/>
  </hyperlinks>
  <pageMargins left="0.53" right="0.37" top="0.74803149606299213" bottom="0.74803149606299213" header="0.31496062992125984" footer="0.31496062992125984"/>
  <pageSetup scale="70" orientation="portrait" verticalDpi="360" r:id="rId2"/>
  <drawing r:id="rId3"/>
  <tableParts count="1"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2:I52"/>
  <sheetViews>
    <sheetView showGridLines="0" topLeftCell="A2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</cols>
  <sheetData>
    <row r="2" spans="1:9" ht="15.6" x14ac:dyDescent="0.3">
      <c r="A2" s="27" t="s">
        <v>36</v>
      </c>
      <c r="B2" s="41" t="s">
        <v>73</v>
      </c>
    </row>
    <row r="3" spans="1:9" x14ac:dyDescent="0.3">
      <c r="A3" s="27" t="s">
        <v>31</v>
      </c>
      <c r="B3" s="28" t="s">
        <v>677</v>
      </c>
    </row>
    <row r="4" spans="1:9" ht="1.5" customHeight="1" x14ac:dyDescent="0.3">
      <c r="A4" s="27" t="s">
        <v>32</v>
      </c>
      <c r="B4" s="28" t="e">
        <f>LOOKUP(B2,#REF!,#REF!)</f>
        <v>#REF!</v>
      </c>
    </row>
    <row r="5" spans="1:9" hidden="1" x14ac:dyDescent="0.3">
      <c r="A5" s="27" t="s">
        <v>33</v>
      </c>
      <c r="B5" s="28" t="e">
        <f>LOOKUP(B2,#REF!,#REF!)</f>
        <v>#REF!</v>
      </c>
    </row>
    <row r="6" spans="1:9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9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9" x14ac:dyDescent="0.3">
      <c r="A8" s="21"/>
      <c r="B8" s="21"/>
    </row>
    <row r="9" spans="1:9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9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IF(T_T13411[[#This Row],[Total]]&lt;0,T_T13411[[#This Row],[Total]]*-1,0)</f>
        <v>0</v>
      </c>
    </row>
    <row r="11" spans="1:9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6">
        <f>IF(T_T13411[[#This Row],[Total]]&lt;0,T_T13411[[#This Row],[Total]]*-1,0)</f>
        <v>0</v>
      </c>
    </row>
    <row r="12" spans="1:9" x14ac:dyDescent="0.3">
      <c r="A12" s="117"/>
      <c r="B12" s="118" t="s">
        <v>467</v>
      </c>
      <c r="C12" s="424"/>
      <c r="D12" s="425"/>
      <c r="E12" s="425"/>
      <c r="F12" s="425"/>
      <c r="G12" s="425">
        <f>SUM(D12:F12)</f>
        <v>0</v>
      </c>
      <c r="H12" s="426">
        <f>H11+G12</f>
        <v>0</v>
      </c>
      <c r="I12" s="427">
        <f>IF(T_T13411[[#This Row],[Total]]&lt;0,T_T13411[[#This Row],[Total]]*-1,0)</f>
        <v>0</v>
      </c>
    </row>
    <row r="13" spans="1:9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6">
        <f>IF(T_T13411[[#This Row],[Total]]&lt;0,T_T13411[[#This Row],[Total]]*-1,0)</f>
        <v>0</v>
      </c>
    </row>
    <row r="14" spans="1:9" x14ac:dyDescent="0.3">
      <c r="A14" s="288"/>
      <c r="B14" s="118" t="s">
        <v>529</v>
      </c>
      <c r="C14" s="481"/>
      <c r="D14" s="482"/>
      <c r="E14" s="482"/>
      <c r="F14" s="482"/>
      <c r="G14" s="482">
        <f>SUM(D14:F14)</f>
        <v>0</v>
      </c>
      <c r="H14" s="484">
        <f>H13+G14</f>
        <v>0</v>
      </c>
      <c r="I14" s="476">
        <f>IF(T_T13411[[#This Row],[Total]]&lt;0,T_T13411[[#This Row],[Total]]*-1,0)</f>
        <v>0</v>
      </c>
    </row>
    <row r="15" spans="1:9" x14ac:dyDescent="0.3">
      <c r="A15" s="17">
        <v>46052</v>
      </c>
      <c r="B15" s="18" t="s">
        <v>590</v>
      </c>
      <c r="C15" s="6"/>
      <c r="D15" s="2">
        <v>350</v>
      </c>
      <c r="E15" s="2">
        <v>98</v>
      </c>
      <c r="F15" s="20"/>
      <c r="G15" s="20">
        <f>SUM(D15:F15)</f>
        <v>448</v>
      </c>
      <c r="H15" s="233">
        <f>+H13+T_T13411[[#This Row],[Total]]</f>
        <v>448</v>
      </c>
      <c r="I15" s="6">
        <f>IF(T_T13411[[#This Row],[Total]]&lt;0,T_T13411[[#This Row],[Total]]*-1,0)</f>
        <v>0</v>
      </c>
    </row>
    <row r="16" spans="1:9" x14ac:dyDescent="0.3">
      <c r="A16" s="17"/>
      <c r="B16" s="18" t="s">
        <v>591</v>
      </c>
      <c r="C16" s="6">
        <v>8582</v>
      </c>
      <c r="D16" s="2">
        <v>-350</v>
      </c>
      <c r="E16" s="2">
        <v>-98</v>
      </c>
      <c r="F16" s="230"/>
      <c r="G16" s="230">
        <f t="shared" ref="G16:G38" si="0">SUM(D16:F16)</f>
        <v>-448</v>
      </c>
      <c r="H16" s="233">
        <f t="shared" ref="H16:H39" si="1">H15+G16</f>
        <v>0</v>
      </c>
      <c r="I16" s="6">
        <f>IF(T_T13411[[#This Row],[Total]]&lt;0,T_T13411[[#This Row],[Total]]*-1,0)</f>
        <v>448</v>
      </c>
    </row>
    <row r="17" spans="1:9" x14ac:dyDescent="0.3">
      <c r="A17" s="164">
        <v>45716</v>
      </c>
      <c r="B17" s="161" t="s">
        <v>592</v>
      </c>
      <c r="C17" s="6"/>
      <c r="D17" s="2">
        <v>350</v>
      </c>
      <c r="E17" s="2">
        <v>88</v>
      </c>
      <c r="F17" s="230"/>
      <c r="G17" s="230">
        <f t="shared" si="0"/>
        <v>438</v>
      </c>
      <c r="H17" s="233">
        <f t="shared" si="1"/>
        <v>438</v>
      </c>
      <c r="I17" s="6">
        <f>IF(T_T13411[[#This Row],[Total]]&lt;0,T_T13411[[#This Row],[Total]]*-1,0)</f>
        <v>0</v>
      </c>
    </row>
    <row r="18" spans="1:9" x14ac:dyDescent="0.3">
      <c r="A18" s="187"/>
      <c r="B18" s="18" t="s">
        <v>593</v>
      </c>
      <c r="C18" s="6">
        <v>8783</v>
      </c>
      <c r="D18" s="2">
        <v>-350</v>
      </c>
      <c r="E18" s="2">
        <v>-88</v>
      </c>
      <c r="F18" s="230"/>
      <c r="G18" s="230">
        <f t="shared" si="0"/>
        <v>-438</v>
      </c>
      <c r="H18" s="233">
        <f t="shared" si="1"/>
        <v>0</v>
      </c>
      <c r="I18" s="6">
        <f>IF(T_T13411[[#This Row],[Total]]&lt;0,T_T13411[[#This Row],[Total]]*-1,0)</f>
        <v>438</v>
      </c>
    </row>
    <row r="19" spans="1:9" x14ac:dyDescent="0.3">
      <c r="A19" s="188">
        <v>45747</v>
      </c>
      <c r="B19" s="3" t="s">
        <v>534</v>
      </c>
      <c r="C19" s="6"/>
      <c r="D19" s="2">
        <v>420</v>
      </c>
      <c r="E19" s="2">
        <v>75</v>
      </c>
      <c r="F19" s="230"/>
      <c r="G19" s="230">
        <f t="shared" si="0"/>
        <v>495</v>
      </c>
      <c r="H19" s="233">
        <f t="shared" si="1"/>
        <v>495</v>
      </c>
      <c r="I19" s="309">
        <f>IF(T_T13411[[#This Row],[Total]]&lt;0,T_T13411[[#This Row],[Total]]*-1,0)</f>
        <v>0</v>
      </c>
    </row>
    <row r="20" spans="1:9" x14ac:dyDescent="0.3">
      <c r="A20" s="188"/>
      <c r="B20" s="82" t="s">
        <v>535</v>
      </c>
      <c r="C20" s="6">
        <v>8784</v>
      </c>
      <c r="D20" s="2">
        <v>-420</v>
      </c>
      <c r="E20" s="2">
        <v>-75</v>
      </c>
      <c r="F20" s="230"/>
      <c r="G20" s="230">
        <f t="shared" si="0"/>
        <v>-495</v>
      </c>
      <c r="H20" s="233">
        <f t="shared" si="1"/>
        <v>0</v>
      </c>
      <c r="I20" s="311">
        <f>IF(T_T13411[[#This Row],[Total]]&lt;0,T_T13411[[#This Row],[Total]]*-1,0)</f>
        <v>495</v>
      </c>
    </row>
    <row r="21" spans="1:9" x14ac:dyDescent="0.3">
      <c r="A21" s="188">
        <v>45777</v>
      </c>
      <c r="B21" s="3" t="s">
        <v>536</v>
      </c>
      <c r="C21" s="6"/>
      <c r="D21" s="2">
        <v>420</v>
      </c>
      <c r="E21" s="2">
        <v>92</v>
      </c>
      <c r="F21" s="230"/>
      <c r="G21" s="230">
        <f t="shared" si="0"/>
        <v>512</v>
      </c>
      <c r="H21" s="233">
        <f t="shared" si="1"/>
        <v>512</v>
      </c>
      <c r="I21" s="309">
        <f>IF(T_T13411[[#This Row],[Total]]&lt;0,T_T13411[[#This Row],[Total]]*-1,0)</f>
        <v>0</v>
      </c>
    </row>
    <row r="22" spans="1:9" x14ac:dyDescent="0.3">
      <c r="A22" s="83"/>
      <c r="B22" s="82" t="s">
        <v>537</v>
      </c>
      <c r="C22" s="6">
        <v>8924</v>
      </c>
      <c r="D22" s="2">
        <v>-420</v>
      </c>
      <c r="E22" s="2">
        <v>-92</v>
      </c>
      <c r="F22" s="230"/>
      <c r="G22" s="230">
        <f t="shared" si="0"/>
        <v>-512</v>
      </c>
      <c r="H22" s="233">
        <f t="shared" si="1"/>
        <v>0</v>
      </c>
      <c r="I22" s="309">
        <f>IF(T_T13411[[#This Row],[Total]]&lt;0,T_T13411[[#This Row],[Total]]*-1,0)</f>
        <v>512</v>
      </c>
    </row>
    <row r="23" spans="1:9" x14ac:dyDescent="0.3">
      <c r="A23" s="40">
        <v>45807</v>
      </c>
      <c r="B23" s="3" t="s">
        <v>538</v>
      </c>
      <c r="C23" s="229"/>
      <c r="D23" s="230">
        <v>420</v>
      </c>
      <c r="E23" s="230">
        <v>86</v>
      </c>
      <c r="F23" s="230"/>
      <c r="G23" s="230">
        <f t="shared" si="0"/>
        <v>506</v>
      </c>
      <c r="H23" s="233">
        <f t="shared" si="1"/>
        <v>506</v>
      </c>
      <c r="I23" s="309">
        <f>IF(T_T13411[[#This Row],[Total]]&lt;0,T_T13411[[#This Row],[Total]]*-1,0)</f>
        <v>0</v>
      </c>
    </row>
    <row r="24" spans="1:9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506</v>
      </c>
      <c r="I24" s="309">
        <f>IF(T_T13411[[#This Row],[Total]]&lt;0,T_T13411[[#This Row],[Total]]*-1,0)</f>
        <v>0</v>
      </c>
    </row>
    <row r="25" spans="1:9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506</v>
      </c>
      <c r="I25" s="309">
        <f>IF(T_T13411[[#This Row],[Total]]&lt;0,T_T13411[[#This Row],[Total]]*-1,0)</f>
        <v>0</v>
      </c>
    </row>
    <row r="26" spans="1:9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506</v>
      </c>
      <c r="I26" s="309">
        <f>IF(T_T13411[[#This Row],[Total]]&lt;0,T_T13411[[#This Row],[Total]]*-1,0)</f>
        <v>0</v>
      </c>
    </row>
    <row r="27" spans="1:9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506</v>
      </c>
      <c r="I27" s="309">
        <f>IF(T_T13411[[#This Row],[Total]]&lt;0,T_T13411[[#This Row],[Total]]*-1,0)</f>
        <v>0</v>
      </c>
    </row>
    <row r="28" spans="1:9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506</v>
      </c>
      <c r="I28" s="309">
        <f>IF(T_T13411[[#This Row],[Total]]&lt;0,T_T13411[[#This Row],[Total]]*-1,0)</f>
        <v>0</v>
      </c>
    </row>
    <row r="29" spans="1:9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506</v>
      </c>
      <c r="I29" s="309">
        <f>IF(T_T13411[[#This Row],[Total]]&lt;0,T_T13411[[#This Row],[Total]]*-1,0)</f>
        <v>0</v>
      </c>
    </row>
    <row r="30" spans="1:9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506</v>
      </c>
      <c r="I30" s="309">
        <f>IF(T_T13411[[#This Row],[Total]]&lt;0,T_T13411[[#This Row],[Total]]*-1,0)</f>
        <v>0</v>
      </c>
    </row>
    <row r="31" spans="1:9" x14ac:dyDescent="0.3">
      <c r="A31" s="9">
        <v>45930</v>
      </c>
      <c r="B31" s="3" t="s">
        <v>546</v>
      </c>
      <c r="C31" s="229"/>
      <c r="D31" s="7"/>
      <c r="E31" s="230"/>
      <c r="F31" s="230"/>
      <c r="G31" s="230">
        <f t="shared" si="0"/>
        <v>0</v>
      </c>
      <c r="H31" s="233">
        <f t="shared" si="1"/>
        <v>506</v>
      </c>
      <c r="I31" s="309">
        <f>IF(T_T13411[[#This Row],[Total]]&lt;0,T_T13411[[#This Row],[Total]]*-1,0)</f>
        <v>0</v>
      </c>
    </row>
    <row r="32" spans="1:9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506</v>
      </c>
      <c r="I32" s="309">
        <f>IF(T_T13411[[#This Row],[Total]]&lt;0,T_T13411[[#This Row],[Total]]*-1,0)</f>
        <v>0</v>
      </c>
    </row>
    <row r="33" spans="1:9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506</v>
      </c>
      <c r="I33" s="309">
        <f>IF(T_T13411[[#This Row],[Total]]&lt;0,T_T13411[[#This Row],[Total]]*-1,0)</f>
        <v>0</v>
      </c>
    </row>
    <row r="34" spans="1:9" x14ac:dyDescent="0.3">
      <c r="A34" s="9"/>
      <c r="B34" s="3" t="s">
        <v>549</v>
      </c>
      <c r="C34" s="6"/>
      <c r="D34" s="230"/>
      <c r="E34" s="230"/>
      <c r="F34" s="230"/>
      <c r="G34" s="230">
        <f t="shared" si="0"/>
        <v>0</v>
      </c>
      <c r="H34" s="233">
        <f t="shared" si="1"/>
        <v>506</v>
      </c>
      <c r="I34" s="309">
        <f>IF(T_T13411[[#This Row],[Total]]&lt;0,T_T13411[[#This Row],[Total]]*-1,0)</f>
        <v>0</v>
      </c>
    </row>
    <row r="35" spans="1:9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506</v>
      </c>
      <c r="I35" s="309">
        <f>IF(T_T13411[[#This Row],[Total]]&lt;0,T_T13411[[#This Row],[Total]]*-1,0)</f>
        <v>0</v>
      </c>
    </row>
    <row r="36" spans="1:9" x14ac:dyDescent="0.3">
      <c r="A36" s="17"/>
      <c r="B36" s="18" t="s">
        <v>551</v>
      </c>
      <c r="C36" s="6"/>
      <c r="D36" s="230"/>
      <c r="E36" s="230"/>
      <c r="F36" s="230"/>
      <c r="G36" s="230">
        <f t="shared" si="0"/>
        <v>0</v>
      </c>
      <c r="H36" s="233">
        <f t="shared" si="1"/>
        <v>506</v>
      </c>
      <c r="I36" s="309">
        <f>IF(T_T13411[[#This Row],[Total]]&lt;0,T_T13411[[#This Row],[Total]]*-1,0)</f>
        <v>0</v>
      </c>
    </row>
    <row r="37" spans="1:9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506</v>
      </c>
      <c r="I37" s="309">
        <f>IF(T_T13411[[#This Row],[Total]]&lt;0,T_T13411[[#This Row],[Total]]*-1,0)</f>
        <v>0</v>
      </c>
    </row>
    <row r="38" spans="1:9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506</v>
      </c>
      <c r="I38" s="311">
        <f>IF(T_T13411[[#This Row],[Total]]&lt;0,T_T13411[[#This Row],[Total]]*-1,0)</f>
        <v>0</v>
      </c>
    </row>
    <row r="39" spans="1:9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506</v>
      </c>
      <c r="I39" s="309">
        <f>IF(T_T13411[[#This Row],[Total]]&lt;0,T_T13411[[#This Row],[Total]]*-1,0)</f>
        <v>0</v>
      </c>
    </row>
    <row r="40" spans="1:9" x14ac:dyDescent="0.3">
      <c r="A40" s="107"/>
      <c r="B40" s="82"/>
      <c r="C40" s="229"/>
      <c r="D40" s="230"/>
      <c r="E40" s="230"/>
      <c r="F40" s="230"/>
      <c r="G40" s="230"/>
      <c r="H40" s="233"/>
      <c r="I40" s="309">
        <f>IF(T_T13411[[#This Row],[Total]]&lt;0,T_T13411[[#This Row],[Total]]*-1,0)</f>
        <v>0</v>
      </c>
    </row>
    <row r="41" spans="1:9" x14ac:dyDescent="0.3">
      <c r="A41" s="170"/>
      <c r="B41" s="18"/>
      <c r="C41" s="314"/>
      <c r="D41" s="315"/>
      <c r="E41" s="315"/>
      <c r="F41" s="315"/>
      <c r="G41" s="315"/>
      <c r="H41" s="316"/>
      <c r="I41" s="309">
        <f>IF(T_T13411[[#This Row],[Total]]&lt;0,T_T13411[[#This Row],[Total]]*-1,0)</f>
        <v>0</v>
      </c>
    </row>
    <row r="42" spans="1:9" x14ac:dyDescent="0.3">
      <c r="A42" s="138"/>
      <c r="B42" s="137"/>
      <c r="C42" s="317"/>
      <c r="D42" s="318"/>
      <c r="E42" s="318"/>
      <c r="F42" s="318"/>
      <c r="G42" s="318"/>
      <c r="H42" s="319"/>
      <c r="I42" s="311">
        <f>IF(T_T13411[[#This Row],[Total]]&lt;0,T_T13411[[#This Row],[Total]]*-1,0)</f>
        <v>0</v>
      </c>
    </row>
    <row r="43" spans="1:9" x14ac:dyDescent="0.3">
      <c r="A43" s="105"/>
      <c r="B43" s="82"/>
      <c r="C43" s="314"/>
      <c r="D43" s="315"/>
      <c r="E43" s="315"/>
      <c r="F43" s="315"/>
      <c r="G43" s="315"/>
      <c r="H43" s="316"/>
      <c r="I43" s="309">
        <f>IF(T_T13411[[#This Row],[Total]]&lt;0,T_T13411[[#This Row],[Total]]*-1,0)</f>
        <v>0</v>
      </c>
    </row>
    <row r="44" spans="1:9" x14ac:dyDescent="0.3">
      <c r="A44" s="105"/>
      <c r="B44" s="82"/>
      <c r="C44" s="314"/>
      <c r="D44" s="315"/>
      <c r="E44" s="315"/>
      <c r="F44" s="315"/>
      <c r="G44" s="315"/>
      <c r="H44" s="316"/>
      <c r="I44" s="309">
        <f>IF(T_T13411[[#This Row],[Total]]&lt;0,T_T13411[[#This Row],[Total]]*-1,0)</f>
        <v>0</v>
      </c>
    </row>
    <row r="45" spans="1:9" x14ac:dyDescent="0.3">
      <c r="A45" s="9"/>
      <c r="B45" s="3"/>
      <c r="C45" s="314"/>
      <c r="D45" s="315"/>
      <c r="E45" s="315"/>
      <c r="F45" s="315"/>
      <c r="G45" s="315"/>
      <c r="H45" s="316"/>
      <c r="I45" s="309">
        <f>IF(T_T13411[[#This Row],[Total]]&lt;0,T_T13411[[#This Row],[Total]]*-1,0)</f>
        <v>0</v>
      </c>
    </row>
    <row r="46" spans="1:9" x14ac:dyDescent="0.3">
      <c r="A46" s="105"/>
      <c r="B46" s="82"/>
      <c r="C46" s="314"/>
      <c r="D46" s="315"/>
      <c r="E46" s="315"/>
      <c r="F46" s="315"/>
      <c r="G46" s="315"/>
      <c r="H46" s="316"/>
      <c r="I46" s="309">
        <f>IF(T_T13411[[#This Row],[Total]]&lt;0,T_T13411[[#This Row],[Total]]*-1,0)</f>
        <v>0</v>
      </c>
    </row>
    <row r="47" spans="1:9" x14ac:dyDescent="0.3">
      <c r="A47" s="9"/>
      <c r="B47" s="3"/>
      <c r="C47" s="314"/>
      <c r="D47" s="315"/>
      <c r="E47" s="315"/>
      <c r="F47" s="315"/>
      <c r="G47" s="315"/>
      <c r="H47" s="316"/>
      <c r="I47" s="309">
        <f>IF(T_T13411[[#This Row],[Total]]&lt;0,T_T13411[[#This Row],[Total]]*-1,0)</f>
        <v>0</v>
      </c>
    </row>
    <row r="48" spans="1:9" x14ac:dyDescent="0.3">
      <c r="A48" s="105"/>
      <c r="B48" s="82"/>
      <c r="C48" s="314"/>
      <c r="D48" s="315"/>
      <c r="E48" s="315"/>
      <c r="F48" s="315"/>
      <c r="G48" s="315"/>
      <c r="H48" s="316"/>
      <c r="I48" s="309">
        <f>IF(T_T13411[[#This Row],[Total]]&lt;0,T_T13411[[#This Row],[Total]]*-1,0)</f>
        <v>0</v>
      </c>
    </row>
    <row r="49" spans="1:9" x14ac:dyDescent="0.3">
      <c r="A49" s="9"/>
      <c r="B49" s="3"/>
      <c r="C49" s="314"/>
      <c r="D49" s="315"/>
      <c r="E49" s="315"/>
      <c r="F49" s="315"/>
      <c r="G49" s="315"/>
      <c r="H49" s="316"/>
      <c r="I49" s="309">
        <f>IF(T_T13411[[#This Row],[Total]]&lt;0,T_T13411[[#This Row],[Total]]*-1,0)</f>
        <v>0</v>
      </c>
    </row>
    <row r="50" spans="1:9" x14ac:dyDescent="0.3">
      <c r="A50" s="105"/>
      <c r="B50" s="82"/>
      <c r="C50" s="6"/>
      <c r="D50" s="315"/>
      <c r="E50" s="315"/>
      <c r="F50" s="315"/>
      <c r="G50" s="315"/>
      <c r="H50" s="316"/>
      <c r="I50" s="309">
        <f>IF(T_T13411[[#This Row],[Total]]&lt;0,T_T13411[[#This Row],[Total]]*-1,0)</f>
        <v>0</v>
      </c>
    </row>
    <row r="51" spans="1:9" x14ac:dyDescent="0.3">
      <c r="A51" s="9"/>
      <c r="B51" s="3"/>
      <c r="C51" s="314"/>
      <c r="D51" s="315"/>
      <c r="E51" s="315"/>
      <c r="F51" s="315"/>
      <c r="G51" s="315"/>
      <c r="H51" s="316"/>
      <c r="I51" s="309">
        <f>IF(T_T13411[[#This Row],[Total]]&lt;0,T_T13411[[#This Row],[Total]]*-1,0)</f>
        <v>0</v>
      </c>
    </row>
    <row r="52" spans="1:9" x14ac:dyDescent="0.3">
      <c r="A52" s="138"/>
      <c r="B52" s="137"/>
      <c r="C52" s="317"/>
      <c r="D52" s="318"/>
      <c r="E52" s="318"/>
      <c r="F52" s="318"/>
      <c r="G52" s="318"/>
      <c r="H52" s="319"/>
      <c r="I52" s="311">
        <f>IF(T_T13411[[#This Row],[Total]]&lt;0,T_T13411[[#This Row],[Total]]*-1,0)</f>
        <v>0</v>
      </c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orientation="portrait" verticalDpi="360" r:id="rId2"/>
  <drawing r:id="rId3"/>
  <tableParts count="1"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2:L41"/>
  <sheetViews>
    <sheetView showGridLines="0" topLeftCell="A1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3.44140625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0.6640625" bestFit="1" customWidth="1"/>
    <col min="14" max="14" width="28.5546875" customWidth="1"/>
  </cols>
  <sheetData>
    <row r="2" spans="1:10" ht="15.6" x14ac:dyDescent="0.3">
      <c r="A2" s="27" t="s">
        <v>36</v>
      </c>
      <c r="B2" s="41" t="s">
        <v>54</v>
      </c>
    </row>
    <row r="3" spans="1:10" x14ac:dyDescent="0.3">
      <c r="A3" s="27" t="s">
        <v>31</v>
      </c>
      <c r="B3" s="28" t="e">
        <f>LOOKUP(B2,#REF!,#REF!)</f>
        <v>#REF!</v>
      </c>
    </row>
    <row r="4" spans="1:10" hidden="1" x14ac:dyDescent="0.3">
      <c r="A4" s="27" t="s">
        <v>32</v>
      </c>
      <c r="B4" s="28" t="e">
        <f>LOOKUP(B2,#REF!,#REF!)</f>
        <v>#REF!</v>
      </c>
    </row>
    <row r="5" spans="1:10" hidden="1" x14ac:dyDescent="0.3">
      <c r="A5" s="27" t="s">
        <v>33</v>
      </c>
      <c r="B5" s="28" t="e">
        <f>LOOKUP(B2,#REF!,#REF!)</f>
        <v>#REF!</v>
      </c>
    </row>
    <row r="6" spans="1:10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0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0" x14ac:dyDescent="0.3">
      <c r="A8" s="21"/>
      <c r="B8" s="21"/>
    </row>
    <row r="9" spans="1:10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96" t="s">
        <v>188</v>
      </c>
    </row>
    <row r="10" spans="1:10" x14ac:dyDescent="0.3">
      <c r="A10" s="288"/>
      <c r="B10" s="118" t="s">
        <v>431</v>
      </c>
      <c r="C10" s="284"/>
      <c r="D10" s="285"/>
      <c r="E10" s="285"/>
      <c r="F10" s="285"/>
      <c r="G10" s="285"/>
      <c r="H10" s="10">
        <v>0</v>
      </c>
      <c r="I10" s="6">
        <f>IF(T_T1341112[[#This Row],[Total]]&lt;0,T_T1341112[[#This Row],[Total]]*-1,0)</f>
        <v>0</v>
      </c>
      <c r="J10" s="95"/>
    </row>
    <row r="11" spans="1:10" x14ac:dyDescent="0.3">
      <c r="A11" s="288"/>
      <c r="B11" s="118" t="s">
        <v>432</v>
      </c>
      <c r="C11" s="284"/>
      <c r="D11" s="285"/>
      <c r="E11" s="285"/>
      <c r="F11" s="285"/>
      <c r="G11" s="285"/>
      <c r="H11" s="233">
        <f t="shared" ref="H11:H40" si="0">H10+G11</f>
        <v>0</v>
      </c>
      <c r="I11" s="240">
        <f>IF(T_T1341112[[#This Row],[Total]]&lt;0,T_T1341112[[#This Row],[Total]]*-1,0)</f>
        <v>0</v>
      </c>
      <c r="J11" s="231"/>
    </row>
    <row r="12" spans="1:10" x14ac:dyDescent="0.3">
      <c r="A12" s="361"/>
      <c r="B12" s="118" t="s">
        <v>467</v>
      </c>
      <c r="C12" s="424"/>
      <c r="D12" s="425"/>
      <c r="E12" s="425"/>
      <c r="F12" s="425"/>
      <c r="G12" s="425"/>
      <c r="H12" s="426">
        <f>H11+G12</f>
        <v>0</v>
      </c>
      <c r="I12" s="430">
        <f>IF(T_T1341112[[#This Row],[Total]]&lt;0,T_T1341112[[#This Row],[Total]]*-1,0)</f>
        <v>0</v>
      </c>
      <c r="J12" s="427"/>
    </row>
    <row r="13" spans="1:10" x14ac:dyDescent="0.3">
      <c r="A13" s="288"/>
      <c r="B13" s="118" t="s">
        <v>502</v>
      </c>
      <c r="C13" s="289"/>
      <c r="D13" s="290"/>
      <c r="E13" s="290"/>
      <c r="F13" s="290"/>
      <c r="G13" s="290"/>
      <c r="H13" s="233">
        <f>H11+G13</f>
        <v>0</v>
      </c>
      <c r="I13" s="240">
        <f>IF(T_T1341112[[#This Row],[Total]]&lt;0,T_T1341112[[#This Row],[Total]]*-1,0)</f>
        <v>0</v>
      </c>
      <c r="J13" s="231"/>
    </row>
    <row r="14" spans="1:10" x14ac:dyDescent="0.3">
      <c r="A14" s="288"/>
      <c r="B14" s="118" t="s">
        <v>529</v>
      </c>
      <c r="C14" s="481"/>
      <c r="D14" s="482"/>
      <c r="E14" s="482"/>
      <c r="F14" s="482"/>
      <c r="G14" s="482"/>
      <c r="H14" s="483">
        <f>H13+G14</f>
        <v>0</v>
      </c>
      <c r="I14" s="473">
        <f>IF(T_T1341112[[#This Row],[Total]]&lt;0,T_T1341112[[#This Row],[Total]]*-1,0)</f>
        <v>0</v>
      </c>
      <c r="J14" s="476"/>
    </row>
    <row r="15" spans="1:10" x14ac:dyDescent="0.3">
      <c r="A15" s="17">
        <v>46052</v>
      </c>
      <c r="B15" s="18" t="s">
        <v>590</v>
      </c>
      <c r="C15" s="6"/>
      <c r="D15" s="2">
        <v>123</v>
      </c>
      <c r="E15" s="2">
        <v>10</v>
      </c>
      <c r="F15" s="20"/>
      <c r="G15" s="20">
        <f>SUM(D15:F15)</f>
        <v>133</v>
      </c>
      <c r="H15" s="233">
        <f>H13+G15</f>
        <v>133</v>
      </c>
      <c r="I15" s="240">
        <f>IF(T_T1341112[[#This Row],[Total]]&lt;0,T_T1341112[[#This Row],[Total]]*-1,0)</f>
        <v>0</v>
      </c>
      <c r="J15" s="231"/>
    </row>
    <row r="16" spans="1:10" x14ac:dyDescent="0.3">
      <c r="A16" s="17"/>
      <c r="B16" s="18" t="s">
        <v>591</v>
      </c>
      <c r="C16" s="6" t="s">
        <v>621</v>
      </c>
      <c r="D16" s="2">
        <f>-97-26</f>
        <v>-123</v>
      </c>
      <c r="E16" s="2">
        <v>-10</v>
      </c>
      <c r="F16" s="230"/>
      <c r="G16" s="230">
        <f t="shared" ref="G16:G38" si="1">SUM(D16:F16)</f>
        <v>-133</v>
      </c>
      <c r="H16" s="233">
        <f t="shared" si="0"/>
        <v>0</v>
      </c>
      <c r="I16" s="240">
        <f>IF(T_T1341112[[#This Row],[Total]]&lt;0,T_T1341112[[#This Row],[Total]]*-1,0)</f>
        <v>133</v>
      </c>
      <c r="J16" s="231"/>
    </row>
    <row r="17" spans="1:12" x14ac:dyDescent="0.3">
      <c r="A17" s="164">
        <v>45715</v>
      </c>
      <c r="B17" s="161" t="s">
        <v>532</v>
      </c>
      <c r="C17" s="6"/>
      <c r="D17" s="2">
        <v>123</v>
      </c>
      <c r="E17" s="2">
        <v>10</v>
      </c>
      <c r="F17" s="230"/>
      <c r="G17" s="230">
        <f t="shared" si="1"/>
        <v>133</v>
      </c>
      <c r="H17" s="233">
        <f t="shared" si="0"/>
        <v>133</v>
      </c>
      <c r="I17" s="240">
        <f>IF(T_T1341112[[#This Row],[Total]]&lt;0,T_T1341112[[#This Row],[Total]]*-1,0)</f>
        <v>0</v>
      </c>
      <c r="J17" s="231"/>
      <c r="L17" t="s">
        <v>559</v>
      </c>
    </row>
    <row r="18" spans="1:12" x14ac:dyDescent="0.3">
      <c r="A18" s="187"/>
      <c r="B18" s="18" t="s">
        <v>533</v>
      </c>
      <c r="C18" s="6">
        <v>8737</v>
      </c>
      <c r="D18" s="2">
        <f>-26</f>
        <v>-26</v>
      </c>
      <c r="E18" s="2"/>
      <c r="F18" s="230"/>
      <c r="G18" s="230">
        <f t="shared" si="1"/>
        <v>-26</v>
      </c>
      <c r="H18" s="233">
        <f t="shared" si="0"/>
        <v>107</v>
      </c>
      <c r="I18" s="240">
        <f>IF(T_T1341112[[#This Row],[Total]]&lt;0,T_T1341112[[#This Row],[Total]]*-1,0)</f>
        <v>26</v>
      </c>
      <c r="J18" s="231"/>
    </row>
    <row r="19" spans="1:12" x14ac:dyDescent="0.3">
      <c r="A19" s="188">
        <v>45747</v>
      </c>
      <c r="B19" s="3" t="s">
        <v>534</v>
      </c>
      <c r="C19" s="6"/>
      <c r="D19" s="2">
        <v>146</v>
      </c>
      <c r="E19" s="2">
        <v>15</v>
      </c>
      <c r="F19" s="230"/>
      <c r="G19" s="230">
        <f t="shared" si="1"/>
        <v>161</v>
      </c>
      <c r="H19" s="233">
        <f t="shared" si="0"/>
        <v>268</v>
      </c>
      <c r="I19" s="240">
        <f>IF(T_T1341112[[#This Row],[Total]]&lt;0,T_T1341112[[#This Row],[Total]]*-1,0)</f>
        <v>0</v>
      </c>
      <c r="J19" s="231"/>
    </row>
    <row r="20" spans="1:12" x14ac:dyDescent="0.3">
      <c r="A20" s="188"/>
      <c r="B20" s="82" t="s">
        <v>535</v>
      </c>
      <c r="C20" s="6">
        <v>8816</v>
      </c>
      <c r="D20" s="2">
        <f>-30</f>
        <v>-30</v>
      </c>
      <c r="E20" s="2"/>
      <c r="F20" s="230"/>
      <c r="G20" s="230">
        <f t="shared" si="1"/>
        <v>-30</v>
      </c>
      <c r="H20" s="233">
        <f t="shared" si="0"/>
        <v>238</v>
      </c>
      <c r="I20" s="240">
        <f>IF(T_T1341112[[#This Row],[Total]]&lt;0,T_T1341112[[#This Row],[Total]]*-1,0)</f>
        <v>30</v>
      </c>
      <c r="J20" s="231"/>
    </row>
    <row r="21" spans="1:12" x14ac:dyDescent="0.3">
      <c r="A21" s="188">
        <v>45777</v>
      </c>
      <c r="B21" s="3" t="s">
        <v>536</v>
      </c>
      <c r="C21" s="6"/>
      <c r="D21" s="2">
        <f>116+30</f>
        <v>146</v>
      </c>
      <c r="E21" s="2">
        <v>15</v>
      </c>
      <c r="F21" s="230"/>
      <c r="G21" s="230">
        <f t="shared" si="1"/>
        <v>161</v>
      </c>
      <c r="H21" s="316">
        <f t="shared" si="0"/>
        <v>399</v>
      </c>
      <c r="I21" s="309">
        <f>IF(T_T1341112[[#This Row],[Total]]&lt;0,T_T1341112[[#This Row],[Total]]*-1,0)</f>
        <v>0</v>
      </c>
      <c r="J21" s="320"/>
    </row>
    <row r="22" spans="1:12" x14ac:dyDescent="0.3">
      <c r="A22" s="83"/>
      <c r="B22" s="82" t="s">
        <v>537</v>
      </c>
      <c r="C22" s="6">
        <v>8952</v>
      </c>
      <c r="D22" s="2">
        <v>-30</v>
      </c>
      <c r="E22" s="2"/>
      <c r="F22" s="230"/>
      <c r="G22" s="230">
        <f t="shared" si="1"/>
        <v>-30</v>
      </c>
      <c r="H22" s="316">
        <f t="shared" si="0"/>
        <v>369</v>
      </c>
      <c r="I22" s="309">
        <f>IF(T_T1341112[[#This Row],[Total]]&lt;0,T_T1341112[[#This Row],[Total]]*-1,0)</f>
        <v>30</v>
      </c>
      <c r="J22" s="320"/>
    </row>
    <row r="23" spans="1:12" x14ac:dyDescent="0.3">
      <c r="A23" s="40">
        <v>45807</v>
      </c>
      <c r="B23" s="3" t="s">
        <v>538</v>
      </c>
      <c r="C23" s="229"/>
      <c r="D23" s="230">
        <v>146</v>
      </c>
      <c r="E23" s="230">
        <v>15</v>
      </c>
      <c r="F23" s="230"/>
      <c r="G23" s="230">
        <f t="shared" si="1"/>
        <v>161</v>
      </c>
      <c r="H23" s="316">
        <f t="shared" si="0"/>
        <v>530</v>
      </c>
      <c r="I23" s="309">
        <f>IF(T_T1341112[[#This Row],[Total]]&lt;0,T_T1341112[[#This Row],[Total]]*-1,0)</f>
        <v>0</v>
      </c>
      <c r="J23" s="320"/>
    </row>
    <row r="24" spans="1:12" x14ac:dyDescent="0.3">
      <c r="A24" s="9"/>
      <c r="B24" s="18" t="s">
        <v>539</v>
      </c>
      <c r="C24" s="6"/>
      <c r="D24" s="230"/>
      <c r="E24" s="230"/>
      <c r="F24" s="230"/>
      <c r="G24" s="230">
        <f t="shared" si="1"/>
        <v>0</v>
      </c>
      <c r="H24" s="316">
        <f t="shared" si="0"/>
        <v>530</v>
      </c>
      <c r="I24" s="309">
        <f>IF(T_T1341112[[#This Row],[Total]]&lt;0,T_T1341112[[#This Row],[Total]]*-1,0)</f>
        <v>0</v>
      </c>
      <c r="J24" s="320"/>
    </row>
    <row r="25" spans="1:12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1"/>
        <v>0</v>
      </c>
      <c r="H25" s="316">
        <f t="shared" si="0"/>
        <v>530</v>
      </c>
      <c r="I25" s="309">
        <f>IF(T_T1341112[[#This Row],[Total]]&lt;0,T_T1341112[[#This Row],[Total]]*-1,0)</f>
        <v>0</v>
      </c>
      <c r="J25" s="320"/>
    </row>
    <row r="26" spans="1:12" x14ac:dyDescent="0.3">
      <c r="A26" s="9"/>
      <c r="B26" s="18" t="s">
        <v>541</v>
      </c>
      <c r="C26" s="6"/>
      <c r="D26" s="230"/>
      <c r="E26" s="230"/>
      <c r="F26" s="230"/>
      <c r="G26" s="230">
        <f t="shared" si="1"/>
        <v>0</v>
      </c>
      <c r="H26" s="316">
        <f t="shared" si="0"/>
        <v>530</v>
      </c>
      <c r="I26" s="309">
        <f>IF(T_T1341112[[#This Row],[Total]]&lt;0,T_T1341112[[#This Row],[Total]]*-1,0)</f>
        <v>0</v>
      </c>
      <c r="J26" s="320"/>
    </row>
    <row r="27" spans="1:12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1"/>
        <v>0</v>
      </c>
      <c r="H27" s="316">
        <f t="shared" si="0"/>
        <v>530</v>
      </c>
      <c r="I27" s="309">
        <f>IF(T_T1341112[[#This Row],[Total]]&lt;0,T_T1341112[[#This Row],[Total]]*-1,0)</f>
        <v>0</v>
      </c>
      <c r="J27" s="320"/>
    </row>
    <row r="28" spans="1:12" x14ac:dyDescent="0.3">
      <c r="A28" s="107"/>
      <c r="B28" s="82" t="s">
        <v>543</v>
      </c>
      <c r="C28" s="6"/>
      <c r="D28" s="230"/>
      <c r="E28" s="230"/>
      <c r="F28" s="230"/>
      <c r="G28" s="230">
        <f t="shared" si="1"/>
        <v>0</v>
      </c>
      <c r="H28" s="316">
        <f t="shared" si="0"/>
        <v>530</v>
      </c>
      <c r="I28" s="309">
        <f>IF(T_T1341112[[#This Row],[Total]]&lt;0,T_T1341112[[#This Row],[Total]]*-1,0)</f>
        <v>0</v>
      </c>
      <c r="J28" s="320"/>
    </row>
    <row r="29" spans="1:12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1"/>
        <v>0</v>
      </c>
      <c r="H29" s="316">
        <f t="shared" si="0"/>
        <v>530</v>
      </c>
      <c r="I29" s="309">
        <f>IF(T_T1341112[[#This Row],[Total]]&lt;0,T_T1341112[[#This Row],[Total]]*-1,0)</f>
        <v>0</v>
      </c>
      <c r="J29" s="320"/>
    </row>
    <row r="30" spans="1:12" x14ac:dyDescent="0.3">
      <c r="A30" s="107"/>
      <c r="B30" s="82" t="s">
        <v>545</v>
      </c>
      <c r="C30" s="6"/>
      <c r="D30" s="230"/>
      <c r="E30" s="230"/>
      <c r="F30" s="230"/>
      <c r="G30" s="230">
        <f t="shared" si="1"/>
        <v>0</v>
      </c>
      <c r="H30" s="316">
        <f t="shared" si="0"/>
        <v>530</v>
      </c>
      <c r="I30" s="309">
        <f>IF(T_T1341112[[#This Row],[Total]]&lt;0,T_T1341112[[#This Row],[Total]]*-1,0)</f>
        <v>0</v>
      </c>
      <c r="J30" s="320"/>
    </row>
    <row r="31" spans="1:12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1"/>
        <v>0</v>
      </c>
      <c r="H31" s="316">
        <f t="shared" si="0"/>
        <v>530</v>
      </c>
      <c r="I31" s="309">
        <f>IF(T_T1341112[[#This Row],[Total]]&lt;0,T_T1341112[[#This Row],[Total]]*-1,0)</f>
        <v>0</v>
      </c>
      <c r="J31" s="320"/>
    </row>
    <row r="32" spans="1:12" x14ac:dyDescent="0.3">
      <c r="A32" s="9"/>
      <c r="B32" s="3" t="s">
        <v>547</v>
      </c>
      <c r="C32" s="521"/>
      <c r="D32" s="230"/>
      <c r="E32" s="230"/>
      <c r="F32" s="230"/>
      <c r="G32" s="230">
        <f t="shared" si="1"/>
        <v>0</v>
      </c>
      <c r="H32" s="316">
        <f t="shared" si="0"/>
        <v>530</v>
      </c>
      <c r="I32" s="309">
        <f>IF(T_T1341112[[#This Row],[Total]]&lt;0,T_T1341112[[#This Row],[Total]]*-1,0)</f>
        <v>0</v>
      </c>
      <c r="J32" s="320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1"/>
        <v>0</v>
      </c>
      <c r="H33" s="316">
        <f t="shared" si="0"/>
        <v>530</v>
      </c>
      <c r="I33" s="309">
        <f>IF(T_T1341112[[#This Row],[Total]]&lt;0,T_T1341112[[#This Row],[Total]]*-1,0)</f>
        <v>0</v>
      </c>
      <c r="J33" s="320"/>
    </row>
    <row r="34" spans="1:10" x14ac:dyDescent="0.3">
      <c r="A34" s="9"/>
      <c r="B34" s="3" t="s">
        <v>549</v>
      </c>
      <c r="C34" s="6"/>
      <c r="D34" s="230"/>
      <c r="E34" s="230"/>
      <c r="F34" s="230"/>
      <c r="G34" s="230">
        <f t="shared" si="1"/>
        <v>0</v>
      </c>
      <c r="H34" s="316">
        <f t="shared" si="0"/>
        <v>530</v>
      </c>
      <c r="I34" s="309">
        <f>IF(T_T1341112[[#This Row],[Total]]&lt;0,T_T1341112[[#This Row],[Total]]*-1,0)</f>
        <v>0</v>
      </c>
      <c r="J34" s="320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1"/>
        <v>0</v>
      </c>
      <c r="H35" s="316">
        <f t="shared" si="0"/>
        <v>530</v>
      </c>
      <c r="I35" s="309">
        <f>IF(T_T1341112[[#This Row],[Total]]&lt;0,T_T1341112[[#This Row],[Total]]*-1,0)</f>
        <v>0</v>
      </c>
      <c r="J35" s="320"/>
    </row>
    <row r="36" spans="1:10" x14ac:dyDescent="0.3">
      <c r="A36" s="17"/>
      <c r="B36" s="18" t="s">
        <v>551</v>
      </c>
      <c r="C36" s="6"/>
      <c r="D36" s="230"/>
      <c r="E36" s="230"/>
      <c r="F36" s="230"/>
      <c r="G36" s="230">
        <f t="shared" si="1"/>
        <v>0</v>
      </c>
      <c r="H36" s="316">
        <f t="shared" si="0"/>
        <v>530</v>
      </c>
      <c r="I36" s="309">
        <f>IF(T_T1341112[[#This Row],[Total]]&lt;0,T_T1341112[[#This Row],[Total]]*-1,0)</f>
        <v>0</v>
      </c>
      <c r="J36" s="320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1"/>
        <v>0</v>
      </c>
      <c r="H37" s="356">
        <f t="shared" si="0"/>
        <v>530</v>
      </c>
      <c r="I37" s="353">
        <f>IF(T_T1341112[[#This Row],[Total]]&lt;0,T_T1341112[[#This Row],[Total]]*-1,0)</f>
        <v>0</v>
      </c>
      <c r="J37" s="355"/>
    </row>
    <row r="38" spans="1:10" x14ac:dyDescent="0.3">
      <c r="A38" s="257"/>
      <c r="B38" s="110" t="s">
        <v>553</v>
      </c>
      <c r="C38" s="6"/>
      <c r="D38" s="230"/>
      <c r="E38" s="230"/>
      <c r="F38" s="230"/>
      <c r="G38" s="230">
        <f t="shared" si="1"/>
        <v>0</v>
      </c>
      <c r="H38" s="356">
        <f t="shared" si="0"/>
        <v>530</v>
      </c>
      <c r="I38" s="353">
        <f>IF(T_T1341112[[#This Row],[Total]]&lt;0,T_T1341112[[#This Row],[Total]]*-1,0)</f>
        <v>0</v>
      </c>
      <c r="J38" s="355"/>
    </row>
    <row r="39" spans="1:10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356">
        <f t="shared" si="0"/>
        <v>530</v>
      </c>
      <c r="I39" s="353">
        <f>IF(T_T1341112[[#This Row],[Total]]&lt;0,T_T1341112[[#This Row],[Total]]*-1,0)</f>
        <v>0</v>
      </c>
      <c r="J39" s="355"/>
    </row>
    <row r="40" spans="1:10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356">
        <f t="shared" si="0"/>
        <v>530</v>
      </c>
      <c r="I40" s="353">
        <f>IF(T_T1341112[[#This Row],[Total]]&lt;0,T_T1341112[[#This Row],[Total]]*-1,0)</f>
        <v>0</v>
      </c>
      <c r="J40" s="355"/>
    </row>
    <row r="41" spans="1:10" x14ac:dyDescent="0.3">
      <c r="A41" s="492"/>
      <c r="B41" s="493"/>
      <c r="C41" s="466"/>
      <c r="D41" s="467"/>
      <c r="E41" s="467"/>
      <c r="F41" s="467"/>
      <c r="G41" s="467"/>
      <c r="H41" s="474"/>
      <c r="I41" s="475"/>
      <c r="J41" s="480"/>
    </row>
  </sheetData>
  <hyperlinks>
    <hyperlink ref="B7" r:id="rId1" display="jose.orozco@outlook.com"/>
    <hyperlink ref="H7" location="Resumen!A1" display="Rsumen         "/>
  </hyperlinks>
  <pageMargins left="0.70866141732283472" right="0.70866141732283472" top="0.43" bottom="0.45" header="0.31496062992125984" footer="0.31496062992125984"/>
  <pageSetup scale="65" orientation="portrait" verticalDpi="360" r:id="rId2"/>
  <drawing r:id="rId3"/>
  <tableParts count="1">
    <tablePart r:id="rId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2:J65"/>
  <sheetViews>
    <sheetView showGridLines="0" zoomScale="89" zoomScaleNormal="89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40.109375" customWidth="1"/>
    <col min="3" max="3" width="7.109375" style="4" customWidth="1"/>
    <col min="4" max="4" width="12.44140625" style="1" customWidth="1"/>
    <col min="5" max="5" width="9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0" max="10" width="9.109375" hidden="1" customWidth="1"/>
    <col min="12" max="12" width="11.5546875" bestFit="1" customWidth="1"/>
  </cols>
  <sheetData>
    <row r="2" spans="1:10" ht="15.6" x14ac:dyDescent="0.3">
      <c r="A2" s="27" t="s">
        <v>36</v>
      </c>
      <c r="B2" s="41" t="s">
        <v>55</v>
      </c>
    </row>
    <row r="3" spans="1:10" x14ac:dyDescent="0.3">
      <c r="A3" s="27" t="s">
        <v>31</v>
      </c>
      <c r="B3" s="28" t="e">
        <f>LOOKUP(B2,#REF!,#REF!)</f>
        <v>#REF!</v>
      </c>
    </row>
    <row r="4" spans="1:10" hidden="1" x14ac:dyDescent="0.3">
      <c r="A4" s="27" t="s">
        <v>32</v>
      </c>
      <c r="B4" s="28" t="e">
        <f>LOOKUP(B2,#REF!,#REF!)</f>
        <v>#REF!</v>
      </c>
    </row>
    <row r="5" spans="1:10" hidden="1" x14ac:dyDescent="0.3">
      <c r="A5" s="27" t="s">
        <v>33</v>
      </c>
      <c r="B5" s="28" t="e">
        <f>LOOKUP(B2,#REF!,#REF!)</f>
        <v>#REF!</v>
      </c>
    </row>
    <row r="6" spans="1:10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0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0" x14ac:dyDescent="0.3">
      <c r="A8" s="21"/>
      <c r="B8" s="21"/>
    </row>
    <row r="9" spans="1:10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75" t="s">
        <v>188</v>
      </c>
    </row>
    <row r="10" spans="1:10" x14ac:dyDescent="0.3">
      <c r="A10" s="288"/>
      <c r="B10" s="118" t="s">
        <v>431</v>
      </c>
      <c r="C10" s="284"/>
      <c r="D10" s="285"/>
      <c r="E10" s="285"/>
      <c r="F10" s="285"/>
      <c r="G10" s="285"/>
      <c r="H10" s="233"/>
      <c r="I10" s="6">
        <f>IF(T_T134111213[[#This Row],[Total]]&lt;0,T_T134111213[[#This Row],[Total]]*-1,0)</f>
        <v>0</v>
      </c>
      <c r="J10" s="297"/>
    </row>
    <row r="11" spans="1:10" x14ac:dyDescent="0.3">
      <c r="A11" s="288"/>
      <c r="B11" s="118" t="s">
        <v>432</v>
      </c>
      <c r="C11" s="284"/>
      <c r="D11" s="285"/>
      <c r="E11" s="285"/>
      <c r="F11" s="285"/>
      <c r="G11" s="285"/>
      <c r="H11" s="10"/>
      <c r="I11" s="355">
        <f>IF(T_T134111213[[#This Row],[Total]]&lt;0,T_T134111213[[#This Row],[Total]]*-1,0)</f>
        <v>0</v>
      </c>
      <c r="J11" s="353"/>
    </row>
    <row r="12" spans="1:10" x14ac:dyDescent="0.3">
      <c r="A12" s="288"/>
      <c r="B12" s="118" t="s">
        <v>467</v>
      </c>
      <c r="C12" s="424"/>
      <c r="D12" s="425"/>
      <c r="E12" s="425"/>
      <c r="F12" s="425"/>
      <c r="G12" s="425"/>
      <c r="H12" s="426">
        <v>0</v>
      </c>
      <c r="I12" s="427">
        <f>IF(T_T134111213[[#This Row],[Total]]&lt;0,T_T134111213[[#This Row],[Total]]*-1,0)</f>
        <v>0</v>
      </c>
      <c r="J12" s="430"/>
    </row>
    <row r="13" spans="1:10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355">
        <f>IF(T_T134111213[[#This Row],[Total]]&lt;0,T_T134111213[[#This Row],[Total]]*-1,0)</f>
        <v>0</v>
      </c>
      <c r="J13" s="353"/>
    </row>
    <row r="14" spans="1:10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6">
        <f>IF(T_T134111213[[#This Row],[Total]]&lt;0,T_T134111213[[#This Row],[Total]]*-1,0)</f>
        <v>0</v>
      </c>
      <c r="J14" s="473"/>
    </row>
    <row r="15" spans="1:10" x14ac:dyDescent="0.3">
      <c r="A15" s="17">
        <v>46052</v>
      </c>
      <c r="B15" s="18" t="s">
        <v>590</v>
      </c>
      <c r="C15" s="6"/>
      <c r="D15" s="2">
        <v>181</v>
      </c>
      <c r="E15" s="2">
        <v>10</v>
      </c>
      <c r="F15" s="20"/>
      <c r="G15" s="20">
        <f>SUM(D15:F15)</f>
        <v>191</v>
      </c>
      <c r="H15" s="233">
        <f>+H13+T_T134111213[[#This Row],[Total]]+H12</f>
        <v>191</v>
      </c>
      <c r="I15" s="355">
        <f>IF(T_T134111213[[#This Row],[Total]]&lt;0,T_T134111213[[#This Row],[Total]]*-1,0)</f>
        <v>0</v>
      </c>
      <c r="J15" s="353"/>
    </row>
    <row r="16" spans="1:10" x14ac:dyDescent="0.3">
      <c r="A16" s="17"/>
      <c r="B16" s="18" t="s">
        <v>591</v>
      </c>
      <c r="C16" s="6">
        <v>8825</v>
      </c>
      <c r="D16" s="2">
        <v>-181</v>
      </c>
      <c r="E16" s="2">
        <v>-10</v>
      </c>
      <c r="F16" s="230"/>
      <c r="G16" s="230">
        <f t="shared" ref="G16:G38" si="0">SUM(D16:F16)</f>
        <v>-191</v>
      </c>
      <c r="H16" s="233">
        <f t="shared" ref="H16:H39" si="1">H15+G16</f>
        <v>0</v>
      </c>
      <c r="I16" s="355">
        <f>IF(T_T134111213[[#This Row],[Total]]&lt;0,T_T134111213[[#This Row],[Total]]*-1,0)</f>
        <v>191</v>
      </c>
      <c r="J16" s="353"/>
    </row>
    <row r="17" spans="1:10" x14ac:dyDescent="0.3">
      <c r="A17" s="164">
        <v>45716</v>
      </c>
      <c r="B17" s="161" t="s">
        <v>592</v>
      </c>
      <c r="C17" s="6"/>
      <c r="D17" s="2">
        <v>181</v>
      </c>
      <c r="E17" s="2">
        <v>10</v>
      </c>
      <c r="F17" s="230"/>
      <c r="G17" s="230">
        <f t="shared" si="0"/>
        <v>191</v>
      </c>
      <c r="H17" s="233">
        <f t="shared" si="1"/>
        <v>191</v>
      </c>
      <c r="I17" s="355">
        <f>IF(T_T134111213[[#This Row],[Total]]&lt;0,T_T134111213[[#This Row],[Total]]*-1,0)</f>
        <v>0</v>
      </c>
      <c r="J17" s="353"/>
    </row>
    <row r="18" spans="1:10" x14ac:dyDescent="0.3">
      <c r="A18" s="187"/>
      <c r="B18" s="18" t="s">
        <v>593</v>
      </c>
      <c r="C18" s="6">
        <v>8825</v>
      </c>
      <c r="D18" s="2">
        <v>-181</v>
      </c>
      <c r="E18" s="2">
        <v>-10</v>
      </c>
      <c r="F18" s="230"/>
      <c r="G18" s="230">
        <f t="shared" si="0"/>
        <v>-191</v>
      </c>
      <c r="H18" s="233">
        <f t="shared" si="1"/>
        <v>0</v>
      </c>
      <c r="I18" s="355">
        <f>IF(T_T134111213[[#This Row],[Total]]&lt;0,T_T134111213[[#This Row],[Total]]*-1,0)</f>
        <v>191</v>
      </c>
      <c r="J18" s="353"/>
    </row>
    <row r="19" spans="1:10" x14ac:dyDescent="0.3">
      <c r="A19" s="188">
        <v>45747</v>
      </c>
      <c r="B19" s="3" t="s">
        <v>534</v>
      </c>
      <c r="C19" s="6"/>
      <c r="D19" s="2">
        <v>217</v>
      </c>
      <c r="E19" s="2">
        <v>15</v>
      </c>
      <c r="F19" s="230"/>
      <c r="G19" s="230">
        <f t="shared" si="0"/>
        <v>232</v>
      </c>
      <c r="H19" s="233">
        <f t="shared" si="1"/>
        <v>232</v>
      </c>
      <c r="I19" s="355">
        <f>IF(T_T134111213[[#This Row],[Total]]&lt;0,T_T134111213[[#This Row],[Total]]*-1,0)</f>
        <v>0</v>
      </c>
      <c r="J19" s="353"/>
    </row>
    <row r="20" spans="1:10" x14ac:dyDescent="0.3">
      <c r="A20" s="188"/>
      <c r="B20" s="82" t="s">
        <v>535</v>
      </c>
      <c r="C20" s="6">
        <v>8825</v>
      </c>
      <c r="D20" s="2">
        <v>-217</v>
      </c>
      <c r="E20" s="2">
        <v>-15</v>
      </c>
      <c r="F20" s="230"/>
      <c r="G20" s="230">
        <f t="shared" si="0"/>
        <v>-232</v>
      </c>
      <c r="H20" s="233">
        <f t="shared" si="1"/>
        <v>0</v>
      </c>
      <c r="I20" s="355">
        <f>IF(T_T134111213[[#This Row],[Total]]&lt;0,T_T134111213[[#This Row],[Total]]*-1,0)</f>
        <v>232</v>
      </c>
      <c r="J20" s="353"/>
    </row>
    <row r="21" spans="1:10" x14ac:dyDescent="0.3">
      <c r="A21" s="188">
        <v>45777</v>
      </c>
      <c r="B21" s="3" t="s">
        <v>536</v>
      </c>
      <c r="C21" s="6"/>
      <c r="D21" s="2">
        <v>217</v>
      </c>
      <c r="E21" s="2">
        <v>15</v>
      </c>
      <c r="F21" s="230"/>
      <c r="G21" s="230">
        <f t="shared" si="0"/>
        <v>232</v>
      </c>
      <c r="H21" s="233">
        <f t="shared" si="1"/>
        <v>232</v>
      </c>
      <c r="I21" s="355">
        <f>IF(T_T134111213[[#This Row],[Total]]&lt;0,T_T134111213[[#This Row],[Total]]*-1,0)</f>
        <v>0</v>
      </c>
      <c r="J21" s="353"/>
    </row>
    <row r="22" spans="1:10" x14ac:dyDescent="0.3">
      <c r="A22" s="83"/>
      <c r="B22" s="82" t="s">
        <v>537</v>
      </c>
      <c r="C22" s="6">
        <v>8946</v>
      </c>
      <c r="D22" s="2">
        <v>-217</v>
      </c>
      <c r="E22" s="2">
        <v>-15</v>
      </c>
      <c r="F22" s="230"/>
      <c r="G22" s="230">
        <f t="shared" si="0"/>
        <v>-232</v>
      </c>
      <c r="H22" s="233">
        <f t="shared" si="1"/>
        <v>0</v>
      </c>
      <c r="I22" s="355">
        <f>IF(T_T134111213[[#This Row],[Total]]&lt;0,T_T134111213[[#This Row],[Total]]*-1,0)</f>
        <v>232</v>
      </c>
      <c r="J22" s="353"/>
    </row>
    <row r="23" spans="1:10" x14ac:dyDescent="0.3">
      <c r="A23" s="40">
        <v>45807</v>
      </c>
      <c r="B23" s="3" t="s">
        <v>538</v>
      </c>
      <c r="C23" s="229"/>
      <c r="D23" s="230">
        <v>217</v>
      </c>
      <c r="E23" s="230">
        <v>10</v>
      </c>
      <c r="F23" s="230"/>
      <c r="G23" s="230">
        <f t="shared" si="0"/>
        <v>227</v>
      </c>
      <c r="H23" s="233">
        <f t="shared" si="1"/>
        <v>227</v>
      </c>
      <c r="I23" s="355">
        <f>IF(T_T134111213[[#This Row],[Total]]&lt;0,T_T134111213[[#This Row],[Total]]*-1,0)</f>
        <v>0</v>
      </c>
      <c r="J23" s="353"/>
    </row>
    <row r="24" spans="1:10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227</v>
      </c>
      <c r="I24" s="355">
        <f>IF(T_T134111213[[#This Row],[Total]]&lt;0,T_T134111213[[#This Row],[Total]]*-1,0)</f>
        <v>0</v>
      </c>
      <c r="J24" s="353"/>
    </row>
    <row r="25" spans="1:10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227</v>
      </c>
      <c r="I25" s="355">
        <f>IF(T_T134111213[[#This Row],[Total]]&lt;0,T_T134111213[[#This Row],[Total]]*-1,0)</f>
        <v>0</v>
      </c>
      <c r="J25" s="353"/>
    </row>
    <row r="26" spans="1:10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227</v>
      </c>
      <c r="I26" s="355">
        <f>IF(T_T134111213[[#This Row],[Total]]&lt;0,T_T134111213[[#This Row],[Total]]*-1,0)</f>
        <v>0</v>
      </c>
      <c r="J26" s="353"/>
    </row>
    <row r="27" spans="1:10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227</v>
      </c>
      <c r="I27" s="355">
        <f>IF(T_T134111213[[#This Row],[Total]]&lt;0,T_T134111213[[#This Row],[Total]]*-1,0)</f>
        <v>0</v>
      </c>
      <c r="J27" s="353"/>
    </row>
    <row r="28" spans="1:10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227</v>
      </c>
      <c r="I28" s="355">
        <f>IF(T_T134111213[[#This Row],[Total]]&lt;0,T_T134111213[[#This Row],[Total]]*-1,0)</f>
        <v>0</v>
      </c>
      <c r="J28" s="353"/>
    </row>
    <row r="29" spans="1:10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227</v>
      </c>
      <c r="I29" s="355">
        <f>IF(T_T134111213[[#This Row],[Total]]&lt;0,T_T134111213[[#This Row],[Total]]*-1,0)</f>
        <v>0</v>
      </c>
      <c r="J29" s="353"/>
    </row>
    <row r="30" spans="1:10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227</v>
      </c>
      <c r="I30" s="355">
        <f>IF(T_T134111213[[#This Row],[Total]]&lt;0,T_T134111213[[#This Row],[Total]]*-1,0)</f>
        <v>0</v>
      </c>
      <c r="J30" s="353"/>
    </row>
    <row r="31" spans="1:10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227</v>
      </c>
      <c r="I31" s="355">
        <f>IF(T_T134111213[[#This Row],[Total]]&lt;0,T_T134111213[[#This Row],[Total]]*-1,0)</f>
        <v>0</v>
      </c>
      <c r="J31" s="353"/>
    </row>
    <row r="32" spans="1:10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227</v>
      </c>
      <c r="I32" s="355">
        <f>IF(T_T134111213[[#This Row],[Total]]&lt;0,T_T134111213[[#This Row],[Total]]*-1,0)</f>
        <v>0</v>
      </c>
      <c r="J32" s="353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227</v>
      </c>
      <c r="I33" s="355">
        <f>IF(T_T134111213[[#This Row],[Total]]&lt;0,T_T134111213[[#This Row],[Total]]*-1,0)</f>
        <v>0</v>
      </c>
      <c r="J33" s="353"/>
    </row>
    <row r="34" spans="1:10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227</v>
      </c>
      <c r="I34" s="355">
        <f>IF(T_T134111213[[#This Row],[Total]]&lt;0,T_T134111213[[#This Row],[Total]]*-1,0)</f>
        <v>0</v>
      </c>
      <c r="J34" s="353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227</v>
      </c>
      <c r="I35" s="355">
        <f>IF(T_T134111213[[#This Row],[Total]]&lt;0,T_T134111213[[#This Row],[Total]]*-1,0)</f>
        <v>0</v>
      </c>
      <c r="J35" s="353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227</v>
      </c>
      <c r="I36" s="355">
        <f>IF(T_T134111213[[#This Row],[Total]]&lt;0,T_T134111213[[#This Row],[Total]]*-1,0)</f>
        <v>0</v>
      </c>
      <c r="J36" s="353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227</v>
      </c>
      <c r="I37" s="355">
        <f>IF(T_T134111213[[#This Row],[Total]]&lt;0,T_T134111213[[#This Row],[Total]]*-1,0)</f>
        <v>0</v>
      </c>
      <c r="J37" s="353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227</v>
      </c>
      <c r="I38" s="355">
        <f>IF(T_T134111213[[#This Row],[Total]]&lt;0,T_T134111213[[#This Row],[Total]]*-1,0)</f>
        <v>0</v>
      </c>
      <c r="J38" s="353"/>
    </row>
    <row r="39" spans="1:10" x14ac:dyDescent="0.3">
      <c r="A39" s="107"/>
      <c r="B39" s="82"/>
      <c r="C39" s="229"/>
      <c r="D39" s="230"/>
      <c r="E39" s="230"/>
      <c r="F39" s="230"/>
      <c r="G39" s="230">
        <f>SUM(D39:F47)</f>
        <v>0</v>
      </c>
      <c r="H39" s="233">
        <f t="shared" si="1"/>
        <v>227</v>
      </c>
      <c r="I39" s="355">
        <f>IF(T_T134111213[[#This Row],[Total]]&lt;0,T_T134111213[[#This Row],[Total]]*-1,0)</f>
        <v>0</v>
      </c>
      <c r="J39" s="353"/>
    </row>
    <row r="40" spans="1:10" x14ac:dyDescent="0.3">
      <c r="A40" s="107"/>
      <c r="B40" s="82"/>
      <c r="C40" s="229"/>
      <c r="D40" s="230"/>
      <c r="E40" s="230"/>
      <c r="F40" s="230"/>
      <c r="G40" s="230"/>
      <c r="H40" s="233"/>
      <c r="I40" s="355">
        <f>IF(T_T134111213[[#This Row],[Total]]&lt;0,T_T134111213[[#This Row],[Total]]*-1,0)</f>
        <v>0</v>
      </c>
      <c r="J40" s="353"/>
    </row>
    <row r="41" spans="1:10" x14ac:dyDescent="0.3">
      <c r="A41" s="170"/>
      <c r="B41" s="18"/>
      <c r="C41" s="481"/>
      <c r="D41" s="482"/>
      <c r="E41" s="482"/>
      <c r="F41" s="482"/>
      <c r="G41" s="482"/>
      <c r="H41" s="483"/>
      <c r="I41" s="476">
        <f>IF(T_T134111213[[#This Row],[Total]]&lt;0,T_T134111213[[#This Row],[Total]]*-1,0)</f>
        <v>0</v>
      </c>
      <c r="J41" s="473"/>
    </row>
    <row r="42" spans="1:10" x14ac:dyDescent="0.3">
      <c r="A42" s="17"/>
      <c r="B42" s="18"/>
      <c r="C42" s="6"/>
      <c r="D42" s="2"/>
      <c r="E42" s="2"/>
      <c r="F42" s="2"/>
      <c r="G42" s="294"/>
      <c r="H42" s="199"/>
    </row>
    <row r="43" spans="1:10" x14ac:dyDescent="0.3">
      <c r="A43" s="17"/>
      <c r="B43" s="18"/>
      <c r="C43" s="6"/>
      <c r="D43" s="2"/>
      <c r="E43" s="2"/>
      <c r="F43" s="2"/>
      <c r="G43" s="294"/>
      <c r="H43" s="199"/>
    </row>
    <row r="44" spans="1:10" x14ac:dyDescent="0.3">
      <c r="A44" s="164"/>
      <c r="B44" s="161"/>
      <c r="C44" s="6"/>
      <c r="D44" s="2"/>
      <c r="E44" s="2"/>
      <c r="F44" s="2"/>
      <c r="G44" s="294"/>
      <c r="H44" s="199"/>
    </row>
    <row r="45" spans="1:10" x14ac:dyDescent="0.3">
      <c r="A45" s="185"/>
      <c r="B45" s="3"/>
      <c r="C45" s="6"/>
      <c r="D45" s="2"/>
      <c r="E45" s="2"/>
      <c r="F45" s="2"/>
      <c r="G45" s="298"/>
      <c r="H45" s="282"/>
    </row>
    <row r="46" spans="1:10" x14ac:dyDescent="0.3">
      <c r="A46" s="188"/>
      <c r="B46" s="3"/>
      <c r="C46" s="6"/>
      <c r="D46" s="2"/>
      <c r="E46" s="2"/>
      <c r="F46" s="2"/>
      <c r="G46" s="298"/>
      <c r="H46" s="282"/>
    </row>
    <row r="47" spans="1:10" x14ac:dyDescent="0.3">
      <c r="A47" s="188"/>
      <c r="B47" s="82"/>
      <c r="C47" s="6"/>
      <c r="D47" s="2"/>
      <c r="E47" s="2"/>
      <c r="F47" s="2"/>
      <c r="G47" s="298"/>
      <c r="H47" s="282"/>
    </row>
    <row r="48" spans="1:10" x14ac:dyDescent="0.3">
      <c r="A48" s="188"/>
      <c r="B48" s="3"/>
      <c r="C48" s="6"/>
      <c r="D48" s="2"/>
      <c r="E48" s="2"/>
      <c r="F48" s="2"/>
      <c r="G48" s="298"/>
      <c r="H48" s="282"/>
    </row>
    <row r="49" spans="1:8" x14ac:dyDescent="0.3">
      <c r="A49" s="83"/>
      <c r="B49" s="82"/>
      <c r="C49" s="6"/>
      <c r="D49" s="2"/>
      <c r="E49" s="2"/>
      <c r="F49" s="2"/>
      <c r="G49" s="298"/>
      <c r="H49" s="282"/>
    </row>
    <row r="50" spans="1:8" x14ac:dyDescent="0.3">
      <c r="A50" s="188"/>
      <c r="B50" s="3"/>
      <c r="C50" s="6"/>
      <c r="D50" s="2"/>
      <c r="E50" s="2"/>
      <c r="F50" s="2"/>
      <c r="G50" s="298"/>
      <c r="H50" s="282"/>
    </row>
    <row r="51" spans="1:8" x14ac:dyDescent="0.3">
      <c r="A51" s="107"/>
      <c r="B51" s="127"/>
      <c r="C51" s="6"/>
      <c r="D51" s="2"/>
      <c r="E51" s="2"/>
      <c r="F51" s="2"/>
      <c r="G51" s="298"/>
      <c r="H51" s="282"/>
    </row>
    <row r="52" spans="1:8" x14ac:dyDescent="0.3">
      <c r="A52" s="188"/>
      <c r="B52" s="3"/>
      <c r="C52" s="6"/>
      <c r="D52" s="2"/>
      <c r="E52" s="2"/>
      <c r="F52" s="2"/>
      <c r="G52" s="298"/>
      <c r="H52" s="282"/>
    </row>
    <row r="53" spans="1:8" x14ac:dyDescent="0.3">
      <c r="A53" s="107"/>
      <c r="B53" s="127"/>
      <c r="C53" s="6"/>
      <c r="D53" s="2"/>
      <c r="E53" s="2"/>
      <c r="F53" s="2"/>
      <c r="G53" s="298"/>
      <c r="H53" s="282"/>
    </row>
    <row r="54" spans="1:8" x14ac:dyDescent="0.3">
      <c r="A54" s="107"/>
      <c r="B54" s="82"/>
      <c r="C54" s="6"/>
      <c r="D54" s="2"/>
      <c r="E54" s="2"/>
      <c r="F54" s="2"/>
      <c r="G54" s="298"/>
      <c r="H54" s="282"/>
    </row>
    <row r="55" spans="1:8" x14ac:dyDescent="0.3">
      <c r="A55" s="107"/>
      <c r="B55" s="82"/>
      <c r="C55" s="6"/>
      <c r="D55" s="2"/>
      <c r="E55" s="2"/>
      <c r="F55" s="2"/>
      <c r="G55" s="298"/>
      <c r="H55" s="282"/>
    </row>
    <row r="56" spans="1:8" x14ac:dyDescent="0.3">
      <c r="A56" s="107"/>
      <c r="B56" s="82"/>
      <c r="C56" s="6"/>
      <c r="D56" s="2"/>
      <c r="E56" s="2"/>
      <c r="F56" s="2"/>
      <c r="G56" s="298"/>
      <c r="H56" s="282"/>
    </row>
    <row r="57" spans="1:8" x14ac:dyDescent="0.3">
      <c r="A57" s="107"/>
      <c r="B57" s="82"/>
      <c r="C57" s="6"/>
      <c r="D57" s="2"/>
      <c r="E57" s="2"/>
      <c r="F57" s="2"/>
      <c r="G57" s="298"/>
      <c r="H57" s="282"/>
    </row>
    <row r="58" spans="1:8" x14ac:dyDescent="0.3">
      <c r="A58" s="188"/>
      <c r="B58" s="3"/>
      <c r="C58" s="6"/>
      <c r="D58" s="2"/>
      <c r="E58" s="2"/>
      <c r="F58" s="2"/>
      <c r="G58" s="298"/>
      <c r="H58" s="282"/>
    </row>
    <row r="59" spans="1:8" x14ac:dyDescent="0.3">
      <c r="A59" s="107"/>
      <c r="B59" s="82"/>
      <c r="C59" s="6"/>
      <c r="D59" s="2"/>
      <c r="E59" s="2"/>
      <c r="F59" s="2"/>
      <c r="G59" s="298"/>
      <c r="H59" s="282"/>
    </row>
    <row r="60" spans="1:8" x14ac:dyDescent="0.3">
      <c r="A60" s="188"/>
      <c r="B60" s="3"/>
      <c r="C60" s="6"/>
      <c r="D60" s="2"/>
      <c r="E60" s="2"/>
      <c r="F60" s="2"/>
      <c r="G60" s="298"/>
      <c r="H60" s="282"/>
    </row>
    <row r="61" spans="1:8" x14ac:dyDescent="0.3">
      <c r="A61" s="107"/>
      <c r="B61" s="82"/>
      <c r="C61" s="6"/>
      <c r="D61" s="2"/>
      <c r="E61" s="2"/>
      <c r="F61" s="2"/>
      <c r="G61" s="298"/>
      <c r="H61" s="282"/>
    </row>
    <row r="62" spans="1:8" x14ac:dyDescent="0.3">
      <c r="A62" s="188"/>
      <c r="B62" s="3"/>
      <c r="C62" s="6"/>
      <c r="D62" s="2"/>
      <c r="E62" s="2"/>
      <c r="F62" s="2"/>
      <c r="G62" s="298"/>
      <c r="H62" s="282"/>
    </row>
    <row r="63" spans="1:8" x14ac:dyDescent="0.3">
      <c r="A63" s="83"/>
      <c r="B63" s="127"/>
      <c r="C63" s="6"/>
      <c r="D63" s="2"/>
      <c r="E63" s="2"/>
      <c r="F63" s="2"/>
      <c r="G63" s="298"/>
      <c r="H63" s="282"/>
    </row>
    <row r="64" spans="1:8" x14ac:dyDescent="0.3">
      <c r="A64" s="188"/>
      <c r="B64" s="3"/>
      <c r="C64" s="6"/>
      <c r="D64" s="2"/>
      <c r="E64" s="2"/>
      <c r="F64" s="2"/>
      <c r="G64" s="298"/>
      <c r="H64" s="282"/>
    </row>
    <row r="65" spans="1:8" x14ac:dyDescent="0.3">
      <c r="A65" s="257"/>
      <c r="B65" s="110"/>
      <c r="C65" s="6"/>
      <c r="D65" s="2"/>
      <c r="E65" s="2"/>
      <c r="F65" s="2"/>
      <c r="G65" s="298"/>
      <c r="H65" s="282"/>
    </row>
  </sheetData>
  <hyperlinks>
    <hyperlink ref="B7" r:id="rId1" display="jose.orozco@outlook.com"/>
    <hyperlink ref="H7" location="Resumen!A1" display="Rsumen         "/>
  </hyperlinks>
  <pageMargins left="0.70866141732283472" right="0.70866141732283472" top="0.74803149606299213" bottom="0.74803149606299213" header="0.31496062992125984" footer="0.31496062992125984"/>
  <pageSetup scale="73" orientation="portrait" verticalDpi="360" r:id="rId2"/>
  <drawing r:id="rId3"/>
  <tableParts count="1"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I41"/>
  <sheetViews>
    <sheetView showGridLines="0" zoomScale="95" zoomScaleNormal="95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45.44140625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0.6640625" bestFit="1" customWidth="1"/>
  </cols>
  <sheetData>
    <row r="1" spans="1:9" x14ac:dyDescent="0.3">
      <c r="A1" t="s">
        <v>366</v>
      </c>
    </row>
    <row r="2" spans="1:9" ht="15.6" x14ac:dyDescent="0.3">
      <c r="A2" s="27" t="s">
        <v>36</v>
      </c>
      <c r="B2" s="41" t="s">
        <v>56</v>
      </c>
    </row>
    <row r="3" spans="1:9" ht="12.75" customHeight="1" x14ac:dyDescent="0.3">
      <c r="A3" s="27" t="s">
        <v>31</v>
      </c>
      <c r="B3" s="28" t="e">
        <f>LOOKUP(B2,#REF!,#REF!)</f>
        <v>#REF!</v>
      </c>
    </row>
    <row r="4" spans="1:9" hidden="1" x14ac:dyDescent="0.3">
      <c r="A4" s="27" t="s">
        <v>32</v>
      </c>
      <c r="B4" s="28" t="e">
        <f>LOOKUP(B2,#REF!,#REF!)</f>
        <v>#REF!</v>
      </c>
    </row>
    <row r="5" spans="1:9" hidden="1" x14ac:dyDescent="0.3">
      <c r="A5" s="27" t="s">
        <v>33</v>
      </c>
      <c r="B5" s="28" t="e">
        <f>LOOKUP(B2,#REF!,#REF!)</f>
        <v>#REF!</v>
      </c>
    </row>
    <row r="6" spans="1:9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9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9" x14ac:dyDescent="0.3">
      <c r="A8" s="21"/>
      <c r="B8" s="21"/>
    </row>
    <row r="9" spans="1:9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9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IF(T_T13411121314[[#This Row],[Total]]&lt;0,T_T13411121314[[#This Row],[Total]]*-1,0)</f>
        <v>0</v>
      </c>
    </row>
    <row r="11" spans="1:9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6">
        <f>IF(T_T13411121314[[#This Row],[Total]]&lt;0,T_T13411121314[[#This Row],[Total]]*-1,0)</f>
        <v>0</v>
      </c>
    </row>
    <row r="12" spans="1:9" x14ac:dyDescent="0.3">
      <c r="A12" s="117"/>
      <c r="B12" s="118" t="s">
        <v>467</v>
      </c>
      <c r="C12" s="424"/>
      <c r="D12" s="425"/>
      <c r="E12" s="425"/>
      <c r="F12" s="425"/>
      <c r="G12" s="425"/>
      <c r="H12" s="426">
        <v>0</v>
      </c>
      <c r="I12" s="427">
        <f>IF(T_T13411121314[[#This Row],[Total]]&lt;0,T_T13411121314[[#This Row],[Total]]*-1,0)</f>
        <v>0</v>
      </c>
    </row>
    <row r="13" spans="1:9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6">
        <f>IF(T_T13411121314[[#This Row],[Total]]&lt;0,T_T13411121314[[#This Row],[Total]]*-1,0)</f>
        <v>0</v>
      </c>
    </row>
    <row r="14" spans="1:9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6">
        <f>IF(T_T13411121314[[#This Row],[Total]]&lt;0,T_T13411121314[[#This Row],[Total]]*-1,0)</f>
        <v>0</v>
      </c>
    </row>
    <row r="15" spans="1:9" x14ac:dyDescent="0.3">
      <c r="A15" s="17">
        <v>46052</v>
      </c>
      <c r="B15" s="18" t="s">
        <v>590</v>
      </c>
      <c r="C15" s="6"/>
      <c r="D15" s="2">
        <v>93</v>
      </c>
      <c r="E15" s="2">
        <v>10</v>
      </c>
      <c r="F15" s="20"/>
      <c r="G15" s="20">
        <f>SUM(D15:F15)</f>
        <v>103</v>
      </c>
      <c r="H15" s="233">
        <f>+H13+T_T13411121314[[#This Row],[Total]]</f>
        <v>103</v>
      </c>
      <c r="I15" s="6">
        <f>IF(T_T13411121314[[#This Row],[Total]]&lt;0,T_T13411121314[[#This Row],[Total]]*-1,0)</f>
        <v>0</v>
      </c>
    </row>
    <row r="16" spans="1:9" x14ac:dyDescent="0.3">
      <c r="A16" s="17"/>
      <c r="B16" s="18" t="s">
        <v>591</v>
      </c>
      <c r="C16" s="6">
        <v>8568</v>
      </c>
      <c r="D16" s="2">
        <v>-93</v>
      </c>
      <c r="E16" s="2">
        <v>-10</v>
      </c>
      <c r="F16" s="230"/>
      <c r="G16" s="230">
        <f t="shared" ref="G16:G38" si="0">SUM(D16:F16)</f>
        <v>-103</v>
      </c>
      <c r="H16" s="233">
        <f t="shared" ref="H16:H40" si="1">H15+G16</f>
        <v>0</v>
      </c>
      <c r="I16" s="6">
        <f>IF(T_T13411121314[[#This Row],[Total]]&lt;0,T_T13411121314[[#This Row],[Total]]*-1,0)</f>
        <v>103</v>
      </c>
    </row>
    <row r="17" spans="1:9" x14ac:dyDescent="0.3">
      <c r="A17" s="164">
        <v>45716</v>
      </c>
      <c r="B17" s="161" t="s">
        <v>592</v>
      </c>
      <c r="C17" s="6"/>
      <c r="D17" s="2">
        <v>93</v>
      </c>
      <c r="E17" s="2">
        <v>10</v>
      </c>
      <c r="F17" s="230"/>
      <c r="G17" s="230">
        <f t="shared" si="0"/>
        <v>103</v>
      </c>
      <c r="H17" s="233">
        <f t="shared" si="1"/>
        <v>103</v>
      </c>
      <c r="I17" s="6">
        <f>IF(T_T13411121314[[#This Row],[Total]]&lt;0,T_T13411121314[[#This Row],[Total]]*-1,0)</f>
        <v>0</v>
      </c>
    </row>
    <row r="18" spans="1:9" x14ac:dyDescent="0.3">
      <c r="A18" s="187"/>
      <c r="B18" s="18" t="s">
        <v>593</v>
      </c>
      <c r="C18" s="6">
        <v>8760</v>
      </c>
      <c r="D18" s="2">
        <v>-93</v>
      </c>
      <c r="E18" s="2">
        <v>-10</v>
      </c>
      <c r="F18" s="230"/>
      <c r="G18" s="230">
        <f t="shared" si="0"/>
        <v>-103</v>
      </c>
      <c r="H18" s="233">
        <f t="shared" si="1"/>
        <v>0</v>
      </c>
      <c r="I18" s="6">
        <f>IF(T_T13411121314[[#This Row],[Total]]&lt;0,T_T13411121314[[#This Row],[Total]]*-1,0)</f>
        <v>103</v>
      </c>
    </row>
    <row r="19" spans="1:9" x14ac:dyDescent="0.3">
      <c r="A19" s="188">
        <v>45747</v>
      </c>
      <c r="B19" s="3" t="s">
        <v>534</v>
      </c>
      <c r="C19" s="6"/>
      <c r="D19" s="2">
        <v>111</v>
      </c>
      <c r="E19" s="2">
        <v>15</v>
      </c>
      <c r="F19" s="230"/>
      <c r="G19" s="230">
        <f t="shared" si="0"/>
        <v>126</v>
      </c>
      <c r="H19" s="233">
        <f t="shared" si="1"/>
        <v>126</v>
      </c>
      <c r="I19" s="309">
        <f>IF(T_T13411121314[[#This Row],[Total]]&lt;0,T_T13411121314[[#This Row],[Total]]*-1,0)</f>
        <v>0</v>
      </c>
    </row>
    <row r="20" spans="1:9" x14ac:dyDescent="0.3">
      <c r="A20" s="188"/>
      <c r="B20" s="82" t="s">
        <v>535</v>
      </c>
      <c r="C20" s="6">
        <v>8936</v>
      </c>
      <c r="D20" s="2">
        <v>-111</v>
      </c>
      <c r="E20" s="2">
        <v>-15</v>
      </c>
      <c r="F20" s="230"/>
      <c r="G20" s="230">
        <f t="shared" si="0"/>
        <v>-126</v>
      </c>
      <c r="H20" s="233">
        <f t="shared" si="1"/>
        <v>0</v>
      </c>
      <c r="I20" s="311">
        <f>IF(T_T13411121314[[#This Row],[Total]]&lt;0,T_T13411121314[[#This Row],[Total]]*-1,0)</f>
        <v>126</v>
      </c>
    </row>
    <row r="21" spans="1:9" x14ac:dyDescent="0.3">
      <c r="A21" s="188">
        <v>45777</v>
      </c>
      <c r="B21" s="3" t="s">
        <v>536</v>
      </c>
      <c r="C21" s="6"/>
      <c r="D21" s="2">
        <v>111</v>
      </c>
      <c r="E21" s="2">
        <v>15</v>
      </c>
      <c r="F21" s="230"/>
      <c r="G21" s="230">
        <f t="shared" si="0"/>
        <v>126</v>
      </c>
      <c r="H21" s="233">
        <f t="shared" si="1"/>
        <v>126</v>
      </c>
      <c r="I21" s="309">
        <f>IF(T_T13411121314[[#This Row],[Total]]&lt;0,T_T13411121314[[#This Row],[Total]]*-1,0)</f>
        <v>0</v>
      </c>
    </row>
    <row r="22" spans="1:9" x14ac:dyDescent="0.3">
      <c r="A22" s="83"/>
      <c r="B22" s="82" t="s">
        <v>537</v>
      </c>
      <c r="C22" s="6">
        <v>8936</v>
      </c>
      <c r="D22" s="2">
        <v>-111</v>
      </c>
      <c r="E22" s="2">
        <v>-15</v>
      </c>
      <c r="F22" s="230"/>
      <c r="G22" s="230">
        <f t="shared" si="0"/>
        <v>-126</v>
      </c>
      <c r="H22" s="233">
        <f t="shared" si="1"/>
        <v>0</v>
      </c>
      <c r="I22" s="309">
        <f>IF(T_T13411121314[[#This Row],[Total]]&lt;0,T_T13411121314[[#This Row],[Total]]*-1,0)</f>
        <v>126</v>
      </c>
    </row>
    <row r="23" spans="1:9" x14ac:dyDescent="0.3">
      <c r="A23" s="40">
        <v>45807</v>
      </c>
      <c r="B23" s="3" t="s">
        <v>538</v>
      </c>
      <c r="C23" s="229"/>
      <c r="D23" s="230">
        <v>111</v>
      </c>
      <c r="E23" s="230">
        <v>15</v>
      </c>
      <c r="F23" s="230"/>
      <c r="G23" s="230">
        <f t="shared" si="0"/>
        <v>126</v>
      </c>
      <c r="H23" s="233">
        <f t="shared" si="1"/>
        <v>126</v>
      </c>
      <c r="I23" s="309">
        <f>IF(T_T13411121314[[#This Row],[Total]]&lt;0,T_T13411121314[[#This Row],[Total]]*-1,0)</f>
        <v>0</v>
      </c>
    </row>
    <row r="24" spans="1:9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126</v>
      </c>
      <c r="I24" s="311">
        <f>IF(T_T13411121314[[#This Row],[Total]]&lt;0,T_T13411121314[[#This Row],[Total]]*-1,0)</f>
        <v>0</v>
      </c>
    </row>
    <row r="25" spans="1:9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126</v>
      </c>
      <c r="I25" s="309">
        <f>IF(T_T13411121314[[#This Row],[Total]]&lt;0,T_T13411121314[[#This Row],[Total]]*-1,0)</f>
        <v>0</v>
      </c>
    </row>
    <row r="26" spans="1:9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126</v>
      </c>
      <c r="I26" s="309">
        <f>IF(T_T13411121314[[#This Row],[Total]]&lt;0,T_T13411121314[[#This Row],[Total]]*-1,0)</f>
        <v>0</v>
      </c>
    </row>
    <row r="27" spans="1:9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126</v>
      </c>
      <c r="I27" s="309">
        <f>IF(T_T13411121314[[#This Row],[Total]]&lt;0,T_T13411121314[[#This Row],[Total]]*-1,0)</f>
        <v>0</v>
      </c>
    </row>
    <row r="28" spans="1:9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126</v>
      </c>
      <c r="I28" s="311">
        <f>IF(T_T13411121314[[#This Row],[Total]]&lt;0,T_T13411121314[[#This Row],[Total]]*-1,0)</f>
        <v>0</v>
      </c>
    </row>
    <row r="29" spans="1:9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126</v>
      </c>
      <c r="I29" s="309">
        <f>IF(T_T13411121314[[#This Row],[Total]]&lt;0,T_T13411121314[[#This Row],[Total]]*-1,0)</f>
        <v>0</v>
      </c>
    </row>
    <row r="30" spans="1:9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126</v>
      </c>
      <c r="I30" s="309">
        <f>IF(T_T13411121314[[#This Row],[Total]]&lt;0,T_T13411121314[[#This Row],[Total]]*-1,0)</f>
        <v>0</v>
      </c>
    </row>
    <row r="31" spans="1:9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126</v>
      </c>
      <c r="I31" s="309">
        <f>IF(T_T13411121314[[#This Row],[Total]]&lt;0,T_T13411121314[[#This Row],[Total]]*-1,0)</f>
        <v>0</v>
      </c>
    </row>
    <row r="32" spans="1:9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126</v>
      </c>
      <c r="I32" s="309">
        <f>IF(T_T13411121314[[#This Row],[Total]]&lt;0,T_T13411121314[[#This Row],[Total]]*-1,0)</f>
        <v>0</v>
      </c>
    </row>
    <row r="33" spans="1:9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126</v>
      </c>
      <c r="I33" s="309">
        <f>IF(T_T13411121314[[#This Row],[Total]]&lt;0,T_T13411121314[[#This Row],[Total]]*-1,0)</f>
        <v>0</v>
      </c>
    </row>
    <row r="34" spans="1:9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126</v>
      </c>
      <c r="I34" s="309">
        <f>IF(T_T13411121314[[#This Row],[Total]]&lt;0,T_T13411121314[[#This Row],[Total]]*-1,0)</f>
        <v>0</v>
      </c>
    </row>
    <row r="35" spans="1:9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126</v>
      </c>
      <c r="I35" s="309">
        <f>IF(T_T13411121314[[#This Row],[Total]]&lt;0,T_T13411121314[[#This Row],[Total]]*-1,0)</f>
        <v>0</v>
      </c>
    </row>
    <row r="36" spans="1:9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126</v>
      </c>
      <c r="I36" s="311">
        <f>IF(T_T13411121314[[#This Row],[Total]]&lt;0,T_T13411121314[[#This Row],[Total]]*-1,0)</f>
        <v>0</v>
      </c>
    </row>
    <row r="37" spans="1:9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126</v>
      </c>
      <c r="I37" s="353">
        <f>IF(T_T13411121314[[#This Row],[Total]]&lt;0,T_T13411121314[[#This Row],[Total]]*-1,0)</f>
        <v>0</v>
      </c>
    </row>
    <row r="38" spans="1:9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126</v>
      </c>
      <c r="I38" s="353">
        <f>IF(T_T13411121314[[#This Row],[Total]]&lt;0,T_T13411121314[[#This Row],[Total]]*-1,0)</f>
        <v>0</v>
      </c>
    </row>
    <row r="39" spans="1:9" x14ac:dyDescent="0.3">
      <c r="A39" s="107"/>
      <c r="B39" s="82"/>
      <c r="C39" s="229"/>
      <c r="D39" s="230"/>
      <c r="E39" s="230"/>
      <c r="F39" s="230"/>
      <c r="G39" s="230">
        <f>SUM(D39:F47)</f>
        <v>0</v>
      </c>
      <c r="H39" s="233">
        <f t="shared" si="1"/>
        <v>126</v>
      </c>
      <c r="I39" s="353">
        <f>IF(T_T13411121314[[#This Row],[Total]]&lt;0,T_T13411121314[[#This Row],[Total]]*-1,0)</f>
        <v>0</v>
      </c>
    </row>
    <row r="40" spans="1:9" x14ac:dyDescent="0.3">
      <c r="A40" s="107"/>
      <c r="B40" s="82"/>
      <c r="C40" s="229"/>
      <c r="D40" s="230"/>
      <c r="E40" s="230"/>
      <c r="F40" s="230"/>
      <c r="G40" s="230">
        <f>SUM(D40:F48)</f>
        <v>0</v>
      </c>
      <c r="H40" s="233">
        <f t="shared" si="1"/>
        <v>126</v>
      </c>
      <c r="I40" s="353">
        <f>IF(T_T13411121314[[#This Row],[Total]]&lt;0,T_T13411121314[[#This Row],[Total]]*-1,0)</f>
        <v>0</v>
      </c>
    </row>
    <row r="41" spans="1:9" x14ac:dyDescent="0.3">
      <c r="A41" s="170"/>
      <c r="B41" s="18"/>
      <c r="C41" s="471"/>
      <c r="D41" s="472"/>
      <c r="E41" s="472"/>
      <c r="F41" s="472"/>
      <c r="G41" s="472"/>
      <c r="H41" s="483"/>
      <c r="I41" s="473">
        <f>IF(T_T13411121314[[#This Row],[Total]]&lt;0,T_T13411121314[[#This Row],[Total]]*-1,0)</f>
        <v>0</v>
      </c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scale="65" orientation="portrait" verticalDpi="360" r:id="rId2"/>
  <drawing r:id="rId3"/>
  <tableParts count="1">
    <tablePart r:id="rId4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2:M44"/>
  <sheetViews>
    <sheetView showGridLines="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4.6640625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0.6640625" bestFit="1" customWidth="1"/>
  </cols>
  <sheetData>
    <row r="2" spans="1:13" ht="15.6" x14ac:dyDescent="0.3">
      <c r="A2" s="27" t="s">
        <v>36</v>
      </c>
      <c r="B2" s="41" t="s">
        <v>57</v>
      </c>
    </row>
    <row r="3" spans="1:13" x14ac:dyDescent="0.3">
      <c r="A3" s="27" t="s">
        <v>31</v>
      </c>
      <c r="B3" s="28" t="e">
        <f>LOOKUP(B2,#REF!,#REF!)</f>
        <v>#REF!</v>
      </c>
    </row>
    <row r="4" spans="1:13" hidden="1" x14ac:dyDescent="0.3">
      <c r="A4" s="27" t="s">
        <v>32</v>
      </c>
      <c r="B4" s="28" t="e">
        <f>LOOKUP(B2,#REF!,#REF!)</f>
        <v>#REF!</v>
      </c>
    </row>
    <row r="5" spans="1:13" hidden="1" x14ac:dyDescent="0.3">
      <c r="A5" s="27" t="s">
        <v>33</v>
      </c>
      <c r="B5" s="28" t="e">
        <f>LOOKUP(B2,#REF!,#REF!)</f>
        <v>#REF!</v>
      </c>
    </row>
    <row r="6" spans="1:13" hidden="1" x14ac:dyDescent="0.3">
      <c r="A6" s="27" t="s">
        <v>34</v>
      </c>
      <c r="B6" s="72" t="e">
        <f>LOOKUP(B2,#REF!,#REF!)</f>
        <v>#REF!</v>
      </c>
      <c r="G6" s="25"/>
      <c r="H6" s="25"/>
    </row>
    <row r="7" spans="1:13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3" x14ac:dyDescent="0.3">
      <c r="A8" s="21"/>
      <c r="B8" s="21"/>
    </row>
    <row r="9" spans="1:13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13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IF(T_T1341112131415[[#This Row],[Total]]&lt;0,T_T1341112131415[[#This Row],[Total]]*-1,0)</f>
        <v>0</v>
      </c>
      <c r="M10" s="178"/>
    </row>
    <row r="11" spans="1:13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IF(T_T1341112131415[[#This Row],[Total]]&lt;0,T_T1341112131415[[#This Row],[Total]]*-1,0)</f>
        <v>0</v>
      </c>
    </row>
    <row r="12" spans="1:13" x14ac:dyDescent="0.3">
      <c r="A12" s="361"/>
      <c r="B12" s="362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IF(T_T1341112131415[[#This Row],[Total]]&lt;0,T_T1341112131415[[#This Row],[Total]]*-1,0)</f>
        <v>0</v>
      </c>
    </row>
    <row r="13" spans="1:13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IF(T_T1341112131415[[#This Row],[Total]]&lt;0,T_T1341112131415[[#This Row],[Total]]*-1,0)</f>
        <v>0</v>
      </c>
    </row>
    <row r="14" spans="1:13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IF(T_T1341112131415[[#This Row],[Total]]&lt;0,T_T1341112131415[[#This Row],[Total]]*-1,0)</f>
        <v>0</v>
      </c>
    </row>
    <row r="15" spans="1:13" x14ac:dyDescent="0.3">
      <c r="A15" s="17">
        <v>46052</v>
      </c>
      <c r="B15" s="18" t="s">
        <v>590</v>
      </c>
      <c r="C15" s="6"/>
      <c r="D15" s="2">
        <v>70</v>
      </c>
      <c r="E15" s="2">
        <v>10</v>
      </c>
      <c r="F15" s="20"/>
      <c r="G15" s="20">
        <f>SUM(D15:F15)</f>
        <v>80</v>
      </c>
      <c r="H15" s="233">
        <f>+H13+T_T1341112131415[[#This Row],[Total]]</f>
        <v>80</v>
      </c>
      <c r="I15" s="240">
        <f>IF(T_T1341112131415[[#This Row],[Total]]&lt;0,T_T1341112131415[[#This Row],[Total]]*-1,0)</f>
        <v>0</v>
      </c>
      <c r="K15" t="s">
        <v>562</v>
      </c>
    </row>
    <row r="16" spans="1:13" x14ac:dyDescent="0.3">
      <c r="A16" s="17"/>
      <c r="B16" s="18" t="s">
        <v>591</v>
      </c>
      <c r="C16" s="6">
        <v>8594</v>
      </c>
      <c r="D16" s="2">
        <v>-70</v>
      </c>
      <c r="E16" s="2">
        <v>-10</v>
      </c>
      <c r="F16" s="230"/>
      <c r="G16" s="230">
        <f t="shared" ref="G16:G38" si="0">SUM(D16:F16)</f>
        <v>-80</v>
      </c>
      <c r="H16" s="233">
        <f t="shared" ref="H16:H40" si="1">H15+G16</f>
        <v>0</v>
      </c>
      <c r="I16" s="240">
        <f>IF(T_T1341112131415[[#This Row],[Total]]&lt;0,T_T1341112131415[[#This Row],[Total]]*-1,0)</f>
        <v>80</v>
      </c>
    </row>
    <row r="17" spans="1:9" x14ac:dyDescent="0.3">
      <c r="A17" s="164">
        <v>45715</v>
      </c>
      <c r="B17" s="161" t="s">
        <v>532</v>
      </c>
      <c r="C17" s="6"/>
      <c r="D17" s="2">
        <v>70</v>
      </c>
      <c r="E17" s="2">
        <v>10</v>
      </c>
      <c r="F17" s="230"/>
      <c r="G17" s="230">
        <f t="shared" si="0"/>
        <v>80</v>
      </c>
      <c r="H17" s="233">
        <f t="shared" si="1"/>
        <v>80</v>
      </c>
      <c r="I17" s="240">
        <f>IF(T_T1341112131415[[#This Row],[Total]]&lt;0,T_T1341112131415[[#This Row],[Total]]*-1,0)</f>
        <v>0</v>
      </c>
    </row>
    <row r="18" spans="1:9" x14ac:dyDescent="0.3">
      <c r="A18" s="187"/>
      <c r="B18" s="18" t="s">
        <v>533</v>
      </c>
      <c r="C18" s="6">
        <v>8674</v>
      </c>
      <c r="D18" s="2">
        <v>-70</v>
      </c>
      <c r="E18" s="2">
        <v>-10</v>
      </c>
      <c r="F18" s="230"/>
      <c r="G18" s="230">
        <f t="shared" si="0"/>
        <v>-80</v>
      </c>
      <c r="H18" s="233">
        <f t="shared" si="1"/>
        <v>0</v>
      </c>
      <c r="I18" s="240">
        <f>IF(T_T1341112131415[[#This Row],[Total]]&lt;0,T_T1341112131415[[#This Row],[Total]]*-1,0)</f>
        <v>80</v>
      </c>
    </row>
    <row r="19" spans="1:9" x14ac:dyDescent="0.3">
      <c r="A19" s="188">
        <v>45747</v>
      </c>
      <c r="B19" s="3" t="s">
        <v>534</v>
      </c>
      <c r="C19" s="6"/>
      <c r="D19" s="2">
        <v>84</v>
      </c>
      <c r="E19" s="2">
        <v>15</v>
      </c>
      <c r="F19" s="230"/>
      <c r="G19" s="230">
        <f t="shared" si="0"/>
        <v>99</v>
      </c>
      <c r="H19" s="233">
        <f t="shared" si="1"/>
        <v>99</v>
      </c>
      <c r="I19" s="240">
        <f>IF(T_T1341112131415[[#This Row],[Total]]&lt;0,T_T1341112131415[[#This Row],[Total]]*-1,0)</f>
        <v>0</v>
      </c>
    </row>
    <row r="20" spans="1:9" x14ac:dyDescent="0.3">
      <c r="A20" s="188"/>
      <c r="B20" s="82" t="s">
        <v>535</v>
      </c>
      <c r="C20" s="6">
        <v>8856</v>
      </c>
      <c r="D20" s="2">
        <v>-84</v>
      </c>
      <c r="E20" s="2">
        <v>-15</v>
      </c>
      <c r="F20" s="230"/>
      <c r="G20" s="230">
        <f t="shared" si="0"/>
        <v>-99</v>
      </c>
      <c r="H20" s="233">
        <f t="shared" si="1"/>
        <v>0</v>
      </c>
      <c r="I20" s="240">
        <f>IF(T_T1341112131415[[#This Row],[Total]]&lt;0,T_T1341112131415[[#This Row],[Total]]*-1,0)</f>
        <v>99</v>
      </c>
    </row>
    <row r="21" spans="1:9" x14ac:dyDescent="0.3">
      <c r="A21" s="188">
        <v>45777</v>
      </c>
      <c r="B21" s="3" t="s">
        <v>536</v>
      </c>
      <c r="C21" s="6"/>
      <c r="D21" s="2">
        <v>84</v>
      </c>
      <c r="E21" s="2">
        <v>15</v>
      </c>
      <c r="F21" s="230"/>
      <c r="G21" s="230">
        <f t="shared" si="0"/>
        <v>99</v>
      </c>
      <c r="H21" s="233">
        <f t="shared" si="1"/>
        <v>99</v>
      </c>
      <c r="I21" s="309">
        <f>IF(T_T1341112131415[[#This Row],[Total]]&lt;0,T_T1341112131415[[#This Row],[Total]]*-1,0)</f>
        <v>0</v>
      </c>
    </row>
    <row r="22" spans="1:9" x14ac:dyDescent="0.3">
      <c r="A22" s="83"/>
      <c r="B22" s="82" t="s">
        <v>537</v>
      </c>
      <c r="C22" s="6">
        <v>8943</v>
      </c>
      <c r="D22" s="2">
        <v>-84</v>
      </c>
      <c r="E22" s="2">
        <v>-15</v>
      </c>
      <c r="F22" s="230"/>
      <c r="G22" s="230">
        <f t="shared" si="0"/>
        <v>-99</v>
      </c>
      <c r="H22" s="233">
        <f t="shared" si="1"/>
        <v>0</v>
      </c>
      <c r="I22" s="309">
        <f>IF(T_T1341112131415[[#This Row],[Total]]&lt;0,T_T1341112131415[[#This Row],[Total]]*-1,0)</f>
        <v>99</v>
      </c>
    </row>
    <row r="23" spans="1:9" x14ac:dyDescent="0.3">
      <c r="A23" s="40">
        <v>45807</v>
      </c>
      <c r="B23" s="3" t="s">
        <v>538</v>
      </c>
      <c r="C23" s="229"/>
      <c r="D23" s="230">
        <v>84</v>
      </c>
      <c r="E23" s="230">
        <v>10</v>
      </c>
      <c r="F23" s="230"/>
      <c r="G23" s="230">
        <f t="shared" si="0"/>
        <v>94</v>
      </c>
      <c r="H23" s="233">
        <f t="shared" si="1"/>
        <v>94</v>
      </c>
      <c r="I23" s="309">
        <f>IF(T_T1341112131415[[#This Row],[Total]]&lt;0,T_T1341112131415[[#This Row],[Total]]*-1,0)</f>
        <v>0</v>
      </c>
    </row>
    <row r="24" spans="1:9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94</v>
      </c>
      <c r="I24" s="309">
        <f>IF(T_T1341112131415[[#This Row],[Total]]&lt;0,T_T1341112131415[[#This Row],[Total]]*-1,0)</f>
        <v>0</v>
      </c>
    </row>
    <row r="25" spans="1:9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94</v>
      </c>
      <c r="I25" s="309">
        <f>IF(T_T1341112131415[[#This Row],[Total]]&lt;0,T_T1341112131415[[#This Row],[Total]]*-1,0)</f>
        <v>0</v>
      </c>
    </row>
    <row r="26" spans="1:9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94</v>
      </c>
      <c r="I26" s="309">
        <f>IF(T_T1341112131415[[#This Row],[Total]]&lt;0,T_T1341112131415[[#This Row],[Total]]*-1,0)</f>
        <v>0</v>
      </c>
    </row>
    <row r="27" spans="1:9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94</v>
      </c>
      <c r="I27" s="309">
        <f>IF(T_T1341112131415[[#This Row],[Total]]&lt;0,T_T1341112131415[[#This Row],[Total]]*-1,0)</f>
        <v>0</v>
      </c>
    </row>
    <row r="28" spans="1:9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94</v>
      </c>
      <c r="I28" s="309">
        <f>IF(T_T1341112131415[[#This Row],[Total]]&lt;0,T_T1341112131415[[#This Row],[Total]]*-1,0)</f>
        <v>0</v>
      </c>
    </row>
    <row r="29" spans="1:9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94</v>
      </c>
      <c r="I29" s="309">
        <f>IF(T_T1341112131415[[#This Row],[Total]]&lt;0,T_T1341112131415[[#This Row],[Total]]*-1,0)</f>
        <v>0</v>
      </c>
    </row>
    <row r="30" spans="1:9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94</v>
      </c>
      <c r="I30" s="309">
        <f>IF(T_T1341112131415[[#This Row],[Total]]&lt;0,T_T1341112131415[[#This Row],[Total]]*-1,0)</f>
        <v>0</v>
      </c>
    </row>
    <row r="31" spans="1:9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94</v>
      </c>
      <c r="I31" s="309">
        <f>IF(T_T1341112131415[[#This Row],[Total]]&lt;0,T_T1341112131415[[#This Row],[Total]]*-1,0)</f>
        <v>0</v>
      </c>
    </row>
    <row r="32" spans="1:9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94</v>
      </c>
      <c r="I32" s="309">
        <f>IF(T_T1341112131415[[#This Row],[Total]]&lt;0,T_T1341112131415[[#This Row],[Total]]*-1,0)</f>
        <v>0</v>
      </c>
    </row>
    <row r="33" spans="1:9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94</v>
      </c>
      <c r="I33" s="309">
        <f>IF(T_T1341112131415[[#This Row],[Total]]&lt;0,T_T1341112131415[[#This Row],[Total]]*-1,0)</f>
        <v>0</v>
      </c>
    </row>
    <row r="34" spans="1:9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94</v>
      </c>
      <c r="I34" s="309">
        <f>IF(T_T1341112131415[[#This Row],[Total]]&lt;0,T_T1341112131415[[#This Row],[Total]]*-1,0)</f>
        <v>0</v>
      </c>
    </row>
    <row r="35" spans="1:9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94</v>
      </c>
      <c r="I35" s="309">
        <f>IF(T_T1341112131415[[#This Row],[Total]]&lt;0,T_T1341112131415[[#This Row],[Total]]*-1,0)</f>
        <v>0</v>
      </c>
    </row>
    <row r="36" spans="1:9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94</v>
      </c>
      <c r="I36" s="309">
        <f>IF(T_T1341112131415[[#This Row],[Total]]&lt;0,T_T1341112131415[[#This Row],[Total]]*-1,0)</f>
        <v>0</v>
      </c>
    </row>
    <row r="37" spans="1:9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94</v>
      </c>
      <c r="I37" s="353">
        <f>IF(T_T1341112131415[[#This Row],[Total]]&lt;0,T_T1341112131415[[#This Row],[Total]]*-1,0)</f>
        <v>0</v>
      </c>
    </row>
    <row r="38" spans="1:9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94</v>
      </c>
      <c r="I38" s="353">
        <f>IF(T_T1341112131415[[#This Row],[Total]]&lt;0,T_T1341112131415[[#This Row],[Total]]*-1,0)</f>
        <v>0</v>
      </c>
    </row>
    <row r="39" spans="1:9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94</v>
      </c>
      <c r="I39" s="353">
        <f>IF(T_T1341112131415[[#This Row],[Total]]&lt;0,T_T1341112131415[[#This Row],[Total]]*-1,0)</f>
        <v>0</v>
      </c>
    </row>
    <row r="40" spans="1:9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94</v>
      </c>
      <c r="I40" s="353">
        <f>IF(T_T1341112131415[[#This Row],[Total]]&lt;0,T_T1341112131415[[#This Row],[Total]]*-1,0)</f>
        <v>0</v>
      </c>
    </row>
    <row r="41" spans="1:9" x14ac:dyDescent="0.3">
      <c r="A41" s="492"/>
      <c r="B41" s="493"/>
      <c r="C41" s="466"/>
      <c r="D41" s="467"/>
      <c r="E41" s="467"/>
      <c r="F41" s="467"/>
      <c r="G41" s="467"/>
      <c r="H41" s="474"/>
      <c r="I41" s="475"/>
    </row>
    <row r="44" spans="1:9" x14ac:dyDescent="0.3">
      <c r="D44" s="1">
        <f>+T_T1341112131415[[#Totals],[Expensas]]-D43</f>
        <v>0</v>
      </c>
      <c r="E44" s="1">
        <f>+T_T1341112131415[[#Totals],[Expensas]]-E43</f>
        <v>0</v>
      </c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orientation="portrait" verticalDpi="360" r:id="rId2"/>
  <drawing r:id="rId3"/>
  <tableParts count="1">
    <tablePart r:id="rId4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2:M41"/>
  <sheetViews>
    <sheetView showGridLines="0" topLeftCell="A8" zoomScale="85" zoomScaleNormal="85" workbookViewId="0">
      <selection activeCell="D24" sqref="D24"/>
    </sheetView>
  </sheetViews>
  <sheetFormatPr baseColWidth="10" defaultColWidth="9.109375" defaultRowHeight="14.4" x14ac:dyDescent="0.3"/>
  <cols>
    <col min="1" max="1" width="14.6640625" customWidth="1"/>
    <col min="2" max="2" width="37.5546875" customWidth="1"/>
    <col min="3" max="3" width="9.5546875" style="4" customWidth="1"/>
    <col min="4" max="4" width="12.6640625" style="1" customWidth="1"/>
    <col min="5" max="5" width="11.88671875" style="1" customWidth="1"/>
    <col min="6" max="6" width="0.44140625" style="1" customWidth="1"/>
    <col min="7" max="7" width="11.88671875" style="1" customWidth="1"/>
    <col min="8" max="8" width="12.44140625" style="1" customWidth="1"/>
    <col min="9" max="9" width="12.88671875" hidden="1" customWidth="1"/>
    <col min="12" max="12" width="10.6640625" bestFit="1" customWidth="1"/>
  </cols>
  <sheetData>
    <row r="2" spans="1:13" ht="15.6" x14ac:dyDescent="0.3">
      <c r="A2" s="27" t="s">
        <v>36</v>
      </c>
      <c r="B2" s="41" t="s">
        <v>58</v>
      </c>
    </row>
    <row r="3" spans="1:13" ht="14.25" customHeight="1" x14ac:dyDescent="0.3">
      <c r="A3" s="27" t="s">
        <v>31</v>
      </c>
      <c r="B3" s="42" t="s">
        <v>273</v>
      </c>
    </row>
    <row r="4" spans="1:13" hidden="1" x14ac:dyDescent="0.3">
      <c r="A4" s="27" t="s">
        <v>32</v>
      </c>
      <c r="B4" s="28" t="e">
        <f>LOOKUP(B2,#REF!,#REF!)</f>
        <v>#REF!</v>
      </c>
    </row>
    <row r="5" spans="1:13" hidden="1" x14ac:dyDescent="0.3">
      <c r="A5" s="27" t="s">
        <v>33</v>
      </c>
      <c r="B5" s="28" t="e">
        <f>LOOKUP(B2,#REF!,#REF!)</f>
        <v>#REF!</v>
      </c>
    </row>
    <row r="6" spans="1:13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3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3" x14ac:dyDescent="0.3">
      <c r="A8" s="21"/>
      <c r="B8" s="21"/>
    </row>
    <row r="9" spans="1:13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312" t="s">
        <v>188</v>
      </c>
    </row>
    <row r="10" spans="1:13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/>
      <c r="J10" s="313"/>
      <c r="L10" s="178"/>
    </row>
    <row r="11" spans="1:13" x14ac:dyDescent="0.3">
      <c r="A11" s="288"/>
      <c r="B11" s="118" t="s">
        <v>432</v>
      </c>
      <c r="C11" s="284"/>
      <c r="D11" s="380"/>
      <c r="E11" s="380"/>
      <c r="F11" s="285"/>
      <c r="G11" s="285"/>
      <c r="H11" s="10">
        <v>0</v>
      </c>
      <c r="I11" s="240">
        <f>IF(T_T134111213141516[[#This Row],[Total]]&lt;0,T_T134111213141516[[#This Row],[Total]]*-1,0)</f>
        <v>0</v>
      </c>
      <c r="J11" s="313"/>
    </row>
    <row r="12" spans="1:13" x14ac:dyDescent="0.3">
      <c r="A12" s="361"/>
      <c r="B12" s="118" t="s">
        <v>467</v>
      </c>
      <c r="C12" s="424"/>
      <c r="D12" s="431"/>
      <c r="E12" s="431"/>
      <c r="F12" s="425"/>
      <c r="G12" s="425"/>
      <c r="H12" s="426">
        <v>0</v>
      </c>
      <c r="I12" s="430">
        <f>IF(T_T134111213141516[[#This Row],[Total]]&lt;0,T_T134111213141516[[#This Row],[Total]]*-1,0)</f>
        <v>0</v>
      </c>
      <c r="J12" s="419"/>
    </row>
    <row r="13" spans="1:13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IF(T_T134111213141516[[#This Row],[Total]]&lt;0,T_T134111213141516[[#This Row],[Total]]*-1,0)</f>
        <v>0</v>
      </c>
      <c r="J13" s="313"/>
    </row>
    <row r="14" spans="1:13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IF(T_T134111213141516[[#This Row],[Total]]&lt;0,T_T134111213141516[[#This Row],[Total]]*-1,0)</f>
        <v>0</v>
      </c>
      <c r="J14" s="485"/>
    </row>
    <row r="15" spans="1:13" x14ac:dyDescent="0.3">
      <c r="A15" s="17">
        <v>46052</v>
      </c>
      <c r="B15" s="18" t="s">
        <v>590</v>
      </c>
      <c r="C15" s="6"/>
      <c r="D15" s="2">
        <v>134</v>
      </c>
      <c r="E15" s="2"/>
      <c r="F15" s="20"/>
      <c r="G15" s="20">
        <f>SUM(D15:F15)</f>
        <v>134</v>
      </c>
      <c r="H15" s="233">
        <f>+H13+T_T134111213141516[[#This Row],[Total]]</f>
        <v>134</v>
      </c>
      <c r="I15" s="240">
        <f>IF(T_T134111213141516[[#This Row],[Total]]&lt;0,T_T134111213141516[[#This Row],[Total]]*-1,0)</f>
        <v>0</v>
      </c>
      <c r="J15" s="313"/>
    </row>
    <row r="16" spans="1:13" x14ac:dyDescent="0.3">
      <c r="A16" s="17"/>
      <c r="B16" s="18" t="s">
        <v>591</v>
      </c>
      <c r="C16" s="6">
        <v>8730</v>
      </c>
      <c r="D16" s="2">
        <v>-134</v>
      </c>
      <c r="E16" s="2"/>
      <c r="F16" s="230"/>
      <c r="G16" s="230">
        <f t="shared" ref="G16:G38" si="0">SUM(D16:F16)</f>
        <v>-134</v>
      </c>
      <c r="H16" s="233">
        <f>+H15+T_T134111213141516[[#This Row],[Total]]</f>
        <v>0</v>
      </c>
      <c r="I16" s="240">
        <f>IF(T_T134111213141516[[#This Row],[Total]]&lt;0,T_T134111213141516[[#This Row],[Total]]*-1,0)</f>
        <v>134</v>
      </c>
      <c r="J16" s="313"/>
      <c r="M16" t="s">
        <v>566</v>
      </c>
    </row>
    <row r="17" spans="1:12" x14ac:dyDescent="0.3">
      <c r="A17" s="164">
        <v>45715</v>
      </c>
      <c r="B17" s="161" t="s">
        <v>532</v>
      </c>
      <c r="C17" s="6"/>
      <c r="D17" s="2">
        <v>134</v>
      </c>
      <c r="E17" s="2"/>
      <c r="F17" s="230"/>
      <c r="G17" s="230">
        <f t="shared" si="0"/>
        <v>134</v>
      </c>
      <c r="H17" s="233">
        <f>+H16+T_T134111213141516[[#This Row],[Total]]</f>
        <v>134</v>
      </c>
      <c r="I17" s="240">
        <f>IF(T_T134111213141516[[#This Row],[Total]]&lt;0,T_T134111213141516[[#This Row],[Total]]*-1,0)</f>
        <v>0</v>
      </c>
      <c r="J17" s="313"/>
    </row>
    <row r="18" spans="1:12" x14ac:dyDescent="0.3">
      <c r="A18" s="187"/>
      <c r="B18" s="18" t="s">
        <v>533</v>
      </c>
      <c r="C18" s="6">
        <v>8730</v>
      </c>
      <c r="D18" s="2">
        <v>-134</v>
      </c>
      <c r="E18" s="2"/>
      <c r="F18" s="230"/>
      <c r="G18" s="230">
        <f t="shared" si="0"/>
        <v>-134</v>
      </c>
      <c r="H18" s="233">
        <f>+H17+T_T134111213141516[[#This Row],[Total]]</f>
        <v>0</v>
      </c>
      <c r="I18" s="240">
        <f>IF(T_T134111213141516[[#This Row],[Total]]&lt;0,T_T134111213141516[[#This Row],[Total]]*-1,0)</f>
        <v>134</v>
      </c>
      <c r="J18" s="313"/>
    </row>
    <row r="19" spans="1:12" x14ac:dyDescent="0.3">
      <c r="A19" s="188">
        <v>45747</v>
      </c>
      <c r="B19" s="3" t="s">
        <v>534</v>
      </c>
      <c r="C19" s="6"/>
      <c r="D19" s="2">
        <v>160</v>
      </c>
      <c r="E19" s="2"/>
      <c r="F19" s="230"/>
      <c r="G19" s="230">
        <f t="shared" si="0"/>
        <v>160</v>
      </c>
      <c r="H19" s="233">
        <f>+H18+T_T134111213141516[[#This Row],[Total]]</f>
        <v>160</v>
      </c>
      <c r="I19" s="240">
        <f>IF(T_T134111213141516[[#This Row],[Total]]&lt;0,T_T134111213141516[[#This Row],[Total]]*-1,0)</f>
        <v>0</v>
      </c>
      <c r="J19" s="313"/>
    </row>
    <row r="20" spans="1:12" x14ac:dyDescent="0.3">
      <c r="A20" s="188"/>
      <c r="B20" s="82" t="s">
        <v>535</v>
      </c>
      <c r="C20" s="6"/>
      <c r="D20" s="2"/>
      <c r="E20" s="2"/>
      <c r="F20" s="230"/>
      <c r="G20" s="230">
        <f t="shared" si="0"/>
        <v>0</v>
      </c>
      <c r="H20" s="233">
        <f>+H19+T_T134111213141516[[#This Row],[Total]]</f>
        <v>160</v>
      </c>
      <c r="I20" s="240">
        <f>IF(T_T134111213141516[[#This Row],[Total]]&lt;0,T_T134111213141516[[#This Row],[Total]]*-1,0)</f>
        <v>0</v>
      </c>
      <c r="J20" s="313"/>
      <c r="L20" t="s">
        <v>366</v>
      </c>
    </row>
    <row r="21" spans="1:12" x14ac:dyDescent="0.3">
      <c r="A21" s="188">
        <v>45777</v>
      </c>
      <c r="B21" s="3" t="s">
        <v>536</v>
      </c>
      <c r="C21" s="6"/>
      <c r="D21" s="2">
        <v>160</v>
      </c>
      <c r="E21" s="2"/>
      <c r="F21" s="230"/>
      <c r="G21" s="230">
        <f t="shared" si="0"/>
        <v>160</v>
      </c>
      <c r="H21" s="233">
        <f>+H20+T_T134111213141516[[#This Row],[Total]]</f>
        <v>320</v>
      </c>
      <c r="I21" s="309">
        <f>IF(T_T134111213141516[[#This Row],[Total]]&lt;0,T_T134111213141516[[#This Row],[Total]]*-1,0)</f>
        <v>0</v>
      </c>
      <c r="J21" s="313"/>
    </row>
    <row r="22" spans="1:12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>+H21+T_T134111213141516[[#This Row],[Total]]</f>
        <v>320</v>
      </c>
      <c r="I22" s="309">
        <f>IF(T_T134111213141516[[#This Row],[Total]]&lt;0,T_T134111213141516[[#This Row],[Total]]*-1,0)</f>
        <v>0</v>
      </c>
      <c r="J22" s="313"/>
    </row>
    <row r="23" spans="1:12" x14ac:dyDescent="0.3">
      <c r="A23" s="40">
        <v>45807</v>
      </c>
      <c r="B23" s="3" t="s">
        <v>538</v>
      </c>
      <c r="C23" s="229"/>
      <c r="D23" s="230">
        <v>160</v>
      </c>
      <c r="E23" s="230"/>
      <c r="F23" s="230"/>
      <c r="G23" s="230">
        <f t="shared" si="0"/>
        <v>160</v>
      </c>
      <c r="H23" s="233">
        <f>+H22+T_T134111213141516[[#This Row],[Total]]</f>
        <v>480</v>
      </c>
      <c r="I23" s="309">
        <f>IF(T_T134111213141516[[#This Row],[Total]]&lt;0,T_T134111213141516[[#This Row],[Total]]*-1,0)</f>
        <v>0</v>
      </c>
      <c r="J23" s="313"/>
    </row>
    <row r="24" spans="1:12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>+H23+T_T134111213141516[[#This Row],[Total]]</f>
        <v>480</v>
      </c>
      <c r="I24" s="309">
        <f>IF(T_T134111213141516[[#This Row],[Total]]&lt;0,T_T134111213141516[[#This Row],[Total]]*-1,0)</f>
        <v>0</v>
      </c>
      <c r="J24" s="313"/>
    </row>
    <row r="25" spans="1:12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>+H24+T_T134111213141516[[#This Row],[Total]]</f>
        <v>480</v>
      </c>
      <c r="I25" s="309">
        <f>IF(T_T134111213141516[[#This Row],[Total]]&lt;0,T_T134111213141516[[#This Row],[Total]]*-1,0)</f>
        <v>0</v>
      </c>
      <c r="J25" s="313"/>
    </row>
    <row r="26" spans="1:12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>+H25+T_T134111213141516[[#This Row],[Total]]</f>
        <v>480</v>
      </c>
      <c r="I26" s="309">
        <f>IF(T_T134111213141516[[#This Row],[Total]]&lt;0,T_T134111213141516[[#This Row],[Total]]*-1,0)</f>
        <v>0</v>
      </c>
      <c r="J26" s="313"/>
    </row>
    <row r="27" spans="1:12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>+H26+T_T134111213141516[[#This Row],[Total]]</f>
        <v>480</v>
      </c>
      <c r="I27" s="309">
        <f>IF(T_T134111213141516[[#This Row],[Total]]&lt;0,T_T134111213141516[[#This Row],[Total]]*-1,0)</f>
        <v>0</v>
      </c>
      <c r="J27" s="313"/>
    </row>
    <row r="28" spans="1:12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>+H27+T_T134111213141516[[#This Row],[Total]]</f>
        <v>480</v>
      </c>
      <c r="I28" s="309">
        <f>IF(T_T134111213141516[[#This Row],[Total]]&lt;0,T_T134111213141516[[#This Row],[Total]]*-1,0)</f>
        <v>0</v>
      </c>
      <c r="J28" s="313"/>
    </row>
    <row r="29" spans="1:12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>+H28+T_T134111213141516[[#This Row],[Total]]</f>
        <v>480</v>
      </c>
      <c r="I29" s="309">
        <f>IF(T_T134111213141516[[#This Row],[Total]]&lt;0,T_T134111213141516[[#This Row],[Total]]*-1,0)</f>
        <v>0</v>
      </c>
      <c r="J29" s="313"/>
    </row>
    <row r="30" spans="1:12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>+H29+T_T134111213141516[[#This Row],[Total]]</f>
        <v>480</v>
      </c>
      <c r="I30" s="309">
        <f>IF(T_T134111213141516[[#This Row],[Total]]&lt;0,T_T134111213141516[[#This Row],[Total]]*-1,0)</f>
        <v>0</v>
      </c>
      <c r="J30" s="313"/>
    </row>
    <row r="31" spans="1:12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>+H30+T_T134111213141516[[#This Row],[Total]]</f>
        <v>480</v>
      </c>
      <c r="I31" s="309">
        <f>IF(T_T134111213141516[[#This Row],[Total]]&lt;0,T_T134111213141516[[#This Row],[Total]]*-1,0)</f>
        <v>0</v>
      </c>
      <c r="J31" s="313"/>
    </row>
    <row r="32" spans="1:12" x14ac:dyDescent="0.3">
      <c r="A32" s="9"/>
      <c r="B32" s="3" t="s">
        <v>547</v>
      </c>
      <c r="C32" s="6"/>
      <c r="D32" s="7"/>
      <c r="E32" s="230"/>
      <c r="F32" s="230"/>
      <c r="G32" s="230">
        <f t="shared" si="0"/>
        <v>0</v>
      </c>
      <c r="H32" s="233">
        <f t="shared" ref="H32:H40" si="1">H31+G32</f>
        <v>480</v>
      </c>
      <c r="I32" s="309">
        <f>IF(T_T134111213141516[[#This Row],[Total]]&lt;0,T_T134111213141516[[#This Row],[Total]]*-1,0)</f>
        <v>0</v>
      </c>
      <c r="J32" s="79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480</v>
      </c>
      <c r="I33" s="309">
        <f>IF(T_T134111213141516[[#This Row],[Total]]&lt;0,T_T134111213141516[[#This Row],[Total]]*-1,0)</f>
        <v>0</v>
      </c>
      <c r="J33" s="313"/>
    </row>
    <row r="34" spans="1:10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480</v>
      </c>
      <c r="I34" s="309">
        <f>IF(T_T134111213141516[[#This Row],[Total]]&lt;0,T_T134111213141516[[#This Row],[Total]]*-1,0)</f>
        <v>0</v>
      </c>
      <c r="J34" s="313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480</v>
      </c>
      <c r="I35" s="309">
        <f>IF(T_T134111213141516[[#This Row],[Total]]&lt;0,T_T134111213141516[[#This Row],[Total]]*-1,0)</f>
        <v>0</v>
      </c>
      <c r="J35" s="313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480</v>
      </c>
      <c r="I36" s="309">
        <f>IF(T_T134111213141516[[#This Row],[Total]]&lt;0,T_T134111213141516[[#This Row],[Total]]*-1,0)</f>
        <v>0</v>
      </c>
      <c r="J36" s="313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480</v>
      </c>
      <c r="I37" s="309">
        <f>IF(T_T134111213141516[[#This Row],[Total]]&lt;0,T_T134111213141516[[#This Row],[Total]]*-1,0)</f>
        <v>0</v>
      </c>
      <c r="J37" s="313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480</v>
      </c>
      <c r="I38" s="309">
        <f>IF(T_T134111213141516[[#This Row],[Total]]&lt;0,T_T134111213141516[[#This Row],[Total]]*-1,0)</f>
        <v>0</v>
      </c>
      <c r="J38" s="313"/>
    </row>
    <row r="39" spans="1:10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480</v>
      </c>
      <c r="I39" s="353">
        <f>IF(T_T134111213141516[[#This Row],[Total]]&lt;0,T_T134111213141516[[#This Row],[Total]]*-1,0)</f>
        <v>0</v>
      </c>
      <c r="J39" s="354"/>
    </row>
    <row r="40" spans="1:10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480</v>
      </c>
      <c r="I40" s="353">
        <f>IF(T_T134111213141516[[#This Row],[Total]]&lt;0,T_T134111213141516[[#This Row],[Total]]*-1,0)</f>
        <v>0</v>
      </c>
      <c r="J40" s="354"/>
    </row>
    <row r="41" spans="1:10" x14ac:dyDescent="0.3">
      <c r="A41" s="492"/>
      <c r="B41" s="493"/>
      <c r="C41" s="466"/>
      <c r="D41" s="467"/>
      <c r="E41" s="467"/>
      <c r="F41" s="467"/>
      <c r="G41" s="467"/>
      <c r="H41" s="474"/>
      <c r="I41" s="475"/>
      <c r="J41" s="480"/>
    </row>
  </sheetData>
  <hyperlinks>
    <hyperlink ref="B7" r:id="rId1" display="jose.orozco@outlook.com"/>
    <hyperlink ref="H7" location="Resumen!A1" display="Rsumen         "/>
  </hyperlinks>
  <pageMargins left="0.38" right="0.2" top="0.89" bottom="0.74803149606299213" header="0.31496062992125984" footer="0.31496062992125984"/>
  <pageSetup scale="90" orientation="portrait" verticalDpi="360" r:id="rId2"/>
  <drawing r:id="rId3"/>
  <tableParts count="1">
    <tablePart r:id="rId4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2:L42"/>
  <sheetViews>
    <sheetView showGridLines="0" topLeftCell="A17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41" customWidth="1"/>
    <col min="3" max="3" width="12" style="4" customWidth="1"/>
    <col min="4" max="4" width="11.664062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2" max="12" width="10.6640625" bestFit="1" customWidth="1"/>
  </cols>
  <sheetData>
    <row r="2" spans="1:10" ht="15.6" x14ac:dyDescent="0.3">
      <c r="A2" s="27" t="s">
        <v>36</v>
      </c>
      <c r="B2" s="41" t="s">
        <v>59</v>
      </c>
    </row>
    <row r="3" spans="1:10" ht="12" customHeight="1" x14ac:dyDescent="0.3">
      <c r="A3" s="27" t="s">
        <v>31</v>
      </c>
      <c r="B3" s="28" t="e">
        <f>LOOKUP(B2,#REF!,#REF!)</f>
        <v>#REF!</v>
      </c>
    </row>
    <row r="4" spans="1:10" hidden="1" x14ac:dyDescent="0.3">
      <c r="A4" s="27" t="s">
        <v>32</v>
      </c>
      <c r="B4" s="28" t="e">
        <f>LOOKUP(B2,#REF!,#REF!)</f>
        <v>#REF!</v>
      </c>
    </row>
    <row r="5" spans="1:10" hidden="1" x14ac:dyDescent="0.3">
      <c r="A5" s="27" t="s">
        <v>33</v>
      </c>
      <c r="B5" s="28" t="e">
        <f>LOOKUP(B2,#REF!,#REF!)</f>
        <v>#REF!</v>
      </c>
    </row>
    <row r="6" spans="1:10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0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0" x14ac:dyDescent="0.3">
      <c r="A8" s="21"/>
      <c r="B8" s="21"/>
    </row>
    <row r="9" spans="1:10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312" t="s">
        <v>188</v>
      </c>
    </row>
    <row r="10" spans="1:10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IF(T_T13411121314151617[[#This Row],[Total]]&lt;0,T_T13411121314151617[[#This Row],[Total]]*-1,0)</f>
        <v>0</v>
      </c>
      <c r="J10" s="310"/>
    </row>
    <row r="11" spans="1:10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IF(T_T13411121314151617[[#This Row],[Total]]&lt;0,T_T13411121314151617[[#This Row],[Total]]*-1,0)</f>
        <v>0</v>
      </c>
      <c r="J11" s="309"/>
    </row>
    <row r="12" spans="1:10" x14ac:dyDescent="0.3">
      <c r="A12" s="432"/>
      <c r="B12" s="118" t="s">
        <v>467</v>
      </c>
      <c r="C12" s="433"/>
      <c r="D12" s="425"/>
      <c r="E12" s="425"/>
      <c r="F12" s="425"/>
      <c r="G12" s="425"/>
      <c r="H12" s="426">
        <v>0</v>
      </c>
      <c r="I12" s="430">
        <f>IF(T_T13411121314151617[[#This Row],[Total]]&lt;0,T_T13411121314151617[[#This Row],[Total]]*-1,0)</f>
        <v>0</v>
      </c>
      <c r="J12" s="430"/>
    </row>
    <row r="13" spans="1:10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IF(T_T13411121314151617[[#This Row],[Total]]&lt;0,T_T13411121314151617[[#This Row],[Total]]*-1,0)</f>
        <v>0</v>
      </c>
      <c r="J13" s="309"/>
    </row>
    <row r="14" spans="1:10" x14ac:dyDescent="0.3">
      <c r="A14" s="288"/>
      <c r="B14" s="118" t="s">
        <v>529</v>
      </c>
      <c r="C14" s="488"/>
      <c r="D14" s="482"/>
      <c r="E14" s="482"/>
      <c r="F14" s="482"/>
      <c r="G14" s="482"/>
      <c r="H14" s="484"/>
      <c r="I14" s="473">
        <f>IF(T_T13411121314151617[[#This Row],[Total]]&lt;0,T_T13411121314151617[[#This Row],[Total]]*-1,0)</f>
        <v>0</v>
      </c>
      <c r="J14" s="473"/>
    </row>
    <row r="15" spans="1:10" x14ac:dyDescent="0.3">
      <c r="A15" s="17">
        <v>46052</v>
      </c>
      <c r="B15" s="18" t="s">
        <v>590</v>
      </c>
      <c r="C15" s="6"/>
      <c r="D15" s="2">
        <v>117</v>
      </c>
      <c r="E15" s="2">
        <v>10</v>
      </c>
      <c r="F15" s="20"/>
      <c r="G15" s="20">
        <f>SUM(D15:F15)</f>
        <v>127</v>
      </c>
      <c r="H15" s="233">
        <f>+H13+T_T13411121314151617[[#This Row],[Total]]</f>
        <v>127</v>
      </c>
      <c r="I15" s="240">
        <f>IF(T_T13411121314151617[[#This Row],[Total]]&lt;0,T_T13411121314151617[[#This Row],[Total]]*-1,0)</f>
        <v>0</v>
      </c>
      <c r="J15" s="309"/>
    </row>
    <row r="16" spans="1:10" x14ac:dyDescent="0.3">
      <c r="A16" s="17"/>
      <c r="B16" s="18" t="s">
        <v>591</v>
      </c>
      <c r="C16" s="6">
        <v>8940</v>
      </c>
      <c r="D16" s="2">
        <f>-82-35</f>
        <v>-117</v>
      </c>
      <c r="E16" s="2">
        <v>-10</v>
      </c>
      <c r="F16" s="230"/>
      <c r="G16" s="230">
        <f t="shared" ref="G16:G38" si="0">SUM(D16:F16)</f>
        <v>-127</v>
      </c>
      <c r="H16" s="233">
        <f t="shared" ref="H16:H38" si="1">H15+G16</f>
        <v>0</v>
      </c>
      <c r="I16" s="239">
        <f>IF(T_T13411121314151617[[#This Row],[Total]]&lt;0,T_T13411121314151617[[#This Row],[Total]]*-1,0)</f>
        <v>127</v>
      </c>
      <c r="J16" s="309"/>
    </row>
    <row r="17" spans="1:12" x14ac:dyDescent="0.3">
      <c r="A17" s="164">
        <v>45715</v>
      </c>
      <c r="B17" s="161" t="s">
        <v>532</v>
      </c>
      <c r="C17" s="6"/>
      <c r="D17" s="2">
        <v>117</v>
      </c>
      <c r="E17" s="2">
        <v>10</v>
      </c>
      <c r="F17" s="230"/>
      <c r="G17" s="230">
        <f t="shared" si="0"/>
        <v>127</v>
      </c>
      <c r="H17" s="233">
        <f t="shared" si="1"/>
        <v>127</v>
      </c>
      <c r="I17" s="240">
        <f>IF(T_T13411121314151617[[#This Row],[Total]]&lt;0,T_T13411121314151617[[#This Row],[Total]]*-1,0)</f>
        <v>0</v>
      </c>
      <c r="J17" s="309"/>
      <c r="L17" t="s">
        <v>465</v>
      </c>
    </row>
    <row r="18" spans="1:12" x14ac:dyDescent="0.3">
      <c r="A18" s="187"/>
      <c r="B18" s="18" t="s">
        <v>533</v>
      </c>
      <c r="C18" s="6">
        <v>8941</v>
      </c>
      <c r="D18" s="2">
        <f>-82-35</f>
        <v>-117</v>
      </c>
      <c r="E18" s="2">
        <v>-10</v>
      </c>
      <c r="F18" s="230"/>
      <c r="G18" s="230">
        <f t="shared" si="0"/>
        <v>-127</v>
      </c>
      <c r="H18" s="233">
        <f t="shared" si="1"/>
        <v>0</v>
      </c>
      <c r="I18" s="240">
        <f>IF(T_T13411121314151617[[#This Row],[Total]]&lt;0,T_T13411121314151617[[#This Row],[Total]]*-1,0)</f>
        <v>127</v>
      </c>
      <c r="J18" s="309"/>
    </row>
    <row r="19" spans="1:12" x14ac:dyDescent="0.3">
      <c r="A19" s="188">
        <v>45747</v>
      </c>
      <c r="B19" s="3" t="s">
        <v>534</v>
      </c>
      <c r="C19" s="6"/>
      <c r="D19" s="2">
        <f>99+40</f>
        <v>139</v>
      </c>
      <c r="E19" s="2">
        <v>15</v>
      </c>
      <c r="F19" s="230"/>
      <c r="G19" s="230">
        <f t="shared" si="0"/>
        <v>154</v>
      </c>
      <c r="H19" s="233">
        <f t="shared" si="1"/>
        <v>154</v>
      </c>
      <c r="I19" s="240">
        <f>IF(T_T13411121314151617[[#This Row],[Total]]&lt;0,T_T13411121314151617[[#This Row],[Total]]*-1,0)</f>
        <v>0</v>
      </c>
      <c r="J19" s="309"/>
    </row>
    <row r="20" spans="1:12" x14ac:dyDescent="0.3">
      <c r="A20" s="188"/>
      <c r="B20" s="82" t="s">
        <v>535</v>
      </c>
      <c r="C20" s="6">
        <v>8942</v>
      </c>
      <c r="D20" s="2">
        <f>-99-35</f>
        <v>-134</v>
      </c>
      <c r="E20" s="2">
        <v>-15</v>
      </c>
      <c r="F20" s="230"/>
      <c r="G20" s="230">
        <f t="shared" si="0"/>
        <v>-149</v>
      </c>
      <c r="H20" s="233">
        <f t="shared" si="1"/>
        <v>5</v>
      </c>
      <c r="I20" s="239">
        <f>IF(T_T13411121314151617[[#This Row],[Total]]&lt;0,T_T13411121314151617[[#This Row],[Total]]*-1,0)</f>
        <v>149</v>
      </c>
      <c r="J20" s="309"/>
    </row>
    <row r="21" spans="1:12" x14ac:dyDescent="0.3">
      <c r="A21" s="188">
        <v>45777</v>
      </c>
      <c r="B21" s="3" t="s">
        <v>536</v>
      </c>
      <c r="C21" s="6"/>
      <c r="D21" s="2">
        <v>139</v>
      </c>
      <c r="E21" s="2">
        <v>15</v>
      </c>
      <c r="F21" s="230"/>
      <c r="G21" s="230">
        <f t="shared" si="0"/>
        <v>154</v>
      </c>
      <c r="H21" s="233">
        <f t="shared" si="1"/>
        <v>159</v>
      </c>
      <c r="I21" s="240">
        <f>IF(T_T13411121314151617[[#This Row],[Total]]&lt;0,T_T13411121314151617[[#This Row],[Total]]*-1,0)</f>
        <v>0</v>
      </c>
      <c r="J21" s="309"/>
    </row>
    <row r="22" spans="1:12" x14ac:dyDescent="0.3">
      <c r="A22" s="83"/>
      <c r="B22" s="82" t="s">
        <v>537</v>
      </c>
      <c r="C22" s="6">
        <v>8944</v>
      </c>
      <c r="D22" s="2">
        <f>-99-35</f>
        <v>-134</v>
      </c>
      <c r="E22" s="2">
        <v>-15</v>
      </c>
      <c r="F22" s="230"/>
      <c r="G22" s="230">
        <f t="shared" si="0"/>
        <v>-149</v>
      </c>
      <c r="H22" s="233">
        <f t="shared" si="1"/>
        <v>10</v>
      </c>
      <c r="I22" s="240">
        <f>IF(T_T13411121314151617[[#This Row],[Total]]&lt;0,T_T13411121314151617[[#This Row],[Total]]*-1,0)</f>
        <v>149</v>
      </c>
      <c r="J22" s="309"/>
    </row>
    <row r="23" spans="1:12" x14ac:dyDescent="0.3">
      <c r="A23" s="40">
        <v>45807</v>
      </c>
      <c r="B23" s="3" t="s">
        <v>538</v>
      </c>
      <c r="C23" s="229"/>
      <c r="D23" s="230">
        <v>139</v>
      </c>
      <c r="E23" s="230">
        <v>10</v>
      </c>
      <c r="F23" s="230"/>
      <c r="G23" s="230">
        <f t="shared" si="0"/>
        <v>149</v>
      </c>
      <c r="H23" s="233">
        <f t="shared" si="1"/>
        <v>159</v>
      </c>
      <c r="I23" s="240">
        <f>IF(T_T13411121314151617[[#This Row],[Total]]&lt;0,T_T13411121314151617[[#This Row],[Total]]*-1,0)</f>
        <v>0</v>
      </c>
      <c r="J23" s="309"/>
    </row>
    <row r="24" spans="1:12" x14ac:dyDescent="0.3">
      <c r="A24" s="9"/>
      <c r="B24" s="18" t="s">
        <v>539</v>
      </c>
      <c r="C24" s="6"/>
      <c r="D24" s="2">
        <v>-35</v>
      </c>
      <c r="E24" s="230"/>
      <c r="F24" s="230"/>
      <c r="G24" s="230">
        <f t="shared" si="0"/>
        <v>-35</v>
      </c>
      <c r="H24" s="233">
        <f t="shared" si="1"/>
        <v>124</v>
      </c>
      <c r="I24" s="239">
        <f>IF(T_T13411121314151617[[#This Row],[Total]]&lt;0,T_T13411121314151617[[#This Row],[Total]]*-1,0)</f>
        <v>35</v>
      </c>
      <c r="J24" s="309"/>
    </row>
    <row r="25" spans="1:12" x14ac:dyDescent="0.3">
      <c r="A25" s="9">
        <v>45838</v>
      </c>
      <c r="B25" s="3" t="s">
        <v>540</v>
      </c>
      <c r="C25" s="229"/>
      <c r="D25" s="2"/>
      <c r="E25" s="230"/>
      <c r="F25" s="230"/>
      <c r="G25" s="230">
        <f t="shared" si="0"/>
        <v>0</v>
      </c>
      <c r="H25" s="233">
        <f t="shared" si="1"/>
        <v>124</v>
      </c>
      <c r="I25" s="309">
        <f>IF(T_T13411121314151617[[#This Row],[Total]]&lt;0,T_T13411121314151617[[#This Row],[Total]]*-1,0)</f>
        <v>0</v>
      </c>
      <c r="J25" s="309"/>
    </row>
    <row r="26" spans="1:12" x14ac:dyDescent="0.3">
      <c r="A26" s="9"/>
      <c r="B26" s="18" t="s">
        <v>541</v>
      </c>
      <c r="C26" s="6"/>
      <c r="D26" s="2">
        <v>-35</v>
      </c>
      <c r="E26" s="230"/>
      <c r="F26" s="230"/>
      <c r="G26" s="230">
        <f t="shared" si="0"/>
        <v>-35</v>
      </c>
      <c r="H26" s="233">
        <f t="shared" si="1"/>
        <v>89</v>
      </c>
      <c r="I26" s="309">
        <f>IF(T_T13411121314151617[[#This Row],[Total]]&lt;0,T_T13411121314151617[[#This Row],[Total]]*-1,0)</f>
        <v>35</v>
      </c>
      <c r="J26" s="309"/>
    </row>
    <row r="27" spans="1:12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89</v>
      </c>
      <c r="I27" s="309">
        <f>IF(T_T13411121314151617[[#This Row],[Total]]&lt;0,T_T13411121314151617[[#This Row],[Total]]*-1,0)</f>
        <v>0</v>
      </c>
      <c r="J27" s="309"/>
    </row>
    <row r="28" spans="1:12" x14ac:dyDescent="0.3">
      <c r="A28" s="107"/>
      <c r="B28" s="82" t="s">
        <v>543</v>
      </c>
      <c r="C28" s="6"/>
      <c r="D28" s="2">
        <v>-35</v>
      </c>
      <c r="E28" s="230"/>
      <c r="F28" s="230"/>
      <c r="G28" s="230">
        <f t="shared" si="0"/>
        <v>-35</v>
      </c>
      <c r="H28" s="233">
        <f t="shared" si="1"/>
        <v>54</v>
      </c>
      <c r="I28" s="311">
        <f>IF(T_T13411121314151617[[#This Row],[Total]]&lt;0,T_T13411121314151617[[#This Row],[Total]]*-1,0)</f>
        <v>35</v>
      </c>
      <c r="J28" s="311"/>
    </row>
    <row r="29" spans="1:12" x14ac:dyDescent="0.3">
      <c r="A29" s="107">
        <v>45899</v>
      </c>
      <c r="B29" s="82" t="s">
        <v>544</v>
      </c>
      <c r="C29" s="229"/>
      <c r="D29" s="2"/>
      <c r="E29" s="230"/>
      <c r="F29" s="230"/>
      <c r="G29" s="230">
        <f t="shared" si="0"/>
        <v>0</v>
      </c>
      <c r="H29" s="233">
        <f t="shared" si="1"/>
        <v>54</v>
      </c>
      <c r="I29" s="309">
        <f>IF(T_T13411121314151617[[#This Row],[Total]]&lt;0,T_T13411121314151617[[#This Row],[Total]]*-1,0)</f>
        <v>0</v>
      </c>
      <c r="J29" s="309"/>
    </row>
    <row r="30" spans="1:12" x14ac:dyDescent="0.3">
      <c r="A30" s="107"/>
      <c r="B30" s="82" t="s">
        <v>545</v>
      </c>
      <c r="C30" s="6"/>
      <c r="D30" s="2">
        <v>-35</v>
      </c>
      <c r="E30" s="230"/>
      <c r="F30" s="230"/>
      <c r="G30" s="230">
        <f t="shared" si="0"/>
        <v>-35</v>
      </c>
      <c r="H30" s="233">
        <f t="shared" si="1"/>
        <v>19</v>
      </c>
      <c r="I30" s="309">
        <f>IF(T_T13411121314151617[[#This Row],[Total]]&lt;0,T_T13411121314151617[[#This Row],[Total]]*-1,0)</f>
        <v>35</v>
      </c>
      <c r="J30" s="309"/>
    </row>
    <row r="31" spans="1:12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19</v>
      </c>
      <c r="I31" s="309">
        <f>IF(T_T13411121314151617[[#This Row],[Total]]&lt;0,T_T13411121314151617[[#This Row],[Total]]*-1,0)</f>
        <v>0</v>
      </c>
      <c r="J31" s="309"/>
    </row>
    <row r="32" spans="1:12" x14ac:dyDescent="0.3">
      <c r="A32" s="9"/>
      <c r="B32" s="3" t="s">
        <v>547</v>
      </c>
      <c r="C32" s="6"/>
      <c r="D32" s="2">
        <v>-35</v>
      </c>
      <c r="E32" s="230"/>
      <c r="F32" s="230"/>
      <c r="G32" s="230">
        <f t="shared" si="0"/>
        <v>-35</v>
      </c>
      <c r="H32" s="233">
        <f t="shared" si="1"/>
        <v>-16</v>
      </c>
      <c r="I32" s="309">
        <f>IF(T_T13411121314151617[[#This Row],[Total]]&lt;0,T_T13411121314151617[[#This Row],[Total]]*-1,0)</f>
        <v>35</v>
      </c>
      <c r="J32" s="309"/>
    </row>
    <row r="33" spans="1:10" x14ac:dyDescent="0.3">
      <c r="A33" s="9">
        <v>45960</v>
      </c>
      <c r="B33" s="3" t="s">
        <v>548</v>
      </c>
      <c r="C33" s="229"/>
      <c r="D33" s="2"/>
      <c r="E33" s="7"/>
      <c r="F33" s="230"/>
      <c r="G33" s="230">
        <f t="shared" si="0"/>
        <v>0</v>
      </c>
      <c r="H33" s="233">
        <f t="shared" si="1"/>
        <v>-16</v>
      </c>
      <c r="I33" s="309">
        <f>IF(T_T13411121314151617[[#This Row],[Total]]&lt;0,T_T13411121314151617[[#This Row],[Total]]*-1,0)</f>
        <v>0</v>
      </c>
      <c r="J33" s="309"/>
    </row>
    <row r="34" spans="1:10" x14ac:dyDescent="0.3">
      <c r="A34" s="9"/>
      <c r="B34" s="3" t="s">
        <v>549</v>
      </c>
      <c r="C34" s="6"/>
      <c r="D34" s="2">
        <v>-35</v>
      </c>
      <c r="E34" s="230"/>
      <c r="F34" s="230"/>
      <c r="G34" s="230">
        <f t="shared" si="0"/>
        <v>-35</v>
      </c>
      <c r="H34" s="233">
        <f t="shared" si="1"/>
        <v>-51</v>
      </c>
      <c r="I34" s="309">
        <f>IF(T_T13411121314151617[[#This Row],[Total]]&lt;0,T_T13411121314151617[[#This Row],[Total]]*-1,0)</f>
        <v>35</v>
      </c>
      <c r="J34" s="309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-51</v>
      </c>
      <c r="I35" s="309">
        <f>IF(T_T13411121314151617[[#This Row],[Total]]&lt;0,T_T13411121314151617[[#This Row],[Total]]*-1,0)</f>
        <v>0</v>
      </c>
      <c r="J35" s="309"/>
    </row>
    <row r="36" spans="1:10" x14ac:dyDescent="0.3">
      <c r="A36" s="17"/>
      <c r="B36" s="18" t="s">
        <v>551</v>
      </c>
      <c r="C36" s="6"/>
      <c r="D36" s="2">
        <v>-35</v>
      </c>
      <c r="E36" s="230"/>
      <c r="F36" s="230"/>
      <c r="G36" s="230">
        <f t="shared" si="0"/>
        <v>-35</v>
      </c>
      <c r="H36" s="233">
        <f t="shared" si="1"/>
        <v>-86</v>
      </c>
      <c r="I36" s="309">
        <f>IF(T_T13411121314151617[[#This Row],[Total]]&lt;0,T_T13411121314151617[[#This Row],[Total]]*-1,0)</f>
        <v>35</v>
      </c>
      <c r="J36" s="309"/>
    </row>
    <row r="37" spans="1:10" x14ac:dyDescent="0.3">
      <c r="A37" s="188">
        <v>46021</v>
      </c>
      <c r="B37" s="3" t="s">
        <v>552</v>
      </c>
      <c r="C37" s="229"/>
      <c r="D37" s="2"/>
      <c r="E37" s="230"/>
      <c r="F37" s="230"/>
      <c r="G37" s="230">
        <f t="shared" si="0"/>
        <v>0</v>
      </c>
      <c r="H37" s="233">
        <f t="shared" si="1"/>
        <v>-86</v>
      </c>
      <c r="I37" s="311">
        <f>IF(T_T13411121314151617[[#This Row],[Total]]&lt;0,T_T13411121314151617[[#This Row],[Total]]*-1,0)</f>
        <v>0</v>
      </c>
      <c r="J37" s="311"/>
    </row>
    <row r="38" spans="1:10" x14ac:dyDescent="0.3">
      <c r="A38" s="257"/>
      <c r="B38" s="110" t="s">
        <v>553</v>
      </c>
      <c r="C38" s="6"/>
      <c r="D38" s="2">
        <v>-35</v>
      </c>
      <c r="E38" s="230"/>
      <c r="F38" s="230"/>
      <c r="G38" s="230">
        <f t="shared" si="0"/>
        <v>-35</v>
      </c>
      <c r="H38" s="233">
        <f t="shared" si="1"/>
        <v>-121</v>
      </c>
      <c r="I38" s="353">
        <f>IF(T_T13411121314151617[[#This Row],[Total]]&lt;0,T_T13411121314151617[[#This Row],[Total]]*-1,0)</f>
        <v>35</v>
      </c>
      <c r="J38" s="353"/>
    </row>
    <row r="39" spans="1:10" x14ac:dyDescent="0.3">
      <c r="A39" s="107"/>
      <c r="B39" s="82"/>
      <c r="C39" s="381"/>
      <c r="D39" s="377"/>
      <c r="E39" s="377"/>
      <c r="F39" s="377"/>
      <c r="G39" s="230"/>
      <c r="H39" s="233"/>
      <c r="I39" s="353">
        <f>IF(T_T13411121314151617[[#This Row],[Total]]&lt;0,T_T13411121314151617[[#This Row],[Total]]*-1,0)</f>
        <v>0</v>
      </c>
      <c r="J39" s="353"/>
    </row>
    <row r="40" spans="1:10" x14ac:dyDescent="0.3">
      <c r="A40" s="107"/>
      <c r="B40" s="82"/>
      <c r="C40" s="381"/>
      <c r="D40" s="377"/>
      <c r="E40" s="377"/>
      <c r="F40" s="377"/>
      <c r="G40" s="230"/>
      <c r="H40" s="233"/>
      <c r="I40" s="353">
        <f>IF(T_T13411121314151617[[#This Row],[Total]]&lt;0,T_T13411121314151617[[#This Row],[Total]]*-1,0)</f>
        <v>0</v>
      </c>
      <c r="J40" s="353"/>
    </row>
    <row r="41" spans="1:10" x14ac:dyDescent="0.3">
      <c r="A41" s="170"/>
      <c r="B41" s="18"/>
      <c r="C41" s="229"/>
      <c r="D41" s="230"/>
      <c r="E41" s="230"/>
      <c r="F41" s="230"/>
      <c r="G41" s="230"/>
      <c r="H41" s="233"/>
      <c r="I41" s="353">
        <f>IF(T_T13411121314151617[[#This Row],[Total]]&lt;0,T_T13411121314151617[[#This Row],[Total]]*-1,0)</f>
        <v>0</v>
      </c>
      <c r="J41" s="353"/>
    </row>
    <row r="42" spans="1:10" x14ac:dyDescent="0.3">
      <c r="A42" s="187"/>
      <c r="B42" s="18"/>
      <c r="C42" s="229"/>
      <c r="D42" s="230"/>
      <c r="E42" s="230"/>
      <c r="F42" s="230"/>
      <c r="G42" s="230"/>
      <c r="H42" s="233"/>
      <c r="I42" s="353">
        <f>IF(T_T13411121314151617[[#This Row],[Total]]&lt;0,T_T13411121314151617[[#This Row],[Total]]*-1,0)</f>
        <v>0</v>
      </c>
      <c r="J42" s="353"/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orientation="portrait" verticalDpi="360" r:id="rId2"/>
  <drawing r:id="rId3"/>
  <tableParts count="1">
    <tablePart r:id="rId4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V36"/>
  <sheetViews>
    <sheetView topLeftCell="J11" zoomScale="71" zoomScaleNormal="71" workbookViewId="0">
      <selection activeCell="R27" sqref="R27"/>
    </sheetView>
  </sheetViews>
  <sheetFormatPr baseColWidth="10" defaultRowHeight="14.4" x14ac:dyDescent="0.3"/>
  <cols>
    <col min="3" max="3" width="49" customWidth="1"/>
    <col min="4" max="5" width="30.33203125" hidden="1" customWidth="1"/>
    <col min="6" max="6" width="20.88671875" customWidth="1"/>
    <col min="7" max="17" width="16.5546875" customWidth="1"/>
    <col min="18" max="18" width="18.88671875" customWidth="1"/>
    <col min="19" max="19" width="17.6640625" customWidth="1"/>
    <col min="20" max="20" width="21.5546875" customWidth="1"/>
    <col min="21" max="21" width="22.5546875" customWidth="1"/>
    <col min="22" max="22" width="30.33203125" customWidth="1"/>
  </cols>
  <sheetData>
    <row r="1" spans="1:21" ht="23.25" customHeight="1" x14ac:dyDescent="0.45">
      <c r="B1" s="635" t="s">
        <v>266</v>
      </c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5"/>
      <c r="P1" s="635"/>
      <c r="Q1" s="635"/>
      <c r="R1" s="635"/>
      <c r="S1" s="635"/>
      <c r="T1" s="384"/>
    </row>
    <row r="2" spans="1:21" ht="23.25" customHeight="1" x14ac:dyDescent="0.45">
      <c r="B2" s="635" t="s">
        <v>391</v>
      </c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5"/>
      <c r="N2" s="635"/>
      <c r="O2" s="635"/>
      <c r="P2" s="635"/>
      <c r="Q2" s="635"/>
      <c r="R2" s="635"/>
      <c r="S2" s="635"/>
      <c r="T2" s="384"/>
    </row>
    <row r="3" spans="1:21" ht="23.25" customHeight="1" x14ac:dyDescent="0.45">
      <c r="B3" s="635" t="s">
        <v>663</v>
      </c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  <c r="N3" s="635"/>
      <c r="O3" s="635"/>
      <c r="P3" s="635"/>
      <c r="Q3" s="635"/>
      <c r="R3" s="635"/>
      <c r="S3" s="635"/>
      <c r="T3" s="384"/>
    </row>
    <row r="4" spans="1:21" ht="23.25" customHeight="1" x14ac:dyDescent="0.45">
      <c r="B4" s="384"/>
      <c r="C4" s="384"/>
      <c r="D4" s="384"/>
      <c r="E4" s="384"/>
      <c r="F4" s="384"/>
      <c r="G4" s="384"/>
      <c r="H4" s="617"/>
      <c r="I4" s="617"/>
      <c r="J4" s="617"/>
      <c r="K4" s="617"/>
      <c r="L4" s="617"/>
      <c r="M4" s="617"/>
      <c r="N4" s="617"/>
      <c r="O4" s="617"/>
      <c r="P4" s="617"/>
      <c r="Q4" s="617"/>
      <c r="R4" s="384"/>
      <c r="S4" s="384"/>
      <c r="T4" s="384"/>
    </row>
    <row r="5" spans="1:21" ht="15.6" x14ac:dyDescent="0.3">
      <c r="B5" s="280" t="s">
        <v>417</v>
      </c>
      <c r="C5" s="273" t="s">
        <v>371</v>
      </c>
      <c r="D5" s="273" t="s">
        <v>241</v>
      </c>
      <c r="E5" s="270" t="s">
        <v>260</v>
      </c>
      <c r="F5" s="270" t="s">
        <v>664</v>
      </c>
      <c r="G5" s="270" t="s">
        <v>665</v>
      </c>
      <c r="H5" s="270" t="s">
        <v>666</v>
      </c>
      <c r="I5" s="270" t="s">
        <v>667</v>
      </c>
      <c r="J5" s="270" t="s">
        <v>668</v>
      </c>
      <c r="K5" s="270" t="s">
        <v>669</v>
      </c>
      <c r="L5" s="270" t="s">
        <v>670</v>
      </c>
      <c r="M5" s="270" t="s">
        <v>671</v>
      </c>
      <c r="N5" s="270" t="s">
        <v>672</v>
      </c>
      <c r="O5" s="270" t="s">
        <v>673</v>
      </c>
      <c r="P5" s="270" t="s">
        <v>674</v>
      </c>
      <c r="Q5" s="270" t="s">
        <v>675</v>
      </c>
      <c r="R5" s="271" t="s">
        <v>263</v>
      </c>
      <c r="S5" s="272" t="s">
        <v>264</v>
      </c>
      <c r="T5" s="272" t="s">
        <v>451</v>
      </c>
      <c r="U5" s="3"/>
    </row>
    <row r="6" spans="1:21" hidden="1" x14ac:dyDescent="0.3">
      <c r="B6" s="45"/>
      <c r="C6" s="22"/>
      <c r="D6" s="22"/>
    </row>
    <row r="7" spans="1:21" hidden="1" x14ac:dyDescent="0.3">
      <c r="B7" s="46" t="s">
        <v>0</v>
      </c>
      <c r="C7" s="23" t="s">
        <v>24</v>
      </c>
      <c r="D7" s="23"/>
    </row>
    <row r="8" spans="1:21" ht="15" customHeight="1" x14ac:dyDescent="0.3">
      <c r="A8" s="3">
        <v>1</v>
      </c>
      <c r="B8" s="48" t="s">
        <v>75</v>
      </c>
      <c r="C8" s="44" t="s">
        <v>267</v>
      </c>
      <c r="D8" s="44"/>
      <c r="E8" s="125">
        <v>0</v>
      </c>
      <c r="F8" s="125">
        <f>+'LOCAL 01'!D11+'LOCAL 01'!E11</f>
        <v>93</v>
      </c>
      <c r="G8" s="125">
        <f>+'LOCAL 01'!D13+'LOCAL 01'!E13</f>
        <v>95</v>
      </c>
      <c r="H8" s="125">
        <f>+'LOCAL 01'!D15+'LOCAL 01'!E15</f>
        <v>112</v>
      </c>
      <c r="I8" s="125">
        <f>+'LOCAL 01'!D17+'LOCAL 01'!E17</f>
        <v>117</v>
      </c>
      <c r="J8" s="125">
        <f>+'LOCAL 01'!D19+'LOCAL 01'!E19</f>
        <v>117</v>
      </c>
      <c r="K8" s="125"/>
      <c r="L8" s="125"/>
      <c r="M8" s="125"/>
      <c r="N8" s="125"/>
      <c r="O8" s="125"/>
      <c r="P8" s="125"/>
      <c r="Q8" s="125"/>
      <c r="R8" s="125">
        <f>SUM(E8:Q8)</f>
        <v>534</v>
      </c>
      <c r="S8" s="125">
        <f>-(+'LOCAL 01'!G12+'LOCAL 01'!G14+'LOCAL 01'!G16+'LOCAL 01'!G18+'LOCAL 01'!G20)</f>
        <v>417</v>
      </c>
      <c r="T8" s="156">
        <f>+R8-S8</f>
        <v>117</v>
      </c>
      <c r="U8" s="48" t="s">
        <v>75</v>
      </c>
    </row>
    <row r="9" spans="1:21" ht="15.6" x14ac:dyDescent="0.3">
      <c r="A9" s="3">
        <f>+A8+1</f>
        <v>2</v>
      </c>
      <c r="B9" s="47" t="s">
        <v>74</v>
      </c>
      <c r="C9" s="41" t="s">
        <v>327</v>
      </c>
      <c r="D9" s="331"/>
      <c r="E9" s="125">
        <v>0</v>
      </c>
      <c r="F9" s="125">
        <f>+'LOCAL 02'!D11+'LOCAL 02'!E11</f>
        <v>83</v>
      </c>
      <c r="G9" s="125">
        <f>+'LOCAL 02'!D13+'LOCAL 02'!E13</f>
        <v>83</v>
      </c>
      <c r="H9" s="125">
        <f>+'LOCAL 02'!D15+'LOCAL 02'!E15</f>
        <v>97</v>
      </c>
      <c r="I9" s="125">
        <f>+'LOCAL 02'!D17+'LOCAL 02'!E17</f>
        <v>97</v>
      </c>
      <c r="J9" s="125">
        <f>+'LOCAL 02'!D19+'LOCAL 02'!E19</f>
        <v>97</v>
      </c>
      <c r="K9" s="125"/>
      <c r="L9" s="125"/>
      <c r="M9" s="125"/>
      <c r="N9" s="125"/>
      <c r="O9" s="125"/>
      <c r="P9" s="125"/>
      <c r="Q9" s="125"/>
      <c r="R9" s="125">
        <f>SUM(E9:Q9)</f>
        <v>457</v>
      </c>
      <c r="S9" s="125">
        <f>-(+'LOCAL 02'!G12+'LOCAL 02'!G14+'LOCAL 02'!G16+'LOCAL 02'!G18+'LOCAL 02'!G20+'LOCAL 02'!G22+'LOCAL 02'!G24+'LOCAL 02'!G26+'LOCAL 02'!G28+'LOCAL 02'!G30+'LOCAL 02'!G32+'LOCAL 02'!G34)</f>
        <v>0</v>
      </c>
      <c r="T9" s="156">
        <f t="shared" ref="T9:T26" si="0">+R9-S9</f>
        <v>457</v>
      </c>
      <c r="U9" s="47" t="s">
        <v>74</v>
      </c>
    </row>
    <row r="10" spans="1:21" ht="15.6" x14ac:dyDescent="0.3">
      <c r="A10" s="3">
        <f t="shared" ref="A10:A26" si="1">+A9+1</f>
        <v>3</v>
      </c>
      <c r="B10" s="48" t="s">
        <v>76</v>
      </c>
      <c r="C10" s="44" t="s">
        <v>399</v>
      </c>
      <c r="D10" s="44"/>
      <c r="E10" s="125">
        <v>0</v>
      </c>
      <c r="F10" s="125">
        <f>+'LOCAL 03'!D15+'LOCAL 03'!E15</f>
        <v>117</v>
      </c>
      <c r="G10" s="125">
        <f>+'LOCAL 03'!D17+'LOCAL 03'!E17</f>
        <v>115</v>
      </c>
      <c r="H10" s="125">
        <f>+'LOCAL 03'!D19+'LOCAL 03'!E19</f>
        <v>131</v>
      </c>
      <c r="I10" s="125">
        <f>+'LOCAL 03'!D21+'LOCAL 03'!E21</f>
        <v>123</v>
      </c>
      <c r="J10" s="125">
        <f>+'LOCAL 03'!D23+'LOCAL 03'!E23</f>
        <v>130</v>
      </c>
      <c r="K10" s="125"/>
      <c r="L10" s="125"/>
      <c r="M10" s="125"/>
      <c r="N10" s="125"/>
      <c r="O10" s="125"/>
      <c r="P10" s="125"/>
      <c r="Q10" s="125"/>
      <c r="R10" s="125">
        <f t="shared" ref="R10:R26" si="2">SUM(E10:Q10)</f>
        <v>616</v>
      </c>
      <c r="S10" s="125">
        <f>-(+'LOCAL 03'!G16+'LOCAL 03'!G18+'LOCAL 03'!G20+'LOCAL 03'!G22)</f>
        <v>117</v>
      </c>
      <c r="T10" s="156">
        <f t="shared" si="0"/>
        <v>499</v>
      </c>
      <c r="U10" s="48" t="s">
        <v>76</v>
      </c>
    </row>
    <row r="11" spans="1:21" ht="15.6" x14ac:dyDescent="0.3">
      <c r="A11" s="3">
        <f t="shared" si="1"/>
        <v>4</v>
      </c>
      <c r="B11" s="47" t="s">
        <v>77</v>
      </c>
      <c r="C11" s="44" t="s">
        <v>400</v>
      </c>
      <c r="D11" s="44"/>
      <c r="E11" s="125">
        <v>0</v>
      </c>
      <c r="F11" s="125">
        <f>+'LOCAL 04'!D15+'LOCAL 04'!E15</f>
        <v>205</v>
      </c>
      <c r="G11" s="125">
        <f>+'LOCAL 04'!D17+'LOCAL 04'!E17</f>
        <v>360</v>
      </c>
      <c r="H11" s="125">
        <f>+'LOCAL 04'!D19+'LOCAL 04'!E19</f>
        <v>151</v>
      </c>
      <c r="I11" s="125">
        <f>+'LOCAL 04'!D21+'LOCAL 04'!E21</f>
        <v>124</v>
      </c>
      <c r="J11" s="125">
        <f>+'LOCAL 04'!D23+'LOCAL 04'!E23</f>
        <v>138</v>
      </c>
      <c r="K11" s="125"/>
      <c r="L11" s="125"/>
      <c r="M11" s="125"/>
      <c r="N11" s="125"/>
      <c r="O11" s="125"/>
      <c r="P11" s="125"/>
      <c r="Q11" s="125"/>
      <c r="R11" s="125">
        <f t="shared" si="2"/>
        <v>978</v>
      </c>
      <c r="S11" s="125">
        <f>+'LOCAL 04'!G16+'LOCAL 04'!G18+'LOCAL 04'!G20+'LOCAL 04'!G22</f>
        <v>0</v>
      </c>
      <c r="T11" s="156">
        <f t="shared" si="0"/>
        <v>978</v>
      </c>
      <c r="U11" s="47" t="s">
        <v>77</v>
      </c>
    </row>
    <row r="12" spans="1:21" ht="15.6" x14ac:dyDescent="0.3">
      <c r="A12" s="3">
        <f t="shared" si="1"/>
        <v>5</v>
      </c>
      <c r="B12" s="49" t="s">
        <v>78</v>
      </c>
      <c r="C12" s="44" t="s">
        <v>270</v>
      </c>
      <c r="D12" s="44"/>
      <c r="E12" s="125">
        <v>0</v>
      </c>
      <c r="F12" s="125">
        <f>+'LOCAL 05'!D15+'LOCAL 05'!E15</f>
        <v>114</v>
      </c>
      <c r="G12" s="125">
        <f>+'LOCAL 05'!D17+'LOCAL 05'!E17</f>
        <v>114</v>
      </c>
      <c r="H12" s="125">
        <f>+'LOCAL 05'!D19+'LOCAL 05'!E19</f>
        <v>134</v>
      </c>
      <c r="I12" s="125">
        <f>+'LOCAL 05'!D21+'LOCAL 05'!E21</f>
        <v>134</v>
      </c>
      <c r="J12" s="125">
        <f>+'LOCAL 05'!D23+'LOCAL 05'!E23</f>
        <v>0</v>
      </c>
      <c r="K12" s="125"/>
      <c r="L12" s="125"/>
      <c r="M12" s="125"/>
      <c r="N12" s="125"/>
      <c r="O12" s="125"/>
      <c r="P12" s="125"/>
      <c r="Q12" s="125"/>
      <c r="R12" s="125">
        <f t="shared" si="2"/>
        <v>496</v>
      </c>
      <c r="S12" s="125">
        <f>-(+'LOCAL 05'!G16+'LOCAL 05'!G18+'LOCAL 05'!G20+'LOCAL 05'!G22+'LOCAL 05'!G24)</f>
        <v>496</v>
      </c>
      <c r="T12" s="156">
        <f t="shared" si="0"/>
        <v>0</v>
      </c>
      <c r="U12" s="49" t="s">
        <v>78</v>
      </c>
    </row>
    <row r="13" spans="1:21" ht="15.6" x14ac:dyDescent="0.3">
      <c r="A13" s="3">
        <f t="shared" si="1"/>
        <v>6</v>
      </c>
      <c r="B13" s="49" t="s">
        <v>79</v>
      </c>
      <c r="C13" s="42" t="s">
        <v>401</v>
      </c>
      <c r="D13" s="42"/>
      <c r="E13" s="125">
        <v>0</v>
      </c>
      <c r="F13" s="125">
        <f>+'LOCAL 06'!D15+'LOCAL 06'!E15</f>
        <v>139</v>
      </c>
      <c r="G13" s="125">
        <f>+'LOCAL 06'!D17+'LOCAL 06'!E17</f>
        <v>152</v>
      </c>
      <c r="H13" s="125">
        <f>+'LOCAL 06'!D19+'LOCAL 06'!E19</f>
        <v>204</v>
      </c>
      <c r="I13" s="125">
        <f>+'LOCAL 06'!D21+'LOCAL 06'!E21</f>
        <v>229</v>
      </c>
      <c r="J13" s="125">
        <f>+'LOCAL 06'!D23+'LOCAL 06'!E23</f>
        <v>231</v>
      </c>
      <c r="K13" s="125"/>
      <c r="L13" s="125"/>
      <c r="M13" s="125"/>
      <c r="N13" s="125"/>
      <c r="O13" s="125"/>
      <c r="P13" s="125"/>
      <c r="Q13" s="125"/>
      <c r="R13" s="125">
        <f t="shared" si="2"/>
        <v>955</v>
      </c>
      <c r="S13" s="125">
        <f>-(+'LOCAL 06'!G16+'LOCAL 06'!G18+'LOCAL 06'!G20+'LOCAL 06'!G22+'LOCAL 06'!G24)</f>
        <v>724</v>
      </c>
      <c r="T13" s="156">
        <f t="shared" si="0"/>
        <v>231</v>
      </c>
      <c r="U13" s="49" t="s">
        <v>79</v>
      </c>
    </row>
    <row r="14" spans="1:21" ht="15.6" x14ac:dyDescent="0.3">
      <c r="A14" s="3">
        <f t="shared" si="1"/>
        <v>7</v>
      </c>
      <c r="B14" s="49" t="s">
        <v>81</v>
      </c>
      <c r="C14" s="42" t="s">
        <v>268</v>
      </c>
      <c r="D14" s="42"/>
      <c r="E14" s="125">
        <v>0</v>
      </c>
      <c r="F14" s="126">
        <f>+'LOCAL 07'!D15+'LOCAL 07'!E15</f>
        <v>87</v>
      </c>
      <c r="G14" s="126">
        <f>+'LOCAL 07'!D17+'LOCAL 07'!E17</f>
        <v>87</v>
      </c>
      <c r="H14" s="126">
        <f>+'LOCAL 07'!D19+'LOCAL 07'!E19</f>
        <v>102</v>
      </c>
      <c r="I14" s="126">
        <f>+'LOCAL 07'!D21+'LOCAL 07'!E21</f>
        <v>102</v>
      </c>
      <c r="J14" s="126">
        <f>+'LOCAL 07'!D23+'LOCAL 07'!E23</f>
        <v>102</v>
      </c>
      <c r="K14" s="126"/>
      <c r="L14" s="126"/>
      <c r="M14" s="126"/>
      <c r="N14" s="126"/>
      <c r="O14" s="126"/>
      <c r="P14" s="126"/>
      <c r="Q14" s="126"/>
      <c r="R14" s="125">
        <f t="shared" si="2"/>
        <v>480</v>
      </c>
      <c r="S14" s="125">
        <f>+'LOCAL 07'!G16+'LOCAL 07'!G18+'LOCAL 07'!G20+'LOCAL 07'!G22</f>
        <v>0</v>
      </c>
      <c r="T14" s="156">
        <f t="shared" si="0"/>
        <v>480</v>
      </c>
      <c r="U14" s="49" t="s">
        <v>81</v>
      </c>
    </row>
    <row r="15" spans="1:21" ht="15.6" x14ac:dyDescent="0.3">
      <c r="A15" s="3">
        <f t="shared" si="1"/>
        <v>8</v>
      </c>
      <c r="B15" s="49" t="s">
        <v>80</v>
      </c>
      <c r="C15" s="42" t="s">
        <v>402</v>
      </c>
      <c r="D15" s="42"/>
      <c r="E15" s="125">
        <v>0</v>
      </c>
      <c r="F15" s="125">
        <f>+'lOCAL 8 '!E11+'lOCAL 8 '!F11</f>
        <v>81</v>
      </c>
      <c r="G15" s="125">
        <f>+'lOCAL 8 '!E13+'lOCAL 8 '!F13</f>
        <v>81</v>
      </c>
      <c r="H15" s="125">
        <f>+'lOCAL 8 '!E15+'lOCAL 8 '!F15</f>
        <v>94</v>
      </c>
      <c r="I15" s="125">
        <f>+'lOCAL 8 '!E17+'lOCAL 8 '!F17</f>
        <v>94</v>
      </c>
      <c r="J15" s="125">
        <f>+'lOCAL 8 '!E19+'lOCAL 8 '!F19</f>
        <v>94</v>
      </c>
      <c r="K15" s="125"/>
      <c r="L15" s="125"/>
      <c r="M15" s="125"/>
      <c r="N15" s="125"/>
      <c r="O15" s="125"/>
      <c r="P15" s="125"/>
      <c r="Q15" s="125"/>
      <c r="R15" s="125">
        <f t="shared" si="2"/>
        <v>444</v>
      </c>
      <c r="S15" s="125">
        <f>-(+'lOCAL 8 '!H12+'lOCAL 8 '!H14+'lOCAL 8 '!H16+'lOCAL 8 '!H18+'lOCAL 8 '!H20)</f>
        <v>350</v>
      </c>
      <c r="T15" s="156">
        <f t="shared" si="0"/>
        <v>94</v>
      </c>
      <c r="U15" s="49" t="s">
        <v>80</v>
      </c>
    </row>
    <row r="16" spans="1:21" ht="15.6" x14ac:dyDescent="0.3">
      <c r="A16" s="3">
        <f t="shared" si="1"/>
        <v>9</v>
      </c>
      <c r="B16" s="49" t="s">
        <v>82</v>
      </c>
      <c r="C16" s="42" t="s">
        <v>269</v>
      </c>
      <c r="D16" s="42"/>
      <c r="E16" s="125">
        <v>0</v>
      </c>
      <c r="F16" s="125">
        <f>+'LOCAL 09'!D15+'LOCAL 09'!E15</f>
        <v>88</v>
      </c>
      <c r="G16" s="125">
        <f>+'LOCAL 09'!D17+'LOCAL 09'!E17</f>
        <v>88</v>
      </c>
      <c r="H16" s="125">
        <f>+'LOCAL 09'!D19+'LOCAL 09'!E19</f>
        <v>103</v>
      </c>
      <c r="I16" s="125">
        <f>+'LOCAL 09'!D21+'LOCAL 09'!E21</f>
        <v>103</v>
      </c>
      <c r="J16" s="125">
        <f>+'LOCAL 09'!D23+'LOCAL 09'!E23</f>
        <v>103</v>
      </c>
      <c r="K16" s="125"/>
      <c r="L16" s="125"/>
      <c r="M16" s="125"/>
      <c r="N16" s="125"/>
      <c r="O16" s="125"/>
      <c r="P16" s="125"/>
      <c r="Q16" s="125"/>
      <c r="R16" s="125">
        <f t="shared" si="2"/>
        <v>485</v>
      </c>
      <c r="S16" s="125">
        <f>-(+T_T1349[[#This Row],[Total]]+'LOCAL 09'!G18+'LOCAL 09'!G20+'LOCAL 09'!G22+'LOCAL 09'!G24)</f>
        <v>88</v>
      </c>
      <c r="T16" s="156">
        <f t="shared" si="0"/>
        <v>397</v>
      </c>
      <c r="U16" s="49" t="s">
        <v>82</v>
      </c>
    </row>
    <row r="17" spans="1:22" ht="15.6" x14ac:dyDescent="0.3">
      <c r="A17" s="3">
        <f t="shared" si="1"/>
        <v>10</v>
      </c>
      <c r="B17" s="49" t="s">
        <v>53</v>
      </c>
      <c r="C17" s="42" t="s">
        <v>403</v>
      </c>
      <c r="D17" s="42"/>
      <c r="E17" s="125">
        <v>0</v>
      </c>
      <c r="F17" s="125">
        <f>+'LOCAL 10'!E16+'LOCAL 10'!F16</f>
        <v>157</v>
      </c>
      <c r="G17" s="125">
        <f>+'LOCAL 10'!E18+'LOCAL 10'!F18</f>
        <v>143</v>
      </c>
      <c r="H17" s="125">
        <f>+'LOCAL 10'!E20+'LOCAL 10'!F20</f>
        <v>152</v>
      </c>
      <c r="I17" s="125">
        <f>+'LOCAL 10'!E22+'LOCAL 10'!F22</f>
        <v>155</v>
      </c>
      <c r="J17" s="125">
        <f>+'LOCAL 10'!E24+'LOCAL 10'!F24</f>
        <v>153</v>
      </c>
      <c r="K17" s="125"/>
      <c r="L17" s="125"/>
      <c r="M17" s="125"/>
      <c r="N17" s="125"/>
      <c r="O17" s="125"/>
      <c r="P17" s="125"/>
      <c r="Q17" s="125"/>
      <c r="R17" s="125">
        <f t="shared" si="2"/>
        <v>760</v>
      </c>
      <c r="S17" s="125">
        <f>-(+'lOCAL 8 '!H14+'lOCAL 8 '!H16+'lOCAL 8 '!H18+'lOCAL 8 '!H20+'lOCAL 8 '!H22)</f>
        <v>269</v>
      </c>
      <c r="T17" s="156">
        <f t="shared" si="0"/>
        <v>491</v>
      </c>
      <c r="U17" s="49" t="s">
        <v>53</v>
      </c>
      <c r="V17" s="153"/>
    </row>
    <row r="18" spans="1:22" ht="15.6" x14ac:dyDescent="0.3">
      <c r="A18" s="3"/>
      <c r="B18" s="49" t="s">
        <v>199</v>
      </c>
      <c r="C18" s="42" t="s">
        <v>676</v>
      </c>
      <c r="D18" s="42"/>
      <c r="E18" s="125"/>
      <c r="F18" s="125">
        <f>+LOCAL.11!D15+LOCAL.11!E15</f>
        <v>74</v>
      </c>
      <c r="G18" s="125">
        <f>+LOCAL.11!D17+LOCAL.11!E17</f>
        <v>74</v>
      </c>
      <c r="H18" s="125">
        <f>+LOCAL.11!D19+LOCAL.11!E19</f>
        <v>88</v>
      </c>
      <c r="I18" s="125">
        <f>+LOCAL.11!D21+LOCAL.11!E21</f>
        <v>88</v>
      </c>
      <c r="J18" s="125">
        <f>+LOCAL.11!D24+LOCAL.11!E24</f>
        <v>0</v>
      </c>
      <c r="K18" s="125"/>
      <c r="L18" s="125"/>
      <c r="M18" s="125"/>
      <c r="N18" s="125"/>
      <c r="O18" s="125"/>
      <c r="P18" s="125"/>
      <c r="Q18" s="125"/>
      <c r="R18" s="125">
        <f t="shared" si="2"/>
        <v>324</v>
      </c>
      <c r="S18" s="125">
        <f>-(+LOCAL.11!G16+T_T1341112131415161718[[#This Row],[Total]]+LOCAL.11!G20+LOCAL.11!G22+LOCAL.11!G24)</f>
        <v>324</v>
      </c>
      <c r="T18" s="156">
        <f t="shared" si="0"/>
        <v>0</v>
      </c>
      <c r="U18" s="49" t="s">
        <v>199</v>
      </c>
      <c r="V18" s="153"/>
    </row>
    <row r="19" spans="1:22" ht="15.6" x14ac:dyDescent="0.3">
      <c r="A19" s="3">
        <f>+A17+1</f>
        <v>11</v>
      </c>
      <c r="B19" s="49" t="s">
        <v>73</v>
      </c>
      <c r="C19" s="42" t="s">
        <v>327</v>
      </c>
      <c r="D19" s="42"/>
      <c r="E19" s="125">
        <v>0</v>
      </c>
      <c r="F19" s="125">
        <f>+'LOCAL 12-13'!D15+'LOCAL 12-13'!E15</f>
        <v>448</v>
      </c>
      <c r="G19" s="125">
        <f>+'LOCAL 12-13'!D17+'LOCAL 12-13'!E17</f>
        <v>438</v>
      </c>
      <c r="H19" s="125">
        <f>+T_T13411[[#This Row],[Expensas]]+T_T13411[[#This Row],[Agua]]</f>
        <v>495</v>
      </c>
      <c r="I19" s="125">
        <f>+'LOCAL 12-13'!D21+'LOCAL 12-13'!E21</f>
        <v>512</v>
      </c>
      <c r="J19" s="125">
        <f>+'LOCAL 12-13'!D23+'LOCAL 12-13'!E23</f>
        <v>506</v>
      </c>
      <c r="K19" s="125"/>
      <c r="L19" s="125"/>
      <c r="M19" s="125"/>
      <c r="N19" s="125"/>
      <c r="O19" s="125"/>
      <c r="P19" s="125"/>
      <c r="Q19" s="125"/>
      <c r="R19" s="125">
        <f t="shared" si="2"/>
        <v>2399</v>
      </c>
      <c r="S19" s="126">
        <f>-(+'LOCAL 12-13'!G16+'LOCAL 12-13'!G18+'LOCAL 12-13'!G20+'LOCAL 12-13'!G22+'LOCAL 12-13'!G24)</f>
        <v>1893</v>
      </c>
      <c r="T19" s="156">
        <f t="shared" si="0"/>
        <v>506</v>
      </c>
      <c r="U19" s="49" t="s">
        <v>73</v>
      </c>
    </row>
    <row r="20" spans="1:22" ht="15.6" x14ac:dyDescent="0.3">
      <c r="A20" s="3">
        <f t="shared" si="1"/>
        <v>12</v>
      </c>
      <c r="B20" s="49" t="s">
        <v>54</v>
      </c>
      <c r="C20" s="42" t="s">
        <v>270</v>
      </c>
      <c r="D20" s="42"/>
      <c r="E20" s="125">
        <v>0</v>
      </c>
      <c r="F20" s="125">
        <f>+'LOCAL 14'!D15+'LOCAL 14'!E15</f>
        <v>133</v>
      </c>
      <c r="G20" s="125">
        <f>+'LOCAL 14'!D17+'LOCAL 14'!E17</f>
        <v>133</v>
      </c>
      <c r="H20" s="125">
        <f>+'LOCAL 14'!D19+'LOCAL 14'!E19</f>
        <v>161</v>
      </c>
      <c r="I20" s="125">
        <f>+'LOCAL 14'!D21+'LOCAL 14'!E21</f>
        <v>161</v>
      </c>
      <c r="J20" s="125">
        <f>+'LOCAL 14'!D23+'LOCAL 14'!E23</f>
        <v>161</v>
      </c>
      <c r="K20" s="125"/>
      <c r="L20" s="125"/>
      <c r="M20" s="125"/>
      <c r="N20" s="125"/>
      <c r="O20" s="125"/>
      <c r="P20" s="125"/>
      <c r="Q20" s="125"/>
      <c r="R20" s="125">
        <f t="shared" si="2"/>
        <v>749</v>
      </c>
      <c r="S20" s="125">
        <f>-(+'LOCAL 14'!G16+'LOCAL 14'!G18++T_T1341112[[#This Row],[Total]]+'LOCAL 14'!G22+'LOCAL 14'!G24)</f>
        <v>219</v>
      </c>
      <c r="T20" s="156">
        <f t="shared" si="0"/>
        <v>530</v>
      </c>
      <c r="U20" s="49" t="s">
        <v>54</v>
      </c>
    </row>
    <row r="21" spans="1:22" ht="15.6" x14ac:dyDescent="0.3">
      <c r="A21" s="3">
        <f t="shared" si="1"/>
        <v>13</v>
      </c>
      <c r="B21" s="49" t="s">
        <v>55</v>
      </c>
      <c r="C21" s="42" t="s">
        <v>403</v>
      </c>
      <c r="D21" s="42"/>
      <c r="E21" s="125">
        <v>0</v>
      </c>
      <c r="F21" s="125">
        <f>+'LOCAL 15'!D15+'LOCAL 15'!E15</f>
        <v>191</v>
      </c>
      <c r="G21" s="125">
        <f>+'LOCAL 15'!D17+'LOCAL 15'!E17</f>
        <v>191</v>
      </c>
      <c r="H21" s="125">
        <f>+'LOCAL 15'!D19+'LOCAL 15'!E19</f>
        <v>232</v>
      </c>
      <c r="I21" s="125">
        <f>+T_T134111213[[#This Row],[Expensas]]+T_T134111213[[#This Row],[Agua]]</f>
        <v>232</v>
      </c>
      <c r="J21" s="125">
        <f>+'LOCAL 15'!D23+'LOCAL 15'!E23</f>
        <v>227</v>
      </c>
      <c r="K21" s="125"/>
      <c r="L21" s="125"/>
      <c r="M21" s="125"/>
      <c r="N21" s="125"/>
      <c r="O21" s="125"/>
      <c r="P21" s="125"/>
      <c r="Q21" s="125"/>
      <c r="R21" s="125">
        <f t="shared" si="2"/>
        <v>1073</v>
      </c>
      <c r="S21" s="125">
        <f>-(+'LOCAL 15'!G16+'LOCAL 15'!G18+'LOCAL 15'!G20+'LOCAL 15'!G22+'LOCAL 15'!G24)</f>
        <v>846</v>
      </c>
      <c r="T21" s="156">
        <f t="shared" si="0"/>
        <v>227</v>
      </c>
      <c r="U21" s="49" t="s">
        <v>55</v>
      </c>
    </row>
    <row r="22" spans="1:22" ht="15.6" x14ac:dyDescent="0.3">
      <c r="A22" s="3">
        <f t="shared" si="1"/>
        <v>14</v>
      </c>
      <c r="B22" s="49" t="s">
        <v>56</v>
      </c>
      <c r="C22" s="42" t="s">
        <v>271</v>
      </c>
      <c r="D22" s="42"/>
      <c r="E22" s="125">
        <v>0</v>
      </c>
      <c r="F22" s="125">
        <f>+'LOCAL 16'!D15+'LOCAL 16'!E15</f>
        <v>103</v>
      </c>
      <c r="G22" s="125">
        <f>+'LOCAL 16'!D17+'LOCAL 16'!E17</f>
        <v>103</v>
      </c>
      <c r="H22" s="125">
        <f>+'LOCAL 16'!D19+'LOCAL 16'!E19</f>
        <v>126</v>
      </c>
      <c r="I22" s="125">
        <f>+'LOCAL 16'!D21+'LOCAL 16'!E21</f>
        <v>126</v>
      </c>
      <c r="J22" s="125">
        <f>+'LOCAL 16'!D23+'LOCAL 16'!E23</f>
        <v>126</v>
      </c>
      <c r="K22" s="125"/>
      <c r="L22" s="125"/>
      <c r="M22" s="125"/>
      <c r="N22" s="125"/>
      <c r="O22" s="125"/>
      <c r="P22" s="125"/>
      <c r="Q22" s="125"/>
      <c r="R22" s="125">
        <f t="shared" si="2"/>
        <v>584</v>
      </c>
      <c r="S22" s="125">
        <f>-(+'LOCAL 16'!G16+'LOCAL 16'!G18+'LOCAL 16'!G20+T_T13411121314[[#This Row],[Total]]+'LOCAL 16'!G24)</f>
        <v>458</v>
      </c>
      <c r="T22" s="156">
        <f t="shared" si="0"/>
        <v>126</v>
      </c>
      <c r="U22" s="49" t="s">
        <v>56</v>
      </c>
    </row>
    <row r="23" spans="1:22" ht="15.6" x14ac:dyDescent="0.3">
      <c r="A23" s="3">
        <f t="shared" si="1"/>
        <v>15</v>
      </c>
      <c r="B23" s="49" t="s">
        <v>57</v>
      </c>
      <c r="C23" s="42" t="s">
        <v>272</v>
      </c>
      <c r="D23" s="42"/>
      <c r="E23" s="125">
        <v>0</v>
      </c>
      <c r="F23" s="125">
        <f>+'LOCAL 17'!D15+'LOCAL 17'!E15</f>
        <v>80</v>
      </c>
      <c r="G23" s="125">
        <f>+'LOCAL 17'!D17+'LOCAL 17'!E17</f>
        <v>80</v>
      </c>
      <c r="H23" s="125">
        <f>+'LOCAL 17'!D19+'LOCAL 17'!E19</f>
        <v>99</v>
      </c>
      <c r="I23" s="125">
        <f>+'LOCAL 17'!D21+'LOCAL 17'!E21</f>
        <v>99</v>
      </c>
      <c r="J23" s="125">
        <f>+T_T1341112131415[[#This Row],[Expensas]]+T_T1341112131415[[#This Row],[Agua]]</f>
        <v>94</v>
      </c>
      <c r="K23" s="125"/>
      <c r="L23" s="125"/>
      <c r="M23" s="125"/>
      <c r="N23" s="125"/>
      <c r="O23" s="125"/>
      <c r="P23" s="125"/>
      <c r="Q23" s="125"/>
      <c r="R23" s="125">
        <f t="shared" si="2"/>
        <v>452</v>
      </c>
      <c r="S23" s="125">
        <f>-(+'LOCAL 17'!G16+'LOCAL 17'!G18+'LOCAL 17'!G20+'LOCAL 17'!G22+'LOCAL 17'!G24)</f>
        <v>358</v>
      </c>
      <c r="T23" s="156">
        <f t="shared" si="0"/>
        <v>94</v>
      </c>
      <c r="U23" s="49" t="s">
        <v>57</v>
      </c>
    </row>
    <row r="24" spans="1:22" ht="15.6" x14ac:dyDescent="0.3">
      <c r="A24" s="3">
        <f t="shared" si="1"/>
        <v>16</v>
      </c>
      <c r="B24" s="49" t="s">
        <v>58</v>
      </c>
      <c r="C24" s="42" t="s">
        <v>273</v>
      </c>
      <c r="D24" s="42"/>
      <c r="E24" s="125">
        <v>0</v>
      </c>
      <c r="F24" s="125">
        <f>+'LOCAL 18'!D15+'LOCAL 18'!E15</f>
        <v>134</v>
      </c>
      <c r="G24" s="125">
        <f>+'LOCAL 18'!D17+'LOCAL 18'!E17</f>
        <v>134</v>
      </c>
      <c r="H24" s="125">
        <f>+'LOCAL 18'!D19+'LOCAL 18'!E19</f>
        <v>160</v>
      </c>
      <c r="I24" s="125">
        <f>+'LOCAL 18'!D21+'LOCAL 18'!E21</f>
        <v>160</v>
      </c>
      <c r="J24" s="125">
        <f>+'LOCAL 18'!D23+'LOCAL 18'!E23</f>
        <v>160</v>
      </c>
      <c r="K24" s="125"/>
      <c r="L24" s="125"/>
      <c r="M24" s="125"/>
      <c r="N24" s="125"/>
      <c r="O24" s="125"/>
      <c r="P24" s="125"/>
      <c r="Q24" s="125"/>
      <c r="R24" s="125">
        <f t="shared" si="2"/>
        <v>748</v>
      </c>
      <c r="S24" s="125">
        <f>-(+'LOCAL 18'!G16+'LOCAL 18'!G18+'LOCAL 18'!G20+'LOCAL 18'!G22)</f>
        <v>268</v>
      </c>
      <c r="T24" s="156">
        <f t="shared" si="0"/>
        <v>480</v>
      </c>
      <c r="U24" s="49" t="s">
        <v>58</v>
      </c>
    </row>
    <row r="25" spans="1:22" s="85" customFormat="1" ht="15.6" x14ac:dyDescent="0.3">
      <c r="A25" s="3">
        <f t="shared" si="1"/>
        <v>17</v>
      </c>
      <c r="B25" s="234" t="s">
        <v>59</v>
      </c>
      <c r="C25" s="386" t="s">
        <v>274</v>
      </c>
      <c r="D25" s="386"/>
      <c r="E25" s="387">
        <v>0</v>
      </c>
      <c r="F25" s="387">
        <f>+'LOCAL 19'!D15+'LOCAL 19'!E15</f>
        <v>127</v>
      </c>
      <c r="G25" s="387">
        <f>+'LOCAL 19'!D17+'LOCAL 19'!E17</f>
        <v>127</v>
      </c>
      <c r="H25" s="387">
        <f>+'LOCAL 19'!D19+'LOCAL 19'!E19</f>
        <v>154</v>
      </c>
      <c r="I25" s="387">
        <f>+'LOCAL 19'!D21+'LOCAL 19'!E21</f>
        <v>154</v>
      </c>
      <c r="J25" s="387">
        <f>+'LOCAL 19'!D23+'LOCAL 19'!E23</f>
        <v>149</v>
      </c>
      <c r="K25" s="387"/>
      <c r="L25" s="387"/>
      <c r="M25" s="387"/>
      <c r="N25" s="387"/>
      <c r="O25" s="387"/>
      <c r="P25" s="387"/>
      <c r="Q25" s="387"/>
      <c r="R25" s="125">
        <f t="shared" si="2"/>
        <v>711</v>
      </c>
      <c r="S25" s="387">
        <f>-(+'LOCAL 19'!G16+'LOCAL 19'!G18+'LOCAL 19'!G20+'LOCAL 19'!G22)</f>
        <v>552</v>
      </c>
      <c r="T25" s="156">
        <f t="shared" si="0"/>
        <v>159</v>
      </c>
      <c r="U25" s="234" t="s">
        <v>59</v>
      </c>
    </row>
    <row r="26" spans="1:22" ht="15.6" x14ac:dyDescent="0.3">
      <c r="A26" s="3">
        <f t="shared" si="1"/>
        <v>18</v>
      </c>
      <c r="B26" s="49"/>
      <c r="C26" s="42"/>
      <c r="D26" s="42"/>
      <c r="E26" s="125">
        <v>0</v>
      </c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>
        <f t="shared" si="2"/>
        <v>0</v>
      </c>
      <c r="S26" s="125"/>
      <c r="T26" s="156">
        <f t="shared" si="0"/>
        <v>0</v>
      </c>
      <c r="U26" s="49" t="s">
        <v>199</v>
      </c>
    </row>
    <row r="27" spans="1:22" ht="15.6" x14ac:dyDescent="0.3">
      <c r="A27" s="3"/>
      <c r="B27" s="142"/>
      <c r="C27" s="123" t="s">
        <v>263</v>
      </c>
      <c r="D27" s="123"/>
      <c r="E27" s="125">
        <v>0</v>
      </c>
      <c r="F27" s="124">
        <f t="shared" ref="F27:G27" si="3">SUM(F8:F26)</f>
        <v>2454</v>
      </c>
      <c r="G27" s="124">
        <f t="shared" si="3"/>
        <v>2598</v>
      </c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5">
        <f>SUM(R8:R26)</f>
        <v>13245</v>
      </c>
      <c r="S27" s="125">
        <f>SUM(S8:S26)</f>
        <v>7379</v>
      </c>
      <c r="T27" s="125">
        <f>SUM(T8:T26)</f>
        <v>5866</v>
      </c>
      <c r="U27" s="3"/>
    </row>
    <row r="29" spans="1:22" ht="15.6" x14ac:dyDescent="0.3">
      <c r="B29" s="276" t="s">
        <v>416</v>
      </c>
      <c r="T29" s="128"/>
    </row>
    <row r="30" spans="1:22" ht="15.6" x14ac:dyDescent="0.3">
      <c r="B30" s="277" t="s">
        <v>409</v>
      </c>
    </row>
    <row r="31" spans="1:22" ht="15.6" x14ac:dyDescent="0.3">
      <c r="B31" s="277" t="s">
        <v>410</v>
      </c>
    </row>
    <row r="32" spans="1:22" ht="15.6" x14ac:dyDescent="0.3">
      <c r="B32" s="277" t="s">
        <v>404</v>
      </c>
    </row>
    <row r="33" spans="2:2" ht="15.6" x14ac:dyDescent="0.3">
      <c r="B33" s="277" t="s">
        <v>405</v>
      </c>
    </row>
    <row r="34" spans="2:2" ht="15.6" x14ac:dyDescent="0.3">
      <c r="B34" s="277" t="s">
        <v>406</v>
      </c>
    </row>
    <row r="36" spans="2:2" ht="15.6" x14ac:dyDescent="0.3">
      <c r="B36" s="277" t="s">
        <v>407</v>
      </c>
    </row>
  </sheetData>
  <mergeCells count="3">
    <mergeCell ref="B1:S1"/>
    <mergeCell ref="B2:S2"/>
    <mergeCell ref="B3:S3"/>
  </mergeCells>
  <pageMargins left="0.31496062992125984" right="0.23622047244094491" top="0.74803149606299213" bottom="0.74803149606299213" header="0.31496062992125984" footer="0.31496062992125984"/>
  <pageSetup scale="60" orientation="landscape" horizontalDpi="360" verticalDpi="36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2:L42"/>
  <sheetViews>
    <sheetView showGridLines="0" tabSelected="1" zoomScale="98" zoomScaleNormal="98" workbookViewId="0">
      <selection activeCell="E28" sqref="E28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0" max="10" width="1.109375" customWidth="1"/>
    <col min="12" max="12" width="10.44140625" customWidth="1"/>
  </cols>
  <sheetData>
    <row r="2" spans="1:11" ht="15.6" x14ac:dyDescent="0.3">
      <c r="A2" s="27" t="s">
        <v>36</v>
      </c>
      <c r="B2" s="41" t="s">
        <v>60</v>
      </c>
    </row>
    <row r="3" spans="1:11" ht="12" customHeight="1" x14ac:dyDescent="0.3">
      <c r="A3" s="27" t="s">
        <v>31</v>
      </c>
      <c r="B3" s="28" t="s">
        <v>376</v>
      </c>
    </row>
    <row r="4" spans="1:11" hidden="1" x14ac:dyDescent="0.3">
      <c r="A4" s="27" t="s">
        <v>32</v>
      </c>
      <c r="B4" s="28" t="e">
        <f>LOOKUP(B2,#REF!,#REF!)</f>
        <v>#REF!</v>
      </c>
    </row>
    <row r="5" spans="1:11" hidden="1" x14ac:dyDescent="0.3">
      <c r="A5" s="27" t="s">
        <v>33</v>
      </c>
      <c r="B5" s="28" t="e">
        <f>LOOKUP(B2,#REF!,#REF!)</f>
        <v>#REF!</v>
      </c>
    </row>
    <row r="6" spans="1:11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1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1" ht="6.6" customHeight="1" x14ac:dyDescent="0.3">
      <c r="A8" s="21"/>
      <c r="B8" s="21"/>
    </row>
    <row r="9" spans="1:11" hidden="1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416" t="s">
        <v>188</v>
      </c>
      <c r="K9" s="416" t="s">
        <v>191</v>
      </c>
    </row>
    <row r="10" spans="1:11" hidden="1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IF(T_T134111213141516171819[[#This Row],[Total]]&lt;0,T_T134111213141516171819[[#This Row],[Total]]*-1,0)</f>
        <v>0</v>
      </c>
      <c r="J10" s="414"/>
      <c r="K10" s="419"/>
    </row>
    <row r="11" spans="1:11" hidden="1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355">
        <f>IF(T_T134111213141516171819[[#This Row],[Total]]&lt;0,T_T134111213141516171819[[#This Row],[Total]]*-1,0)</f>
        <v>0</v>
      </c>
      <c r="J11" s="413"/>
      <c r="K11" s="419"/>
    </row>
    <row r="12" spans="1:11" hidden="1" x14ac:dyDescent="0.3">
      <c r="A12" s="288"/>
      <c r="B12" s="118" t="s">
        <v>467</v>
      </c>
      <c r="C12" s="424"/>
      <c r="D12" s="425"/>
      <c r="E12" s="425"/>
      <c r="F12" s="425"/>
      <c r="G12" s="425"/>
      <c r="H12" s="426">
        <v>0</v>
      </c>
      <c r="I12" s="427">
        <f>IF(T_T134111213141516171819[[#This Row],[Total]]&lt;0,T_T134111213141516171819[[#This Row],[Total]]*-1,0)</f>
        <v>0</v>
      </c>
      <c r="J12" s="413"/>
      <c r="K12" s="419"/>
    </row>
    <row r="13" spans="1:11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355">
        <f>IF(T_T134111213141516171819[[#This Row],[Total]]&lt;0,T_T134111213141516171819[[#This Row],[Total]]*-1,0)</f>
        <v>0</v>
      </c>
      <c r="J13" s="413"/>
      <c r="K13" s="419"/>
    </row>
    <row r="14" spans="1:11" hidden="1" x14ac:dyDescent="0.3">
      <c r="A14" s="288"/>
      <c r="B14" s="118" t="s">
        <v>260</v>
      </c>
      <c r="C14" s="6"/>
      <c r="D14" s="2"/>
      <c r="E14" s="2"/>
      <c r="F14" s="20"/>
      <c r="G14" s="20">
        <f>SUM(D14:F14)</f>
        <v>0</v>
      </c>
      <c r="H14" s="233">
        <f>+H13+T_T134111213141516171819[[#This Row],[Total]]</f>
        <v>0</v>
      </c>
      <c r="I14" s="355">
        <f>IF(T_T134111213141516171819[[#This Row],[Total]]&lt;0,T_T134111213141516171819[[#This Row],[Total]]*-1,0)</f>
        <v>0</v>
      </c>
      <c r="J14" s="413"/>
      <c r="K14" s="419"/>
    </row>
    <row r="15" spans="1:11" hidden="1" x14ac:dyDescent="0.3">
      <c r="A15" s="288"/>
      <c r="B15" s="118" t="s">
        <v>481</v>
      </c>
      <c r="C15" s="6"/>
      <c r="D15" s="2"/>
      <c r="E15" s="2"/>
      <c r="F15" s="230"/>
      <c r="G15" s="230">
        <f t="shared" ref="G15:G42" si="0">SUM(D15:F15)</f>
        <v>0</v>
      </c>
      <c r="H15" s="233">
        <f t="shared" ref="H15:H42" si="1">H14+G15</f>
        <v>0</v>
      </c>
      <c r="I15" s="355">
        <f>IF(T_T134111213141516171819[[#This Row],[Total]]&lt;0,T_T134111213141516171819[[#This Row],[Total]]*-1,0)</f>
        <v>0</v>
      </c>
      <c r="J15" s="413"/>
      <c r="K15" s="419"/>
    </row>
    <row r="16" spans="1:11" x14ac:dyDescent="0.3">
      <c r="A16" s="288"/>
      <c r="B16" s="118" t="s">
        <v>529</v>
      </c>
      <c r="C16" s="481"/>
      <c r="D16" s="482"/>
      <c r="E16" s="482"/>
      <c r="F16" s="482"/>
      <c r="G16" s="482"/>
      <c r="H16" s="483"/>
      <c r="I16" s="476">
        <f>IF(T_T134111213141516171819[[#This Row],[Total]]&lt;0,T_T134111213141516171819[[#This Row],[Total]]*-1,0)</f>
        <v>0</v>
      </c>
      <c r="J16" s="487"/>
      <c r="K16" s="485"/>
    </row>
    <row r="17" spans="1:12" x14ac:dyDescent="0.3">
      <c r="A17" s="17">
        <v>46052</v>
      </c>
      <c r="B17" s="18" t="s">
        <v>590</v>
      </c>
      <c r="C17" s="552"/>
      <c r="D17" s="553">
        <v>176</v>
      </c>
      <c r="E17" s="553">
        <v>193</v>
      </c>
      <c r="F17" s="553"/>
      <c r="G17" s="230">
        <f t="shared" si="0"/>
        <v>369</v>
      </c>
      <c r="H17" s="233">
        <f>H15+G17</f>
        <v>369</v>
      </c>
      <c r="I17" s="427">
        <f>IF(T_T134111213141516171819[[#This Row],[Total]]&lt;0,T_T134111213141516171819[[#This Row],[Total]]*-1,0)</f>
        <v>0</v>
      </c>
      <c r="J17" s="413"/>
      <c r="K17" s="419"/>
    </row>
    <row r="18" spans="1:12" x14ac:dyDescent="0.3">
      <c r="A18" s="17"/>
      <c r="B18" s="18" t="s">
        <v>591</v>
      </c>
      <c r="C18" s="552">
        <v>8599</v>
      </c>
      <c r="D18" s="553">
        <v>-176</v>
      </c>
      <c r="E18" s="553">
        <v>-193</v>
      </c>
      <c r="F18" s="553"/>
      <c r="G18" s="230">
        <f t="shared" si="0"/>
        <v>-369</v>
      </c>
      <c r="H18" s="233">
        <f t="shared" si="1"/>
        <v>0</v>
      </c>
      <c r="I18" s="427">
        <f>IF(T_T134111213141516171819[[#This Row],[Total]]&lt;0,T_T134111213141516171819[[#This Row],[Total]]*-1,0)</f>
        <v>369</v>
      </c>
      <c r="J18" s="413"/>
      <c r="K18" s="419"/>
    </row>
    <row r="19" spans="1:12" x14ac:dyDescent="0.3">
      <c r="A19" s="288"/>
      <c r="B19" s="118" t="s">
        <v>260</v>
      </c>
      <c r="C19" s="541"/>
      <c r="D19" s="542">
        <v>200</v>
      </c>
      <c r="E19" s="542"/>
      <c r="F19" s="542"/>
      <c r="G19" s="230">
        <f t="shared" si="0"/>
        <v>200</v>
      </c>
      <c r="H19" s="233">
        <f t="shared" si="1"/>
        <v>200</v>
      </c>
      <c r="I19" s="593">
        <f>IF(T_T134111213141516171819[[#This Row],[Total]]&lt;0,T_T134111213141516171819[[#This Row],[Total]]*-1,0)</f>
        <v>0</v>
      </c>
      <c r="J19" s="594"/>
      <c r="K19" s="550"/>
    </row>
    <row r="20" spans="1:12" x14ac:dyDescent="0.3">
      <c r="A20" s="288"/>
      <c r="B20" s="118"/>
      <c r="C20" s="541">
        <v>8694</v>
      </c>
      <c r="D20" s="542">
        <v>-200</v>
      </c>
      <c r="E20" s="542"/>
      <c r="F20" s="542"/>
      <c r="G20" s="230">
        <f t="shared" si="0"/>
        <v>-200</v>
      </c>
      <c r="H20" s="233">
        <f t="shared" si="1"/>
        <v>0</v>
      </c>
      <c r="I20" s="593">
        <f>IF(T_T134111213141516171819[[#This Row],[Total]]&lt;0,T_T134111213141516171819[[#This Row],[Total]]*-1,0)</f>
        <v>200</v>
      </c>
      <c r="J20" s="594"/>
      <c r="K20" s="550"/>
    </row>
    <row r="21" spans="1:12" x14ac:dyDescent="0.3">
      <c r="A21" s="164">
        <v>46080</v>
      </c>
      <c r="B21" s="161" t="s">
        <v>592</v>
      </c>
      <c r="C21" s="554"/>
      <c r="D21" s="237">
        <v>176</v>
      </c>
      <c r="E21" s="237">
        <v>27</v>
      </c>
      <c r="F21" s="532"/>
      <c r="G21" s="230">
        <f t="shared" si="0"/>
        <v>203</v>
      </c>
      <c r="H21" s="233">
        <f t="shared" si="1"/>
        <v>203</v>
      </c>
      <c r="I21" s="355">
        <f>IF(T_T134111213141516171819[[#This Row],[Total]]&lt;0,T_T134111213141516171819[[#This Row],[Total]]*-1,0)</f>
        <v>0</v>
      </c>
      <c r="J21" s="413"/>
      <c r="K21" s="419"/>
      <c r="L21" s="447" t="s">
        <v>485</v>
      </c>
    </row>
    <row r="22" spans="1:12" x14ac:dyDescent="0.3">
      <c r="A22" s="187"/>
      <c r="B22" s="18" t="s">
        <v>593</v>
      </c>
      <c r="C22" s="6"/>
      <c r="D22" s="2"/>
      <c r="E22" s="2"/>
      <c r="F22" s="230"/>
      <c r="G22" s="230">
        <f t="shared" si="0"/>
        <v>0</v>
      </c>
      <c r="H22" s="233">
        <f t="shared" si="1"/>
        <v>203</v>
      </c>
      <c r="I22" s="355">
        <f>IF(T_T134111213141516171819[[#This Row],[Total]]&lt;0,T_T134111213141516171819[[#This Row],[Total]]*-1,0)</f>
        <v>0</v>
      </c>
      <c r="J22" s="413"/>
      <c r="K22" s="419"/>
    </row>
    <row r="23" spans="1:12" x14ac:dyDescent="0.3">
      <c r="A23" s="188">
        <v>45747</v>
      </c>
      <c r="B23" s="3" t="s">
        <v>534</v>
      </c>
      <c r="C23" s="6"/>
      <c r="D23" s="2">
        <v>212</v>
      </c>
      <c r="E23" s="2">
        <v>4</v>
      </c>
      <c r="F23" s="230"/>
      <c r="G23" s="230">
        <f t="shared" si="0"/>
        <v>216</v>
      </c>
      <c r="H23" s="233">
        <f t="shared" si="1"/>
        <v>419</v>
      </c>
      <c r="I23" s="355">
        <f>IF(T_T134111213141516171819[[#This Row],[Total]]&lt;0,T_T134111213141516171819[[#This Row],[Total]]*-1,0)</f>
        <v>0</v>
      </c>
      <c r="J23" s="413"/>
      <c r="K23" s="419"/>
    </row>
    <row r="24" spans="1:12" x14ac:dyDescent="0.3">
      <c r="A24" s="188"/>
      <c r="B24" s="82" t="s">
        <v>535</v>
      </c>
      <c r="C24" s="6"/>
      <c r="D24" s="2"/>
      <c r="E24" s="2"/>
      <c r="F24" s="230"/>
      <c r="G24" s="230">
        <f t="shared" si="0"/>
        <v>0</v>
      </c>
      <c r="H24" s="233">
        <f t="shared" si="1"/>
        <v>419</v>
      </c>
      <c r="I24" s="355">
        <f>IF(T_T134111213141516171819[[#This Row],[Total]]&lt;0,T_T134111213141516171819[[#This Row],[Total]]*-1,0)</f>
        <v>0</v>
      </c>
      <c r="J24" s="413"/>
      <c r="K24" s="419"/>
    </row>
    <row r="25" spans="1:12" x14ac:dyDescent="0.3">
      <c r="A25" s="188">
        <v>45777</v>
      </c>
      <c r="B25" s="3" t="s">
        <v>536</v>
      </c>
      <c r="C25" s="6"/>
      <c r="D25" s="2">
        <v>212</v>
      </c>
      <c r="E25" s="2">
        <v>49</v>
      </c>
      <c r="F25" s="230"/>
      <c r="G25" s="230">
        <f t="shared" si="0"/>
        <v>261</v>
      </c>
      <c r="H25" s="233">
        <f t="shared" si="1"/>
        <v>680</v>
      </c>
      <c r="I25" s="355">
        <f>IF(T_T134111213141516171819[[#This Row],[Total]]&lt;0,T_T134111213141516171819[[#This Row],[Total]]*-1,0)</f>
        <v>0</v>
      </c>
      <c r="J25" s="413"/>
      <c r="K25" s="419"/>
    </row>
    <row r="26" spans="1:12" x14ac:dyDescent="0.3">
      <c r="A26" s="83"/>
      <c r="B26" s="82" t="s">
        <v>537</v>
      </c>
      <c r="C26" s="6"/>
      <c r="D26" s="2"/>
      <c r="E26" s="2"/>
      <c r="F26" s="230"/>
      <c r="G26" s="230">
        <f t="shared" si="0"/>
        <v>0</v>
      </c>
      <c r="H26" s="233">
        <f t="shared" si="1"/>
        <v>680</v>
      </c>
      <c r="I26" s="355">
        <f>IF(T_T134111213141516171819[[#This Row],[Total]]&lt;0,T_T134111213141516171819[[#This Row],[Total]]*-1,0)</f>
        <v>0</v>
      </c>
      <c r="J26" s="413"/>
      <c r="K26" s="419" t="s">
        <v>366</v>
      </c>
    </row>
    <row r="27" spans="1:12" x14ac:dyDescent="0.3">
      <c r="A27" s="40">
        <v>45807</v>
      </c>
      <c r="B27" s="3" t="s">
        <v>538</v>
      </c>
      <c r="C27" s="229"/>
      <c r="D27" s="230">
        <v>212</v>
      </c>
      <c r="E27" s="230">
        <v>123</v>
      </c>
      <c r="F27" s="230"/>
      <c r="G27" s="230">
        <f t="shared" si="0"/>
        <v>335</v>
      </c>
      <c r="H27" s="233">
        <f t="shared" si="1"/>
        <v>1015</v>
      </c>
      <c r="I27" s="355">
        <f>IF(T_T134111213141516171819[[#This Row],[Total]]&lt;0,T_T134111213141516171819[[#This Row],[Total]]*-1,0)</f>
        <v>0</v>
      </c>
      <c r="J27" s="413"/>
      <c r="K27" s="419"/>
    </row>
    <row r="28" spans="1:12" x14ac:dyDescent="0.3">
      <c r="A28" s="9"/>
      <c r="B28" s="18" t="s">
        <v>539</v>
      </c>
      <c r="C28" s="6"/>
      <c r="D28" s="230"/>
      <c r="E28" s="230"/>
      <c r="F28" s="230"/>
      <c r="G28" s="230">
        <f t="shared" si="0"/>
        <v>0</v>
      </c>
      <c r="H28" s="233">
        <f t="shared" si="1"/>
        <v>1015</v>
      </c>
      <c r="I28" s="355">
        <f>IF(T_T134111213141516171819[[#This Row],[Total]]&lt;0,T_T134111213141516171819[[#This Row],[Total]]*-1,0)</f>
        <v>0</v>
      </c>
      <c r="J28" s="413"/>
      <c r="K28" s="419"/>
    </row>
    <row r="29" spans="1:12" x14ac:dyDescent="0.3">
      <c r="A29" s="9">
        <v>45838</v>
      </c>
      <c r="B29" s="3" t="s">
        <v>540</v>
      </c>
      <c r="C29" s="229"/>
      <c r="D29" s="230"/>
      <c r="E29" s="230"/>
      <c r="F29" s="230"/>
      <c r="G29" s="230">
        <f t="shared" si="0"/>
        <v>0</v>
      </c>
      <c r="H29" s="233">
        <f t="shared" si="1"/>
        <v>1015</v>
      </c>
      <c r="I29" s="355">
        <f>IF(T_T134111213141516171819[[#This Row],[Total]]&lt;0,T_T134111213141516171819[[#This Row],[Total]]*-1,0)</f>
        <v>0</v>
      </c>
      <c r="J29" s="413"/>
      <c r="K29" s="419"/>
    </row>
    <row r="30" spans="1:12" x14ac:dyDescent="0.3">
      <c r="A30" s="9"/>
      <c r="B30" s="18" t="s">
        <v>541</v>
      </c>
      <c r="C30" s="6"/>
      <c r="D30" s="230"/>
      <c r="E30" s="230"/>
      <c r="F30" s="230"/>
      <c r="G30" s="230">
        <f t="shared" si="0"/>
        <v>0</v>
      </c>
      <c r="H30" s="233">
        <f t="shared" si="1"/>
        <v>1015</v>
      </c>
      <c r="I30" s="355">
        <f>IF(T_T134111213141516171819[[#This Row],[Total]]&lt;0,T_T134111213141516171819[[#This Row],[Total]]*-1,0)</f>
        <v>0</v>
      </c>
      <c r="J30" s="413"/>
      <c r="K30" s="419"/>
    </row>
    <row r="31" spans="1:12" x14ac:dyDescent="0.3">
      <c r="A31" s="107">
        <v>45868</v>
      </c>
      <c r="B31" s="82" t="s">
        <v>542</v>
      </c>
      <c r="C31" s="229"/>
      <c r="D31" s="230"/>
      <c r="E31" s="230"/>
      <c r="F31" s="230"/>
      <c r="G31" s="230">
        <f t="shared" si="0"/>
        <v>0</v>
      </c>
      <c r="H31" s="233">
        <f t="shared" si="1"/>
        <v>1015</v>
      </c>
      <c r="I31" s="355">
        <f>IF(T_T134111213141516171819[[#This Row],[Total]]&lt;0,T_T134111213141516171819[[#This Row],[Total]]*-1,0)</f>
        <v>0</v>
      </c>
      <c r="J31" s="413"/>
      <c r="K31" s="419"/>
    </row>
    <row r="32" spans="1:12" x14ac:dyDescent="0.3">
      <c r="A32" s="107"/>
      <c r="B32" s="82" t="s">
        <v>543</v>
      </c>
      <c r="C32" s="6"/>
      <c r="D32" s="230"/>
      <c r="E32" s="230"/>
      <c r="F32" s="230"/>
      <c r="G32" s="230">
        <f t="shared" si="0"/>
        <v>0</v>
      </c>
      <c r="H32" s="233">
        <f t="shared" si="1"/>
        <v>1015</v>
      </c>
      <c r="I32" s="355">
        <f>IF(T_T134111213141516171819[[#This Row],[Total]]&lt;0,T_T134111213141516171819[[#This Row],[Total]]*-1,0)</f>
        <v>0</v>
      </c>
      <c r="J32" s="413"/>
      <c r="K32" s="419"/>
    </row>
    <row r="33" spans="1:11" x14ac:dyDescent="0.3">
      <c r="A33" s="107">
        <v>45899</v>
      </c>
      <c r="B33" s="82" t="s">
        <v>544</v>
      </c>
      <c r="C33" s="229"/>
      <c r="D33" s="230"/>
      <c r="E33" s="230"/>
      <c r="F33" s="230"/>
      <c r="G33" s="230">
        <f t="shared" si="0"/>
        <v>0</v>
      </c>
      <c r="H33" s="233">
        <f t="shared" si="1"/>
        <v>1015</v>
      </c>
      <c r="I33" s="355">
        <f>IF(T_T134111213141516171819[[#This Row],[Total]]&lt;0,T_T134111213141516171819[[#This Row],[Total]]*-1,0)</f>
        <v>0</v>
      </c>
      <c r="J33" s="413"/>
      <c r="K33" s="419"/>
    </row>
    <row r="34" spans="1:11" x14ac:dyDescent="0.3">
      <c r="A34" s="107"/>
      <c r="B34" s="82" t="s">
        <v>545</v>
      </c>
      <c r="C34" s="6"/>
      <c r="D34" s="230"/>
      <c r="E34" s="230"/>
      <c r="F34" s="230"/>
      <c r="G34" s="230">
        <f t="shared" si="0"/>
        <v>0</v>
      </c>
      <c r="H34" s="233">
        <f t="shared" si="1"/>
        <v>1015</v>
      </c>
      <c r="I34" s="355">
        <f>IF(T_T134111213141516171819[[#This Row],[Total]]&lt;0,T_T134111213141516171819[[#This Row],[Total]]*-1,0)</f>
        <v>0</v>
      </c>
      <c r="J34" s="413"/>
      <c r="K34" s="419"/>
    </row>
    <row r="35" spans="1:11" x14ac:dyDescent="0.3">
      <c r="A35" s="9">
        <v>45930</v>
      </c>
      <c r="B35" s="3" t="s">
        <v>546</v>
      </c>
      <c r="C35" s="229"/>
      <c r="D35" s="230"/>
      <c r="E35" s="230"/>
      <c r="F35" s="230"/>
      <c r="G35" s="230">
        <f t="shared" si="0"/>
        <v>0</v>
      </c>
      <c r="H35" s="233">
        <f t="shared" si="1"/>
        <v>1015</v>
      </c>
      <c r="I35" s="355">
        <f>IF(T_T134111213141516171819[[#This Row],[Total]]&lt;0,T_T134111213141516171819[[#This Row],[Total]]*-1,0)</f>
        <v>0</v>
      </c>
      <c r="J35" s="413"/>
      <c r="K35" s="419"/>
    </row>
    <row r="36" spans="1:11" x14ac:dyDescent="0.3">
      <c r="A36" s="9"/>
      <c r="B36" s="3" t="s">
        <v>547</v>
      </c>
      <c r="C36" s="6"/>
      <c r="D36" s="230"/>
      <c r="E36" s="7"/>
      <c r="F36" s="230"/>
      <c r="G36" s="230">
        <f t="shared" si="0"/>
        <v>0</v>
      </c>
      <c r="H36" s="233">
        <f t="shared" si="1"/>
        <v>1015</v>
      </c>
      <c r="I36" s="355">
        <f>IF(T_T134111213141516171819[[#This Row],[Total]]&lt;0,T_T134111213141516171819[[#This Row],[Total]]*-1,0)</f>
        <v>0</v>
      </c>
      <c r="J36" s="413"/>
      <c r="K36" s="419"/>
    </row>
    <row r="37" spans="1:11" x14ac:dyDescent="0.3">
      <c r="A37" s="9">
        <v>45960</v>
      </c>
      <c r="B37" s="3" t="s">
        <v>548</v>
      </c>
      <c r="C37" s="229"/>
      <c r="D37" s="230"/>
      <c r="E37" s="230"/>
      <c r="F37" s="230"/>
      <c r="G37" s="230">
        <f t="shared" si="0"/>
        <v>0</v>
      </c>
      <c r="H37" s="233">
        <f t="shared" si="1"/>
        <v>1015</v>
      </c>
      <c r="I37" s="355">
        <f>IF(T_T134111213141516171819[[#This Row],[Total]]&lt;0,T_T134111213141516171819[[#This Row],[Total]]*-1,0)</f>
        <v>0</v>
      </c>
      <c r="J37" s="413"/>
      <c r="K37" s="419"/>
    </row>
    <row r="38" spans="1:11" x14ac:dyDescent="0.3">
      <c r="A38" s="9"/>
      <c r="B38" s="3" t="s">
        <v>549</v>
      </c>
      <c r="C38" s="229"/>
      <c r="D38" s="230"/>
      <c r="E38" s="230"/>
      <c r="F38" s="230"/>
      <c r="G38" s="230">
        <f t="shared" si="0"/>
        <v>0</v>
      </c>
      <c r="H38" s="233">
        <f t="shared" si="1"/>
        <v>1015</v>
      </c>
      <c r="I38" s="355">
        <f>IF(T_T134111213141516171819[[#This Row],[Total]]&lt;0,T_T134111213141516171819[[#This Row],[Total]]*-1,0)</f>
        <v>0</v>
      </c>
      <c r="J38" s="413"/>
      <c r="K38" s="419"/>
    </row>
    <row r="39" spans="1:11" x14ac:dyDescent="0.3">
      <c r="A39" s="9">
        <v>45991</v>
      </c>
      <c r="B39" s="3" t="s">
        <v>550</v>
      </c>
      <c r="C39" s="229"/>
      <c r="D39" s="230"/>
      <c r="E39" s="230"/>
      <c r="F39" s="230"/>
      <c r="G39" s="230">
        <f t="shared" si="0"/>
        <v>0</v>
      </c>
      <c r="H39" s="233">
        <f t="shared" si="1"/>
        <v>1015</v>
      </c>
      <c r="I39" s="355">
        <f>IF(T_T134111213141516171819[[#This Row],[Total]]&lt;0,T_T134111213141516171819[[#This Row],[Total]]*-1,0)</f>
        <v>0</v>
      </c>
      <c r="J39" s="413"/>
      <c r="K39" s="419"/>
    </row>
    <row r="40" spans="1:11" x14ac:dyDescent="0.3">
      <c r="A40" s="17"/>
      <c r="B40" s="18" t="s">
        <v>551</v>
      </c>
      <c r="C40" s="229"/>
      <c r="D40" s="230"/>
      <c r="E40" s="230"/>
      <c r="F40" s="230"/>
      <c r="G40" s="230">
        <f t="shared" si="0"/>
        <v>0</v>
      </c>
      <c r="H40" s="233">
        <f t="shared" si="1"/>
        <v>1015</v>
      </c>
      <c r="I40" s="355">
        <f>IF(T_T134111213141516171819[[#This Row],[Total]]&lt;0,T_T134111213141516171819[[#This Row],[Total]]*-1,0)</f>
        <v>0</v>
      </c>
      <c r="J40" s="413"/>
      <c r="K40" s="419"/>
    </row>
    <row r="41" spans="1:11" x14ac:dyDescent="0.3">
      <c r="A41" s="188">
        <v>46021</v>
      </c>
      <c r="B41" s="3" t="s">
        <v>552</v>
      </c>
      <c r="C41" s="229"/>
      <c r="D41" s="230"/>
      <c r="E41" s="230"/>
      <c r="F41" s="230"/>
      <c r="G41" s="230">
        <f t="shared" si="0"/>
        <v>0</v>
      </c>
      <c r="H41" s="233">
        <f t="shared" si="1"/>
        <v>1015</v>
      </c>
      <c r="I41" s="355">
        <f>IF(T_T134111213141516171819[[#This Row],[Total]]&lt;0,T_T134111213141516171819[[#This Row],[Total]]*-1,0)</f>
        <v>0</v>
      </c>
      <c r="J41" s="413"/>
      <c r="K41" s="419"/>
    </row>
    <row r="42" spans="1:11" x14ac:dyDescent="0.3">
      <c r="A42" s="257"/>
      <c r="B42" s="110" t="s">
        <v>553</v>
      </c>
      <c r="C42" s="229"/>
      <c r="D42" s="230"/>
      <c r="E42" s="230"/>
      <c r="F42" s="230"/>
      <c r="G42" s="230">
        <f t="shared" si="0"/>
        <v>0</v>
      </c>
      <c r="H42" s="233">
        <f t="shared" si="1"/>
        <v>1015</v>
      </c>
      <c r="I42" s="355">
        <f>IF(T_T134111213141516171819[[#This Row],[Total]]&lt;0,T_T134111213141516171819[[#This Row],[Total]]*-1,0)</f>
        <v>0</v>
      </c>
      <c r="J42" s="413"/>
      <c r="K42" s="419"/>
    </row>
  </sheetData>
  <hyperlinks>
    <hyperlink ref="B7" r:id="rId1" display="jose.orozco@outlook.com"/>
    <hyperlink ref="H7" location="Resumen!A1" display="Rsumen         "/>
  </hyperlinks>
  <pageMargins left="0.70866141732283472" right="0.70866141732283472" top="0.74803149606299213" bottom="0.74803149606299213" header="0.31496062992125984" footer="0.31496062992125984"/>
  <pageSetup scale="60" orientation="portrait" verticalDpi="360" r:id="rId2"/>
  <drawing r:id="rId3"/>
  <tableParts count="1">
    <tablePart r:id="rId4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K66"/>
  <sheetViews>
    <sheetView showGridLines="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9.109375" customWidth="1"/>
  </cols>
  <sheetData>
    <row r="2" spans="1:11" ht="15.6" x14ac:dyDescent="0.3">
      <c r="A2" s="27" t="s">
        <v>36</v>
      </c>
      <c r="B2" s="41" t="s">
        <v>61</v>
      </c>
    </row>
    <row r="3" spans="1:11" ht="12" customHeight="1" x14ac:dyDescent="0.3">
      <c r="A3" s="27" t="s">
        <v>31</v>
      </c>
      <c r="B3" s="28" t="s">
        <v>380</v>
      </c>
    </row>
    <row r="4" spans="1:11" hidden="1" x14ac:dyDescent="0.3">
      <c r="A4" s="27" t="s">
        <v>32</v>
      </c>
      <c r="B4" s="28" t="e">
        <f>LOOKUP(B2,#REF!,#REF!)</f>
        <v>#REF!</v>
      </c>
    </row>
    <row r="5" spans="1:11" hidden="1" x14ac:dyDescent="0.3">
      <c r="A5" s="27" t="s">
        <v>33</v>
      </c>
      <c r="B5" s="28" t="e">
        <f>LOOKUP(B2,#REF!,#REF!)</f>
        <v>#REF!</v>
      </c>
    </row>
    <row r="6" spans="1:11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1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1" x14ac:dyDescent="0.3">
      <c r="A8" s="21"/>
      <c r="B8" s="21"/>
    </row>
    <row r="9" spans="1:11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173" t="s">
        <v>188</v>
      </c>
      <c r="K9" s="242" t="s">
        <v>191</v>
      </c>
    </row>
    <row r="10" spans="1:11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IF(T_T13411121314151617181920[[#This Row],[Total]]&lt;0,T_T13411121314151617181920[[#This Row],[Total]]*-1,0)</f>
        <v>0</v>
      </c>
      <c r="J10" s="175"/>
      <c r="K10" s="232"/>
    </row>
    <row r="11" spans="1:11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355">
        <f>IF(T_T13411121314151617181920[[#This Row],[Total]]&lt;0,T_T13411121314151617181920[[#This Row],[Total]]*-1,0)</f>
        <v>0</v>
      </c>
      <c r="J11" s="355"/>
      <c r="K11" s="354"/>
    </row>
    <row r="12" spans="1:11" x14ac:dyDescent="0.3">
      <c r="A12" s="288"/>
      <c r="B12" s="118" t="s">
        <v>467</v>
      </c>
      <c r="C12" s="424"/>
      <c r="D12" s="425"/>
      <c r="E12" s="425"/>
      <c r="F12" s="425"/>
      <c r="G12" s="425"/>
      <c r="H12" s="426">
        <v>0</v>
      </c>
      <c r="I12" s="427">
        <f>IF(T_T13411121314151617181920[[#This Row],[Total]]&lt;0,T_T13411121314151617181920[[#This Row],[Total]]*-1,0)</f>
        <v>0</v>
      </c>
      <c r="J12" s="427"/>
      <c r="K12" s="419"/>
    </row>
    <row r="13" spans="1:11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355">
        <f>IF(T_T13411121314151617181920[[#This Row],[Total]]&lt;0,T_T13411121314151617181920[[#This Row],[Total]]*-1,0)</f>
        <v>0</v>
      </c>
      <c r="J13" s="355"/>
      <c r="K13" s="354"/>
    </row>
    <row r="14" spans="1:11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6">
        <f>IF(T_T13411121314151617181920[[#This Row],[Total]]&lt;0,T_T13411121314151617181920[[#This Row],[Total]]*-1,0)</f>
        <v>0</v>
      </c>
      <c r="J14" s="476"/>
      <c r="K14" s="485"/>
    </row>
    <row r="15" spans="1:11" x14ac:dyDescent="0.3">
      <c r="A15" s="17">
        <v>46052</v>
      </c>
      <c r="B15" s="18" t="s">
        <v>590</v>
      </c>
      <c r="C15" s="6"/>
      <c r="D15" s="2">
        <v>176</v>
      </c>
      <c r="E15" s="2">
        <v>9</v>
      </c>
      <c r="F15" s="20"/>
      <c r="G15" s="20">
        <f>SUM(D15:F15)</f>
        <v>185</v>
      </c>
      <c r="H15" s="233">
        <f>+H13+T_T13411121314151617181920[[#This Row],[Total]]</f>
        <v>185</v>
      </c>
      <c r="I15" s="355">
        <f>IF(T_T13411121314151617181920[[#This Row],[Total]]&lt;0,T_T13411121314151617181920[[#This Row],[Total]]*-1,0)</f>
        <v>0</v>
      </c>
      <c r="J15" s="355"/>
      <c r="K15" s="354"/>
    </row>
    <row r="16" spans="1:11" x14ac:dyDescent="0.3">
      <c r="A16" s="17"/>
      <c r="B16" s="18" t="s">
        <v>591</v>
      </c>
      <c r="C16" s="6"/>
      <c r="D16" s="2"/>
      <c r="E16" s="2"/>
      <c r="F16" s="230"/>
      <c r="G16" s="230">
        <f t="shared" ref="G16:G38" si="0">SUM(D16:F16)</f>
        <v>0</v>
      </c>
      <c r="H16" s="233">
        <f t="shared" ref="H16:H40" si="1">H15+G16</f>
        <v>185</v>
      </c>
      <c r="I16" s="355">
        <f>IF(T_T13411121314151617181920[[#This Row],[Total]]&lt;0,T_T13411121314151617181920[[#This Row],[Total]]*-1,0)</f>
        <v>0</v>
      </c>
      <c r="J16" s="355"/>
      <c r="K16" s="354"/>
    </row>
    <row r="17" spans="1:11" x14ac:dyDescent="0.3">
      <c r="A17" s="164">
        <v>46080</v>
      </c>
      <c r="B17" s="161" t="s">
        <v>592</v>
      </c>
      <c r="C17" s="6"/>
      <c r="D17" s="2">
        <v>176</v>
      </c>
      <c r="E17" s="2">
        <v>17</v>
      </c>
      <c r="F17" s="230"/>
      <c r="G17" s="230">
        <f t="shared" si="0"/>
        <v>193</v>
      </c>
      <c r="H17" s="233">
        <f t="shared" si="1"/>
        <v>378</v>
      </c>
      <c r="I17" s="355">
        <f>IF(T_T13411121314151617181920[[#This Row],[Total]]&lt;0,T_T13411121314151617181920[[#This Row],[Total]]*-1,0)</f>
        <v>0</v>
      </c>
      <c r="J17" s="355"/>
      <c r="K17" s="354"/>
    </row>
    <row r="18" spans="1:11" x14ac:dyDescent="0.3">
      <c r="A18" s="187"/>
      <c r="B18" s="18" t="s">
        <v>593</v>
      </c>
      <c r="C18" s="6"/>
      <c r="D18" s="2"/>
      <c r="E18" s="2"/>
      <c r="F18" s="230"/>
      <c r="G18" s="230">
        <f t="shared" si="0"/>
        <v>0</v>
      </c>
      <c r="H18" s="233">
        <f t="shared" si="1"/>
        <v>378</v>
      </c>
      <c r="I18" s="355">
        <f>IF(T_T13411121314151617181920[[#This Row],[Total]]&lt;0,T_T13411121314151617181920[[#This Row],[Total]]*-1,0)</f>
        <v>0</v>
      </c>
      <c r="J18" s="355"/>
      <c r="K18" s="354"/>
    </row>
    <row r="19" spans="1:11" x14ac:dyDescent="0.3">
      <c r="A19" s="188">
        <v>45747</v>
      </c>
      <c r="B19" s="3" t="s">
        <v>534</v>
      </c>
      <c r="C19" s="6"/>
      <c r="D19" s="2">
        <v>211</v>
      </c>
      <c r="E19" s="2">
        <v>21</v>
      </c>
      <c r="F19" s="230"/>
      <c r="G19" s="230">
        <f t="shared" si="0"/>
        <v>232</v>
      </c>
      <c r="H19" s="233">
        <f t="shared" si="1"/>
        <v>610</v>
      </c>
      <c r="I19" s="355">
        <f>IF(T_T13411121314151617181920[[#This Row],[Total]]&lt;0,T_T13411121314151617181920[[#This Row],[Total]]*-1,0)</f>
        <v>0</v>
      </c>
      <c r="J19" s="355"/>
      <c r="K19" s="354"/>
    </row>
    <row r="20" spans="1:11" x14ac:dyDescent="0.3">
      <c r="A20" s="188"/>
      <c r="B20" s="82" t="s">
        <v>535</v>
      </c>
      <c r="C20" s="6"/>
      <c r="D20" s="2"/>
      <c r="E20" s="2"/>
      <c r="F20" s="230"/>
      <c r="G20" s="230">
        <f t="shared" si="0"/>
        <v>0</v>
      </c>
      <c r="H20" s="233">
        <f t="shared" si="1"/>
        <v>610</v>
      </c>
      <c r="I20" s="355">
        <f>IF(T_T13411121314151617181920[[#This Row],[Total]]&lt;0,T_T13411121314151617181920[[#This Row],[Total]]*-1,0)</f>
        <v>0</v>
      </c>
      <c r="J20" s="355"/>
      <c r="K20" s="354"/>
    </row>
    <row r="21" spans="1:11" x14ac:dyDescent="0.3">
      <c r="A21" s="188">
        <v>45777</v>
      </c>
      <c r="B21" s="3" t="s">
        <v>536</v>
      </c>
      <c r="C21" s="6"/>
      <c r="D21" s="2">
        <v>211</v>
      </c>
      <c r="E21" s="2">
        <v>19</v>
      </c>
      <c r="F21" s="230"/>
      <c r="G21" s="230">
        <f t="shared" si="0"/>
        <v>230</v>
      </c>
      <c r="H21" s="233">
        <f t="shared" si="1"/>
        <v>840</v>
      </c>
      <c r="I21" s="355">
        <f>IF(T_T13411121314151617181920[[#This Row],[Total]]&lt;0,T_T13411121314151617181920[[#This Row],[Total]]*-1,0)</f>
        <v>0</v>
      </c>
      <c r="J21" s="355"/>
      <c r="K21" s="354"/>
    </row>
    <row r="22" spans="1:11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840</v>
      </c>
      <c r="I22" s="355">
        <f>IF(T_T13411121314151617181920[[#This Row],[Total]]&lt;0,T_T13411121314151617181920[[#This Row],[Total]]*-1,0)</f>
        <v>0</v>
      </c>
      <c r="J22" s="355"/>
      <c r="K22" s="354"/>
    </row>
    <row r="23" spans="1:11" x14ac:dyDescent="0.3">
      <c r="A23" s="40">
        <v>45807</v>
      </c>
      <c r="B23" s="3" t="s">
        <v>538</v>
      </c>
      <c r="C23" s="229"/>
      <c r="D23" s="230">
        <v>211</v>
      </c>
      <c r="E23" s="230">
        <v>23</v>
      </c>
      <c r="F23" s="230"/>
      <c r="G23" s="230">
        <f t="shared" si="0"/>
        <v>234</v>
      </c>
      <c r="H23" s="233">
        <f t="shared" si="1"/>
        <v>1074</v>
      </c>
      <c r="I23" s="355">
        <f>IF(T_T13411121314151617181920[[#This Row],[Total]]&lt;0,T_T13411121314151617181920[[#This Row],[Total]]*-1,0)</f>
        <v>0</v>
      </c>
      <c r="J23" s="355"/>
      <c r="K23" s="354"/>
    </row>
    <row r="24" spans="1:11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1074</v>
      </c>
      <c r="I24" s="355">
        <f>IF(T_T13411121314151617181920[[#This Row],[Total]]&lt;0,T_T13411121314151617181920[[#This Row],[Total]]*-1,0)</f>
        <v>0</v>
      </c>
      <c r="J24" s="355"/>
      <c r="K24" s="354"/>
    </row>
    <row r="25" spans="1:11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1074</v>
      </c>
      <c r="I25" s="355">
        <f>IF(T_T13411121314151617181920[[#This Row],[Total]]&lt;0,T_T13411121314151617181920[[#This Row],[Total]]*-1,0)</f>
        <v>0</v>
      </c>
      <c r="J25" s="355"/>
      <c r="K25" s="354"/>
    </row>
    <row r="26" spans="1:11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1074</v>
      </c>
      <c r="I26" s="355">
        <f>IF(T_T13411121314151617181920[[#This Row],[Total]]&lt;0,T_T13411121314151617181920[[#This Row],[Total]]*-1,0)</f>
        <v>0</v>
      </c>
      <c r="J26" s="355"/>
      <c r="K26" s="354"/>
    </row>
    <row r="27" spans="1:11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1074</v>
      </c>
      <c r="I27" s="355">
        <f>IF(T_T13411121314151617181920[[#This Row],[Total]]&lt;0,T_T13411121314151617181920[[#This Row],[Total]]*-1,0)</f>
        <v>0</v>
      </c>
      <c r="J27" s="355"/>
      <c r="K27" s="354"/>
    </row>
    <row r="28" spans="1:11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1074</v>
      </c>
      <c r="I28" s="355">
        <f>IF(T_T13411121314151617181920[[#This Row],[Total]]&lt;0,T_T13411121314151617181920[[#This Row],[Total]]*-1,0)</f>
        <v>0</v>
      </c>
      <c r="J28" s="355"/>
      <c r="K28" s="354"/>
    </row>
    <row r="29" spans="1:11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1074</v>
      </c>
      <c r="I29" s="355">
        <f>IF(T_T13411121314151617181920[[#This Row],[Total]]&lt;0,T_T13411121314151617181920[[#This Row],[Total]]*-1,0)</f>
        <v>0</v>
      </c>
      <c r="J29" s="355"/>
      <c r="K29" s="354"/>
    </row>
    <row r="30" spans="1:11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1074</v>
      </c>
      <c r="I30" s="355">
        <f>IF(T_T13411121314151617181920[[#This Row],[Total]]&lt;0,T_T13411121314151617181920[[#This Row],[Total]]*-1,0)</f>
        <v>0</v>
      </c>
      <c r="J30" s="355"/>
      <c r="K30" s="354"/>
    </row>
    <row r="31" spans="1:11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1074</v>
      </c>
      <c r="I31" s="355">
        <f>IF(T_T13411121314151617181920[[#This Row],[Total]]&lt;0,T_T13411121314151617181920[[#This Row],[Total]]*-1,0)</f>
        <v>0</v>
      </c>
      <c r="J31" s="355"/>
      <c r="K31" s="354"/>
    </row>
    <row r="32" spans="1:11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1074</v>
      </c>
      <c r="I32" s="355">
        <f>IF(T_T13411121314151617181920[[#This Row],[Total]]&lt;0,T_T13411121314151617181920[[#This Row],[Total]]*-1,0)</f>
        <v>0</v>
      </c>
      <c r="J32" s="355"/>
      <c r="K32" s="354"/>
    </row>
    <row r="33" spans="1:11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1074</v>
      </c>
      <c r="I33" s="355">
        <f>IF(T_T13411121314151617181920[[#This Row],[Total]]&lt;0,T_T13411121314151617181920[[#This Row],[Total]]*-1,0)</f>
        <v>0</v>
      </c>
      <c r="J33" s="355"/>
      <c r="K33" s="354"/>
    </row>
    <row r="34" spans="1:11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1074</v>
      </c>
      <c r="I34" s="355">
        <f>IF(T_T13411121314151617181920[[#This Row],[Total]]&lt;0,T_T13411121314151617181920[[#This Row],[Total]]*-1,0)</f>
        <v>0</v>
      </c>
      <c r="J34" s="355"/>
      <c r="K34" s="354"/>
    </row>
    <row r="35" spans="1:11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1074</v>
      </c>
      <c r="I35" s="355">
        <f>IF(T_T13411121314151617181920[[#This Row],[Total]]&lt;0,T_T13411121314151617181920[[#This Row],[Total]]*-1,0)</f>
        <v>0</v>
      </c>
      <c r="J35" s="355"/>
      <c r="K35" s="354"/>
    </row>
    <row r="36" spans="1:11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1074</v>
      </c>
      <c r="I36" s="355">
        <f>IF(T_T13411121314151617181920[[#This Row],[Total]]&lt;0,T_T13411121314151617181920[[#This Row],[Total]]*-1,0)</f>
        <v>0</v>
      </c>
      <c r="J36" s="355"/>
      <c r="K36" s="354"/>
    </row>
    <row r="37" spans="1:11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1074</v>
      </c>
      <c r="I37" s="355">
        <f>IF(T_T13411121314151617181920[[#This Row],[Total]]&lt;0,T_T13411121314151617181920[[#This Row],[Total]]*-1,0)</f>
        <v>0</v>
      </c>
      <c r="J37" s="355"/>
      <c r="K37" s="354"/>
    </row>
    <row r="38" spans="1:11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1074</v>
      </c>
      <c r="I38" s="355">
        <f>IF(T_T13411121314151617181920[[#This Row],[Total]]&lt;0,T_T13411121314151617181920[[#This Row],[Total]]*-1,0)</f>
        <v>0</v>
      </c>
      <c r="J38" s="355"/>
      <c r="K38" s="354"/>
    </row>
    <row r="39" spans="1:11" x14ac:dyDescent="0.3">
      <c r="A39" s="107"/>
      <c r="B39" s="82"/>
      <c r="C39" s="229"/>
      <c r="D39" s="230"/>
      <c r="E39" s="230"/>
      <c r="F39" s="230"/>
      <c r="G39" s="230">
        <f>SUM(D39:F47)</f>
        <v>0</v>
      </c>
      <c r="H39" s="233">
        <f t="shared" si="1"/>
        <v>1074</v>
      </c>
      <c r="I39" s="355">
        <f>IF(T_T13411121314151617181920[[#This Row],[Total]]&lt;0,T_T13411121314151617181920[[#This Row],[Total]]*-1,0)</f>
        <v>0</v>
      </c>
      <c r="J39" s="355"/>
      <c r="K39" s="354"/>
    </row>
    <row r="40" spans="1:11" x14ac:dyDescent="0.3">
      <c r="A40" s="107"/>
      <c r="B40" s="82"/>
      <c r="C40" s="229"/>
      <c r="D40" s="230"/>
      <c r="E40" s="230"/>
      <c r="F40" s="230"/>
      <c r="G40" s="230"/>
      <c r="H40" s="233">
        <f t="shared" si="1"/>
        <v>1074</v>
      </c>
      <c r="I40" s="355">
        <f>IF(T_T13411121314151617181920[[#This Row],[Total]]&lt;0,T_T13411121314151617181920[[#This Row],[Total]]*-1,0)</f>
        <v>0</v>
      </c>
      <c r="J40" s="355"/>
      <c r="K40" s="354"/>
    </row>
    <row r="41" spans="1:11" x14ac:dyDescent="0.3">
      <c r="A41" s="170"/>
      <c r="B41" s="18"/>
      <c r="C41" s="481"/>
      <c r="D41" s="482"/>
      <c r="E41" s="482"/>
      <c r="F41" s="482"/>
      <c r="G41" s="482"/>
      <c r="H41" s="483"/>
      <c r="I41" s="476">
        <f>IF(T_T13411121314151617181920[[#This Row],[Total]]&lt;0,T_T13411121314151617181920[[#This Row],[Total]]*-1,0)</f>
        <v>0</v>
      </c>
      <c r="J41" s="476"/>
      <c r="K41" s="485"/>
    </row>
    <row r="42" spans="1:11" x14ac:dyDescent="0.3">
      <c r="A42" s="17"/>
      <c r="B42" s="18"/>
      <c r="C42" s="6"/>
      <c r="D42" s="2"/>
      <c r="E42" s="2"/>
      <c r="F42" s="2"/>
      <c r="G42" s="2"/>
      <c r="H42" s="202"/>
    </row>
    <row r="43" spans="1:11" x14ac:dyDescent="0.3">
      <c r="A43" s="17"/>
      <c r="B43" s="18"/>
      <c r="C43" s="6"/>
      <c r="D43" s="2"/>
      <c r="E43" s="2"/>
      <c r="F43" s="2"/>
      <c r="G43" s="2"/>
      <c r="H43" s="202"/>
    </row>
    <row r="44" spans="1:11" x14ac:dyDescent="0.3">
      <c r="A44" s="164"/>
      <c r="B44" s="161"/>
      <c r="C44" s="6"/>
      <c r="D44" s="2"/>
      <c r="E44" s="2"/>
      <c r="F44" s="2"/>
      <c r="G44" s="2"/>
      <c r="H44" s="202"/>
    </row>
    <row r="45" spans="1:11" x14ac:dyDescent="0.3">
      <c r="A45" s="185"/>
      <c r="B45" s="3"/>
      <c r="C45" s="19"/>
      <c r="D45" s="212"/>
      <c r="E45" s="212"/>
      <c r="F45" s="212"/>
      <c r="G45" s="212"/>
      <c r="H45" s="202"/>
    </row>
    <row r="46" spans="1:11" x14ac:dyDescent="0.3">
      <c r="A46" s="188"/>
      <c r="B46" s="3"/>
      <c r="C46" s="6"/>
      <c r="D46" s="2"/>
      <c r="E46" s="2"/>
      <c r="F46" s="2"/>
      <c r="G46" s="2"/>
      <c r="H46" s="202"/>
    </row>
    <row r="47" spans="1:11" x14ac:dyDescent="0.3">
      <c r="A47" s="188"/>
      <c r="B47" s="82"/>
      <c r="C47" s="6"/>
      <c r="D47" s="2"/>
      <c r="E47" s="2"/>
      <c r="F47" s="2"/>
      <c r="G47" s="2"/>
      <c r="H47" s="202"/>
    </row>
    <row r="48" spans="1:11" x14ac:dyDescent="0.3">
      <c r="A48" s="188"/>
      <c r="B48" s="3"/>
      <c r="C48" s="6"/>
      <c r="D48" s="2"/>
      <c r="E48" s="2"/>
      <c r="F48" s="2"/>
      <c r="G48" s="2"/>
      <c r="H48" s="202"/>
    </row>
    <row r="49" spans="1:8" x14ac:dyDescent="0.3">
      <c r="A49" s="83"/>
      <c r="B49" s="82"/>
      <c r="C49" s="6"/>
      <c r="D49" s="2"/>
      <c r="E49" s="2"/>
      <c r="F49" s="2"/>
      <c r="G49" s="2"/>
      <c r="H49" s="202"/>
    </row>
    <row r="50" spans="1:8" x14ac:dyDescent="0.3">
      <c r="A50" s="188"/>
      <c r="B50" s="3"/>
      <c r="C50" s="6"/>
      <c r="D50" s="2"/>
      <c r="E50" s="2"/>
      <c r="F50" s="2"/>
      <c r="G50" s="2"/>
      <c r="H50" s="202"/>
    </row>
    <row r="51" spans="1:8" x14ac:dyDescent="0.3">
      <c r="A51" s="107"/>
      <c r="B51" s="127"/>
      <c r="C51" s="6"/>
      <c r="D51" s="2"/>
      <c r="E51" s="2"/>
      <c r="F51" s="2"/>
      <c r="G51" s="2"/>
      <c r="H51" s="202"/>
    </row>
    <row r="52" spans="1:8" x14ac:dyDescent="0.3">
      <c r="A52" s="188"/>
      <c r="B52" s="3"/>
      <c r="C52" s="6"/>
      <c r="D52" s="2"/>
      <c r="E52" s="2"/>
      <c r="F52" s="2"/>
      <c r="G52" s="2"/>
      <c r="H52" s="202"/>
    </row>
    <row r="53" spans="1:8" x14ac:dyDescent="0.3">
      <c r="A53" s="107"/>
      <c r="B53" s="127"/>
      <c r="C53" s="6"/>
      <c r="D53" s="2"/>
      <c r="E53" s="2"/>
      <c r="F53" s="2"/>
      <c r="G53" s="2"/>
      <c r="H53" s="202"/>
    </row>
    <row r="54" spans="1:8" x14ac:dyDescent="0.3">
      <c r="A54" s="107"/>
      <c r="B54" s="82"/>
      <c r="C54" s="6"/>
      <c r="D54" s="2"/>
      <c r="E54" s="2"/>
      <c r="F54" s="2"/>
      <c r="G54" s="2"/>
      <c r="H54" s="202"/>
    </row>
    <row r="55" spans="1:8" x14ac:dyDescent="0.3">
      <c r="A55" s="107"/>
      <c r="B55" s="82"/>
      <c r="C55" s="6"/>
      <c r="D55" s="2"/>
      <c r="E55" s="2"/>
      <c r="F55" s="2"/>
      <c r="G55" s="2"/>
      <c r="H55" s="202"/>
    </row>
    <row r="56" spans="1:8" x14ac:dyDescent="0.3">
      <c r="A56" s="107"/>
      <c r="B56" s="82"/>
      <c r="C56" s="6"/>
      <c r="D56" s="2"/>
      <c r="E56" s="2"/>
      <c r="F56" s="2"/>
      <c r="G56" s="2"/>
      <c r="H56" s="202"/>
    </row>
    <row r="57" spans="1:8" x14ac:dyDescent="0.3">
      <c r="A57" s="107"/>
      <c r="B57" s="82"/>
      <c r="C57" s="6"/>
      <c r="D57" s="2"/>
      <c r="E57" s="2"/>
      <c r="F57" s="2"/>
      <c r="G57" s="2"/>
      <c r="H57" s="202"/>
    </row>
    <row r="58" spans="1:8" x14ac:dyDescent="0.3">
      <c r="A58" s="188"/>
      <c r="B58" s="3"/>
      <c r="C58" s="6"/>
      <c r="D58" s="2"/>
      <c r="E58" s="2"/>
      <c r="F58" s="2"/>
      <c r="G58" s="2"/>
      <c r="H58" s="202"/>
    </row>
    <row r="59" spans="1:8" x14ac:dyDescent="0.3">
      <c r="A59" s="107"/>
      <c r="B59" s="82"/>
      <c r="C59" s="6"/>
      <c r="D59" s="2"/>
      <c r="E59" s="2"/>
      <c r="F59" s="2"/>
      <c r="G59" s="2"/>
      <c r="H59" s="202"/>
    </row>
    <row r="60" spans="1:8" x14ac:dyDescent="0.3">
      <c r="A60" s="188"/>
      <c r="B60" s="3"/>
      <c r="C60" s="6"/>
      <c r="D60" s="2"/>
      <c r="E60" s="2"/>
      <c r="F60" s="2"/>
      <c r="G60" s="2"/>
      <c r="H60" s="202"/>
    </row>
    <row r="61" spans="1:8" x14ac:dyDescent="0.3">
      <c r="A61" s="107"/>
      <c r="B61" s="82"/>
      <c r="C61" s="6"/>
      <c r="D61" s="2"/>
      <c r="E61" s="2"/>
      <c r="F61" s="2"/>
      <c r="G61" s="2"/>
      <c r="H61" s="202"/>
    </row>
    <row r="62" spans="1:8" x14ac:dyDescent="0.3">
      <c r="A62" s="188"/>
      <c r="B62" s="3"/>
      <c r="C62" s="6"/>
      <c r="D62" s="2"/>
      <c r="E62" s="2"/>
      <c r="F62" s="2"/>
      <c r="G62" s="2"/>
      <c r="H62" s="202"/>
    </row>
    <row r="63" spans="1:8" x14ac:dyDescent="0.3">
      <c r="A63" s="83"/>
      <c r="B63" s="127"/>
      <c r="C63" s="6"/>
      <c r="D63" s="2"/>
      <c r="E63" s="2"/>
      <c r="F63" s="2"/>
      <c r="G63" s="2"/>
      <c r="H63" s="202"/>
    </row>
    <row r="64" spans="1:8" x14ac:dyDescent="0.3">
      <c r="A64" s="188"/>
      <c r="B64" s="3"/>
      <c r="C64" s="6"/>
      <c r="D64" s="2"/>
      <c r="E64" s="2"/>
      <c r="F64" s="2"/>
      <c r="G64" s="2"/>
      <c r="H64" s="202"/>
    </row>
    <row r="65" spans="1:8" x14ac:dyDescent="0.3">
      <c r="A65" s="257"/>
      <c r="B65" s="110"/>
      <c r="C65" s="6"/>
      <c r="D65" s="2"/>
      <c r="E65" s="2"/>
      <c r="F65" s="2"/>
      <c r="G65" s="2"/>
      <c r="H65" s="202"/>
    </row>
    <row r="66" spans="1:8" x14ac:dyDescent="0.3">
      <c r="A66" s="165"/>
      <c r="B66" s="337"/>
      <c r="C66" s="6"/>
      <c r="D66" s="2"/>
      <c r="E66" s="2"/>
      <c r="F66" s="2"/>
      <c r="G66" s="2"/>
      <c r="H66" s="2"/>
    </row>
  </sheetData>
  <phoneticPr fontId="92" type="noConversion"/>
  <hyperlinks>
    <hyperlink ref="B7" r:id="rId1" display="jose.orozco@outlook.com"/>
    <hyperlink ref="H7" location="Resumen!A1" display="Rsumen         "/>
  </hyperlinks>
  <pageMargins left="0.27559055118110237" right="0.15748031496062992" top="0.74803149606299213" bottom="0.74803149606299213" header="0.31496062992125984" footer="0.31496062992125984"/>
  <pageSetup scale="78" orientation="portrait" verticalDpi="360" r:id="rId2"/>
  <drawing r:id="rId3"/>
  <tableParts count="1">
    <tablePart r:id="rId4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2:J42"/>
  <sheetViews>
    <sheetView showGridLines="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33203125" customWidth="1"/>
    <col min="3" max="3" width="12" style="4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33203125" style="1" customWidth="1"/>
    <col min="9" max="9" width="5" hidden="1" customWidth="1"/>
  </cols>
  <sheetData>
    <row r="2" spans="1:10" ht="15.6" x14ac:dyDescent="0.3">
      <c r="A2" s="27" t="s">
        <v>36</v>
      </c>
      <c r="B2" s="41" t="s">
        <v>62</v>
      </c>
    </row>
    <row r="3" spans="1:10" ht="12" customHeight="1" x14ac:dyDescent="0.3">
      <c r="A3" s="27" t="s">
        <v>31</v>
      </c>
      <c r="B3" s="4" t="s">
        <v>196</v>
      </c>
    </row>
    <row r="4" spans="1:10" x14ac:dyDescent="0.3">
      <c r="A4" s="27" t="s">
        <v>32</v>
      </c>
      <c r="B4" s="28" t="e">
        <f>LOOKUP(B2,#REF!,#REF!)</f>
        <v>#REF!</v>
      </c>
    </row>
    <row r="5" spans="1:10" x14ac:dyDescent="0.3">
      <c r="A5" s="27" t="s">
        <v>33</v>
      </c>
      <c r="B5" s="28" t="e">
        <f>LOOKUP(B2,#REF!,#REF!)</f>
        <v>#REF!</v>
      </c>
    </row>
    <row r="6" spans="1:10" x14ac:dyDescent="0.3">
      <c r="A6" s="27" t="s">
        <v>34</v>
      </c>
      <c r="B6" s="28" t="e">
        <f>LOOKUP(B2,#REF!,#REF!)</f>
        <v>#REF!</v>
      </c>
      <c r="G6" s="25"/>
      <c r="H6" s="25"/>
    </row>
    <row r="7" spans="1:10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0" x14ac:dyDescent="0.3">
      <c r="A8" s="21"/>
      <c r="B8" s="21"/>
    </row>
    <row r="9" spans="1:10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75" t="s">
        <v>188</v>
      </c>
    </row>
    <row r="10" spans="1:10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IF(T_T1341112131415161718192021[[#This Row],[Total]]&lt;0,T_T1341112131415161718192021[[#This Row],[Total]]*-1,0)</f>
        <v>0</v>
      </c>
      <c r="J10" s="74"/>
    </row>
    <row r="11" spans="1:10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IF(T_T1341112131415161718192021[[#This Row],[Total]]&lt;0,T_T1341112131415161718192021[[#This Row],[Total]]*-1,0)</f>
        <v>0</v>
      </c>
      <c r="J11" s="73"/>
    </row>
    <row r="12" spans="1:10" x14ac:dyDescent="0.3">
      <c r="A12" s="432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IF(T_T1341112131415161718192021[[#This Row],[Total]]&lt;0,T_T1341112131415161718192021[[#This Row],[Total]]*-1,0)</f>
        <v>0</v>
      </c>
      <c r="J12" s="427"/>
    </row>
    <row r="13" spans="1:10" x14ac:dyDescent="0.3">
      <c r="A13" s="288"/>
      <c r="B13" s="118" t="s">
        <v>502</v>
      </c>
      <c r="C13" s="289"/>
      <c r="D13" s="290"/>
      <c r="E13" s="290"/>
      <c r="F13" s="290"/>
      <c r="G13" s="290"/>
      <c r="H13" s="291"/>
      <c r="I13" s="240">
        <f>IF(T_T1341112131415161718192021[[#This Row],[Total]]&lt;0,T_T1341112131415161718192021[[#This Row],[Total]]*-1,0)</f>
        <v>0</v>
      </c>
      <c r="J13" s="73"/>
    </row>
    <row r="14" spans="1:10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IF(T_T1341112131415161718192021[[#This Row],[Total]]&lt;0,T_T1341112131415161718192021[[#This Row],[Total]]*-1,0)</f>
        <v>0</v>
      </c>
      <c r="J14" s="476"/>
    </row>
    <row r="15" spans="1:10" x14ac:dyDescent="0.3">
      <c r="A15" s="17">
        <v>46052</v>
      </c>
      <c r="B15" s="18" t="s">
        <v>590</v>
      </c>
      <c r="C15" s="6"/>
      <c r="D15" s="2">
        <v>189</v>
      </c>
      <c r="E15" s="2"/>
      <c r="F15" s="20"/>
      <c r="G15" s="20">
        <f>SUM(D15:F15)</f>
        <v>189</v>
      </c>
      <c r="H15" s="233">
        <f>+H13+T_T1341112131415161718192021[[#This Row],[Total]]</f>
        <v>189</v>
      </c>
      <c r="I15" s="240">
        <f>IF(T_T1341112131415161718192021[[#This Row],[Total]]&lt;0,T_T1341112131415161718192021[[#This Row],[Total]]*-1,0)</f>
        <v>0</v>
      </c>
      <c r="J15" s="73"/>
    </row>
    <row r="16" spans="1:10" x14ac:dyDescent="0.3">
      <c r="A16" s="17"/>
      <c r="B16" s="18" t="s">
        <v>591</v>
      </c>
      <c r="C16" s="6">
        <v>8629</v>
      </c>
      <c r="D16" s="2">
        <v>-189</v>
      </c>
      <c r="E16" s="2"/>
      <c r="F16" s="230"/>
      <c r="G16" s="230">
        <f t="shared" ref="G16:G40" si="0">SUM(D16:F16)</f>
        <v>-189</v>
      </c>
      <c r="H16" s="233">
        <f t="shared" ref="H16:H42" si="1">H15+G16</f>
        <v>0</v>
      </c>
      <c r="I16" s="239">
        <f>IF(T_T1341112131415161718192021[[#This Row],[Total]]&lt;0,T_T1341112131415161718192021[[#This Row],[Total]]*-1,0)</f>
        <v>189</v>
      </c>
      <c r="J16" s="73"/>
    </row>
    <row r="17" spans="1:10" x14ac:dyDescent="0.3">
      <c r="A17" s="164">
        <v>45715</v>
      </c>
      <c r="B17" s="161" t="s">
        <v>532</v>
      </c>
      <c r="C17" s="6"/>
      <c r="D17" s="2">
        <v>189</v>
      </c>
      <c r="E17" s="2"/>
      <c r="F17" s="230"/>
      <c r="G17" s="230">
        <f t="shared" si="0"/>
        <v>189</v>
      </c>
      <c r="H17" s="233">
        <f t="shared" si="1"/>
        <v>189</v>
      </c>
      <c r="I17" s="240">
        <f>IF(T_T1341112131415161718192021[[#This Row],[Total]]&lt;0,T_T1341112131415161718192021[[#This Row],[Total]]*-1,0)</f>
        <v>0</v>
      </c>
      <c r="J17" s="73"/>
    </row>
    <row r="18" spans="1:10" x14ac:dyDescent="0.3">
      <c r="A18" s="187"/>
      <c r="B18" s="18" t="s">
        <v>533</v>
      </c>
      <c r="C18" s="6"/>
      <c r="D18" s="2"/>
      <c r="E18" s="2"/>
      <c r="F18" s="230"/>
      <c r="G18" s="230">
        <f t="shared" si="0"/>
        <v>0</v>
      </c>
      <c r="H18" s="233">
        <f t="shared" si="1"/>
        <v>189</v>
      </c>
      <c r="I18" s="240">
        <f>IF(T_T1341112131415161718192021[[#This Row],[Total]]&lt;0,T_T1341112131415161718192021[[#This Row],[Total]]*-1,0)</f>
        <v>0</v>
      </c>
      <c r="J18" s="73"/>
    </row>
    <row r="19" spans="1:10" x14ac:dyDescent="0.3">
      <c r="A19" s="188">
        <v>45747</v>
      </c>
      <c r="B19" s="3" t="s">
        <v>534</v>
      </c>
      <c r="C19" s="6"/>
      <c r="D19" s="2">
        <v>227</v>
      </c>
      <c r="E19" s="2"/>
      <c r="F19" s="230"/>
      <c r="G19" s="230">
        <f t="shared" si="0"/>
        <v>227</v>
      </c>
      <c r="H19" s="233">
        <f t="shared" si="1"/>
        <v>416</v>
      </c>
      <c r="I19" s="240">
        <f>IF(T_T1341112131415161718192021[[#This Row],[Total]]&lt;0,T_T1341112131415161718192021[[#This Row],[Total]]*-1,0)</f>
        <v>0</v>
      </c>
      <c r="J19" s="73"/>
    </row>
    <row r="20" spans="1:10" x14ac:dyDescent="0.3">
      <c r="A20" s="188"/>
      <c r="B20" s="82" t="s">
        <v>535</v>
      </c>
      <c r="C20" s="6"/>
      <c r="D20" s="2"/>
      <c r="E20" s="2"/>
      <c r="F20" s="230"/>
      <c r="G20" s="230">
        <f t="shared" si="0"/>
        <v>0</v>
      </c>
      <c r="H20" s="233">
        <f t="shared" si="1"/>
        <v>416</v>
      </c>
      <c r="I20" s="239">
        <f>IF(T_T1341112131415161718192021[[#This Row],[Total]]&lt;0,T_T1341112131415161718192021[[#This Row],[Total]]*-1,0)</f>
        <v>0</v>
      </c>
      <c r="J20" s="73"/>
    </row>
    <row r="21" spans="1:10" x14ac:dyDescent="0.3">
      <c r="A21" s="188">
        <v>45777</v>
      </c>
      <c r="B21" s="3" t="s">
        <v>536</v>
      </c>
      <c r="C21" s="6"/>
      <c r="D21" s="2">
        <v>227</v>
      </c>
      <c r="E21" s="2">
        <v>15</v>
      </c>
      <c r="F21" s="230"/>
      <c r="G21" s="230">
        <f t="shared" si="0"/>
        <v>242</v>
      </c>
      <c r="H21" s="233">
        <f t="shared" si="1"/>
        <v>658</v>
      </c>
      <c r="I21" s="309">
        <f>IF(T_T1341112131415161718192021[[#This Row],[Total]]&lt;0,T_T1341112131415161718192021[[#This Row],[Total]]*-1,0)</f>
        <v>0</v>
      </c>
      <c r="J21" s="73"/>
    </row>
    <row r="22" spans="1:10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658</v>
      </c>
      <c r="I22" s="309">
        <f>IF(T_T1341112131415161718192021[[#This Row],[Total]]&lt;0,T_T1341112131415161718192021[[#This Row],[Total]]*-1,0)</f>
        <v>0</v>
      </c>
      <c r="J22" s="73"/>
    </row>
    <row r="23" spans="1:10" x14ac:dyDescent="0.3">
      <c r="A23" s="40">
        <v>45807</v>
      </c>
      <c r="B23" s="3" t="s">
        <v>538</v>
      </c>
      <c r="C23" s="229"/>
      <c r="D23" s="230">
        <v>227</v>
      </c>
      <c r="E23" s="230">
        <v>12</v>
      </c>
      <c r="F23" s="230"/>
      <c r="G23" s="230">
        <f t="shared" si="0"/>
        <v>239</v>
      </c>
      <c r="H23" s="233">
        <f t="shared" si="1"/>
        <v>897</v>
      </c>
      <c r="I23" s="309">
        <f>IF(T_T1341112131415161718192021[[#This Row],[Total]]&lt;0,T_T1341112131415161718192021[[#This Row],[Total]]*-1,0)</f>
        <v>0</v>
      </c>
      <c r="J23" s="73"/>
    </row>
    <row r="24" spans="1:10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897</v>
      </c>
      <c r="I24" s="311">
        <f>IF(T_T1341112131415161718192021[[#This Row],[Total]]&lt;0,T_T1341112131415161718192021[[#This Row],[Total]]*-1,0)</f>
        <v>0</v>
      </c>
      <c r="J24" s="73"/>
    </row>
    <row r="25" spans="1:10" x14ac:dyDescent="0.3">
      <c r="A25" s="9">
        <v>45838</v>
      </c>
      <c r="B25" s="3" t="s">
        <v>540</v>
      </c>
      <c r="C25" s="376"/>
      <c r="D25" s="377"/>
      <c r="E25" s="377"/>
      <c r="F25" s="377"/>
      <c r="G25" s="230">
        <f t="shared" si="0"/>
        <v>0</v>
      </c>
      <c r="H25" s="233">
        <f t="shared" si="1"/>
        <v>897</v>
      </c>
      <c r="I25" s="353">
        <f>IF(T_T1341112131415161718192021[[#This Row],[Total]]&lt;0,T_T1341112131415161718192021[[#This Row],[Total]]*-1,0)</f>
        <v>0</v>
      </c>
      <c r="J25" s="73"/>
    </row>
    <row r="26" spans="1:10" x14ac:dyDescent="0.3">
      <c r="A26" s="9"/>
      <c r="B26" s="18" t="s">
        <v>541</v>
      </c>
      <c r="C26" s="376"/>
      <c r="D26" s="377"/>
      <c r="E26" s="377"/>
      <c r="F26" s="377"/>
      <c r="G26" s="230">
        <f t="shared" si="0"/>
        <v>0</v>
      </c>
      <c r="H26" s="233">
        <f t="shared" si="1"/>
        <v>897</v>
      </c>
      <c r="I26" s="353">
        <f>IF(T_T1341112131415161718192021[[#This Row],[Total]]&lt;0,T_T1341112131415161718192021[[#This Row],[Total]]*-1,0)</f>
        <v>0</v>
      </c>
      <c r="J26" s="73"/>
    </row>
    <row r="27" spans="1:10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897</v>
      </c>
      <c r="I27" s="309">
        <f>IF(T_T1341112131415161718192021[[#This Row],[Total]]&lt;0,T_T1341112131415161718192021[[#This Row],[Total]]*-1,0)</f>
        <v>0</v>
      </c>
      <c r="J27" s="73"/>
    </row>
    <row r="28" spans="1:10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897</v>
      </c>
      <c r="I28" s="309">
        <f>IF(T_T1341112131415161718192021[[#This Row],[Total]]&lt;0,T_T1341112131415161718192021[[#This Row],[Total]]*-1,0)</f>
        <v>0</v>
      </c>
      <c r="J28" s="73"/>
    </row>
    <row r="29" spans="1:10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897</v>
      </c>
      <c r="I29" s="309">
        <f>IF(T_T1341112131415161718192021[[#This Row],[Total]]&lt;0,T_T1341112131415161718192021[[#This Row],[Total]]*-1,0)</f>
        <v>0</v>
      </c>
      <c r="J29" s="73"/>
    </row>
    <row r="30" spans="1:10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897</v>
      </c>
      <c r="I30" s="311">
        <f>IF(T_T1341112131415161718192021[[#This Row],[Total]]&lt;0,T_T1341112131415161718192021[[#This Row],[Total]]*-1,0)</f>
        <v>0</v>
      </c>
      <c r="J30" s="73"/>
    </row>
    <row r="31" spans="1:10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897</v>
      </c>
      <c r="I31" s="309">
        <f>IF(T_T1341112131415161718192021[[#This Row],[Total]]&lt;0,T_T1341112131415161718192021[[#This Row],[Total]]*-1,0)</f>
        <v>0</v>
      </c>
      <c r="J31" s="73"/>
    </row>
    <row r="32" spans="1:10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897</v>
      </c>
      <c r="I32" s="309">
        <f>IF(T_T1341112131415161718192021[[#This Row],[Total]]&lt;0,T_T1341112131415161718192021[[#This Row],[Total]]*-1,0)</f>
        <v>0</v>
      </c>
      <c r="J32" s="73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897</v>
      </c>
      <c r="I33" s="309">
        <f>IF(T_T1341112131415161718192021[[#This Row],[Total]]&lt;0,T_T1341112131415161718192021[[#This Row],[Total]]*-1,0)</f>
        <v>0</v>
      </c>
      <c r="J33" s="73"/>
    </row>
    <row r="34" spans="1:10" x14ac:dyDescent="0.3">
      <c r="A34" s="9"/>
      <c r="B34" s="3" t="s">
        <v>549</v>
      </c>
      <c r="C34" s="6"/>
      <c r="D34" s="230"/>
      <c r="E34" s="230"/>
      <c r="F34" s="230"/>
      <c r="G34" s="230">
        <f t="shared" si="0"/>
        <v>0</v>
      </c>
      <c r="H34" s="233">
        <f t="shared" si="1"/>
        <v>897</v>
      </c>
      <c r="I34" s="309">
        <f>IF(T_T1341112131415161718192021[[#This Row],[Total]]&lt;0,T_T1341112131415161718192021[[#This Row],[Total]]*-1,0)</f>
        <v>0</v>
      </c>
      <c r="J34" s="73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897</v>
      </c>
      <c r="I35" s="309">
        <f>IF(T_T1341112131415161718192021[[#This Row],[Total]]&lt;0,T_T1341112131415161718192021[[#This Row],[Total]]*-1,0)</f>
        <v>0</v>
      </c>
      <c r="J35" s="73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897</v>
      </c>
      <c r="I36" s="309">
        <f>IF(T_T1341112131415161718192021[[#This Row],[Total]]&lt;0,T_T1341112131415161718192021[[#This Row],[Total]]*-1,0)</f>
        <v>0</v>
      </c>
      <c r="J36" s="73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897</v>
      </c>
      <c r="I37" s="309">
        <f>IF(T_T1341112131415161718192021[[#This Row],[Total]]&lt;0,T_T1341112131415161718192021[[#This Row],[Total]]*-1,0)</f>
        <v>0</v>
      </c>
      <c r="J37" s="73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897</v>
      </c>
      <c r="I38" s="309">
        <f>IF(T_T1341112131415161718192021[[#This Row],[Total]]&lt;0,T_T1341112131415161718192021[[#This Row],[Total]]*-1,0)</f>
        <v>0</v>
      </c>
      <c r="J38" s="73"/>
    </row>
    <row r="39" spans="1:10" x14ac:dyDescent="0.3">
      <c r="A39" s="107"/>
      <c r="B39" s="82"/>
      <c r="C39" s="229"/>
      <c r="D39" s="230"/>
      <c r="E39" s="230"/>
      <c r="F39" s="230"/>
      <c r="G39" s="230">
        <f t="shared" si="0"/>
        <v>0</v>
      </c>
      <c r="H39" s="233">
        <f t="shared" si="1"/>
        <v>897</v>
      </c>
      <c r="I39" s="311">
        <f>IF(T_T1341112131415161718192021[[#This Row],[Total]]&lt;0,T_T1341112131415161718192021[[#This Row],[Total]]*-1,0)</f>
        <v>0</v>
      </c>
      <c r="J39" s="73"/>
    </row>
    <row r="40" spans="1:10" x14ac:dyDescent="0.3">
      <c r="A40" s="107"/>
      <c r="B40" s="82"/>
      <c r="C40" s="229"/>
      <c r="D40" s="230"/>
      <c r="E40" s="230"/>
      <c r="F40" s="230"/>
      <c r="G40" s="230">
        <f t="shared" si="0"/>
        <v>0</v>
      </c>
      <c r="H40" s="233">
        <f t="shared" si="1"/>
        <v>897</v>
      </c>
      <c r="I40" s="353">
        <f>IF(T_T1341112131415161718192021[[#This Row],[Total]]&lt;0,T_T1341112131415161718192021[[#This Row],[Total]]*-1,0)</f>
        <v>0</v>
      </c>
      <c r="J40" s="73"/>
    </row>
    <row r="41" spans="1:10" x14ac:dyDescent="0.3">
      <c r="A41" s="170"/>
      <c r="B41" s="18"/>
      <c r="C41" s="229"/>
      <c r="D41" s="230"/>
      <c r="E41" s="230"/>
      <c r="F41" s="230"/>
      <c r="G41" s="230">
        <f>SUM(D41:F48)</f>
        <v>0</v>
      </c>
      <c r="H41" s="233">
        <f t="shared" si="1"/>
        <v>897</v>
      </c>
      <c r="I41" s="353">
        <f>IF(T_T1341112131415161718192021[[#This Row],[Total]]&lt;0,T_T1341112131415161718192021[[#This Row],[Total]]*-1,0)</f>
        <v>0</v>
      </c>
      <c r="J41" s="73"/>
    </row>
    <row r="42" spans="1:10" x14ac:dyDescent="0.3">
      <c r="A42" s="107"/>
      <c r="B42" s="82"/>
      <c r="C42" s="229"/>
      <c r="D42" s="230"/>
      <c r="E42" s="230"/>
      <c r="F42" s="230"/>
      <c r="G42" s="230">
        <f>SUM(D42:F49)</f>
        <v>0</v>
      </c>
      <c r="H42" s="233">
        <f t="shared" si="1"/>
        <v>897</v>
      </c>
      <c r="I42" s="353">
        <f>IF(T_T1341112131415161718192021[[#This Row],[Total]]&lt;0,T_T1341112131415161718192021[[#This Row],[Total]]*-1,0)</f>
        <v>0</v>
      </c>
      <c r="J42" s="379"/>
    </row>
  </sheetData>
  <hyperlinks>
    <hyperlink ref="B7" r:id="rId1" display="jose.orozco@outlook.com"/>
    <hyperlink ref="H7" location="Resumen!A1" display="Rsumen         "/>
  </hyperlinks>
  <pageMargins left="0.43307086614173229" right="0.43307086614173229" top="0.78740157480314965" bottom="0.74803149606299213" header="0.31496062992125984" footer="0.31496062992125984"/>
  <pageSetup scale="55" orientation="portrait" verticalDpi="360" r:id="rId2"/>
  <drawing r:id="rId3"/>
  <tableParts count="1">
    <tablePart r:id="rId4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2:J41"/>
  <sheetViews>
    <sheetView showGridLines="0" topLeftCell="A8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1.6640625" style="4" customWidth="1"/>
    <col min="4" max="4" width="12.88671875" style="1" customWidth="1"/>
    <col min="5" max="5" width="9.5546875" style="1" customWidth="1"/>
    <col min="6" max="6" width="7.5546875" style="1" customWidth="1"/>
    <col min="7" max="7" width="11.88671875" style="1" customWidth="1"/>
    <col min="8" max="8" width="12.44140625" style="1" customWidth="1"/>
    <col min="9" max="9" width="12.88671875" hidden="1" customWidth="1"/>
  </cols>
  <sheetData>
    <row r="2" spans="1:10" ht="15.6" x14ac:dyDescent="0.3">
      <c r="A2" s="27" t="s">
        <v>36</v>
      </c>
      <c r="B2" s="41" t="s">
        <v>63</v>
      </c>
    </row>
    <row r="3" spans="1:10" ht="14.25" customHeight="1" x14ac:dyDescent="0.3">
      <c r="A3" s="27" t="s">
        <v>31</v>
      </c>
      <c r="B3" s="4" t="s">
        <v>196</v>
      </c>
    </row>
    <row r="4" spans="1:10" hidden="1" x14ac:dyDescent="0.3">
      <c r="A4" s="27" t="s">
        <v>32</v>
      </c>
      <c r="B4" s="28" t="e">
        <f>LOOKUP(B2,#REF!,#REF!)</f>
        <v>#REF!</v>
      </c>
    </row>
    <row r="5" spans="1:10" hidden="1" x14ac:dyDescent="0.3">
      <c r="A5" s="27" t="s">
        <v>33</v>
      </c>
      <c r="B5" s="28" t="e">
        <f>LOOKUP(B2,#REF!,#REF!)</f>
        <v>#REF!</v>
      </c>
    </row>
    <row r="6" spans="1:10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0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0" x14ac:dyDescent="0.3">
      <c r="A8" s="21"/>
      <c r="B8" s="21"/>
    </row>
    <row r="9" spans="1:10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75" t="s">
        <v>188</v>
      </c>
    </row>
    <row r="10" spans="1:10" x14ac:dyDescent="0.3">
      <c r="A10" s="288"/>
      <c r="B10" s="118" t="s">
        <v>431</v>
      </c>
      <c r="C10" s="284"/>
      <c r="D10" s="285"/>
      <c r="E10" s="285"/>
      <c r="F10" s="285"/>
      <c r="G10" s="285"/>
      <c r="H10" s="233"/>
      <c r="I10" s="6">
        <f>IF(T_T134111213141516171819202122[[#This Row],[Total]]&lt;0,T_T134111213141516171819202122[[#This Row],[Total]]*-1,0)</f>
        <v>0</v>
      </c>
      <c r="J10" s="74"/>
    </row>
    <row r="11" spans="1:10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IF(T_T134111213141516171819202122[[#This Row],[Total]]&lt;0,T_T134111213141516171819202122[[#This Row],[Total]]*-1,0)</f>
        <v>0</v>
      </c>
      <c r="J11" s="73"/>
    </row>
    <row r="12" spans="1:10" x14ac:dyDescent="0.3">
      <c r="A12" s="432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IF(T_T134111213141516171819202122[[#This Row],[Total]]&lt;0,T_T134111213141516171819202122[[#This Row],[Total]]*-1,0)</f>
        <v>0</v>
      </c>
      <c r="J12" s="427"/>
    </row>
    <row r="13" spans="1:10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IF(T_T134111213141516171819202122[[#This Row],[Total]]&lt;0,T_T134111213141516171819202122[[#This Row],[Total]]*-1,0)</f>
        <v>0</v>
      </c>
      <c r="J13" s="73"/>
    </row>
    <row r="14" spans="1:10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IF(T_T134111213141516171819202122[[#This Row],[Total]]&lt;0,T_T134111213141516171819202122[[#This Row],[Total]]*-1,0)</f>
        <v>0</v>
      </c>
      <c r="J14" s="476"/>
    </row>
    <row r="15" spans="1:10" x14ac:dyDescent="0.3">
      <c r="A15" s="17">
        <v>46052</v>
      </c>
      <c r="B15" s="18" t="s">
        <v>590</v>
      </c>
      <c r="C15" s="6"/>
      <c r="D15" s="2">
        <v>184</v>
      </c>
      <c r="E15" s="2">
        <v>13</v>
      </c>
      <c r="F15" s="20"/>
      <c r="G15" s="20">
        <f>SUM(D15:F15)</f>
        <v>197</v>
      </c>
      <c r="H15" s="233">
        <f>+H13+T_T134111213141516171819202122[[#This Row],[Total]]</f>
        <v>197</v>
      </c>
      <c r="I15" s="240">
        <f>IF(T_T134111213141516171819202122[[#This Row],[Total]]&lt;0,T_T134111213141516171819202122[[#This Row],[Total]]*-1,0)</f>
        <v>0</v>
      </c>
      <c r="J15" s="73"/>
    </row>
    <row r="16" spans="1:10" x14ac:dyDescent="0.3">
      <c r="A16" s="17"/>
      <c r="B16" s="18" t="s">
        <v>591</v>
      </c>
      <c r="C16" s="6">
        <v>8630</v>
      </c>
      <c r="D16" s="2">
        <v>-184</v>
      </c>
      <c r="E16" s="2">
        <v>-13</v>
      </c>
      <c r="F16" s="230"/>
      <c r="G16" s="230">
        <f t="shared" ref="G16:G38" si="0">SUM(D16:F16)</f>
        <v>-197</v>
      </c>
      <c r="H16" s="233">
        <f t="shared" ref="H16:H40" si="1">H15+G16</f>
        <v>0</v>
      </c>
      <c r="I16" s="239">
        <f>IF(T_T134111213141516171819202122[[#This Row],[Total]]&lt;0,T_T134111213141516171819202122[[#This Row],[Total]]*-1,0)</f>
        <v>197</v>
      </c>
      <c r="J16" s="73"/>
    </row>
    <row r="17" spans="1:10" x14ac:dyDescent="0.3">
      <c r="A17" s="164">
        <v>46081</v>
      </c>
      <c r="B17" s="161" t="s">
        <v>592</v>
      </c>
      <c r="C17" s="6"/>
      <c r="D17" s="2">
        <v>184</v>
      </c>
      <c r="E17" s="2">
        <v>18</v>
      </c>
      <c r="F17" s="230"/>
      <c r="G17" s="230">
        <f t="shared" si="0"/>
        <v>202</v>
      </c>
      <c r="H17" s="233">
        <f t="shared" si="1"/>
        <v>202</v>
      </c>
      <c r="I17" s="240">
        <f>IF(T_T134111213141516171819202122[[#This Row],[Total]]&lt;0,T_T134111213141516171819202122[[#This Row],[Total]]*-1,0)</f>
        <v>0</v>
      </c>
      <c r="J17" s="73"/>
    </row>
    <row r="18" spans="1:10" x14ac:dyDescent="0.3">
      <c r="A18" s="187"/>
      <c r="B18" s="18" t="s">
        <v>593</v>
      </c>
      <c r="C18" s="6"/>
      <c r="D18" s="2"/>
      <c r="E18" s="2"/>
      <c r="F18" s="230"/>
      <c r="G18" s="230">
        <f t="shared" si="0"/>
        <v>0</v>
      </c>
      <c r="H18" s="233">
        <f t="shared" si="1"/>
        <v>202</v>
      </c>
      <c r="I18" s="240">
        <f>IF(T_T134111213141516171819202122[[#This Row],[Total]]&lt;0,T_T134111213141516171819202122[[#This Row],[Total]]*-1,0)</f>
        <v>0</v>
      </c>
      <c r="J18" s="73"/>
    </row>
    <row r="19" spans="1:10" x14ac:dyDescent="0.3">
      <c r="A19" s="188">
        <v>45747</v>
      </c>
      <c r="B19" s="3" t="s">
        <v>534</v>
      </c>
      <c r="C19" s="6"/>
      <c r="D19" s="2">
        <v>221</v>
      </c>
      <c r="E19" s="2">
        <v>15</v>
      </c>
      <c r="F19" s="230"/>
      <c r="G19" s="230">
        <f t="shared" si="0"/>
        <v>236</v>
      </c>
      <c r="H19" s="233">
        <f t="shared" si="1"/>
        <v>438</v>
      </c>
      <c r="I19" s="240">
        <f>IF(T_T134111213141516171819202122[[#This Row],[Total]]&lt;0,T_T134111213141516171819202122[[#This Row],[Total]]*-1,0)</f>
        <v>0</v>
      </c>
      <c r="J19" s="73"/>
    </row>
    <row r="20" spans="1:10" x14ac:dyDescent="0.3">
      <c r="A20" s="188"/>
      <c r="B20" s="82" t="s">
        <v>535</v>
      </c>
      <c r="C20" s="6"/>
      <c r="D20" s="2"/>
      <c r="E20" s="2"/>
      <c r="F20" s="230"/>
      <c r="G20" s="230">
        <f t="shared" si="0"/>
        <v>0</v>
      </c>
      <c r="H20" s="233">
        <f t="shared" si="1"/>
        <v>438</v>
      </c>
      <c r="I20" s="239">
        <f>IF(T_T134111213141516171819202122[[#This Row],[Total]]&lt;0,T_T134111213141516171819202122[[#This Row],[Total]]*-1,0)</f>
        <v>0</v>
      </c>
      <c r="J20" s="73"/>
    </row>
    <row r="21" spans="1:10" x14ac:dyDescent="0.3">
      <c r="A21" s="188">
        <v>45777</v>
      </c>
      <c r="B21" s="3" t="s">
        <v>536</v>
      </c>
      <c r="C21" s="6"/>
      <c r="D21" s="2">
        <v>221</v>
      </c>
      <c r="E21" s="2">
        <v>8</v>
      </c>
      <c r="F21" s="230"/>
      <c r="G21" s="230">
        <f t="shared" si="0"/>
        <v>229</v>
      </c>
      <c r="H21" s="233">
        <f t="shared" si="1"/>
        <v>667</v>
      </c>
      <c r="I21" s="309">
        <f>IF(T_T134111213141516171819202122[[#This Row],[Total]]&lt;0,T_T134111213141516171819202122[[#This Row],[Total]]*-1,0)</f>
        <v>0</v>
      </c>
      <c r="J21" s="73"/>
    </row>
    <row r="22" spans="1:10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667</v>
      </c>
      <c r="I22" s="309">
        <f>IF(T_T134111213141516171819202122[[#This Row],[Total]]&lt;0,T_T134111213141516171819202122[[#This Row],[Total]]*-1,0)</f>
        <v>0</v>
      </c>
      <c r="J22" s="73"/>
    </row>
    <row r="23" spans="1:10" x14ac:dyDescent="0.3">
      <c r="A23" s="40">
        <v>45807</v>
      </c>
      <c r="B23" s="3" t="s">
        <v>538</v>
      </c>
      <c r="C23" s="229"/>
      <c r="D23" s="230">
        <v>221</v>
      </c>
      <c r="E23" s="230">
        <v>0</v>
      </c>
      <c r="F23" s="230"/>
      <c r="G23" s="230">
        <f t="shared" si="0"/>
        <v>221</v>
      </c>
      <c r="H23" s="233">
        <f t="shared" si="1"/>
        <v>888</v>
      </c>
      <c r="I23" s="309">
        <f>IF(T_T134111213141516171819202122[[#This Row],[Total]]&lt;0,T_T134111213141516171819202122[[#This Row],[Total]]*-1,0)</f>
        <v>0</v>
      </c>
      <c r="J23" s="73"/>
    </row>
    <row r="24" spans="1:10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888</v>
      </c>
      <c r="I24" s="311">
        <f>IF(T_T134111213141516171819202122[[#This Row],[Total]]&lt;0,T_T134111213141516171819202122[[#This Row],[Total]]*-1,0)</f>
        <v>0</v>
      </c>
      <c r="J24" s="73"/>
    </row>
    <row r="25" spans="1:10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888</v>
      </c>
      <c r="I25" s="309">
        <f>IF(T_T134111213141516171819202122[[#This Row],[Total]]&lt;0,T_T134111213141516171819202122[[#This Row],[Total]]*-1,0)</f>
        <v>0</v>
      </c>
      <c r="J25" s="73"/>
    </row>
    <row r="26" spans="1:10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888</v>
      </c>
      <c r="I26" s="309">
        <f>IF(T_T134111213141516171819202122[[#This Row],[Total]]&lt;0,T_T134111213141516171819202122[[#This Row],[Total]]*-1,0)</f>
        <v>0</v>
      </c>
      <c r="J26" s="73"/>
    </row>
    <row r="27" spans="1:10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888</v>
      </c>
      <c r="I27" s="309">
        <f>IF(T_T134111213141516171819202122[[#This Row],[Total]]&lt;0,T_T134111213141516171819202122[[#This Row],[Total]]*-1,0)</f>
        <v>0</v>
      </c>
      <c r="J27" s="73"/>
    </row>
    <row r="28" spans="1:10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888</v>
      </c>
      <c r="I28" s="311">
        <f>IF(T_T134111213141516171819202122[[#This Row],[Total]]&lt;0,T_T134111213141516171819202122[[#This Row],[Total]]*-1,0)</f>
        <v>0</v>
      </c>
      <c r="J28" s="73"/>
    </row>
    <row r="29" spans="1:10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888</v>
      </c>
      <c r="I29" s="309">
        <f>IF(T_T134111213141516171819202122[[#This Row],[Total]]&lt;0,T_T134111213141516171819202122[[#This Row],[Total]]*-1,0)</f>
        <v>0</v>
      </c>
      <c r="J29" s="73"/>
    </row>
    <row r="30" spans="1:10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888</v>
      </c>
      <c r="I30" s="309">
        <f>IF(T_T134111213141516171819202122[[#This Row],[Total]]&lt;0,T_T134111213141516171819202122[[#This Row],[Total]]*-1,0)</f>
        <v>0</v>
      </c>
      <c r="J30" s="73"/>
    </row>
    <row r="31" spans="1:10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888</v>
      </c>
      <c r="I31" s="309">
        <f>IF(T_T134111213141516171819202122[[#This Row],[Total]]&lt;0,T_T134111213141516171819202122[[#This Row],[Total]]*-1,0)</f>
        <v>0</v>
      </c>
      <c r="J31" s="73"/>
    </row>
    <row r="32" spans="1:10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888</v>
      </c>
      <c r="I32" s="309">
        <f>IF(T_T134111213141516171819202122[[#This Row],[Total]]&lt;0,T_T134111213141516171819202122[[#This Row],[Total]]*-1,0)</f>
        <v>0</v>
      </c>
      <c r="J32" s="73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888</v>
      </c>
      <c r="I33" s="309">
        <f>IF(T_T134111213141516171819202122[[#This Row],[Total]]&lt;0,T_T134111213141516171819202122[[#This Row],[Total]]*-1,0)</f>
        <v>0</v>
      </c>
      <c r="J33" s="73"/>
    </row>
    <row r="34" spans="1:10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888</v>
      </c>
      <c r="I34" s="309">
        <f>IF(T_T134111213141516171819202122[[#This Row],[Total]]&lt;0,T_T134111213141516171819202122[[#This Row],[Total]]*-1,0)</f>
        <v>0</v>
      </c>
      <c r="J34" s="73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888</v>
      </c>
      <c r="I35" s="309">
        <f>IF(T_T134111213141516171819202122[[#This Row],[Total]]&lt;0,T_T134111213141516171819202122[[#This Row],[Total]]*-1,0)</f>
        <v>0</v>
      </c>
      <c r="J35" s="73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888</v>
      </c>
      <c r="I36" s="309">
        <f>IF(T_T134111213141516171819202122[[#This Row],[Total]]&lt;0,T_T134111213141516171819202122[[#This Row],[Total]]*-1,0)</f>
        <v>0</v>
      </c>
      <c r="J36" s="73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888</v>
      </c>
      <c r="I37" s="311">
        <f>IF(T_T134111213141516171819202122[[#This Row],[Total]]&lt;0,T_T134111213141516171819202122[[#This Row],[Total]]*-1,0)</f>
        <v>0</v>
      </c>
      <c r="J37" s="73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888</v>
      </c>
      <c r="I38" s="353">
        <f>IF(T_T134111213141516171819202122[[#This Row],[Total]]&lt;0,T_T134111213141516171819202122[[#This Row],[Total]]*-1,0)</f>
        <v>0</v>
      </c>
      <c r="J38" s="73"/>
    </row>
    <row r="39" spans="1:10" x14ac:dyDescent="0.3">
      <c r="A39" s="107"/>
      <c r="B39" s="82"/>
      <c r="C39" s="229"/>
      <c r="D39" s="230"/>
      <c r="E39" s="230"/>
      <c r="F39" s="230"/>
      <c r="G39" s="230">
        <f>SUM(D39:F47)</f>
        <v>0</v>
      </c>
      <c r="H39" s="233">
        <f t="shared" si="1"/>
        <v>888</v>
      </c>
      <c r="I39" s="353">
        <f>IF(T_T134111213141516171819202122[[#This Row],[Total]]&lt;0,T_T134111213141516171819202122[[#This Row],[Total]]*-1,0)</f>
        <v>0</v>
      </c>
      <c r="J39" s="73"/>
    </row>
    <row r="40" spans="1:10" x14ac:dyDescent="0.3">
      <c r="A40" s="107"/>
      <c r="B40" s="82"/>
      <c r="C40" s="229"/>
      <c r="D40" s="230"/>
      <c r="E40" s="230"/>
      <c r="F40" s="230"/>
      <c r="G40" s="230">
        <f>SUM(D40:F48)</f>
        <v>0</v>
      </c>
      <c r="H40" s="233">
        <f t="shared" si="1"/>
        <v>888</v>
      </c>
      <c r="I40" s="353">
        <f>IF(T_T134111213141516171819202122[[#This Row],[Total]]&lt;0,T_T134111213141516171819202122[[#This Row],[Total]]*-1,0)</f>
        <v>0</v>
      </c>
      <c r="J40" s="379"/>
    </row>
    <row r="41" spans="1:10" x14ac:dyDescent="0.3">
      <c r="A41" s="170"/>
      <c r="B41" s="18"/>
      <c r="C41" s="471"/>
      <c r="D41" s="472"/>
      <c r="E41" s="472"/>
      <c r="F41" s="472"/>
      <c r="G41" s="472"/>
      <c r="H41" s="483"/>
      <c r="I41" s="473">
        <f>IF(T_T134111213141516171819202122[[#This Row],[Total]]&lt;0,T_T134111213141516171819202122[[#This Row],[Total]]*-1,0)</f>
        <v>0</v>
      </c>
      <c r="J41" s="476"/>
    </row>
  </sheetData>
  <hyperlinks>
    <hyperlink ref="B7" r:id="rId1" display="jose.orozco@outlook.com"/>
    <hyperlink ref="H7" location="Resumen!A1" display="Rsumen         "/>
  </hyperlinks>
  <pageMargins left="0.70866141732283472" right="0.43307086614173229" top="0.78740157480314965" bottom="0.74803149606299213" header="0.31496062992125984" footer="0.31496062992125984"/>
  <pageSetup scale="70" orientation="portrait" verticalDpi="360" r:id="rId2"/>
  <drawing r:id="rId3"/>
  <tableParts count="1">
    <tablePart r:id="rId4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2:R44"/>
  <sheetViews>
    <sheetView showGridLines="0" zoomScale="85" zoomScaleNormal="85" workbookViewId="0">
      <selection activeCell="E26" sqref="E26"/>
    </sheetView>
  </sheetViews>
  <sheetFormatPr baseColWidth="10" defaultColWidth="9.109375" defaultRowHeight="14.4" x14ac:dyDescent="0.3"/>
  <cols>
    <col min="1" max="1" width="14.6640625" customWidth="1"/>
    <col min="2" max="2" width="34.33203125" customWidth="1"/>
    <col min="3" max="3" width="12.33203125" style="4" customWidth="1"/>
    <col min="4" max="4" width="12.109375" style="1" customWidth="1"/>
    <col min="5" max="5" width="10.5546875" style="1" customWidth="1"/>
    <col min="6" max="6" width="7.88671875" style="1" customWidth="1"/>
    <col min="7" max="7" width="10.109375" style="1" customWidth="1"/>
    <col min="8" max="8" width="12.88671875" style="1" customWidth="1"/>
    <col min="9" max="9" width="12.88671875" hidden="1" customWidth="1"/>
    <col min="11" max="11" width="6" customWidth="1"/>
    <col min="12" max="12" width="9.109375" hidden="1" customWidth="1"/>
    <col min="16" max="16" width="13.5546875" customWidth="1"/>
    <col min="17" max="17" width="11" customWidth="1"/>
    <col min="18" max="18" width="20.109375" customWidth="1"/>
  </cols>
  <sheetData>
    <row r="2" spans="1:12" ht="15.6" x14ac:dyDescent="0.3">
      <c r="A2" s="27" t="s">
        <v>36</v>
      </c>
      <c r="B2" s="41" t="s">
        <v>64</v>
      </c>
    </row>
    <row r="3" spans="1:12" x14ac:dyDescent="0.3">
      <c r="A3" s="27" t="s">
        <v>31</v>
      </c>
      <c r="B3" s="21" t="s">
        <v>275</v>
      </c>
    </row>
    <row r="4" spans="1:12" x14ac:dyDescent="0.3">
      <c r="A4" s="27" t="s">
        <v>32</v>
      </c>
      <c r="B4" s="28" t="e">
        <f>LOOKUP(B2,#REF!,#REF!)</f>
        <v>#REF!</v>
      </c>
    </row>
    <row r="5" spans="1:12" x14ac:dyDescent="0.3">
      <c r="A5" s="27"/>
      <c r="B5" s="28"/>
    </row>
    <row r="6" spans="1:12" x14ac:dyDescent="0.3">
      <c r="A6" s="27"/>
      <c r="B6" s="28"/>
    </row>
    <row r="7" spans="1:12" x14ac:dyDescent="0.3">
      <c r="A7" s="27"/>
      <c r="B7" s="28"/>
    </row>
    <row r="8" spans="1:12" x14ac:dyDescent="0.3">
      <c r="A8" s="21"/>
      <c r="B8" s="21"/>
    </row>
    <row r="9" spans="1:12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182" t="s">
        <v>188</v>
      </c>
      <c r="K9" s="312" t="s">
        <v>191</v>
      </c>
      <c r="L9" s="461" t="s">
        <v>262</v>
      </c>
    </row>
    <row r="10" spans="1:12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IF(T_T13411121314151617181920212223[[#This Row],[Total]]&lt;0,T_T13411121314151617181920212223[[#This Row],[Total]]*-1,0)</f>
        <v>0</v>
      </c>
      <c r="J10" s="201"/>
      <c r="K10" s="313"/>
      <c r="L10" s="460"/>
    </row>
    <row r="11" spans="1:12" x14ac:dyDescent="0.3">
      <c r="A11" s="288"/>
      <c r="B11" s="118"/>
      <c r="C11" s="284"/>
      <c r="D11" s="285"/>
      <c r="E11" s="285"/>
      <c r="F11" s="285"/>
      <c r="G11" s="285"/>
      <c r="H11" s="10"/>
      <c r="I11" s="240"/>
      <c r="J11" s="240"/>
      <c r="K11" s="313"/>
      <c r="L11" s="460"/>
    </row>
    <row r="12" spans="1:12" x14ac:dyDescent="0.3">
      <c r="A12" s="117"/>
      <c r="B12" s="118"/>
      <c r="C12" s="424"/>
      <c r="D12" s="425"/>
      <c r="E12" s="425"/>
      <c r="F12" s="425"/>
      <c r="G12" s="425"/>
      <c r="H12" s="426"/>
      <c r="I12" s="430"/>
      <c r="J12" s="430"/>
      <c r="K12" s="419"/>
      <c r="L12" s="460"/>
    </row>
    <row r="13" spans="1:12" x14ac:dyDescent="0.3">
      <c r="A13" s="288"/>
      <c r="B13" s="118"/>
      <c r="C13" s="289"/>
      <c r="D13" s="290"/>
      <c r="E13" s="290"/>
      <c r="F13" s="290"/>
      <c r="G13" s="290"/>
      <c r="H13" s="291"/>
      <c r="I13" s="240"/>
      <c r="J13" s="240"/>
      <c r="K13" s="313"/>
      <c r="L13" s="460"/>
    </row>
    <row r="14" spans="1:12" hidden="1" x14ac:dyDescent="0.3">
      <c r="A14" s="9"/>
      <c r="B14" s="3" t="s">
        <v>260</v>
      </c>
      <c r="C14" s="6"/>
      <c r="D14" s="2"/>
      <c r="E14" s="2"/>
      <c r="F14" s="20"/>
      <c r="G14" s="20">
        <f>SUM(D14:F14)</f>
        <v>0</v>
      </c>
      <c r="H14" s="233">
        <f>+H13+T_T13411121314151617181920212223[[#This Row],[Total]]</f>
        <v>0</v>
      </c>
      <c r="I14" s="240">
        <f>IF(T_T13411121314151617181920212223[[#This Row],[Total]]&lt;0,T_T13411121314151617181920212223[[#This Row],[Total]]*-1,0)</f>
        <v>0</v>
      </c>
      <c r="J14" s="240"/>
      <c r="K14" s="313"/>
      <c r="L14" s="460"/>
    </row>
    <row r="15" spans="1:12" hidden="1" x14ac:dyDescent="0.3">
      <c r="A15" s="9"/>
      <c r="B15" s="3" t="s">
        <v>481</v>
      </c>
      <c r="C15" s="6"/>
      <c r="D15" s="2"/>
      <c r="E15" s="2"/>
      <c r="F15" s="230"/>
      <c r="G15" s="20">
        <f t="shared" ref="G15:G24" si="0">SUM(D15:F15)</f>
        <v>0</v>
      </c>
      <c r="H15" s="233">
        <f>+H14+T_T13411121314151617181920212223[[#This Row],[Total]]</f>
        <v>0</v>
      </c>
      <c r="I15" s="239">
        <f>IF(T_T13411121314151617181920212223[[#This Row],[Total]]&lt;0,T_T13411121314151617181920212223[[#This Row],[Total]]*-1,0)</f>
        <v>0</v>
      </c>
      <c r="J15" s="239"/>
      <c r="K15" s="313"/>
      <c r="L15" s="460"/>
    </row>
    <row r="16" spans="1:12" x14ac:dyDescent="0.3">
      <c r="A16" s="288"/>
      <c r="B16" s="118" t="s">
        <v>529</v>
      </c>
      <c r="C16" s="471"/>
      <c r="D16" s="472"/>
      <c r="E16" s="472"/>
      <c r="F16" s="472"/>
      <c r="G16" s="472"/>
      <c r="H16" s="483"/>
      <c r="I16" s="473">
        <f>IF(T_T13411121314151617181920212223[[#This Row],[Total]]&lt;0,T_T13411121314151617181920212223[[#This Row],[Total]]*-1,0)</f>
        <v>0</v>
      </c>
      <c r="J16" s="473"/>
      <c r="K16" s="485"/>
      <c r="L16" s="485"/>
    </row>
    <row r="17" spans="1:18" x14ac:dyDescent="0.3">
      <c r="A17" s="17">
        <v>46052</v>
      </c>
      <c r="B17" s="18" t="s">
        <v>590</v>
      </c>
      <c r="C17" s="443"/>
      <c r="D17" s="444">
        <v>184</v>
      </c>
      <c r="E17" s="444">
        <v>93</v>
      </c>
      <c r="F17" s="444"/>
      <c r="G17" s="20">
        <f t="shared" si="0"/>
        <v>277</v>
      </c>
      <c r="H17" s="233">
        <f>+H15+T_T13411121314151617181920212223[[#This Row],[Total]]</f>
        <v>277</v>
      </c>
      <c r="I17" s="430">
        <f>IF(T_T13411121314151617181920212223[[#This Row],[Total]]&lt;0,T_T13411121314151617181920212223[[#This Row],[Total]]*-1,0)</f>
        <v>0</v>
      </c>
      <c r="J17" s="430"/>
      <c r="K17" s="419"/>
      <c r="L17" s="460"/>
    </row>
    <row r="18" spans="1:18" x14ac:dyDescent="0.3">
      <c r="A18" s="17"/>
      <c r="B18" s="18" t="s">
        <v>591</v>
      </c>
      <c r="C18" s="443">
        <v>8540</v>
      </c>
      <c r="D18" s="444">
        <v>-184</v>
      </c>
      <c r="E18" s="444">
        <v>-93</v>
      </c>
      <c r="F18" s="444"/>
      <c r="G18" s="20">
        <f t="shared" si="0"/>
        <v>-277</v>
      </c>
      <c r="H18" s="233">
        <f>+H17+T_T13411121314151617181920212223[[#This Row],[Total]]</f>
        <v>0</v>
      </c>
      <c r="I18" s="430">
        <f>IF(T_T13411121314151617181920212223[[#This Row],[Total]]&lt;0,T_T13411121314151617181920212223[[#This Row],[Total]]*-1,0)</f>
        <v>277</v>
      </c>
      <c r="J18" s="430"/>
      <c r="K18" s="419"/>
      <c r="L18" s="460"/>
    </row>
    <row r="19" spans="1:18" x14ac:dyDescent="0.3">
      <c r="A19" s="164">
        <v>46080</v>
      </c>
      <c r="B19" s="161" t="s">
        <v>592</v>
      </c>
      <c r="C19" s="6"/>
      <c r="D19" s="2">
        <v>184</v>
      </c>
      <c r="E19" s="2">
        <v>2</v>
      </c>
      <c r="F19" s="230"/>
      <c r="G19" s="20">
        <f t="shared" si="0"/>
        <v>186</v>
      </c>
      <c r="H19" s="233">
        <f>+H18+T_T13411121314151617181920212223[[#This Row],[Total]]</f>
        <v>186</v>
      </c>
      <c r="I19" s="240">
        <f>IF(T_T13411121314151617181920212223[[#This Row],[Total]]&lt;0,T_T13411121314151617181920212223[[#This Row],[Total]]*-1,0)</f>
        <v>0</v>
      </c>
      <c r="J19" s="240"/>
      <c r="K19" s="313"/>
      <c r="L19" s="460"/>
    </row>
    <row r="20" spans="1:18" x14ac:dyDescent="0.3">
      <c r="A20" s="187"/>
      <c r="B20" s="18" t="s">
        <v>593</v>
      </c>
      <c r="C20" s="6">
        <v>8718</v>
      </c>
      <c r="D20" s="2">
        <v>-184</v>
      </c>
      <c r="E20" s="2">
        <v>-2</v>
      </c>
      <c r="F20" s="230"/>
      <c r="G20" s="20">
        <f t="shared" si="0"/>
        <v>-186</v>
      </c>
      <c r="H20" s="233">
        <f t="shared" ref="H20:H44" si="1">H19+G20</f>
        <v>0</v>
      </c>
      <c r="I20" s="240">
        <f>IF(T_T13411121314151617181920212223[[#This Row],[Total]]&lt;0,T_T13411121314151617181920212223[[#This Row],[Total]]*-1,0)</f>
        <v>186</v>
      </c>
      <c r="J20" s="240"/>
      <c r="K20" s="313"/>
      <c r="L20" s="460"/>
    </row>
    <row r="21" spans="1:18" x14ac:dyDescent="0.3">
      <c r="A21" s="188">
        <v>45747</v>
      </c>
      <c r="B21" s="3" t="s">
        <v>534</v>
      </c>
      <c r="C21" s="462"/>
      <c r="D21" s="463">
        <v>221</v>
      </c>
      <c r="E21" s="463">
        <v>1</v>
      </c>
      <c r="F21" s="463"/>
      <c r="G21" s="20">
        <f t="shared" si="0"/>
        <v>222</v>
      </c>
      <c r="H21" s="233">
        <f t="shared" si="1"/>
        <v>222</v>
      </c>
      <c r="I21" s="464">
        <f>IF(T_T13411121314151617181920212223[[#This Row],[Total]]&lt;0,T_T13411121314151617181920212223[[#This Row],[Total]]*-1,0)</f>
        <v>0</v>
      </c>
      <c r="J21" s="464"/>
      <c r="K21" s="460"/>
      <c r="L21" s="460"/>
    </row>
    <row r="22" spans="1:18" x14ac:dyDescent="0.3">
      <c r="A22" s="188"/>
      <c r="B22" s="82" t="s">
        <v>535</v>
      </c>
      <c r="C22" s="462">
        <v>8817</v>
      </c>
      <c r="D22" s="463">
        <v>-221</v>
      </c>
      <c r="E22" s="463">
        <v>-1</v>
      </c>
      <c r="F22" s="463"/>
      <c r="G22" s="20">
        <f t="shared" si="0"/>
        <v>-222</v>
      </c>
      <c r="H22" s="233">
        <f t="shared" si="1"/>
        <v>0</v>
      </c>
      <c r="I22" s="464">
        <f>IF(T_T13411121314151617181920212223[[#This Row],[Total]]&lt;0,T_T13411121314151617181920212223[[#This Row],[Total]]*-1,0)</f>
        <v>222</v>
      </c>
      <c r="J22" s="464"/>
      <c r="K22" s="460"/>
      <c r="L22" s="460"/>
    </row>
    <row r="23" spans="1:18" ht="15.6" x14ac:dyDescent="0.3">
      <c r="A23" s="188">
        <v>45777</v>
      </c>
      <c r="B23" s="3" t="s">
        <v>536</v>
      </c>
      <c r="C23" s="6"/>
      <c r="D23" s="2">
        <v>221</v>
      </c>
      <c r="E23" s="2">
        <v>1</v>
      </c>
      <c r="F23" s="230"/>
      <c r="G23" s="20">
        <f t="shared" si="0"/>
        <v>222</v>
      </c>
      <c r="H23" s="233">
        <f t="shared" si="1"/>
        <v>222</v>
      </c>
      <c r="I23" s="240">
        <f>IF(T_T13411121314151617181920212223[[#This Row],[Total]]&lt;0,T_T13411121314151617181920212223[[#This Row],[Total]]*-1,0)</f>
        <v>0</v>
      </c>
      <c r="J23" s="240"/>
      <c r="K23" s="313"/>
      <c r="L23" s="460"/>
      <c r="M23" t="s">
        <v>504</v>
      </c>
      <c r="O23" s="420"/>
      <c r="P23" s="420"/>
      <c r="Q23" s="420"/>
      <c r="R23" s="420"/>
    </row>
    <row r="24" spans="1:18" x14ac:dyDescent="0.3">
      <c r="A24" s="83"/>
      <c r="B24" s="82" t="s">
        <v>537</v>
      </c>
      <c r="C24" s="6">
        <v>8925</v>
      </c>
      <c r="D24" s="2">
        <v>-221</v>
      </c>
      <c r="E24" s="2">
        <v>-1</v>
      </c>
      <c r="F24" s="230"/>
      <c r="G24" s="20">
        <f t="shared" si="0"/>
        <v>-222</v>
      </c>
      <c r="H24" s="233">
        <f t="shared" si="1"/>
        <v>0</v>
      </c>
      <c r="I24" s="239">
        <f>IF(T_T13411121314151617181920212223[[#This Row],[Total]]&lt;0,T_T13411121314151617181920212223[[#This Row],[Total]]*-1,0)</f>
        <v>222</v>
      </c>
      <c r="J24" s="239"/>
      <c r="K24" s="313"/>
      <c r="L24" s="460"/>
      <c r="O24" s="245"/>
      <c r="P24" s="245"/>
      <c r="Q24" s="245"/>
      <c r="R24" s="421"/>
    </row>
    <row r="25" spans="1:18" x14ac:dyDescent="0.3">
      <c r="A25" s="40">
        <v>45807</v>
      </c>
      <c r="B25" s="3" t="s">
        <v>538</v>
      </c>
      <c r="C25" s="6"/>
      <c r="D25" s="2">
        <v>221</v>
      </c>
      <c r="E25" s="2">
        <v>1</v>
      </c>
      <c r="F25" s="230"/>
      <c r="G25" s="230">
        <f t="shared" ref="G25:G42" si="2">SUM(D25:F25)</f>
        <v>222</v>
      </c>
      <c r="H25" s="233">
        <f t="shared" si="1"/>
        <v>222</v>
      </c>
      <c r="I25" s="309">
        <f>IF(T_T13411121314151617181920212223[[#This Row],[Total]]&lt;0,T_T13411121314151617181920212223[[#This Row],[Total]]*-1,0)</f>
        <v>0</v>
      </c>
      <c r="J25" s="309"/>
      <c r="K25" s="313"/>
      <c r="L25" s="460"/>
      <c r="O25" s="245"/>
      <c r="P25" s="245"/>
      <c r="Q25" s="245"/>
      <c r="R25" s="421"/>
    </row>
    <row r="26" spans="1:18" x14ac:dyDescent="0.3">
      <c r="A26" s="9"/>
      <c r="B26" s="18" t="s">
        <v>539</v>
      </c>
      <c r="C26" s="6"/>
      <c r="D26" s="2"/>
      <c r="E26" s="2"/>
      <c r="F26" s="230"/>
      <c r="G26" s="230">
        <f t="shared" si="2"/>
        <v>0</v>
      </c>
      <c r="H26" s="233">
        <f t="shared" si="1"/>
        <v>222</v>
      </c>
      <c r="I26" s="309">
        <f>IF(T_T13411121314151617181920212223[[#This Row],[Total]]&lt;0,T_T13411121314151617181920212223[[#This Row],[Total]]*-1,0)</f>
        <v>0</v>
      </c>
      <c r="J26" s="309"/>
      <c r="K26" s="313"/>
      <c r="L26" s="460"/>
      <c r="O26" s="245"/>
      <c r="P26" s="245"/>
      <c r="Q26" s="245"/>
      <c r="R26" s="245"/>
    </row>
    <row r="27" spans="1:18" x14ac:dyDescent="0.3">
      <c r="A27" s="9">
        <v>45838</v>
      </c>
      <c r="B27" s="3" t="s">
        <v>540</v>
      </c>
      <c r="C27" s="229"/>
      <c r="D27" s="230"/>
      <c r="E27" s="230"/>
      <c r="F27" s="230"/>
      <c r="G27" s="230">
        <f t="shared" si="2"/>
        <v>0</v>
      </c>
      <c r="H27" s="233">
        <f t="shared" si="1"/>
        <v>222</v>
      </c>
      <c r="I27" s="309">
        <f>IF(T_T13411121314151617181920212223[[#This Row],[Total]]&lt;0,T_T13411121314151617181920212223[[#This Row],[Total]]*-1,0)</f>
        <v>0</v>
      </c>
      <c r="J27" s="309"/>
      <c r="K27" s="313"/>
      <c r="L27" s="460"/>
      <c r="O27" s="245"/>
      <c r="P27" s="245"/>
      <c r="Q27" s="245"/>
      <c r="R27" s="421"/>
    </row>
    <row r="28" spans="1:18" x14ac:dyDescent="0.3">
      <c r="A28" s="9"/>
      <c r="B28" s="18" t="s">
        <v>541</v>
      </c>
      <c r="C28" s="6"/>
      <c r="D28" s="230"/>
      <c r="E28" s="230"/>
      <c r="F28" s="230"/>
      <c r="G28" s="230">
        <f t="shared" si="2"/>
        <v>0</v>
      </c>
      <c r="H28" s="233">
        <f t="shared" si="1"/>
        <v>222</v>
      </c>
      <c r="I28" s="311">
        <f>IF(T_T13411121314151617181920212223[[#This Row],[Total]]&lt;0,T_T13411121314151617181920212223[[#This Row],[Total]]*-1,0)</f>
        <v>0</v>
      </c>
      <c r="J28" s="311"/>
      <c r="K28" s="313"/>
      <c r="L28" s="460"/>
    </row>
    <row r="29" spans="1:18" x14ac:dyDescent="0.3">
      <c r="A29" s="107">
        <v>45868</v>
      </c>
      <c r="B29" s="82" t="s">
        <v>542</v>
      </c>
      <c r="C29" s="6"/>
      <c r="D29" s="230"/>
      <c r="E29" s="230"/>
      <c r="F29" s="230"/>
      <c r="G29" s="230">
        <f t="shared" si="2"/>
        <v>0</v>
      </c>
      <c r="H29" s="233">
        <f t="shared" si="1"/>
        <v>222</v>
      </c>
      <c r="I29" s="309">
        <f>IF(T_T13411121314151617181920212223[[#This Row],[Total]]&lt;0,T_T13411121314151617181920212223[[#This Row],[Total]]*-1,0)</f>
        <v>0</v>
      </c>
      <c r="J29" s="309"/>
      <c r="K29" s="313"/>
      <c r="L29" s="460"/>
    </row>
    <row r="30" spans="1:18" x14ac:dyDescent="0.3">
      <c r="A30" s="107"/>
      <c r="B30" s="82" t="s">
        <v>543</v>
      </c>
      <c r="C30" s="6"/>
      <c r="D30" s="230"/>
      <c r="E30" s="230"/>
      <c r="F30" s="230"/>
      <c r="G30" s="230">
        <f t="shared" si="2"/>
        <v>0</v>
      </c>
      <c r="H30" s="233">
        <f t="shared" si="1"/>
        <v>222</v>
      </c>
      <c r="I30" s="309">
        <f>IF(T_T13411121314151617181920212223[[#This Row],[Total]]&lt;0,T_T13411121314151617181920212223[[#This Row],[Total]]*-1,0)</f>
        <v>0</v>
      </c>
      <c r="J30" s="309"/>
      <c r="K30" s="313"/>
      <c r="L30" s="460"/>
    </row>
    <row r="31" spans="1:18" x14ac:dyDescent="0.3">
      <c r="A31" s="107">
        <v>45899</v>
      </c>
      <c r="B31" s="82" t="s">
        <v>544</v>
      </c>
      <c r="C31" s="229"/>
      <c r="D31" s="230"/>
      <c r="E31" s="230"/>
      <c r="F31" s="230"/>
      <c r="G31" s="230">
        <f t="shared" si="2"/>
        <v>0</v>
      </c>
      <c r="H31" s="233">
        <f t="shared" si="1"/>
        <v>222</v>
      </c>
      <c r="I31" s="309">
        <f>IF(T_T13411121314151617181920212223[[#This Row],[Total]]&lt;0,T_T13411121314151617181920212223[[#This Row],[Total]]*-1,0)</f>
        <v>0</v>
      </c>
      <c r="J31" s="309"/>
      <c r="K31" s="313"/>
      <c r="L31" s="460"/>
    </row>
    <row r="32" spans="1:18" x14ac:dyDescent="0.3">
      <c r="A32" s="107"/>
      <c r="B32" s="82" t="s">
        <v>545</v>
      </c>
      <c r="C32" s="6"/>
      <c r="D32" s="230"/>
      <c r="E32" s="230"/>
      <c r="F32" s="230"/>
      <c r="G32" s="230">
        <f t="shared" si="2"/>
        <v>0</v>
      </c>
      <c r="H32" s="233">
        <f t="shared" si="1"/>
        <v>222</v>
      </c>
      <c r="I32" s="311">
        <f>IF(T_T13411121314151617181920212223[[#This Row],[Total]]&lt;0,T_T13411121314151617181920212223[[#This Row],[Total]]*-1,0)</f>
        <v>0</v>
      </c>
      <c r="J32" s="311"/>
      <c r="K32" s="313"/>
      <c r="L32" s="460"/>
    </row>
    <row r="33" spans="1:12" x14ac:dyDescent="0.3">
      <c r="A33" s="9">
        <v>45930</v>
      </c>
      <c r="B33" s="3" t="s">
        <v>546</v>
      </c>
      <c r="C33" s="229"/>
      <c r="D33" s="230"/>
      <c r="E33" s="230"/>
      <c r="F33" s="230"/>
      <c r="G33" s="230">
        <f t="shared" si="2"/>
        <v>0</v>
      </c>
      <c r="H33" s="233">
        <f t="shared" si="1"/>
        <v>222</v>
      </c>
      <c r="I33" s="309">
        <f>IF(T_T13411121314151617181920212223[[#This Row],[Total]]&lt;0,T_T13411121314151617181920212223[[#This Row],[Total]]*-1,0)</f>
        <v>0</v>
      </c>
      <c r="J33" s="309"/>
      <c r="K33" s="313"/>
      <c r="L33" s="460"/>
    </row>
    <row r="34" spans="1:12" x14ac:dyDescent="0.3">
      <c r="A34" s="9"/>
      <c r="B34" s="3" t="s">
        <v>547</v>
      </c>
      <c r="C34" s="6"/>
      <c r="D34" s="230"/>
      <c r="E34" s="230"/>
      <c r="F34" s="230"/>
      <c r="G34" s="230">
        <f t="shared" si="2"/>
        <v>0</v>
      </c>
      <c r="H34" s="233">
        <f t="shared" si="1"/>
        <v>222</v>
      </c>
      <c r="I34" s="309">
        <f>IF(T_T13411121314151617181920212223[[#This Row],[Total]]&lt;0,T_T13411121314151617181920212223[[#This Row],[Total]]*-1,0)</f>
        <v>0</v>
      </c>
      <c r="J34" s="309"/>
      <c r="K34" s="313"/>
      <c r="L34" s="460" t="s">
        <v>366</v>
      </c>
    </row>
    <row r="35" spans="1:12" x14ac:dyDescent="0.3">
      <c r="A35" s="9">
        <v>45960</v>
      </c>
      <c r="B35" s="3" t="s">
        <v>548</v>
      </c>
      <c r="C35" s="229"/>
      <c r="D35" s="230"/>
      <c r="E35" s="230"/>
      <c r="F35" s="230"/>
      <c r="G35" s="230">
        <f t="shared" si="2"/>
        <v>0</v>
      </c>
      <c r="H35" s="233">
        <f t="shared" si="1"/>
        <v>222</v>
      </c>
      <c r="I35" s="309">
        <f>IF(T_T13411121314151617181920212223[[#This Row],[Total]]&lt;0,T_T13411121314151617181920212223[[#This Row],[Total]]*-1,0)</f>
        <v>0</v>
      </c>
      <c r="J35" s="309"/>
      <c r="K35" s="313"/>
      <c r="L35" s="460"/>
    </row>
    <row r="36" spans="1:12" x14ac:dyDescent="0.3">
      <c r="A36" s="9"/>
      <c r="B36" s="3" t="s">
        <v>549</v>
      </c>
      <c r="C36" s="6"/>
      <c r="D36" s="230"/>
      <c r="E36" s="230"/>
      <c r="F36" s="230"/>
      <c r="G36" s="230">
        <f t="shared" si="2"/>
        <v>0</v>
      </c>
      <c r="H36" s="233">
        <f t="shared" si="1"/>
        <v>222</v>
      </c>
      <c r="I36" s="309">
        <f>IF(T_T13411121314151617181920212223[[#This Row],[Total]]&lt;0,T_T13411121314151617181920212223[[#This Row],[Total]]*-1,0)</f>
        <v>0</v>
      </c>
      <c r="J36" s="309"/>
      <c r="K36" s="313"/>
      <c r="L36" s="460"/>
    </row>
    <row r="37" spans="1:12" x14ac:dyDescent="0.3">
      <c r="A37" s="9">
        <v>45991</v>
      </c>
      <c r="B37" s="3" t="s">
        <v>550</v>
      </c>
      <c r="C37" s="229"/>
      <c r="D37" s="230"/>
      <c r="E37" s="230"/>
      <c r="F37" s="230"/>
      <c r="G37" s="230">
        <f t="shared" si="2"/>
        <v>0</v>
      </c>
      <c r="H37" s="233">
        <f t="shared" si="1"/>
        <v>222</v>
      </c>
      <c r="I37" s="309">
        <f>IF(T_T13411121314151617181920212223[[#This Row],[Total]]&lt;0,T_T13411121314151617181920212223[[#This Row],[Total]]*-1,0)</f>
        <v>0</v>
      </c>
      <c r="J37" s="309"/>
      <c r="K37" s="313"/>
      <c r="L37" s="460"/>
    </row>
    <row r="38" spans="1:12" x14ac:dyDescent="0.3">
      <c r="A38" s="17"/>
      <c r="B38" s="18" t="s">
        <v>551</v>
      </c>
      <c r="C38" s="229"/>
      <c r="D38" s="230"/>
      <c r="E38" s="230"/>
      <c r="F38" s="230"/>
      <c r="G38" s="230">
        <f t="shared" si="2"/>
        <v>0</v>
      </c>
      <c r="H38" s="233">
        <f t="shared" si="1"/>
        <v>222</v>
      </c>
      <c r="I38" s="309">
        <f>IF(T_T13411121314151617181920212223[[#This Row],[Total]]&lt;0,T_T13411121314151617181920212223[[#This Row],[Total]]*-1,0)</f>
        <v>0</v>
      </c>
      <c r="J38" s="309"/>
      <c r="K38" s="313"/>
      <c r="L38" s="460"/>
    </row>
    <row r="39" spans="1:12" x14ac:dyDescent="0.3">
      <c r="A39" s="188">
        <v>46021</v>
      </c>
      <c r="B39" s="3" t="s">
        <v>552</v>
      </c>
      <c r="C39" s="229"/>
      <c r="D39" s="230"/>
      <c r="E39" s="230"/>
      <c r="F39" s="230"/>
      <c r="G39" s="230">
        <f t="shared" si="2"/>
        <v>0</v>
      </c>
      <c r="H39" s="233">
        <f t="shared" si="1"/>
        <v>222</v>
      </c>
      <c r="I39" s="309">
        <f>IF(T_T13411121314151617181920212223[[#This Row],[Total]]&lt;0,T_T13411121314151617181920212223[[#This Row],[Total]]*-1,0)</f>
        <v>0</v>
      </c>
      <c r="J39" s="309"/>
      <c r="K39" s="313"/>
      <c r="L39" s="460"/>
    </row>
    <row r="40" spans="1:12" x14ac:dyDescent="0.3">
      <c r="A40" s="257"/>
      <c r="B40" s="110" t="s">
        <v>553</v>
      </c>
      <c r="C40" s="229"/>
      <c r="D40" s="230"/>
      <c r="E40" s="230"/>
      <c r="F40" s="230"/>
      <c r="G40" s="230">
        <f t="shared" si="2"/>
        <v>0</v>
      </c>
      <c r="H40" s="233">
        <f t="shared" si="1"/>
        <v>222</v>
      </c>
      <c r="I40" s="309">
        <f>IF(T_T13411121314151617181920212223[[#This Row],[Total]]&lt;0,T_T13411121314151617181920212223[[#This Row],[Total]]*-1,0)</f>
        <v>0</v>
      </c>
      <c r="J40" s="309"/>
      <c r="K40" s="313"/>
      <c r="L40" s="460"/>
    </row>
    <row r="41" spans="1:12" x14ac:dyDescent="0.3">
      <c r="A41" s="107"/>
      <c r="B41" s="82"/>
      <c r="C41" s="229"/>
      <c r="D41" s="230"/>
      <c r="E41" s="230"/>
      <c r="F41" s="230"/>
      <c r="G41" s="230">
        <f t="shared" si="2"/>
        <v>0</v>
      </c>
      <c r="H41" s="233">
        <f t="shared" si="1"/>
        <v>222</v>
      </c>
      <c r="I41" s="309">
        <f>IF(T_T13411121314151617181920212223[[#This Row],[Total]]&lt;0,T_T13411121314151617181920212223[[#This Row],[Total]]*-1,0)</f>
        <v>0</v>
      </c>
      <c r="J41" s="309"/>
      <c r="K41" s="313"/>
      <c r="L41" s="460"/>
    </row>
    <row r="42" spans="1:12" x14ac:dyDescent="0.3">
      <c r="A42" s="107"/>
      <c r="B42" s="82"/>
      <c r="C42" s="229"/>
      <c r="D42" s="230"/>
      <c r="E42" s="230"/>
      <c r="F42" s="230"/>
      <c r="G42" s="230">
        <f t="shared" si="2"/>
        <v>0</v>
      </c>
      <c r="H42" s="233">
        <f t="shared" si="1"/>
        <v>222</v>
      </c>
      <c r="I42" s="309">
        <f>IF(T_T13411121314151617181920212223[[#This Row],[Total]]&lt;0,T_T13411121314151617181920212223[[#This Row],[Total]]*-1,0)</f>
        <v>0</v>
      </c>
      <c r="J42" s="309"/>
      <c r="K42" s="313"/>
      <c r="L42" s="460"/>
    </row>
    <row r="43" spans="1:12" x14ac:dyDescent="0.3">
      <c r="A43" s="170"/>
      <c r="B43" s="18"/>
      <c r="C43" s="229"/>
      <c r="D43" s="230"/>
      <c r="E43" s="230"/>
      <c r="F43" s="230"/>
      <c r="G43" s="230">
        <f>SUM(D43:F50)</f>
        <v>0</v>
      </c>
      <c r="H43" s="233">
        <f t="shared" si="1"/>
        <v>222</v>
      </c>
      <c r="I43" s="311">
        <f>IF(T_T13411121314151617181920212223[[#This Row],[Total]]&lt;0,T_T13411121314151617181920212223[[#This Row],[Total]]*-1,0)</f>
        <v>0</v>
      </c>
      <c r="J43" s="311"/>
      <c r="K43" s="313"/>
      <c r="L43" s="460"/>
    </row>
    <row r="44" spans="1:12" x14ac:dyDescent="0.3">
      <c r="A44" s="107"/>
      <c r="B44" s="82"/>
      <c r="C44" s="229"/>
      <c r="D44" s="230"/>
      <c r="E44" s="230"/>
      <c r="F44" s="230"/>
      <c r="G44" s="230">
        <f>SUM(D44:F51)</f>
        <v>0</v>
      </c>
      <c r="H44" s="233">
        <f t="shared" si="1"/>
        <v>222</v>
      </c>
      <c r="I44" s="353">
        <f>IF(T_T13411121314151617181920212223[[#This Row],[Total]]&lt;0,T_T13411121314151617181920212223[[#This Row],[Total]]*-1,0)</f>
        <v>0</v>
      </c>
      <c r="J44" s="353"/>
      <c r="K44" s="354"/>
      <c r="L44" s="460"/>
    </row>
  </sheetData>
  <pageMargins left="0.51181102362204722" right="0.51181102362204722" top="0.74803149606299213" bottom="0.74803149606299213" header="0.31496062992125984" footer="0.31496062992125984"/>
  <pageSetup orientation="portrait" verticalDpi="360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2:I46"/>
  <sheetViews>
    <sheetView showGridLines="0" topLeftCell="A8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2.88671875" customWidth="1"/>
    <col min="2" max="2" width="33.88671875" customWidth="1"/>
    <col min="3" max="3" width="11.109375" style="4" customWidth="1"/>
    <col min="4" max="4" width="12.5546875" style="1" customWidth="1"/>
    <col min="5" max="5" width="8.33203125" style="1" customWidth="1"/>
    <col min="6" max="6" width="7.5546875" style="1" customWidth="1"/>
    <col min="7" max="7" width="10.5546875" style="1" customWidth="1"/>
    <col min="8" max="8" width="11" style="1" customWidth="1"/>
    <col min="9" max="9" width="0.109375" customWidth="1"/>
  </cols>
  <sheetData>
    <row r="2" spans="1:9" ht="15.6" x14ac:dyDescent="0.3">
      <c r="A2" s="27" t="s">
        <v>366</v>
      </c>
      <c r="B2" s="41" t="s">
        <v>65</v>
      </c>
    </row>
    <row r="3" spans="1:9" ht="12.75" customHeight="1" x14ac:dyDescent="0.3">
      <c r="A3" s="27" t="s">
        <v>31</v>
      </c>
      <c r="B3" s="21" t="s">
        <v>276</v>
      </c>
    </row>
    <row r="4" spans="1:9" hidden="1" x14ac:dyDescent="0.3">
      <c r="A4" s="27" t="s">
        <v>32</v>
      </c>
      <c r="B4" s="28" t="e">
        <f>LOOKUP(B2,#REF!,#REF!)</f>
        <v>#REF!</v>
      </c>
    </row>
    <row r="5" spans="1:9" hidden="1" x14ac:dyDescent="0.3">
      <c r="A5" s="27" t="s">
        <v>33</v>
      </c>
      <c r="B5" s="28" t="e">
        <f>LOOKUP(B2,#REF!,#REF!)</f>
        <v>#REF!</v>
      </c>
    </row>
    <row r="6" spans="1:9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9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9" x14ac:dyDescent="0.3">
      <c r="A8" s="21"/>
      <c r="B8" s="21"/>
    </row>
    <row r="9" spans="1:9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9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IF(T_T1341112131415161718192021222324[[#This Row],[Total]]&lt;0,T_T1341112131415161718192021222324[[#This Row],[Total]]*-1,0)</f>
        <v>0</v>
      </c>
    </row>
    <row r="11" spans="1:9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355">
        <f>IF(T_T1341112131415161718192021222324[[#This Row],[Total]]&lt;0,T_T1341112131415161718192021222324[[#This Row],[Total]]*-1,0)</f>
        <v>0</v>
      </c>
    </row>
    <row r="12" spans="1:9" x14ac:dyDescent="0.3">
      <c r="A12" s="288"/>
      <c r="B12" s="118" t="s">
        <v>467</v>
      </c>
      <c r="C12" s="424"/>
      <c r="D12" s="425"/>
      <c r="E12" s="425"/>
      <c r="F12" s="425"/>
      <c r="G12" s="425"/>
      <c r="H12" s="426">
        <v>0</v>
      </c>
      <c r="I12" s="427">
        <f>IF(T_T1341112131415161718192021222324[[#This Row],[Total]]&lt;0,T_T1341112131415161718192021222324[[#This Row],[Total]]*-1,0)</f>
        <v>0</v>
      </c>
    </row>
    <row r="13" spans="1:9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355">
        <f>IF(T_T1341112131415161718192021222324[[#This Row],[Total]]&lt;0,T_T1341112131415161718192021222324[[#This Row],[Total]]*-1,0)</f>
        <v>0</v>
      </c>
    </row>
    <row r="14" spans="1:9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6">
        <f>IF(T_T1341112131415161718192021222324[[#This Row],[Total]]&lt;0,T_T1341112131415161718192021222324[[#This Row],[Total]]*-1,0)</f>
        <v>0</v>
      </c>
    </row>
    <row r="15" spans="1:9" x14ac:dyDescent="0.3">
      <c r="A15" s="17">
        <v>46052</v>
      </c>
      <c r="B15" s="18" t="s">
        <v>590</v>
      </c>
      <c r="C15" s="6"/>
      <c r="D15" s="2">
        <v>378</v>
      </c>
      <c r="E15" s="2"/>
      <c r="F15" s="20"/>
      <c r="G15" s="20">
        <f>SUM(D15:F15)</f>
        <v>378</v>
      </c>
      <c r="H15" s="233">
        <f>+H13+T_T1341112131415161718192021222324[[#This Row],[Total]]</f>
        <v>378</v>
      </c>
      <c r="I15" s="355">
        <f>IF(T_T1341112131415161718192021222324[[#This Row],[Total]]&lt;0,T_T1341112131415161718192021222324[[#This Row],[Total]]*-1,0)</f>
        <v>0</v>
      </c>
    </row>
    <row r="16" spans="1:9" x14ac:dyDescent="0.3">
      <c r="A16" s="17"/>
      <c r="B16" s="18" t="s">
        <v>591</v>
      </c>
      <c r="C16" s="6">
        <v>8529</v>
      </c>
      <c r="D16" s="2">
        <v>-378</v>
      </c>
      <c r="E16" s="2"/>
      <c r="F16" s="230"/>
      <c r="G16" s="230">
        <f t="shared" ref="G16:G38" si="0">SUM(D16:F16)</f>
        <v>-378</v>
      </c>
      <c r="H16" s="233">
        <f t="shared" ref="H16:H40" si="1">H15+G16</f>
        <v>0</v>
      </c>
      <c r="I16" s="355">
        <f>IF(T_T1341112131415161718192021222324[[#This Row],[Total]]&lt;0,T_T1341112131415161718192021222324[[#This Row],[Total]]*-1,0)</f>
        <v>378</v>
      </c>
    </row>
    <row r="17" spans="1:9" x14ac:dyDescent="0.3">
      <c r="A17" s="164">
        <v>46081</v>
      </c>
      <c r="B17" s="161" t="s">
        <v>592</v>
      </c>
      <c r="C17" s="6"/>
      <c r="D17" s="2">
        <v>378</v>
      </c>
      <c r="E17" s="2"/>
      <c r="F17" s="230"/>
      <c r="G17" s="230">
        <f t="shared" si="0"/>
        <v>378</v>
      </c>
      <c r="H17" s="233">
        <f t="shared" si="1"/>
        <v>378</v>
      </c>
      <c r="I17" s="355">
        <f>IF(T_T1341112131415161718192021222324[[#This Row],[Total]]&lt;0,T_T1341112131415161718192021222324[[#This Row],[Total]]*-1,0)</f>
        <v>0</v>
      </c>
    </row>
    <row r="18" spans="1:9" x14ac:dyDescent="0.3">
      <c r="A18" s="187"/>
      <c r="B18" s="18" t="s">
        <v>593</v>
      </c>
      <c r="C18" s="6"/>
      <c r="D18" s="2"/>
      <c r="E18" s="2"/>
      <c r="F18" s="230"/>
      <c r="G18" s="230">
        <f t="shared" si="0"/>
        <v>0</v>
      </c>
      <c r="H18" s="233">
        <f t="shared" si="1"/>
        <v>378</v>
      </c>
      <c r="I18" s="355">
        <f>IF(T_T1341112131415161718192021222324[[#This Row],[Total]]&lt;0,T_T1341112131415161718192021222324[[#This Row],[Total]]*-1,0)</f>
        <v>0</v>
      </c>
    </row>
    <row r="19" spans="1:9" x14ac:dyDescent="0.3">
      <c r="A19" s="188">
        <v>45747</v>
      </c>
      <c r="B19" s="3" t="s">
        <v>534</v>
      </c>
      <c r="C19" s="6"/>
      <c r="D19" s="2">
        <v>453</v>
      </c>
      <c r="E19" s="2"/>
      <c r="F19" s="230"/>
      <c r="G19" s="230">
        <f t="shared" si="0"/>
        <v>453</v>
      </c>
      <c r="H19" s="233">
        <f t="shared" si="1"/>
        <v>831</v>
      </c>
      <c r="I19" s="355">
        <f>IF(T_T1341112131415161718192021222324[[#This Row],[Total]]&lt;0,T_T1341112131415161718192021222324[[#This Row],[Total]]*-1,0)</f>
        <v>0</v>
      </c>
    </row>
    <row r="20" spans="1:9" x14ac:dyDescent="0.3">
      <c r="A20" s="188"/>
      <c r="B20" s="82" t="s">
        <v>535</v>
      </c>
      <c r="C20" s="6"/>
      <c r="D20" s="2"/>
      <c r="E20" s="2"/>
      <c r="F20" s="230"/>
      <c r="G20" s="230">
        <f t="shared" si="0"/>
        <v>0</v>
      </c>
      <c r="H20" s="233">
        <f t="shared" si="1"/>
        <v>831</v>
      </c>
      <c r="I20" s="355">
        <f>IF(T_T1341112131415161718192021222324[[#This Row],[Total]]&lt;0,T_T1341112131415161718192021222324[[#This Row],[Total]]*-1,0)</f>
        <v>0</v>
      </c>
    </row>
    <row r="21" spans="1:9" x14ac:dyDescent="0.3">
      <c r="A21" s="188">
        <v>45777</v>
      </c>
      <c r="B21" s="3" t="s">
        <v>536</v>
      </c>
      <c r="C21" s="6"/>
      <c r="D21" s="2">
        <v>453</v>
      </c>
      <c r="E21" s="2">
        <v>1</v>
      </c>
      <c r="F21" s="230"/>
      <c r="G21" s="230">
        <f t="shared" si="0"/>
        <v>454</v>
      </c>
      <c r="H21" s="233">
        <f t="shared" si="1"/>
        <v>1285</v>
      </c>
      <c r="I21" s="355">
        <f>IF(T_T1341112131415161718192021222324[[#This Row],[Total]]&lt;0,T_T1341112131415161718192021222324[[#This Row],[Total]]*-1,0)</f>
        <v>0</v>
      </c>
    </row>
    <row r="22" spans="1:9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1285</v>
      </c>
      <c r="I22" s="355">
        <f>IF(T_T1341112131415161718192021222324[[#This Row],[Total]]&lt;0,T_T1341112131415161718192021222324[[#This Row],[Total]]*-1,0)</f>
        <v>0</v>
      </c>
    </row>
    <row r="23" spans="1:9" x14ac:dyDescent="0.3">
      <c r="A23" s="40">
        <v>45807</v>
      </c>
      <c r="B23" s="3" t="s">
        <v>538</v>
      </c>
      <c r="C23" s="229"/>
      <c r="D23" s="230">
        <v>453</v>
      </c>
      <c r="E23" s="230">
        <v>0</v>
      </c>
      <c r="F23" s="230"/>
      <c r="G23" s="230">
        <f t="shared" si="0"/>
        <v>453</v>
      </c>
      <c r="H23" s="233">
        <f t="shared" si="1"/>
        <v>1738</v>
      </c>
      <c r="I23" s="355">
        <f>IF(T_T1341112131415161718192021222324[[#This Row],[Total]]&lt;0,T_T1341112131415161718192021222324[[#This Row],[Total]]*-1,0)</f>
        <v>0</v>
      </c>
    </row>
    <row r="24" spans="1:9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1738</v>
      </c>
      <c r="I24" s="355">
        <f>IF(T_T1341112131415161718192021222324[[#This Row],[Total]]&lt;0,T_T1341112131415161718192021222324[[#This Row],[Total]]*-1,0)</f>
        <v>0</v>
      </c>
    </row>
    <row r="25" spans="1:9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1738</v>
      </c>
      <c r="I25" s="355">
        <f>IF(T_T1341112131415161718192021222324[[#This Row],[Total]]&lt;0,T_T1341112131415161718192021222324[[#This Row],[Total]]*-1,0)</f>
        <v>0</v>
      </c>
    </row>
    <row r="26" spans="1:9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1738</v>
      </c>
      <c r="I26" s="355">
        <f>IF(T_T1341112131415161718192021222324[[#This Row],[Total]]&lt;0,T_T1341112131415161718192021222324[[#This Row],[Total]]*-1,0)</f>
        <v>0</v>
      </c>
    </row>
    <row r="27" spans="1:9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1738</v>
      </c>
      <c r="I27" s="355">
        <f>IF(T_T1341112131415161718192021222324[[#This Row],[Total]]&lt;0,T_T1341112131415161718192021222324[[#This Row],[Total]]*-1,0)</f>
        <v>0</v>
      </c>
    </row>
    <row r="28" spans="1:9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1738</v>
      </c>
      <c r="I28" s="355">
        <f>IF(T_T1341112131415161718192021222324[[#This Row],[Total]]&lt;0,T_T1341112131415161718192021222324[[#This Row],[Total]]*-1,0)</f>
        <v>0</v>
      </c>
    </row>
    <row r="29" spans="1:9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1738</v>
      </c>
      <c r="I29" s="355">
        <f>IF(T_T1341112131415161718192021222324[[#This Row],[Total]]&lt;0,T_T1341112131415161718192021222324[[#This Row],[Total]]*-1,0)</f>
        <v>0</v>
      </c>
    </row>
    <row r="30" spans="1:9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1738</v>
      </c>
      <c r="I30" s="355">
        <f>IF(T_T1341112131415161718192021222324[[#This Row],[Total]]&lt;0,T_T1341112131415161718192021222324[[#This Row],[Total]]*-1,0)</f>
        <v>0</v>
      </c>
    </row>
    <row r="31" spans="1:9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1738</v>
      </c>
      <c r="I31" s="355">
        <f>IF(T_T1341112131415161718192021222324[[#This Row],[Total]]&lt;0,T_T1341112131415161718192021222324[[#This Row],[Total]]*-1,0)</f>
        <v>0</v>
      </c>
    </row>
    <row r="32" spans="1:9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1738</v>
      </c>
      <c r="I32" s="355">
        <f>IF(T_T1341112131415161718192021222324[[#This Row],[Total]]&lt;0,T_T1341112131415161718192021222324[[#This Row],[Total]]*-1,0)</f>
        <v>0</v>
      </c>
    </row>
    <row r="33" spans="1:9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1738</v>
      </c>
      <c r="I33" s="355">
        <f>IF(T_T1341112131415161718192021222324[[#This Row],[Total]]&lt;0,T_T1341112131415161718192021222324[[#This Row],[Total]]*-1,0)</f>
        <v>0</v>
      </c>
    </row>
    <row r="34" spans="1:9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1738</v>
      </c>
      <c r="I34" s="355">
        <f>IF(T_T1341112131415161718192021222324[[#This Row],[Total]]&lt;0,T_T1341112131415161718192021222324[[#This Row],[Total]]*-1,0)</f>
        <v>0</v>
      </c>
    </row>
    <row r="35" spans="1:9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1738</v>
      </c>
      <c r="I35" s="355">
        <f>IF(T_T1341112131415161718192021222324[[#This Row],[Total]]&lt;0,T_T1341112131415161718192021222324[[#This Row],[Total]]*-1,0)</f>
        <v>0</v>
      </c>
    </row>
    <row r="36" spans="1:9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417">
        <f t="shared" si="1"/>
        <v>1738</v>
      </c>
      <c r="I36" s="355">
        <f>IF(T_T1341112131415161718192021222324[[#This Row],[Total]]&lt;0,T_T1341112131415161718192021222324[[#This Row],[Total]]*-1,0)</f>
        <v>0</v>
      </c>
    </row>
    <row r="37" spans="1:9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1738</v>
      </c>
      <c r="I37" s="355">
        <f>IF(T_T1341112131415161718192021222324[[#This Row],[Total]]&lt;0,T_T1341112131415161718192021222324[[#This Row],[Total]]*-1,0)</f>
        <v>0</v>
      </c>
    </row>
    <row r="38" spans="1:9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1738</v>
      </c>
      <c r="I38" s="355">
        <f>IF(T_T1341112131415161718192021222324[[#This Row],[Total]]&lt;0,T_T1341112131415161718192021222324[[#This Row],[Total]]*-1,0)</f>
        <v>0</v>
      </c>
    </row>
    <row r="39" spans="1:9" x14ac:dyDescent="0.3">
      <c r="A39" s="107"/>
      <c r="B39" s="82"/>
      <c r="C39" s="229"/>
      <c r="D39" s="230"/>
      <c r="E39" s="230"/>
      <c r="F39" s="230"/>
      <c r="G39" s="230">
        <f>SUM(D39:F40)</f>
        <v>0</v>
      </c>
      <c r="H39" s="233">
        <f t="shared" si="1"/>
        <v>1738</v>
      </c>
      <c r="I39" s="355">
        <f>IF(T_T1341112131415161718192021222324[[#This Row],[Total]]&lt;0,T_T1341112131415161718192021222324[[#This Row],[Total]]*-1,0)</f>
        <v>0</v>
      </c>
    </row>
    <row r="40" spans="1:9" x14ac:dyDescent="0.3">
      <c r="A40" s="107"/>
      <c r="B40" s="82"/>
      <c r="C40" s="229"/>
      <c r="D40" s="230"/>
      <c r="E40" s="230"/>
      <c r="F40" s="230"/>
      <c r="G40" s="230">
        <f>SUM(D40:F40)</f>
        <v>0</v>
      </c>
      <c r="H40" s="233">
        <f t="shared" si="1"/>
        <v>1738</v>
      </c>
      <c r="I40" s="355">
        <f>IF(T_T1341112131415161718192021222324[[#This Row],[Total]]&lt;0,T_T1341112131415161718192021222324[[#This Row],[Total]]*-1,0)</f>
        <v>0</v>
      </c>
    </row>
    <row r="41" spans="1:9" x14ac:dyDescent="0.3">
      <c r="A41" s="170"/>
      <c r="B41" s="18"/>
      <c r="C41" s="481"/>
      <c r="D41" s="482"/>
      <c r="E41" s="482"/>
      <c r="F41" s="482"/>
      <c r="G41" s="482"/>
      <c r="H41" s="483"/>
      <c r="I41" s="473">
        <f>IF(T_T1341112131415161718192021222324[[#This Row],[Total]]&lt;0,T_T1341112131415161718192021222324[[#This Row],[Total]]*-1,0)</f>
        <v>0</v>
      </c>
    </row>
    <row r="46" spans="1:9" x14ac:dyDescent="0.3">
      <c r="A46" s="418"/>
      <c r="B46" s="418"/>
    </row>
  </sheetData>
  <hyperlinks>
    <hyperlink ref="B7" r:id="rId1" display="jose.orozco@outlook.com"/>
    <hyperlink ref="H7" location="Resumen!A1" display="Rsumen         "/>
  </hyperlinks>
  <pageMargins left="0.70866141732283472" right="0.37" top="0.41" bottom="0.49" header="0.31496062992125984" footer="0.31496062992125984"/>
  <pageSetup scale="85" orientation="portrait" verticalDpi="360" r:id="rId2"/>
  <drawing r:id="rId3"/>
  <tableParts count="1">
    <tablePart r:id="rId4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2:N47"/>
  <sheetViews>
    <sheetView showGridLines="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2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</cols>
  <sheetData>
    <row r="2" spans="1:12" ht="15.6" x14ac:dyDescent="0.3">
      <c r="A2" s="27" t="s">
        <v>36</v>
      </c>
      <c r="B2" s="41" t="s">
        <v>66</v>
      </c>
    </row>
    <row r="3" spans="1:12" ht="0.75" customHeight="1" x14ac:dyDescent="0.3">
      <c r="A3" s="27" t="s">
        <v>31</v>
      </c>
      <c r="B3" s="28"/>
    </row>
    <row r="4" spans="1:12" hidden="1" x14ac:dyDescent="0.3">
      <c r="A4" s="27" t="s">
        <v>32</v>
      </c>
      <c r="B4" s="28" t="e">
        <f>LOOKUP(B2,#REF!,#REF!)</f>
        <v>#REF!</v>
      </c>
    </row>
    <row r="5" spans="1:12" hidden="1" x14ac:dyDescent="0.3">
      <c r="A5" s="27" t="s">
        <v>33</v>
      </c>
      <c r="B5" s="28" t="e">
        <f>LOOKUP(B2,#REF!,#REF!)</f>
        <v>#REF!</v>
      </c>
    </row>
    <row r="6" spans="1:12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2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2" x14ac:dyDescent="0.3">
      <c r="A8" s="21"/>
      <c r="B8" s="21" t="s">
        <v>230</v>
      </c>
    </row>
    <row r="9" spans="1:12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149" t="s">
        <v>188</v>
      </c>
      <c r="K9" s="182" t="s">
        <v>191</v>
      </c>
      <c r="L9" s="182" t="s">
        <v>262</v>
      </c>
    </row>
    <row r="10" spans="1:12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292">
        <f>IF(T_T134111213141516171819202122232425[[#This Row],[Total]]&lt;0,T_T134111213141516171819202122232425[[#This Row],[Total]]*-1,0)</f>
        <v>0</v>
      </c>
      <c r="J10" s="292"/>
      <c r="K10" s="304"/>
      <c r="L10" s="304"/>
    </row>
    <row r="11" spans="1:12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IF(T_T134111213141516171819202122232425[[#This Row],[Total]]&lt;0,T_T134111213141516171819202122232425[[#This Row],[Total]]*-1,0)</f>
        <v>0</v>
      </c>
      <c r="J11" s="240"/>
      <c r="K11" s="232"/>
      <c r="L11" s="232"/>
    </row>
    <row r="12" spans="1:12" x14ac:dyDescent="0.3">
      <c r="A12" s="432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IF(T_T134111213141516171819202122232425[[#This Row],[Total]]&lt;0,T_T134111213141516171819202122232425[[#This Row],[Total]]*-1,0)</f>
        <v>0</v>
      </c>
      <c r="J12" s="430"/>
      <c r="K12" s="419"/>
      <c r="L12" s="419"/>
    </row>
    <row r="13" spans="1:12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IF(T_T134111213141516171819202122232425[[#This Row],[Total]]&lt;0,T_T134111213141516171819202122232425[[#This Row],[Total]]*-1,0)</f>
        <v>0</v>
      </c>
      <c r="J13" s="240"/>
      <c r="K13" s="232"/>
      <c r="L13" s="232"/>
    </row>
    <row r="14" spans="1:12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IF(T_T134111213141516171819202122232425[[#This Row],[Total]]&lt;0,T_T134111213141516171819202122232425[[#This Row],[Total]]*-1,0)</f>
        <v>0</v>
      </c>
      <c r="J14" s="473"/>
      <c r="K14" s="485"/>
      <c r="L14" s="485"/>
    </row>
    <row r="15" spans="1:12" x14ac:dyDescent="0.3">
      <c r="A15" s="17">
        <v>46052</v>
      </c>
      <c r="B15" s="18" t="s">
        <v>590</v>
      </c>
      <c r="C15" s="6"/>
      <c r="D15" s="2">
        <v>164</v>
      </c>
      <c r="E15" s="2">
        <v>10</v>
      </c>
      <c r="F15" s="20"/>
      <c r="G15" s="20">
        <f>SUM(D15:F15)</f>
        <v>174</v>
      </c>
      <c r="H15" s="233">
        <f>+H13+T_T134111213141516171819202122232425[[#This Row],[Total]]</f>
        <v>174</v>
      </c>
      <c r="I15" s="240">
        <f>IF(T_T134111213141516171819202122232425[[#This Row],[Total]]&lt;0,T_T134111213141516171819202122232425[[#This Row],[Total]]*-1,0)</f>
        <v>0</v>
      </c>
      <c r="J15" s="240"/>
      <c r="K15" s="232"/>
      <c r="L15" s="232"/>
    </row>
    <row r="16" spans="1:12" x14ac:dyDescent="0.3">
      <c r="A16" s="17"/>
      <c r="B16" s="18" t="s">
        <v>591</v>
      </c>
      <c r="C16" s="6">
        <v>8768</v>
      </c>
      <c r="D16" s="2">
        <v>-164</v>
      </c>
      <c r="E16" s="2">
        <v>-10</v>
      </c>
      <c r="F16" s="230"/>
      <c r="G16" s="230">
        <f t="shared" ref="G16:G40" si="0">SUM(D16:F16)</f>
        <v>-174</v>
      </c>
      <c r="H16" s="233">
        <f t="shared" ref="H16:H42" si="1">H15+G16</f>
        <v>0</v>
      </c>
      <c r="I16" s="239">
        <f>IF(T_T134111213141516171819202122232425[[#This Row],[Total]]&lt;0,T_T134111213141516171819202122232425[[#This Row],[Total]]*-1,0)</f>
        <v>174</v>
      </c>
      <c r="J16" s="239"/>
      <c r="K16" s="232"/>
      <c r="L16" s="232"/>
    </row>
    <row r="17" spans="1:14" x14ac:dyDescent="0.3">
      <c r="A17" s="164">
        <v>46081</v>
      </c>
      <c r="B17" s="161" t="s">
        <v>592</v>
      </c>
      <c r="C17" s="6"/>
      <c r="D17" s="2">
        <v>164</v>
      </c>
      <c r="E17" s="2">
        <v>16</v>
      </c>
      <c r="F17" s="230"/>
      <c r="G17" s="230">
        <f t="shared" si="0"/>
        <v>180</v>
      </c>
      <c r="H17" s="233">
        <f t="shared" si="1"/>
        <v>180</v>
      </c>
      <c r="I17" s="240">
        <f>IF(T_T134111213141516171819202122232425[[#This Row],[Total]]&lt;0,T_T134111213141516171819202122232425[[#This Row],[Total]]*-1,0)</f>
        <v>0</v>
      </c>
      <c r="J17" s="240"/>
      <c r="K17" s="232"/>
      <c r="L17" s="232"/>
    </row>
    <row r="18" spans="1:14" x14ac:dyDescent="0.3">
      <c r="A18" s="187"/>
      <c r="B18" s="18" t="s">
        <v>593</v>
      </c>
      <c r="C18" s="6">
        <v>8768</v>
      </c>
      <c r="D18" s="2">
        <v>-164</v>
      </c>
      <c r="E18" s="2">
        <v>-16</v>
      </c>
      <c r="F18" s="230"/>
      <c r="G18" s="230">
        <f t="shared" si="0"/>
        <v>-180</v>
      </c>
      <c r="H18" s="233">
        <f t="shared" si="1"/>
        <v>0</v>
      </c>
      <c r="I18" s="240">
        <f>IF(T_T134111213141516171819202122232425[[#This Row],[Total]]&lt;0,T_T134111213141516171819202122232425[[#This Row],[Total]]*-1,0)</f>
        <v>180</v>
      </c>
      <c r="J18" s="240"/>
      <c r="K18" s="79"/>
      <c r="L18" s="232"/>
    </row>
    <row r="19" spans="1:14" x14ac:dyDescent="0.3">
      <c r="A19" s="188">
        <v>45747</v>
      </c>
      <c r="B19" s="3" t="s">
        <v>534</v>
      </c>
      <c r="C19" s="6"/>
      <c r="D19" s="2">
        <v>197</v>
      </c>
      <c r="E19" s="2">
        <v>9</v>
      </c>
      <c r="F19" s="230"/>
      <c r="G19" s="230">
        <f t="shared" si="0"/>
        <v>206</v>
      </c>
      <c r="H19" s="233">
        <f t="shared" si="1"/>
        <v>206</v>
      </c>
      <c r="I19" s="240">
        <f>IF(T_T134111213141516171819202122232425[[#This Row],[Total]]&lt;0,T_T134111213141516171819202122232425[[#This Row],[Total]]*-1,0)</f>
        <v>0</v>
      </c>
      <c r="J19" s="240"/>
      <c r="K19" s="232"/>
      <c r="L19" s="232"/>
    </row>
    <row r="20" spans="1:14" x14ac:dyDescent="0.3">
      <c r="A20" s="188"/>
      <c r="B20" s="82" t="s">
        <v>535</v>
      </c>
      <c r="C20" s="6">
        <v>8768</v>
      </c>
      <c r="D20" s="2">
        <v>-197</v>
      </c>
      <c r="E20" s="2">
        <v>-9</v>
      </c>
      <c r="F20" s="230"/>
      <c r="G20" s="230">
        <f t="shared" si="0"/>
        <v>-206</v>
      </c>
      <c r="H20" s="233">
        <f t="shared" si="1"/>
        <v>0</v>
      </c>
      <c r="I20" s="239">
        <f>IF(T_T134111213141516171819202122232425[[#This Row],[Total]]&lt;0,T_T134111213141516171819202122232425[[#This Row],[Total]]*-1,0)</f>
        <v>206</v>
      </c>
      <c r="J20" s="239"/>
      <c r="K20" s="232"/>
      <c r="L20" s="232"/>
    </row>
    <row r="21" spans="1:14" x14ac:dyDescent="0.3">
      <c r="A21" s="188">
        <v>45777</v>
      </c>
      <c r="B21" s="3" t="s">
        <v>536</v>
      </c>
      <c r="C21" s="6"/>
      <c r="D21" s="2">
        <v>197</v>
      </c>
      <c r="E21" s="2">
        <v>7</v>
      </c>
      <c r="F21" s="230"/>
      <c r="G21" s="230">
        <f t="shared" si="0"/>
        <v>204</v>
      </c>
      <c r="H21" s="233">
        <f t="shared" si="1"/>
        <v>204</v>
      </c>
      <c r="I21" s="309">
        <f>IF(T_T134111213141516171819202122232425[[#This Row],[Total]]&lt;0,T_T134111213141516171819202122232425[[#This Row],[Total]]*-1,0)</f>
        <v>0</v>
      </c>
      <c r="J21" s="309"/>
      <c r="K21" s="313"/>
      <c r="L21" s="313"/>
    </row>
    <row r="22" spans="1:14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204</v>
      </c>
      <c r="I22" s="309">
        <f>IF(T_T134111213141516171819202122232425[[#This Row],[Total]]&lt;0,T_T134111213141516171819202122232425[[#This Row],[Total]]*-1,0)</f>
        <v>0</v>
      </c>
      <c r="J22" s="309"/>
      <c r="K22" s="313"/>
      <c r="L22" s="313"/>
    </row>
    <row r="23" spans="1:14" x14ac:dyDescent="0.3">
      <c r="A23" s="40">
        <v>45807</v>
      </c>
      <c r="B23" s="3" t="s">
        <v>538</v>
      </c>
      <c r="C23" s="229"/>
      <c r="D23" s="230">
        <v>197</v>
      </c>
      <c r="E23" s="230">
        <v>8</v>
      </c>
      <c r="F23" s="230"/>
      <c r="G23" s="230">
        <f t="shared" si="0"/>
        <v>205</v>
      </c>
      <c r="H23" s="233">
        <f t="shared" si="1"/>
        <v>409</v>
      </c>
      <c r="I23" s="309">
        <f>IF(T_T134111213141516171819202122232425[[#This Row],[Total]]&lt;0,T_T134111213141516171819202122232425[[#This Row],[Total]]*-1,0)</f>
        <v>0</v>
      </c>
      <c r="J23" s="309"/>
      <c r="K23" s="313"/>
      <c r="L23" s="313"/>
    </row>
    <row r="24" spans="1:14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409</v>
      </c>
      <c r="I24" s="311">
        <f>IF(T_T134111213141516171819202122232425[[#This Row],[Total]]&lt;0,T_T134111213141516171819202122232425[[#This Row],[Total]]*-1,0)</f>
        <v>0</v>
      </c>
      <c r="J24" s="311"/>
      <c r="K24" s="313"/>
      <c r="L24" s="313"/>
    </row>
    <row r="25" spans="1:14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409</v>
      </c>
      <c r="I25" s="309">
        <f>IF(T_T134111213141516171819202122232425[[#This Row],[Total]]&lt;0,T_T134111213141516171819202122232425[[#This Row],[Total]]*-1,0)</f>
        <v>0</v>
      </c>
      <c r="J25" s="309"/>
      <c r="K25" s="313"/>
      <c r="L25" s="313"/>
    </row>
    <row r="26" spans="1:14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409</v>
      </c>
      <c r="I26" s="309">
        <f>IF(T_T134111213141516171819202122232425[[#This Row],[Total]]&lt;0,T_T134111213141516171819202122232425[[#This Row],[Total]]*-1,0)</f>
        <v>0</v>
      </c>
      <c r="J26" s="309"/>
      <c r="K26" s="313"/>
      <c r="L26" s="313"/>
    </row>
    <row r="27" spans="1:14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409</v>
      </c>
      <c r="I27" s="309">
        <f>IF(T_T134111213141516171819202122232425[[#This Row],[Total]]&lt;0,T_T134111213141516171819202122232425[[#This Row],[Total]]*-1,0)</f>
        <v>0</v>
      </c>
      <c r="J27" s="309"/>
      <c r="K27" s="313"/>
      <c r="L27" s="313"/>
      <c r="N27" t="s">
        <v>501</v>
      </c>
    </row>
    <row r="28" spans="1:14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409</v>
      </c>
      <c r="I28" s="311">
        <f>IF(T_T134111213141516171819202122232425[[#This Row],[Total]]&lt;0,T_T134111213141516171819202122232425[[#This Row],[Total]]*-1,0)</f>
        <v>0</v>
      </c>
      <c r="J28" s="311"/>
      <c r="K28" s="313"/>
      <c r="L28" s="313"/>
    </row>
    <row r="29" spans="1:14" x14ac:dyDescent="0.3">
      <c r="A29" s="107">
        <v>45899</v>
      </c>
      <c r="B29" s="82" t="s">
        <v>544</v>
      </c>
      <c r="C29" s="6"/>
      <c r="D29" s="377"/>
      <c r="E29" s="377"/>
      <c r="F29" s="377"/>
      <c r="G29" s="230">
        <f t="shared" si="0"/>
        <v>0</v>
      </c>
      <c r="H29" s="233">
        <f t="shared" si="1"/>
        <v>409</v>
      </c>
      <c r="I29" s="353">
        <f>IF(T_T134111213141516171819202122232425[[#This Row],[Total]]&lt;0,T_T134111213141516171819202122232425[[#This Row],[Total]]*-1,0)</f>
        <v>0</v>
      </c>
      <c r="J29" s="353"/>
      <c r="K29" s="354"/>
      <c r="L29" s="354"/>
    </row>
    <row r="30" spans="1:14" x14ac:dyDescent="0.3">
      <c r="A30" s="107"/>
      <c r="B30" s="82" t="s">
        <v>545</v>
      </c>
      <c r="C30" s="376"/>
      <c r="D30" s="377"/>
      <c r="E30" s="377"/>
      <c r="F30" s="377"/>
      <c r="G30" s="230">
        <f t="shared" si="0"/>
        <v>0</v>
      </c>
      <c r="H30" s="233">
        <f t="shared" si="1"/>
        <v>409</v>
      </c>
      <c r="I30" s="353">
        <f>IF(T_T134111213141516171819202122232425[[#This Row],[Total]]&lt;0,T_T134111213141516171819202122232425[[#This Row],[Total]]*-1,0)</f>
        <v>0</v>
      </c>
      <c r="J30" s="353"/>
      <c r="K30" s="354"/>
      <c r="L30" s="354"/>
    </row>
    <row r="31" spans="1:14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409</v>
      </c>
      <c r="I31" s="309">
        <f>IF(T_T134111213141516171819202122232425[[#This Row],[Total]]&lt;0,T_T134111213141516171819202122232425[[#This Row],[Total]]*-1,0)</f>
        <v>0</v>
      </c>
      <c r="J31" s="309"/>
      <c r="K31" s="313"/>
      <c r="L31" s="313"/>
    </row>
    <row r="32" spans="1:14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409</v>
      </c>
      <c r="I32" s="309">
        <f>IF(T_T134111213141516171819202122232425[[#This Row],[Total]]&lt;0,T_T134111213141516171819202122232425[[#This Row],[Total]]*-1,0)</f>
        <v>0</v>
      </c>
      <c r="J32" s="309"/>
      <c r="K32" s="313"/>
      <c r="L32" s="313"/>
    </row>
    <row r="33" spans="1:12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409</v>
      </c>
      <c r="I33" s="309">
        <f>IF(T_T134111213141516171819202122232425[[#This Row],[Total]]&lt;0,T_T134111213141516171819202122232425[[#This Row],[Total]]*-1,0)</f>
        <v>0</v>
      </c>
      <c r="J33" s="309"/>
      <c r="K33" s="313"/>
      <c r="L33" s="313"/>
    </row>
    <row r="34" spans="1:12" x14ac:dyDescent="0.3">
      <c r="A34" s="9"/>
      <c r="B34" s="3" t="s">
        <v>549</v>
      </c>
      <c r="C34" s="6"/>
      <c r="D34" s="230"/>
      <c r="E34" s="230"/>
      <c r="F34" s="230"/>
      <c r="G34" s="230">
        <f t="shared" si="0"/>
        <v>0</v>
      </c>
      <c r="H34" s="233">
        <f t="shared" si="1"/>
        <v>409</v>
      </c>
      <c r="I34" s="309">
        <f>IF(T_T134111213141516171819202122232425[[#This Row],[Total]]&lt;0,T_T134111213141516171819202122232425[[#This Row],[Total]]*-1,0)</f>
        <v>0</v>
      </c>
      <c r="J34" s="309"/>
      <c r="K34" s="313"/>
      <c r="L34" s="313"/>
    </row>
    <row r="35" spans="1:12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409</v>
      </c>
      <c r="I35" s="309">
        <f>IF(T_T134111213141516171819202122232425[[#This Row],[Total]]&lt;0,T_T134111213141516171819202122232425[[#This Row],[Total]]*-1,0)</f>
        <v>0</v>
      </c>
      <c r="J35" s="309"/>
      <c r="K35" s="313"/>
      <c r="L35" s="313"/>
    </row>
    <row r="36" spans="1:12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409</v>
      </c>
      <c r="I36" s="309">
        <f>IF(T_T134111213141516171819202122232425[[#This Row],[Total]]&lt;0,T_T134111213141516171819202122232425[[#This Row],[Total]]*-1,0)</f>
        <v>0</v>
      </c>
      <c r="J36" s="309"/>
      <c r="K36" s="313"/>
      <c r="L36" s="313"/>
    </row>
    <row r="37" spans="1:12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409</v>
      </c>
      <c r="I37" s="309">
        <f>IF(T_T134111213141516171819202122232425[[#This Row],[Total]]&lt;0,T_T134111213141516171819202122232425[[#This Row],[Total]]*-1,0)</f>
        <v>0</v>
      </c>
      <c r="J37" s="309"/>
      <c r="K37" s="79"/>
      <c r="L37" s="313"/>
    </row>
    <row r="38" spans="1:12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409</v>
      </c>
      <c r="I38" s="309">
        <f>IF(T_T134111213141516171819202122232425[[#This Row],[Total]]&lt;0,T_T134111213141516171819202122232425[[#This Row],[Total]]*-1,0)</f>
        <v>0</v>
      </c>
      <c r="J38" s="309"/>
      <c r="K38" s="313"/>
      <c r="L38" s="313"/>
    </row>
    <row r="39" spans="1:12" x14ac:dyDescent="0.3">
      <c r="A39" s="107"/>
      <c r="B39" s="82"/>
      <c r="C39" s="229"/>
      <c r="D39" s="230"/>
      <c r="E39" s="230"/>
      <c r="F39" s="230"/>
      <c r="G39" s="230">
        <f t="shared" si="0"/>
        <v>0</v>
      </c>
      <c r="H39" s="233">
        <f t="shared" si="1"/>
        <v>409</v>
      </c>
      <c r="I39" s="311">
        <f>IF(T_T134111213141516171819202122232425[[#This Row],[Total]]&lt;0,T_T134111213141516171819202122232425[[#This Row],[Total]]*-1,0)</f>
        <v>0</v>
      </c>
      <c r="J39" s="311"/>
      <c r="K39" s="313"/>
      <c r="L39" s="313"/>
    </row>
    <row r="40" spans="1:12" x14ac:dyDescent="0.3">
      <c r="A40" s="107"/>
      <c r="B40" s="82"/>
      <c r="C40" s="229"/>
      <c r="D40" s="230"/>
      <c r="E40" s="230"/>
      <c r="F40" s="230"/>
      <c r="G40" s="230">
        <f t="shared" si="0"/>
        <v>0</v>
      </c>
      <c r="H40" s="233">
        <f t="shared" si="1"/>
        <v>409</v>
      </c>
      <c r="I40" s="353">
        <f>IF(T_T134111213141516171819202122232425[[#This Row],[Total]]&lt;0,T_T134111213141516171819202122232425[[#This Row],[Total]]*-1,0)</f>
        <v>0</v>
      </c>
      <c r="J40" s="353"/>
      <c r="K40" s="354"/>
      <c r="L40" s="354"/>
    </row>
    <row r="41" spans="1:12" x14ac:dyDescent="0.3">
      <c r="A41" s="170"/>
      <c r="B41" s="18"/>
      <c r="C41" s="229"/>
      <c r="D41" s="230"/>
      <c r="E41" s="230"/>
      <c r="F41" s="230"/>
      <c r="G41" s="230">
        <f>SUM(D41:F47)</f>
        <v>0</v>
      </c>
      <c r="H41" s="233">
        <f t="shared" si="1"/>
        <v>409</v>
      </c>
      <c r="I41" s="353">
        <f>IF(T_T134111213141516171819202122232425[[#This Row],[Total]]&lt;0,T_T134111213141516171819202122232425[[#This Row],[Total]]*-1,0)</f>
        <v>0</v>
      </c>
      <c r="J41" s="353"/>
      <c r="K41" s="354"/>
      <c r="L41" s="354"/>
    </row>
    <row r="42" spans="1:12" x14ac:dyDescent="0.3">
      <c r="A42" s="107"/>
      <c r="B42" s="82"/>
      <c r="C42" s="229"/>
      <c r="D42" s="230"/>
      <c r="E42" s="230"/>
      <c r="F42" s="230"/>
      <c r="G42" s="230">
        <f>SUM(D42:F47)</f>
        <v>0</v>
      </c>
      <c r="H42" s="233">
        <f t="shared" si="1"/>
        <v>409</v>
      </c>
      <c r="I42" s="353">
        <f>IF(T_T134111213141516171819202122232425[[#This Row],[Total]]&lt;0,T_T134111213141516171819202122232425[[#This Row],[Total]]*-1,0)</f>
        <v>0</v>
      </c>
      <c r="J42" s="353"/>
      <c r="K42" s="354"/>
      <c r="L42" s="354"/>
    </row>
    <row r="43" spans="1:12" ht="15.6" hidden="1" x14ac:dyDescent="0.3">
      <c r="A43" s="27" t="s">
        <v>36</v>
      </c>
      <c r="B43" s="41" t="s">
        <v>425</v>
      </c>
    </row>
    <row r="44" spans="1:12" hidden="1" x14ac:dyDescent="0.3">
      <c r="A44" s="27" t="s">
        <v>31</v>
      </c>
      <c r="B44" s="28"/>
    </row>
    <row r="45" spans="1:12" hidden="1" x14ac:dyDescent="0.3">
      <c r="A45" s="27" t="s">
        <v>32</v>
      </c>
      <c r="B45" s="28" t="s">
        <v>426</v>
      </c>
    </row>
    <row r="46" spans="1:12" hidden="1" x14ac:dyDescent="0.3">
      <c r="A46" s="27" t="s">
        <v>33</v>
      </c>
      <c r="B46" s="28" t="e">
        <f>LOOKUP(B43,#REF!,#REF!)</f>
        <v>#REF!</v>
      </c>
    </row>
    <row r="47" spans="1:12" x14ac:dyDescent="0.3">
      <c r="A47" s="27"/>
      <c r="B47" s="28"/>
      <c r="G47" s="25"/>
      <c r="H47" s="25"/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orientation="portrait" verticalDpi="360" r:id="rId2"/>
  <drawing r:id="rId3"/>
  <tableParts count="1">
    <tablePart r:id="rId4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N41"/>
  <sheetViews>
    <sheetView showGridLines="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3.44140625" customWidth="1"/>
    <col min="3" max="3" width="14.5546875" style="4" customWidth="1"/>
    <col min="4" max="4" width="11.88671875" style="1" customWidth="1"/>
    <col min="5" max="5" width="9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1" max="11" width="4.33203125" customWidth="1"/>
    <col min="12" max="12" width="7.44140625" customWidth="1"/>
  </cols>
  <sheetData>
    <row r="2" spans="1:12" ht="15.6" x14ac:dyDescent="0.3">
      <c r="A2" s="27" t="s">
        <v>36</v>
      </c>
      <c r="B2" s="41" t="s">
        <v>67</v>
      </c>
    </row>
    <row r="3" spans="1:12" x14ac:dyDescent="0.3">
      <c r="A3" s="27" t="s">
        <v>31</v>
      </c>
      <c r="B3" s="28" t="s">
        <v>231</v>
      </c>
    </row>
    <row r="4" spans="1:12" ht="0.75" customHeight="1" x14ac:dyDescent="0.3">
      <c r="A4" s="27" t="s">
        <v>32</v>
      </c>
      <c r="B4" s="28" t="e">
        <f>LOOKUP(B2,#REF!,#REF!)</f>
        <v>#REF!</v>
      </c>
    </row>
    <row r="5" spans="1:12" hidden="1" x14ac:dyDescent="0.3">
      <c r="A5" s="27" t="s">
        <v>33</v>
      </c>
      <c r="B5" s="28" t="e">
        <f>LOOKUP(B2,#REF!,#REF!)</f>
        <v>#REF!</v>
      </c>
    </row>
    <row r="6" spans="1:12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2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2" x14ac:dyDescent="0.3">
      <c r="A8" s="21"/>
      <c r="B8" s="21"/>
    </row>
    <row r="9" spans="1:12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75" t="s">
        <v>188</v>
      </c>
      <c r="K9" s="96" t="s">
        <v>191</v>
      </c>
      <c r="L9" s="75" t="s">
        <v>262</v>
      </c>
    </row>
    <row r="10" spans="1:12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IF(T_T134111213141516171819202122232425262728[[#This Row],[Total]]&lt;0,T_T134111213141516171819202122232425262728[[#This Row],[Total]]*-1,0)</f>
        <v>0</v>
      </c>
      <c r="J10" s="300"/>
      <c r="K10" s="97"/>
      <c r="L10" s="79"/>
    </row>
    <row r="11" spans="1:12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355">
        <f>IF(T_T134111213141516171819202122232425262728[[#This Row],[Total]]&lt;0,T_T134111213141516171819202122232425262728[[#This Row],[Total]]*-1,0)</f>
        <v>0</v>
      </c>
      <c r="J11" s="355"/>
      <c r="K11" s="354"/>
      <c r="L11" s="354"/>
    </row>
    <row r="12" spans="1:12" x14ac:dyDescent="0.3">
      <c r="A12" s="288"/>
      <c r="B12" s="118" t="s">
        <v>467</v>
      </c>
      <c r="C12" s="424"/>
      <c r="D12" s="425"/>
      <c r="E12" s="425"/>
      <c r="F12" s="425"/>
      <c r="G12" s="425"/>
      <c r="H12" s="426">
        <v>0</v>
      </c>
      <c r="I12" s="427">
        <f>IF(T_T134111213141516171819202122232425262728[[#This Row],[Total]]&lt;0,T_T134111213141516171819202122232425262728[[#This Row],[Total]]*-1,0)</f>
        <v>0</v>
      </c>
      <c r="J12" s="427"/>
      <c r="K12" s="419"/>
      <c r="L12" s="419"/>
    </row>
    <row r="13" spans="1:12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355">
        <f>IF(T_T134111213141516171819202122232425262728[[#This Row],[Total]]&lt;0,T_T134111213141516171819202122232425262728[[#This Row],[Total]]*-1,0)</f>
        <v>0</v>
      </c>
      <c r="J13" s="355"/>
      <c r="K13" s="354"/>
      <c r="L13" s="354"/>
    </row>
    <row r="14" spans="1:12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6">
        <f>IF(T_T134111213141516171819202122232425262728[[#This Row],[Total]]&lt;0,T_T134111213141516171819202122232425262728[[#This Row],[Total]]*-1,0)</f>
        <v>0</v>
      </c>
      <c r="J14" s="476"/>
      <c r="K14" s="485"/>
      <c r="L14" s="485"/>
    </row>
    <row r="15" spans="1:12" x14ac:dyDescent="0.3">
      <c r="A15" s="17">
        <v>45687</v>
      </c>
      <c r="B15" s="18" t="s">
        <v>530</v>
      </c>
      <c r="C15" s="6"/>
      <c r="D15" s="2">
        <v>222</v>
      </c>
      <c r="E15" s="2">
        <v>18</v>
      </c>
      <c r="F15" s="20"/>
      <c r="G15" s="20">
        <f>SUM(D15:F15)</f>
        <v>240</v>
      </c>
      <c r="H15" s="233">
        <f>+H13+T_T134111213141516171819202122232425262728[[#This Row],[Total]]</f>
        <v>240</v>
      </c>
      <c r="I15" s="355">
        <f>IF(T_T134111213141516171819202122232425262728[[#This Row],[Total]]&lt;0,T_T134111213141516171819202122232425262728[[#This Row],[Total]]*-1,0)</f>
        <v>0</v>
      </c>
      <c r="J15" s="355"/>
      <c r="K15" s="354"/>
      <c r="L15" s="354"/>
    </row>
    <row r="16" spans="1:12" x14ac:dyDescent="0.3">
      <c r="A16" s="17"/>
      <c r="B16" s="18" t="s">
        <v>531</v>
      </c>
      <c r="C16" s="6">
        <v>8690</v>
      </c>
      <c r="D16" s="2">
        <v>-210</v>
      </c>
      <c r="E16" s="2">
        <v>-18</v>
      </c>
      <c r="F16" s="230"/>
      <c r="G16" s="230">
        <f t="shared" ref="G16:G38" si="0">SUM(D16:F16)</f>
        <v>-228</v>
      </c>
      <c r="H16" s="233">
        <f t="shared" ref="H16:H40" si="1">H15+G16</f>
        <v>12</v>
      </c>
      <c r="I16" s="355">
        <f>IF(T_T134111213141516171819202122232425262728[[#This Row],[Total]]&lt;0,T_T134111213141516171819202122232425262728[[#This Row],[Total]]*-1,0)</f>
        <v>228</v>
      </c>
      <c r="J16" s="355"/>
      <c r="K16" s="354"/>
      <c r="L16" s="354"/>
    </row>
    <row r="17" spans="1:14" x14ac:dyDescent="0.3">
      <c r="A17" s="164">
        <v>46081</v>
      </c>
      <c r="B17" s="161" t="s">
        <v>592</v>
      </c>
      <c r="C17" s="6"/>
      <c r="D17" s="2">
        <v>222</v>
      </c>
      <c r="E17" s="2">
        <v>22</v>
      </c>
      <c r="F17" s="230"/>
      <c r="G17" s="230">
        <f t="shared" si="0"/>
        <v>244</v>
      </c>
      <c r="H17" s="233">
        <f t="shared" si="1"/>
        <v>256</v>
      </c>
      <c r="I17" s="355">
        <f>IF(T_T134111213141516171819202122232425262728[[#This Row],[Total]]&lt;0,T_T134111213141516171819202122232425262728[[#This Row],[Total]]*-1,0)</f>
        <v>0</v>
      </c>
      <c r="J17" s="355"/>
      <c r="K17" s="354"/>
      <c r="L17" s="354"/>
    </row>
    <row r="18" spans="1:14" x14ac:dyDescent="0.3">
      <c r="A18" s="187"/>
      <c r="B18" s="18" t="s">
        <v>593</v>
      </c>
      <c r="C18" s="6">
        <v>8746</v>
      </c>
      <c r="D18" s="2">
        <v>-210</v>
      </c>
      <c r="E18" s="2">
        <v>-22</v>
      </c>
      <c r="F18" s="230"/>
      <c r="G18" s="230">
        <f t="shared" si="0"/>
        <v>-232</v>
      </c>
      <c r="H18" s="233">
        <f t="shared" si="1"/>
        <v>24</v>
      </c>
      <c r="I18" s="355">
        <f>IF(T_T134111213141516171819202122232425262728[[#This Row],[Total]]&lt;0,T_T134111213141516171819202122232425262728[[#This Row],[Total]]*-1,0)</f>
        <v>232</v>
      </c>
      <c r="J18" s="355"/>
      <c r="K18" s="354"/>
      <c r="L18" s="354"/>
      <c r="N18" t="s">
        <v>508</v>
      </c>
    </row>
    <row r="19" spans="1:14" x14ac:dyDescent="0.3">
      <c r="A19" s="188">
        <v>45747</v>
      </c>
      <c r="B19" s="3" t="s">
        <v>534</v>
      </c>
      <c r="C19" s="6"/>
      <c r="D19" s="2">
        <f>250+14</f>
        <v>264</v>
      </c>
      <c r="E19" s="2">
        <v>15</v>
      </c>
      <c r="F19" s="230"/>
      <c r="G19" s="230">
        <f t="shared" si="0"/>
        <v>279</v>
      </c>
      <c r="H19" s="233">
        <f t="shared" si="1"/>
        <v>303</v>
      </c>
      <c r="I19" s="355">
        <f>IF(T_T134111213141516171819202122232425262728[[#This Row],[Total]]&lt;0,T_T134111213141516171819202122232425262728[[#This Row],[Total]]*-1,0)</f>
        <v>0</v>
      </c>
      <c r="J19" s="355"/>
      <c r="K19" s="354"/>
      <c r="L19" s="354"/>
    </row>
    <row r="20" spans="1:14" x14ac:dyDescent="0.3">
      <c r="A20" s="188"/>
      <c r="B20" s="82" t="s">
        <v>535</v>
      </c>
      <c r="C20" s="6">
        <v>8862</v>
      </c>
      <c r="D20" s="2">
        <v>-250</v>
      </c>
      <c r="E20" s="2">
        <v>-15</v>
      </c>
      <c r="F20" s="230"/>
      <c r="G20" s="230">
        <f t="shared" si="0"/>
        <v>-265</v>
      </c>
      <c r="H20" s="233">
        <f t="shared" si="1"/>
        <v>38</v>
      </c>
      <c r="I20" s="355">
        <f>IF(T_T134111213141516171819202122232425262728[[#This Row],[Total]]&lt;0,T_T134111213141516171819202122232425262728[[#This Row],[Total]]*-1,0)</f>
        <v>265</v>
      </c>
      <c r="J20" s="355"/>
      <c r="K20" s="354"/>
      <c r="L20" s="354"/>
    </row>
    <row r="21" spans="1:14" x14ac:dyDescent="0.3">
      <c r="A21" s="188">
        <v>45777</v>
      </c>
      <c r="B21" s="3" t="s">
        <v>536</v>
      </c>
      <c r="C21" s="6"/>
      <c r="D21" s="2">
        <v>264</v>
      </c>
      <c r="E21" s="2">
        <v>17</v>
      </c>
      <c r="F21" s="230"/>
      <c r="G21" s="230">
        <f t="shared" si="0"/>
        <v>281</v>
      </c>
      <c r="H21" s="233">
        <f t="shared" si="1"/>
        <v>319</v>
      </c>
      <c r="I21" s="355">
        <f>IF(T_T134111213141516171819202122232425262728[[#This Row],[Total]]&lt;0,T_T134111213141516171819202122232425262728[[#This Row],[Total]]*-1,0)</f>
        <v>0</v>
      </c>
      <c r="J21" s="355"/>
      <c r="K21" s="354"/>
      <c r="L21" s="354"/>
    </row>
    <row r="22" spans="1:14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319</v>
      </c>
      <c r="I22" s="355">
        <f>IF(T_T134111213141516171819202122232425262728[[#This Row],[Total]]&lt;0,T_T134111213141516171819202122232425262728[[#This Row],[Total]]*-1,0)</f>
        <v>0</v>
      </c>
      <c r="J22" s="355"/>
      <c r="K22" s="354"/>
      <c r="L22" s="354"/>
    </row>
    <row r="23" spans="1:14" x14ac:dyDescent="0.3">
      <c r="A23" s="40">
        <v>45807</v>
      </c>
      <c r="B23" s="3" t="s">
        <v>538</v>
      </c>
      <c r="C23" s="229"/>
      <c r="D23" s="230">
        <v>264</v>
      </c>
      <c r="E23" s="230">
        <v>25</v>
      </c>
      <c r="F23" s="230"/>
      <c r="G23" s="230">
        <f t="shared" si="0"/>
        <v>289</v>
      </c>
      <c r="H23" s="233">
        <f t="shared" si="1"/>
        <v>608</v>
      </c>
      <c r="I23" s="355">
        <f>IF(T_T134111213141516171819202122232425262728[[#This Row],[Total]]&lt;0,T_T134111213141516171819202122232425262728[[#This Row],[Total]]*-1,0)</f>
        <v>0</v>
      </c>
      <c r="J23" s="355"/>
      <c r="K23" s="354"/>
      <c r="L23" s="354"/>
    </row>
    <row r="24" spans="1:14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608</v>
      </c>
      <c r="I24" s="355">
        <f>IF(T_T134111213141516171819202122232425262728[[#This Row],[Total]]&lt;0,T_T134111213141516171819202122232425262728[[#This Row],[Total]]*-1,0)</f>
        <v>0</v>
      </c>
      <c r="J24" s="355"/>
      <c r="K24" s="354"/>
      <c r="L24" s="354"/>
    </row>
    <row r="25" spans="1:14" x14ac:dyDescent="0.3">
      <c r="A25" s="9">
        <v>45838</v>
      </c>
      <c r="B25" s="3" t="s">
        <v>540</v>
      </c>
      <c r="C25" s="229"/>
      <c r="D25" s="7"/>
      <c r="E25" s="230"/>
      <c r="F25" s="230"/>
      <c r="G25" s="230">
        <f t="shared" si="0"/>
        <v>0</v>
      </c>
      <c r="H25" s="233">
        <f t="shared" si="1"/>
        <v>608</v>
      </c>
      <c r="I25" s="355">
        <f>IF(T_T134111213141516171819202122232425262728[[#This Row],[Total]]&lt;0,T_T134111213141516171819202122232425262728[[#This Row],[Total]]*-1,0)</f>
        <v>0</v>
      </c>
      <c r="J25" s="355"/>
      <c r="K25" s="354"/>
      <c r="L25" s="354"/>
    </row>
    <row r="26" spans="1:14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608</v>
      </c>
      <c r="I26" s="355">
        <f>IF(T_T134111213141516171819202122232425262728[[#This Row],[Total]]&lt;0,T_T134111213141516171819202122232425262728[[#This Row],[Total]]*-1,0)</f>
        <v>0</v>
      </c>
      <c r="J26" s="355"/>
      <c r="K26" s="354"/>
      <c r="L26" s="354"/>
    </row>
    <row r="27" spans="1:14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608</v>
      </c>
      <c r="I27" s="355">
        <f>IF(T_T134111213141516171819202122232425262728[[#This Row],[Total]]&lt;0,T_T134111213141516171819202122232425262728[[#This Row],[Total]]*-1,0)</f>
        <v>0</v>
      </c>
      <c r="J27" s="355"/>
      <c r="K27" s="354"/>
      <c r="L27" s="354"/>
    </row>
    <row r="28" spans="1:14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608</v>
      </c>
      <c r="I28" s="355">
        <f>IF(T_T134111213141516171819202122232425262728[[#This Row],[Total]]&lt;0,T_T134111213141516171819202122232425262728[[#This Row],[Total]]*-1,0)</f>
        <v>0</v>
      </c>
      <c r="J28" s="355"/>
      <c r="K28" s="354"/>
      <c r="L28" s="354"/>
    </row>
    <row r="29" spans="1:14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608</v>
      </c>
      <c r="I29" s="355">
        <f>IF(T_T134111213141516171819202122232425262728[[#This Row],[Total]]&lt;0,T_T134111213141516171819202122232425262728[[#This Row],[Total]]*-1,0)</f>
        <v>0</v>
      </c>
      <c r="J29" s="355"/>
      <c r="K29" s="354"/>
      <c r="L29" s="354"/>
    </row>
    <row r="30" spans="1:14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608</v>
      </c>
      <c r="I30" s="355">
        <f>IF(T_T134111213141516171819202122232425262728[[#This Row],[Total]]&lt;0,T_T134111213141516171819202122232425262728[[#This Row],[Total]]*-1,0)</f>
        <v>0</v>
      </c>
      <c r="J30" s="355"/>
      <c r="K30" s="354"/>
      <c r="L30" s="354"/>
    </row>
    <row r="31" spans="1:14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608</v>
      </c>
      <c r="I31" s="355">
        <f>IF(T_T134111213141516171819202122232425262728[[#This Row],[Total]]&lt;0,T_T134111213141516171819202122232425262728[[#This Row],[Total]]*-1,0)</f>
        <v>0</v>
      </c>
      <c r="J31" s="355"/>
      <c r="K31" s="354"/>
      <c r="L31" s="354"/>
    </row>
    <row r="32" spans="1:14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608</v>
      </c>
      <c r="I32" s="355">
        <f>IF(T_T134111213141516171819202122232425262728[[#This Row],[Total]]&lt;0,T_T134111213141516171819202122232425262728[[#This Row],[Total]]*-1,0)</f>
        <v>0</v>
      </c>
      <c r="J32" s="355"/>
      <c r="K32" s="354"/>
      <c r="L32" s="354"/>
    </row>
    <row r="33" spans="1:12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608</v>
      </c>
      <c r="I33" s="355">
        <f>IF(T_T134111213141516171819202122232425262728[[#This Row],[Total]]&lt;0,T_T134111213141516171819202122232425262728[[#This Row],[Total]]*-1,0)</f>
        <v>0</v>
      </c>
      <c r="J33" s="355"/>
      <c r="K33" s="354"/>
      <c r="L33" s="354"/>
    </row>
    <row r="34" spans="1:12" x14ac:dyDescent="0.3">
      <c r="A34" s="9"/>
      <c r="B34" s="3" t="s">
        <v>549</v>
      </c>
      <c r="C34" s="6"/>
      <c r="D34" s="230"/>
      <c r="E34" s="230"/>
      <c r="F34" s="230"/>
      <c r="G34" s="230">
        <f t="shared" si="0"/>
        <v>0</v>
      </c>
      <c r="H34" s="233">
        <f t="shared" si="1"/>
        <v>608</v>
      </c>
      <c r="I34" s="355">
        <f>IF(T_T134111213141516171819202122232425262728[[#This Row],[Total]]&lt;0,T_T134111213141516171819202122232425262728[[#This Row],[Total]]*-1,0)</f>
        <v>0</v>
      </c>
      <c r="J34" s="355"/>
      <c r="K34" s="354"/>
      <c r="L34" s="354"/>
    </row>
    <row r="35" spans="1:12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608</v>
      </c>
      <c r="I35" s="355">
        <f>IF(T_T134111213141516171819202122232425262728[[#This Row],[Total]]&lt;0,T_T134111213141516171819202122232425262728[[#This Row],[Total]]*-1,0)</f>
        <v>0</v>
      </c>
      <c r="J35" s="355"/>
      <c r="K35" s="354"/>
      <c r="L35" s="354"/>
    </row>
    <row r="36" spans="1:12" x14ac:dyDescent="0.3">
      <c r="A36" s="17"/>
      <c r="B36" s="18" t="s">
        <v>551</v>
      </c>
      <c r="C36" s="6"/>
      <c r="D36" s="230"/>
      <c r="E36" s="230"/>
      <c r="F36" s="230"/>
      <c r="G36" s="230">
        <f t="shared" si="0"/>
        <v>0</v>
      </c>
      <c r="H36" s="233">
        <f t="shared" si="1"/>
        <v>608</v>
      </c>
      <c r="I36" s="355">
        <f>IF(T_T134111213141516171819202122232425262728[[#This Row],[Total]]&lt;0,T_T134111213141516171819202122232425262728[[#This Row],[Total]]*-1,0)</f>
        <v>0</v>
      </c>
      <c r="J36" s="355"/>
      <c r="K36" s="354"/>
      <c r="L36" s="354"/>
    </row>
    <row r="37" spans="1:12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608</v>
      </c>
      <c r="I37" s="355">
        <f>IF(T_T134111213141516171819202122232425262728[[#This Row],[Total]]&lt;0,T_T134111213141516171819202122232425262728[[#This Row],[Total]]*-1,0)</f>
        <v>0</v>
      </c>
      <c r="J37" s="355"/>
      <c r="K37" s="354"/>
      <c r="L37" s="354"/>
    </row>
    <row r="38" spans="1:12" x14ac:dyDescent="0.3">
      <c r="A38" s="257"/>
      <c r="B38" s="110" t="s">
        <v>553</v>
      </c>
      <c r="C38" s="6"/>
      <c r="D38" s="230"/>
      <c r="E38" s="230"/>
      <c r="F38" s="230"/>
      <c r="G38" s="230">
        <f t="shared" si="0"/>
        <v>0</v>
      </c>
      <c r="H38" s="233">
        <f t="shared" si="1"/>
        <v>608</v>
      </c>
      <c r="I38" s="355">
        <f>IF(T_T134111213141516171819202122232425262728[[#This Row],[Total]]&lt;0,T_T134111213141516171819202122232425262728[[#This Row],[Total]]*-1,0)</f>
        <v>0</v>
      </c>
      <c r="J38" s="355"/>
      <c r="K38" s="354"/>
      <c r="L38" s="354"/>
    </row>
    <row r="39" spans="1:12" x14ac:dyDescent="0.3">
      <c r="A39" s="107"/>
      <c r="B39" s="82"/>
      <c r="C39" s="229"/>
      <c r="D39" s="230"/>
      <c r="E39" s="230"/>
      <c r="F39" s="230"/>
      <c r="G39" s="230">
        <f>SUM(D39:F40)</f>
        <v>0</v>
      </c>
      <c r="H39" s="233">
        <f t="shared" si="1"/>
        <v>608</v>
      </c>
      <c r="I39" s="355">
        <f>IF(T_T134111213141516171819202122232425262728[[#This Row],[Total]]&lt;0,T_T134111213141516171819202122232425262728[[#This Row],[Total]]*-1,0)</f>
        <v>0</v>
      </c>
      <c r="J39" s="355"/>
      <c r="K39" s="354"/>
      <c r="L39" s="354"/>
    </row>
    <row r="40" spans="1:12" x14ac:dyDescent="0.3">
      <c r="A40" s="107"/>
      <c r="B40" s="82"/>
      <c r="C40" s="229"/>
      <c r="D40" s="230"/>
      <c r="E40" s="230"/>
      <c r="F40" s="230"/>
      <c r="G40" s="230">
        <f>SUM(D40:F40)</f>
        <v>0</v>
      </c>
      <c r="H40" s="233">
        <f t="shared" si="1"/>
        <v>608</v>
      </c>
      <c r="I40" s="355">
        <f>IF(T_T134111213141516171819202122232425262728[[#This Row],[Total]]&lt;0,T_T134111213141516171819202122232425262728[[#This Row],[Total]]*-1,0)</f>
        <v>0</v>
      </c>
      <c r="J40" s="355"/>
      <c r="K40" s="354"/>
      <c r="L40" s="354"/>
    </row>
    <row r="41" spans="1:12" x14ac:dyDescent="0.3">
      <c r="A41" s="170"/>
      <c r="B41" s="18"/>
      <c r="C41" s="481"/>
      <c r="D41" s="482"/>
      <c r="E41" s="482"/>
      <c r="F41" s="482"/>
      <c r="G41" s="482"/>
      <c r="H41" s="483"/>
      <c r="I41" s="473">
        <f>IF(T_T134111213141516171819202122232425262728[[#This Row],[Total]]&lt;0,T_T134111213141516171819202122232425262728[[#This Row],[Total]]*-1,0)</f>
        <v>0</v>
      </c>
      <c r="J41" s="476"/>
      <c r="K41" s="485"/>
      <c r="L41" s="485"/>
    </row>
  </sheetData>
  <hyperlinks>
    <hyperlink ref="B7" r:id="rId1" display="jose.orozco@outlook.com"/>
    <hyperlink ref="H7" location="Resumen!A1" display="Rsumen         "/>
  </hyperlinks>
  <pageMargins left="0.70866141732283472" right="0.70866141732283472" top="0.74803149606299213" bottom="0.74803149606299213" header="0.31496062992125984" footer="0.31496062992125984"/>
  <pageSetup scale="65" orientation="portrait" verticalDpi="360" r:id="rId2"/>
  <drawing r:id="rId3"/>
  <tableParts count="1">
    <tablePart r:id="rId4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M41"/>
  <sheetViews>
    <sheetView showGridLines="0" topLeftCell="A12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3.33203125" customWidth="1"/>
    <col min="2" max="2" width="32" customWidth="1"/>
    <col min="3" max="3" width="11.88671875" style="4" customWidth="1"/>
    <col min="4" max="4" width="11.5546875" style="1" customWidth="1"/>
    <col min="5" max="5" width="8.109375" style="1" customWidth="1"/>
    <col min="6" max="6" width="6.5546875" style="1" customWidth="1"/>
    <col min="7" max="7" width="8.44140625" style="1" customWidth="1"/>
    <col min="8" max="8" width="12.44140625" style="1" customWidth="1"/>
    <col min="9" max="9" width="12.88671875" hidden="1" customWidth="1"/>
    <col min="13" max="13" width="10.6640625" bestFit="1" customWidth="1"/>
  </cols>
  <sheetData>
    <row r="2" spans="1:13" ht="15.6" x14ac:dyDescent="0.3">
      <c r="A2" s="27" t="s">
        <v>36</v>
      </c>
      <c r="B2" s="41" t="s">
        <v>68</v>
      </c>
    </row>
    <row r="3" spans="1:13" x14ac:dyDescent="0.3">
      <c r="A3" s="27" t="s">
        <v>31</v>
      </c>
      <c r="B3" s="28" t="s">
        <v>203</v>
      </c>
    </row>
    <row r="4" spans="1:13" ht="16.5" customHeight="1" x14ac:dyDescent="0.3">
      <c r="A4" s="27" t="s">
        <v>32</v>
      </c>
    </row>
    <row r="5" spans="1:13" hidden="1" x14ac:dyDescent="0.3">
      <c r="A5" s="27" t="s">
        <v>33</v>
      </c>
      <c r="B5" s="28" t="e">
        <f>LOOKUP(B2,#REF!,#REF!)</f>
        <v>#REF!</v>
      </c>
    </row>
    <row r="6" spans="1:13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3" ht="2.25" customHeight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3" x14ac:dyDescent="0.3">
      <c r="A8" s="21"/>
      <c r="B8" s="21"/>
    </row>
    <row r="9" spans="1:13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13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IF(T_T13411121314151617181920212223242526272829[[#This Row],[Total]]&lt;0,T_T13411121314151617181920212223242526272829[[#This Row],[Total]]*-1,0)</f>
        <v>0</v>
      </c>
      <c r="M10" s="178"/>
    </row>
    <row r="11" spans="1:13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355">
        <f>IF(T_T13411121314151617181920212223242526272829[[#This Row],[Total]]&lt;0,T_T13411121314151617181920212223242526272829[[#This Row],[Total]]*-1,0)</f>
        <v>0</v>
      </c>
    </row>
    <row r="12" spans="1:13" x14ac:dyDescent="0.3">
      <c r="A12" s="288"/>
      <c r="B12" s="118" t="s">
        <v>467</v>
      </c>
      <c r="C12" s="424"/>
      <c r="D12" s="425"/>
      <c r="E12" s="425"/>
      <c r="F12" s="425"/>
      <c r="G12" s="425"/>
      <c r="H12" s="426">
        <v>0</v>
      </c>
      <c r="I12" s="427">
        <f>IF(T_T13411121314151617181920212223242526272829[[#This Row],[Total]]&lt;0,T_T13411121314151617181920212223242526272829[[#This Row],[Total]]*-1,0)</f>
        <v>0</v>
      </c>
    </row>
    <row r="13" spans="1:13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355">
        <f>IF(T_T13411121314151617181920212223242526272829[[#This Row],[Total]]&lt;0,T_T13411121314151617181920212223242526272829[[#This Row],[Total]]*-1,0)</f>
        <v>0</v>
      </c>
    </row>
    <row r="14" spans="1:13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6">
        <f>IF(T_T13411121314151617181920212223242526272829[[#This Row],[Total]]&lt;0,T_T13411121314151617181920212223242526272829[[#This Row],[Total]]*-1,0)</f>
        <v>0</v>
      </c>
    </row>
    <row r="15" spans="1:13" x14ac:dyDescent="0.3">
      <c r="A15" s="17" t="s">
        <v>618</v>
      </c>
      <c r="B15" s="18" t="s">
        <v>590</v>
      </c>
      <c r="C15" s="6"/>
      <c r="D15" s="2">
        <v>157</v>
      </c>
      <c r="E15" s="2">
        <v>3</v>
      </c>
      <c r="F15" s="20"/>
      <c r="G15" s="20">
        <f>SUM(D15:F15)</f>
        <v>160</v>
      </c>
      <c r="H15" s="233">
        <f>+H13+T_T13411121314151617181920212223242526272829[[#This Row],[Total]]</f>
        <v>160</v>
      </c>
      <c r="I15" s="355">
        <f>IF(T_T13411121314151617181920212223242526272829[[#This Row],[Total]]&lt;0,T_T13411121314151617181920212223242526272829[[#This Row],[Total]]*-1,0)</f>
        <v>0</v>
      </c>
    </row>
    <row r="16" spans="1:13" x14ac:dyDescent="0.3">
      <c r="A16" s="17"/>
      <c r="B16" s="18" t="s">
        <v>591</v>
      </c>
      <c r="C16" s="6">
        <v>8597</v>
      </c>
      <c r="D16" s="2">
        <v>-157</v>
      </c>
      <c r="E16" s="2">
        <v>-3</v>
      </c>
      <c r="F16" s="230"/>
      <c r="G16" s="230">
        <f t="shared" ref="G16:G38" si="0">SUM(D16:F16)</f>
        <v>-160</v>
      </c>
      <c r="H16" s="233">
        <f t="shared" ref="H16:H39" si="1">H15+G16</f>
        <v>0</v>
      </c>
      <c r="I16" s="355">
        <f>IF(T_T13411121314151617181920212223242526272829[[#This Row],[Total]]&lt;0,T_T13411121314151617181920212223242526272829[[#This Row],[Total]]*-1,0)</f>
        <v>160</v>
      </c>
    </row>
    <row r="17" spans="1:12" x14ac:dyDescent="0.3">
      <c r="A17" s="164">
        <v>45715</v>
      </c>
      <c r="B17" s="161" t="s">
        <v>532</v>
      </c>
      <c r="C17" s="6"/>
      <c r="D17" s="2">
        <v>157</v>
      </c>
      <c r="E17" s="2">
        <v>4</v>
      </c>
      <c r="F17" s="230"/>
      <c r="G17" s="230">
        <f t="shared" si="0"/>
        <v>161</v>
      </c>
      <c r="H17" s="233">
        <f t="shared" si="1"/>
        <v>161</v>
      </c>
      <c r="I17" s="355">
        <f>IF(T_T13411121314151617181920212223242526272829[[#This Row],[Total]]&lt;0,T_T13411121314151617181920212223242526272829[[#This Row],[Total]]*-1,0)</f>
        <v>0</v>
      </c>
    </row>
    <row r="18" spans="1:12" x14ac:dyDescent="0.3">
      <c r="A18" s="187"/>
      <c r="B18" s="18" t="s">
        <v>533</v>
      </c>
      <c r="C18" s="6">
        <v>8663</v>
      </c>
      <c r="D18" s="2">
        <v>-157</v>
      </c>
      <c r="E18" s="2">
        <v>-4</v>
      </c>
      <c r="F18" s="230"/>
      <c r="G18" s="230">
        <f t="shared" si="0"/>
        <v>-161</v>
      </c>
      <c r="H18" s="233">
        <f t="shared" si="1"/>
        <v>0</v>
      </c>
      <c r="I18" s="355">
        <f>IF(T_T13411121314151617181920212223242526272829[[#This Row],[Total]]&lt;0,T_T13411121314151617181920212223242526272829[[#This Row],[Total]]*-1,0)</f>
        <v>161</v>
      </c>
    </row>
    <row r="19" spans="1:12" x14ac:dyDescent="0.3">
      <c r="A19" s="188">
        <v>45747</v>
      </c>
      <c r="B19" s="3" t="s">
        <v>534</v>
      </c>
      <c r="C19" s="6"/>
      <c r="D19" s="2">
        <v>189</v>
      </c>
      <c r="E19" s="2">
        <v>1</v>
      </c>
      <c r="F19" s="230"/>
      <c r="G19" s="230">
        <f t="shared" si="0"/>
        <v>190</v>
      </c>
      <c r="H19" s="233">
        <f t="shared" si="1"/>
        <v>190</v>
      </c>
      <c r="I19" s="355">
        <f>IF(T_T13411121314151617181920212223242526272829[[#This Row],[Total]]&lt;0,T_T13411121314151617181920212223242526272829[[#This Row],[Total]]*-1,0)</f>
        <v>0</v>
      </c>
    </row>
    <row r="20" spans="1:12" x14ac:dyDescent="0.3">
      <c r="A20" s="188"/>
      <c r="B20" s="82" t="s">
        <v>535</v>
      </c>
      <c r="C20" s="6">
        <v>8788</v>
      </c>
      <c r="D20" s="2">
        <v>-189</v>
      </c>
      <c r="E20" s="2">
        <v>-1</v>
      </c>
      <c r="F20" s="230"/>
      <c r="G20" s="230">
        <f t="shared" si="0"/>
        <v>-190</v>
      </c>
      <c r="H20" s="233">
        <f t="shared" si="1"/>
        <v>0</v>
      </c>
      <c r="I20" s="355">
        <f>IF(T_T13411121314151617181920212223242526272829[[#This Row],[Total]]&lt;0,T_T13411121314151617181920212223242526272829[[#This Row],[Total]]*-1,0)</f>
        <v>190</v>
      </c>
    </row>
    <row r="21" spans="1:12" x14ac:dyDescent="0.3">
      <c r="A21" s="188">
        <v>45777</v>
      </c>
      <c r="B21" s="3" t="s">
        <v>536</v>
      </c>
      <c r="C21" s="6"/>
      <c r="D21" s="2">
        <v>189</v>
      </c>
      <c r="E21" s="2">
        <v>3</v>
      </c>
      <c r="F21" s="230"/>
      <c r="G21" s="230">
        <f t="shared" si="0"/>
        <v>192</v>
      </c>
      <c r="H21" s="233">
        <f t="shared" si="1"/>
        <v>192</v>
      </c>
      <c r="I21" s="355">
        <f>IF(T_T13411121314151617181920212223242526272829[[#This Row],[Total]]&lt;0,T_T13411121314151617181920212223242526272829[[#This Row],[Total]]*-1,0)</f>
        <v>0</v>
      </c>
    </row>
    <row r="22" spans="1:12" x14ac:dyDescent="0.3">
      <c r="A22" s="83"/>
      <c r="B22" s="82" t="s">
        <v>537</v>
      </c>
      <c r="C22" s="6">
        <v>8903</v>
      </c>
      <c r="D22" s="2">
        <v>-189</v>
      </c>
      <c r="E22" s="2">
        <v>-3</v>
      </c>
      <c r="F22" s="230"/>
      <c r="G22" s="230">
        <f t="shared" si="0"/>
        <v>-192</v>
      </c>
      <c r="H22" s="233">
        <f t="shared" si="1"/>
        <v>0</v>
      </c>
      <c r="I22" s="355">
        <f>IF(T_T13411121314151617181920212223242526272829[[#This Row],[Total]]&lt;0,T_T13411121314151617181920212223242526272829[[#This Row],[Total]]*-1,0)</f>
        <v>192</v>
      </c>
    </row>
    <row r="23" spans="1:12" x14ac:dyDescent="0.3">
      <c r="A23" s="40">
        <v>45807</v>
      </c>
      <c r="B23" s="3" t="s">
        <v>538</v>
      </c>
      <c r="C23" s="229"/>
      <c r="D23" s="622">
        <v>189</v>
      </c>
      <c r="E23" s="230">
        <v>2</v>
      </c>
      <c r="F23" s="230"/>
      <c r="G23" s="230">
        <f t="shared" si="0"/>
        <v>191</v>
      </c>
      <c r="H23" s="233">
        <f t="shared" si="1"/>
        <v>191</v>
      </c>
      <c r="I23" s="355">
        <f>IF(T_T13411121314151617181920212223242526272829[[#This Row],[Total]]&lt;0,T_T13411121314151617181920212223242526272829[[#This Row],[Total]]*-1,0)</f>
        <v>0</v>
      </c>
    </row>
    <row r="24" spans="1:12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191</v>
      </c>
      <c r="I24" s="355">
        <f>IF(T_T13411121314151617181920212223242526272829[[#This Row],[Total]]&lt;0,T_T13411121314151617181920212223242526272829[[#This Row],[Total]]*-1,0)</f>
        <v>0</v>
      </c>
      <c r="L24" t="s">
        <v>231</v>
      </c>
    </row>
    <row r="25" spans="1:12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191</v>
      </c>
      <c r="I25" s="355">
        <f>IF(T_T13411121314151617181920212223242526272829[[#This Row],[Total]]&lt;0,T_T13411121314151617181920212223242526272829[[#This Row],[Total]]*-1,0)</f>
        <v>0</v>
      </c>
    </row>
    <row r="26" spans="1:12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191</v>
      </c>
      <c r="I26" s="355">
        <f>IF(T_T13411121314151617181920212223242526272829[[#This Row],[Total]]&lt;0,T_T13411121314151617181920212223242526272829[[#This Row],[Total]]*-1,0)</f>
        <v>0</v>
      </c>
    </row>
    <row r="27" spans="1:12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191</v>
      </c>
      <c r="I27" s="355">
        <f>IF(T_T13411121314151617181920212223242526272829[[#This Row],[Total]]&lt;0,T_T13411121314151617181920212223242526272829[[#This Row],[Total]]*-1,0)</f>
        <v>0</v>
      </c>
    </row>
    <row r="28" spans="1:12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191</v>
      </c>
      <c r="I28" s="355">
        <f>IF(T_T13411121314151617181920212223242526272829[[#This Row],[Total]]&lt;0,T_T13411121314151617181920212223242526272829[[#This Row],[Total]]*-1,0)</f>
        <v>0</v>
      </c>
    </row>
    <row r="29" spans="1:12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191</v>
      </c>
      <c r="I29" s="355">
        <f>IF(T_T13411121314151617181920212223242526272829[[#This Row],[Total]]&lt;0,T_T13411121314151617181920212223242526272829[[#This Row],[Total]]*-1,0)</f>
        <v>0</v>
      </c>
    </row>
    <row r="30" spans="1:12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191</v>
      </c>
      <c r="I30" s="355">
        <f>IF(T_T13411121314151617181920212223242526272829[[#This Row],[Total]]&lt;0,T_T13411121314151617181920212223242526272829[[#This Row],[Total]]*-1,0)</f>
        <v>0</v>
      </c>
    </row>
    <row r="31" spans="1:12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191</v>
      </c>
      <c r="I31" s="355">
        <f>IF(T_T13411121314151617181920212223242526272829[[#This Row],[Total]]&lt;0,T_T13411121314151617181920212223242526272829[[#This Row],[Total]]*-1,0)</f>
        <v>0</v>
      </c>
    </row>
    <row r="32" spans="1:12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191</v>
      </c>
      <c r="I32" s="355">
        <f>IF(T_T13411121314151617181920212223242526272829[[#This Row],[Total]]&lt;0,T_T13411121314151617181920212223242526272829[[#This Row],[Total]]*-1,0)</f>
        <v>0</v>
      </c>
    </row>
    <row r="33" spans="1:11" x14ac:dyDescent="0.3">
      <c r="A33" s="9">
        <v>45960</v>
      </c>
      <c r="B33" s="3" t="s">
        <v>548</v>
      </c>
      <c r="C33" s="6"/>
      <c r="D33" s="230"/>
      <c r="E33" s="230"/>
      <c r="F33" s="230"/>
      <c r="G33" s="230">
        <f t="shared" si="0"/>
        <v>0</v>
      </c>
      <c r="H33" s="233">
        <f t="shared" si="1"/>
        <v>191</v>
      </c>
      <c r="I33" s="355">
        <f>IF(T_T13411121314151617181920212223242526272829[[#This Row],[Total]]&lt;0,T_T13411121314151617181920212223242526272829[[#This Row],[Total]]*-1,0)</f>
        <v>0</v>
      </c>
    </row>
    <row r="34" spans="1:11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191</v>
      </c>
      <c r="I34" s="355">
        <f>IF(T_T13411121314151617181920212223242526272829[[#This Row],[Total]]&lt;0,T_T13411121314151617181920212223242526272829[[#This Row],[Total]]*-1,0)</f>
        <v>0</v>
      </c>
    </row>
    <row r="35" spans="1:11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191</v>
      </c>
      <c r="I35" s="355">
        <f>IF(T_T13411121314151617181920212223242526272829[[#This Row],[Total]]&lt;0,T_T13411121314151617181920212223242526272829[[#This Row],[Total]]*-1,0)</f>
        <v>0</v>
      </c>
    </row>
    <row r="36" spans="1:11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191</v>
      </c>
      <c r="I36" s="355">
        <f>IF(T_T13411121314151617181920212223242526272829[[#This Row],[Total]]&lt;0,T_T13411121314151617181920212223242526272829[[#This Row],[Total]]*-1,0)</f>
        <v>0</v>
      </c>
    </row>
    <row r="37" spans="1:11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191</v>
      </c>
      <c r="I37" s="355">
        <f>IF(T_T13411121314151617181920212223242526272829[[#This Row],[Total]]&lt;0,T_T13411121314151617181920212223242526272829[[#This Row],[Total]]*-1,0)</f>
        <v>0</v>
      </c>
    </row>
    <row r="38" spans="1:11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191</v>
      </c>
      <c r="I38" s="355">
        <f>IF(T_T13411121314151617181920212223242526272829[[#This Row],[Total]]&lt;0,T_T13411121314151617181920212223242526272829[[#This Row],[Total]]*-1,0)</f>
        <v>0</v>
      </c>
      <c r="K38" s="7"/>
    </row>
    <row r="39" spans="1:11" x14ac:dyDescent="0.3">
      <c r="A39" s="107"/>
      <c r="B39" s="82"/>
      <c r="C39" s="229"/>
      <c r="D39" s="230"/>
      <c r="E39" s="230"/>
      <c r="F39" s="230"/>
      <c r="G39" s="230">
        <f>SUM(D39:F39)</f>
        <v>0</v>
      </c>
      <c r="H39" s="233">
        <f t="shared" si="1"/>
        <v>191</v>
      </c>
      <c r="I39" s="355">
        <f>IF(T_T13411121314151617181920212223242526272829[[#This Row],[Total]]&lt;0,T_T13411121314151617181920212223242526272829[[#This Row],[Total]]*-1,0)</f>
        <v>0</v>
      </c>
    </row>
    <row r="40" spans="1:11" x14ac:dyDescent="0.3">
      <c r="A40" s="107"/>
      <c r="B40" s="82"/>
      <c r="C40" s="481"/>
      <c r="D40" s="482"/>
      <c r="E40" s="482"/>
      <c r="F40" s="482"/>
      <c r="G40" s="482"/>
      <c r="H40" s="483"/>
      <c r="I40" s="473">
        <f>IF(T_T13411121314151617181920212223242526272829[[#This Row],[Total]]&lt;0,T_T13411121314151617181920212223242526272829[[#This Row],[Total]]*-1,0)</f>
        <v>0</v>
      </c>
    </row>
    <row r="41" spans="1:11" x14ac:dyDescent="0.3">
      <c r="A41" s="170"/>
      <c r="B41" s="18"/>
      <c r="C41" s="481"/>
      <c r="D41" s="482"/>
      <c r="E41" s="482"/>
      <c r="F41" s="482"/>
      <c r="G41" s="482"/>
      <c r="H41" s="483"/>
      <c r="I41" s="473">
        <f>IF(T_T13411121314151617181920212223242526272829[[#This Row],[Total]]&lt;0,T_T13411121314151617181920212223242526272829[[#This Row],[Total]]*-1,0)</f>
        <v>0</v>
      </c>
    </row>
  </sheetData>
  <hyperlinks>
    <hyperlink ref="B7" r:id="rId1" display="jose.orozco@outlook.com"/>
    <hyperlink ref="H7" location="Resumen!A1" display="Rsumen         "/>
  </hyperlinks>
  <pageMargins left="0.47" right="0.70866141732283472" top="0.74803149606299213" bottom="0.74803149606299213" header="0.31496062992125984" footer="0.31496062992125984"/>
  <pageSetup scale="90" orientation="portrait" verticalDpi="360" r:id="rId2"/>
  <drawing r:id="rId3"/>
  <tableParts count="1">
    <tablePart r:id="rId4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2:R41"/>
  <sheetViews>
    <sheetView showGridLines="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8.88671875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2" max="12" width="12.88671875" customWidth="1"/>
    <col min="13" max="13" width="33.109375" customWidth="1"/>
    <col min="17" max="17" width="9.5546875" bestFit="1" customWidth="1"/>
  </cols>
  <sheetData>
    <row r="2" spans="1:18" ht="15.6" x14ac:dyDescent="0.3">
      <c r="A2" s="27" t="s">
        <v>363</v>
      </c>
      <c r="B2" s="41" t="s">
        <v>69</v>
      </c>
    </row>
    <row r="3" spans="1:18" ht="12.75" customHeight="1" x14ac:dyDescent="0.3">
      <c r="A3" s="27" t="s">
        <v>31</v>
      </c>
      <c r="B3" s="28" t="s">
        <v>203</v>
      </c>
    </row>
    <row r="4" spans="1:18" hidden="1" x14ac:dyDescent="0.3">
      <c r="A4" s="27" t="s">
        <v>32</v>
      </c>
      <c r="B4" s="28" t="e">
        <f>LOOKUP(B2,#REF!,#REF!)</f>
        <v>#REF!</v>
      </c>
    </row>
    <row r="5" spans="1:18" hidden="1" x14ac:dyDescent="0.3">
      <c r="A5" s="27" t="s">
        <v>33</v>
      </c>
      <c r="B5" s="28" t="e">
        <f>LOOKUP(B2,#REF!,#REF!)</f>
        <v>#REF!</v>
      </c>
    </row>
    <row r="6" spans="1:18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8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8" x14ac:dyDescent="0.3">
      <c r="A8" s="21"/>
      <c r="B8" s="21"/>
    </row>
    <row r="9" spans="1:18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182" t="s">
        <v>188</v>
      </c>
      <c r="N9" t="s">
        <v>373</v>
      </c>
      <c r="O9" t="s">
        <v>367</v>
      </c>
      <c r="P9" t="s">
        <v>371</v>
      </c>
      <c r="Q9" t="s">
        <v>372</v>
      </c>
      <c r="R9" t="s">
        <v>375</v>
      </c>
    </row>
    <row r="10" spans="1:18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IF(T_T1341112131415161718192021222324252627282930[[#This Row],[Total]]&lt;0,T_T1341112131415161718192021222324252627282930[[#This Row],[Total]]*-1,0)</f>
        <v>0</v>
      </c>
      <c r="J10" s="211"/>
    </row>
    <row r="11" spans="1:18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355">
        <f>IF(T_T1341112131415161718192021222324252627282930[[#This Row],[Total]]&lt;0,T_T1341112131415161718192021222324252627282930[[#This Row],[Total]]*-1,0)</f>
        <v>0</v>
      </c>
      <c r="J11" s="355"/>
    </row>
    <row r="12" spans="1:18" x14ac:dyDescent="0.3">
      <c r="A12" s="288"/>
      <c r="B12" s="118" t="s">
        <v>467</v>
      </c>
      <c r="C12" s="424"/>
      <c r="D12" s="425"/>
      <c r="E12" s="425"/>
      <c r="F12" s="425"/>
      <c r="G12" s="425"/>
      <c r="H12" s="426">
        <v>0</v>
      </c>
      <c r="I12" s="427">
        <f>IF(T_T1341112131415161718192021222324252627282930[[#This Row],[Total]]&lt;0,T_T1341112131415161718192021222324252627282930[[#This Row],[Total]]*-1,0)</f>
        <v>0</v>
      </c>
      <c r="J12" s="427"/>
    </row>
    <row r="13" spans="1:18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355">
        <f>IF(T_T1341112131415161718192021222324252627282930[[#This Row],[Total]]&lt;0,T_T1341112131415161718192021222324252627282930[[#This Row],[Total]]*-1,0)</f>
        <v>0</v>
      </c>
      <c r="J13" s="355"/>
    </row>
    <row r="14" spans="1:18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6">
        <f>IF(T_T1341112131415161718192021222324252627282930[[#This Row],[Total]]&lt;0,T_T1341112131415161718192021222324252627282930[[#This Row],[Total]]*-1,0)</f>
        <v>0</v>
      </c>
      <c r="J14" s="476"/>
    </row>
    <row r="15" spans="1:18" x14ac:dyDescent="0.3">
      <c r="A15" s="17">
        <v>45687</v>
      </c>
      <c r="B15" s="18" t="s">
        <v>530</v>
      </c>
      <c r="C15" s="6"/>
      <c r="D15" s="2">
        <v>230</v>
      </c>
      <c r="E15" s="2">
        <v>4</v>
      </c>
      <c r="F15" s="20"/>
      <c r="G15" s="20">
        <f>SUM(D15:F15)</f>
        <v>234</v>
      </c>
      <c r="H15" s="233">
        <f>+H13+T_T1341112131415161718192021222324252627282930[[#This Row],[Total]]</f>
        <v>234</v>
      </c>
      <c r="I15" s="355">
        <f>IF(T_T1341112131415161718192021222324252627282930[[#This Row],[Total]]&lt;0,T_T1341112131415161718192021222324252627282930[[#This Row],[Total]]*-1,0)</f>
        <v>0</v>
      </c>
      <c r="J15" s="355"/>
    </row>
    <row r="16" spans="1:18" x14ac:dyDescent="0.3">
      <c r="A16" s="17"/>
      <c r="B16" s="18" t="s">
        <v>531</v>
      </c>
      <c r="C16" s="6">
        <v>8678</v>
      </c>
      <c r="D16" s="2">
        <v>-230</v>
      </c>
      <c r="E16" s="2">
        <v>-4</v>
      </c>
      <c r="F16" s="230"/>
      <c r="G16" s="230">
        <f t="shared" ref="G16:G40" si="0">SUM(D16:F16)</f>
        <v>-234</v>
      </c>
      <c r="H16" s="233">
        <f>+H15+T_T1341112131415161718192021222324252627282930[[#This Row],[Total]]</f>
        <v>0</v>
      </c>
      <c r="I16" s="355">
        <f>IF(T_T1341112131415161718192021222324252627282930[[#This Row],[Total]]&lt;0,T_T1341112131415161718192021222324252627282930[[#This Row],[Total]]*-1,0)</f>
        <v>234</v>
      </c>
      <c r="J16" s="355"/>
    </row>
    <row r="17" spans="1:12" x14ac:dyDescent="0.3">
      <c r="A17" s="164">
        <v>46081</v>
      </c>
      <c r="B17" s="161" t="s">
        <v>592</v>
      </c>
      <c r="C17" s="6"/>
      <c r="D17" s="2">
        <v>230</v>
      </c>
      <c r="E17" s="2">
        <v>5</v>
      </c>
      <c r="F17" s="230"/>
      <c r="G17" s="230">
        <f t="shared" si="0"/>
        <v>235</v>
      </c>
      <c r="H17" s="233">
        <f>+H16+T_T1341112131415161718192021222324252627282930[[#This Row],[Total]]</f>
        <v>235</v>
      </c>
      <c r="I17" s="355">
        <f>IF(T_T1341112131415161718192021222324252627282930[[#This Row],[Total]]&lt;0,T_T1341112131415161718192021222324252627282930[[#This Row],[Total]]*-1,0)</f>
        <v>0</v>
      </c>
      <c r="J17" s="355"/>
    </row>
    <row r="18" spans="1:12" x14ac:dyDescent="0.3">
      <c r="A18" s="187"/>
      <c r="B18" s="18" t="s">
        <v>593</v>
      </c>
      <c r="C18" s="6">
        <v>8843</v>
      </c>
      <c r="D18" s="2">
        <v>-230</v>
      </c>
      <c r="E18" s="2">
        <v>-5</v>
      </c>
      <c r="F18" s="230"/>
      <c r="G18" s="230">
        <f t="shared" si="0"/>
        <v>-235</v>
      </c>
      <c r="H18" s="233">
        <f>+H17+T_T1341112131415161718192021222324252627282930[[#This Row],[Total]]</f>
        <v>0</v>
      </c>
      <c r="I18" s="355">
        <f>IF(T_T1341112131415161718192021222324252627282930[[#This Row],[Total]]&lt;0,T_T1341112131415161718192021222324252627282930[[#This Row],[Total]]*-1,0)</f>
        <v>235</v>
      </c>
      <c r="J18" s="355"/>
    </row>
    <row r="19" spans="1:12" x14ac:dyDescent="0.3">
      <c r="A19" s="188">
        <v>45747</v>
      </c>
      <c r="B19" s="3" t="s">
        <v>534</v>
      </c>
      <c r="C19" s="6"/>
      <c r="D19" s="2">
        <v>273</v>
      </c>
      <c r="E19" s="2">
        <v>2</v>
      </c>
      <c r="F19" s="230"/>
      <c r="G19" s="230">
        <f t="shared" si="0"/>
        <v>275</v>
      </c>
      <c r="H19" s="233">
        <f>+H18+T_T1341112131415161718192021222324252627282930[[#This Row],[Total]]</f>
        <v>275</v>
      </c>
      <c r="I19" s="355">
        <f>IF(T_T1341112131415161718192021222324252627282930[[#This Row],[Total]]&lt;0,T_T1341112131415161718192021222324252627282930[[#This Row],[Total]]*-1,0)</f>
        <v>0</v>
      </c>
      <c r="J19" s="355"/>
    </row>
    <row r="20" spans="1:12" x14ac:dyDescent="0.3">
      <c r="A20" s="188"/>
      <c r="B20" s="82" t="s">
        <v>535</v>
      </c>
      <c r="C20" s="6"/>
      <c r="D20" s="2"/>
      <c r="E20" s="2"/>
      <c r="F20" s="230"/>
      <c r="G20" s="230">
        <f t="shared" si="0"/>
        <v>0</v>
      </c>
      <c r="H20" s="233">
        <f>+H19+T_T1341112131415161718192021222324252627282930[[#This Row],[Total]]</f>
        <v>275</v>
      </c>
      <c r="I20" s="355">
        <f>IF(T_T1341112131415161718192021222324252627282930[[#This Row],[Total]]&lt;0,T_T1341112131415161718192021222324252627282930[[#This Row],[Total]]*-1,0)</f>
        <v>0</v>
      </c>
      <c r="J20" s="355"/>
      <c r="L20" t="s">
        <v>487</v>
      </c>
    </row>
    <row r="21" spans="1:12" x14ac:dyDescent="0.3">
      <c r="A21" s="188">
        <v>45777</v>
      </c>
      <c r="B21" s="3" t="s">
        <v>536</v>
      </c>
      <c r="C21" s="552"/>
      <c r="D21" s="623">
        <v>273</v>
      </c>
      <c r="E21" s="553">
        <v>6</v>
      </c>
      <c r="F21" s="553"/>
      <c r="G21" s="230">
        <f t="shared" si="0"/>
        <v>279</v>
      </c>
      <c r="H21" s="233">
        <f>+H20+T_T1341112131415161718192021222324252627282930[[#This Row],[Total]]</f>
        <v>554</v>
      </c>
      <c r="I21" s="427">
        <f>IF(T_T1341112131415161718192021222324252627282930[[#This Row],[Total]]&lt;0,T_T1341112131415161718192021222324252627282930[[#This Row],[Total]]*-1,0)</f>
        <v>0</v>
      </c>
      <c r="J21" s="427"/>
    </row>
    <row r="22" spans="1:12" x14ac:dyDescent="0.3">
      <c r="A22" s="83"/>
      <c r="B22" s="82" t="s">
        <v>537</v>
      </c>
      <c r="C22" s="552"/>
      <c r="D22" s="553"/>
      <c r="E22" s="553"/>
      <c r="F22" s="553"/>
      <c r="G22" s="230">
        <f t="shared" si="0"/>
        <v>0</v>
      </c>
      <c r="H22" s="233">
        <f>+H21+T_T1341112131415161718192021222324252627282930[[#This Row],[Total]]</f>
        <v>554</v>
      </c>
      <c r="I22" s="427">
        <f>IF(T_T1341112131415161718192021222324252627282930[[#This Row],[Total]]&lt;0,T_T1341112131415161718192021222324252627282930[[#This Row],[Total]]*-1,0)</f>
        <v>0</v>
      </c>
      <c r="J22" s="427"/>
    </row>
    <row r="23" spans="1:12" x14ac:dyDescent="0.3">
      <c r="A23" s="40">
        <v>45807</v>
      </c>
      <c r="B23" s="3" t="s">
        <v>538</v>
      </c>
      <c r="C23" s="6"/>
      <c r="D23" s="2">
        <v>273</v>
      </c>
      <c r="E23" s="2">
        <v>3</v>
      </c>
      <c r="F23" s="230"/>
      <c r="G23" s="230">
        <f t="shared" si="0"/>
        <v>276</v>
      </c>
      <c r="H23" s="233">
        <f>+H22+T_T1341112131415161718192021222324252627282930[[#This Row],[Total]]</f>
        <v>830</v>
      </c>
      <c r="I23" s="355">
        <f>IF(T_T1341112131415161718192021222324252627282930[[#This Row],[Total]]&lt;0,T_T1341112131415161718192021222324252627282930[[#This Row],[Total]]*-1,0)</f>
        <v>0</v>
      </c>
      <c r="J23" s="355"/>
    </row>
    <row r="24" spans="1:12" x14ac:dyDescent="0.3">
      <c r="A24" s="9"/>
      <c r="B24" s="18" t="s">
        <v>539</v>
      </c>
      <c r="C24" s="6"/>
      <c r="D24" s="2"/>
      <c r="E24" s="2"/>
      <c r="F24" s="230"/>
      <c r="G24" s="230">
        <f t="shared" si="0"/>
        <v>0</v>
      </c>
      <c r="H24" s="233">
        <f>+H23+T_T1341112131415161718192021222324252627282930[[#This Row],[Total]]</f>
        <v>830</v>
      </c>
      <c r="I24" s="355">
        <f>IF(T_T1341112131415161718192021222324252627282930[[#This Row],[Total]]&lt;0,T_T1341112131415161718192021222324252627282930[[#This Row],[Total]]*-1,0)</f>
        <v>0</v>
      </c>
      <c r="J24" s="355"/>
    </row>
    <row r="25" spans="1:12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>+H24+T_T1341112131415161718192021222324252627282930[[#This Row],[Total]]</f>
        <v>830</v>
      </c>
      <c r="I25" s="355">
        <f>IF(T_T1341112131415161718192021222324252627282930[[#This Row],[Total]]&lt;0,T_T1341112131415161718192021222324252627282930[[#This Row],[Total]]*-1,0)</f>
        <v>0</v>
      </c>
      <c r="J25" s="355"/>
    </row>
    <row r="26" spans="1:12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>+H25+T_T1341112131415161718192021222324252627282930[[#This Row],[Total]]</f>
        <v>830</v>
      </c>
      <c r="I26" s="355">
        <f>IF(T_T1341112131415161718192021222324252627282930[[#This Row],[Total]]&lt;0,T_T1341112131415161718192021222324252627282930[[#This Row],[Total]]*-1,0)</f>
        <v>0</v>
      </c>
      <c r="J26" s="355"/>
    </row>
    <row r="27" spans="1:12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ref="H27:H41" si="1">H26+G27</f>
        <v>830</v>
      </c>
      <c r="I27" s="355">
        <f>IF(T_T1341112131415161718192021222324252627282930[[#This Row],[Total]]&lt;0,T_T1341112131415161718192021222324252627282930[[#This Row],[Total]]*-1,0)</f>
        <v>0</v>
      </c>
      <c r="J27" s="355"/>
    </row>
    <row r="28" spans="1:12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830</v>
      </c>
      <c r="I28" s="355">
        <f>IF(T_T1341112131415161718192021222324252627282930[[#This Row],[Total]]&lt;0,T_T1341112131415161718192021222324252627282930[[#This Row],[Total]]*-1,0)</f>
        <v>0</v>
      </c>
      <c r="J28" s="355"/>
    </row>
    <row r="29" spans="1:12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830</v>
      </c>
      <c r="I29" s="355">
        <f>IF(T_T1341112131415161718192021222324252627282930[[#This Row],[Total]]&lt;0,T_T1341112131415161718192021222324252627282930[[#This Row],[Total]]*-1,0)</f>
        <v>0</v>
      </c>
      <c r="J29" s="355"/>
    </row>
    <row r="30" spans="1:12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830</v>
      </c>
      <c r="I30" s="355">
        <f>IF(T_T1341112131415161718192021222324252627282930[[#This Row],[Total]]&lt;0,T_T1341112131415161718192021222324252627282930[[#This Row],[Total]]*-1,0)</f>
        <v>0</v>
      </c>
      <c r="J30" s="355"/>
    </row>
    <row r="31" spans="1:12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830</v>
      </c>
      <c r="I31" s="355">
        <f>IF(T_T1341112131415161718192021222324252627282930[[#This Row],[Total]]&lt;0,T_T1341112131415161718192021222324252627282930[[#This Row],[Total]]*-1,0)</f>
        <v>0</v>
      </c>
      <c r="J31" s="355"/>
    </row>
    <row r="32" spans="1:12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830</v>
      </c>
      <c r="I32" s="355">
        <f>IF(T_T1341112131415161718192021222324252627282930[[#This Row],[Total]]&lt;0,T_T1341112131415161718192021222324252627282930[[#This Row],[Total]]*-1,0)</f>
        <v>0</v>
      </c>
      <c r="J32" s="355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830</v>
      </c>
      <c r="I33" s="355">
        <f>IF(T_T1341112131415161718192021222324252627282930[[#This Row],[Total]]&lt;0,T_T1341112131415161718192021222324252627282930[[#This Row],[Total]]*-1,0)</f>
        <v>0</v>
      </c>
      <c r="J33" s="355"/>
    </row>
    <row r="34" spans="1:10" x14ac:dyDescent="0.3">
      <c r="A34" s="9"/>
      <c r="B34" s="3" t="s">
        <v>549</v>
      </c>
      <c r="C34" s="6"/>
      <c r="D34" s="230"/>
      <c r="E34" s="7"/>
      <c r="F34" s="230"/>
      <c r="G34" s="230">
        <f t="shared" si="0"/>
        <v>0</v>
      </c>
      <c r="H34" s="233">
        <f t="shared" si="1"/>
        <v>830</v>
      </c>
      <c r="I34" s="355">
        <f>IF(T_T1341112131415161718192021222324252627282930[[#This Row],[Total]]&lt;0,T_T1341112131415161718192021222324252627282930[[#This Row],[Total]]*-1,0)</f>
        <v>0</v>
      </c>
      <c r="J34" s="355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830</v>
      </c>
      <c r="I35" s="355">
        <f>IF(T_T1341112131415161718192021222324252627282930[[#This Row],[Total]]&lt;0,T_T1341112131415161718192021222324252627282930[[#This Row],[Total]]*-1,0)</f>
        <v>0</v>
      </c>
      <c r="J35" s="355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830</v>
      </c>
      <c r="I36" s="355">
        <f>IF(T_T1341112131415161718192021222324252627282930[[#This Row],[Total]]&lt;0,T_T1341112131415161718192021222324252627282930[[#This Row],[Total]]*-1,0)</f>
        <v>0</v>
      </c>
      <c r="J36" s="355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830</v>
      </c>
      <c r="I37" s="355">
        <f>IF(T_T1341112131415161718192021222324252627282930[[#This Row],[Total]]&lt;0,T_T1341112131415161718192021222324252627282930[[#This Row],[Total]]*-1,0)</f>
        <v>0</v>
      </c>
      <c r="J37" s="355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830</v>
      </c>
      <c r="I38" s="355">
        <f>IF(T_T1341112131415161718192021222324252627282930[[#This Row],[Total]]&lt;0,T_T1341112131415161718192021222324252627282930[[#This Row],[Total]]*-1,0)</f>
        <v>0</v>
      </c>
      <c r="J38" s="355"/>
    </row>
    <row r="39" spans="1:10" x14ac:dyDescent="0.3">
      <c r="A39" s="107"/>
      <c r="B39" s="82"/>
      <c r="C39" s="229"/>
      <c r="D39" s="230"/>
      <c r="E39" s="230"/>
      <c r="F39" s="230"/>
      <c r="G39" s="230">
        <f t="shared" si="0"/>
        <v>0</v>
      </c>
      <c r="H39" s="233">
        <f t="shared" si="1"/>
        <v>830</v>
      </c>
      <c r="I39" s="355">
        <f>IF(T_T1341112131415161718192021222324252627282930[[#This Row],[Total]]&lt;0,T_T1341112131415161718192021222324252627282930[[#This Row],[Total]]*-1,0)</f>
        <v>0</v>
      </c>
      <c r="J39" s="355"/>
    </row>
    <row r="40" spans="1:10" x14ac:dyDescent="0.3">
      <c r="A40" s="107"/>
      <c r="B40" s="82"/>
      <c r="C40" s="229"/>
      <c r="D40" s="230"/>
      <c r="E40" s="230"/>
      <c r="F40" s="230"/>
      <c r="G40" s="230">
        <f t="shared" si="0"/>
        <v>0</v>
      </c>
      <c r="H40" s="233">
        <f t="shared" si="1"/>
        <v>830</v>
      </c>
      <c r="I40" s="355">
        <f>IF(T_T1341112131415161718192021222324252627282930[[#This Row],[Total]]&lt;0,T_T1341112131415161718192021222324252627282930[[#This Row],[Total]]*-1,0)</f>
        <v>0</v>
      </c>
      <c r="J40" s="355"/>
    </row>
    <row r="41" spans="1:10" x14ac:dyDescent="0.3">
      <c r="A41" s="170"/>
      <c r="B41" s="18"/>
      <c r="C41" s="229"/>
      <c r="D41" s="230"/>
      <c r="E41" s="230"/>
      <c r="F41" s="230"/>
      <c r="G41" s="230">
        <f>SUM(D41:F41)</f>
        <v>0</v>
      </c>
      <c r="H41" s="233">
        <f t="shared" si="1"/>
        <v>830</v>
      </c>
      <c r="I41" s="355">
        <f>IF(T_T1341112131415161718192021222324252627282930[[#This Row],[Total]]&lt;0,T_T1341112131415161718192021222324252627282930[[#This Row],[Total]]*-1,0)</f>
        <v>0</v>
      </c>
      <c r="J41" s="355"/>
    </row>
  </sheetData>
  <hyperlinks>
    <hyperlink ref="B7" r:id="rId1" display="jose.orozco@outlook.com"/>
    <hyperlink ref="H7" location="Resumen!A1" display="Rsumen         "/>
  </hyperlinks>
  <pageMargins left="0.70866141732283472" right="0.70866141732283472" top="0.74803149606299213" bottom="0.74803149606299213" header="0.31496062992125984" footer="0.31496062992125984"/>
  <pageSetup scale="80" orientation="portrait" verticalDpi="360" r:id="rId2"/>
  <drawing r:id="rId3"/>
  <tableParts count="1">
    <tablePart r:id="rId4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N41"/>
  <sheetViews>
    <sheetView showGridLines="0" zoomScale="78" zoomScaleNormal="78" workbookViewId="0">
      <selection activeCell="D24" sqref="D24"/>
    </sheetView>
  </sheetViews>
  <sheetFormatPr baseColWidth="10" defaultColWidth="9.109375" defaultRowHeight="14.4" x14ac:dyDescent="0.3"/>
  <cols>
    <col min="1" max="1" width="14.6640625" customWidth="1"/>
    <col min="2" max="2" width="45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4" max="14" width="10.6640625" bestFit="1" customWidth="1"/>
    <col min="15" max="15" width="16.33203125" customWidth="1"/>
  </cols>
  <sheetData>
    <row r="2" spans="1:14" ht="15.6" x14ac:dyDescent="0.3">
      <c r="A2" s="27" t="s">
        <v>36</v>
      </c>
      <c r="B2" s="41" t="s">
        <v>70</v>
      </c>
    </row>
    <row r="3" spans="1:14" x14ac:dyDescent="0.3">
      <c r="A3" s="27" t="s">
        <v>31</v>
      </c>
      <c r="B3" s="21" t="s">
        <v>232</v>
      </c>
    </row>
    <row r="4" spans="1:14" x14ac:dyDescent="0.3">
      <c r="A4" s="27" t="s">
        <v>32</v>
      </c>
      <c r="B4" s="28" t="e">
        <f>LOOKUP(B2,#REF!,#REF!)</f>
        <v>#REF!</v>
      </c>
    </row>
    <row r="5" spans="1:14" x14ac:dyDescent="0.3">
      <c r="A5" s="27" t="s">
        <v>33</v>
      </c>
      <c r="B5" s="28" t="e">
        <f>LOOKUP(B2,#REF!,#REF!)</f>
        <v>#REF!</v>
      </c>
    </row>
    <row r="6" spans="1:14" x14ac:dyDescent="0.3">
      <c r="A6" s="27" t="s">
        <v>34</v>
      </c>
      <c r="B6" s="28" t="e">
        <f>LOOKUP(B2,#REF!,#REF!)</f>
        <v>#REF!</v>
      </c>
      <c r="G6" s="25"/>
      <c r="H6" s="25"/>
    </row>
    <row r="7" spans="1:14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4" x14ac:dyDescent="0.3">
      <c r="A8" s="21"/>
    </row>
    <row r="9" spans="1:14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96" t="s">
        <v>188</v>
      </c>
    </row>
    <row r="10" spans="1:14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/>
      <c r="J10" s="95"/>
      <c r="N10" s="178"/>
    </row>
    <row r="11" spans="1:14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IF(T_T134111213141516171819202122232425262728293031[[#This Row],[Total]]&lt;0,T_T134111213141516171819202122232425262728293031[[#This Row],[Total]]*-1,0)</f>
        <v>0</v>
      </c>
      <c r="J11" s="231"/>
    </row>
    <row r="12" spans="1:14" x14ac:dyDescent="0.3">
      <c r="A12" s="432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IF(T_T134111213141516171819202122232425262728293031[[#This Row],[Total]]&lt;0,T_T134111213141516171819202122232425262728293031[[#This Row],[Total]]*-1,0)</f>
        <v>0</v>
      </c>
      <c r="J12" s="427"/>
    </row>
    <row r="13" spans="1:14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IF(T_T134111213141516171819202122232425262728293031[[#This Row],[Total]]&lt;0,T_T134111213141516171819202122232425262728293031[[#This Row],[Total]]*-1,0)</f>
        <v>0</v>
      </c>
      <c r="J13" s="231"/>
    </row>
    <row r="14" spans="1:14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IF(T_T134111213141516171819202122232425262728293031[[#This Row],[Total]]&lt;0,T_T134111213141516171819202122232425262728293031[[#This Row],[Total]]*-1,0)</f>
        <v>0</v>
      </c>
      <c r="J14" s="476"/>
    </row>
    <row r="15" spans="1:14" x14ac:dyDescent="0.3">
      <c r="A15" s="17">
        <v>46052</v>
      </c>
      <c r="B15" s="18" t="s">
        <v>590</v>
      </c>
      <c r="C15" s="6"/>
      <c r="D15" s="2">
        <v>217</v>
      </c>
      <c r="E15" s="2"/>
      <c r="F15" s="20"/>
      <c r="G15" s="20">
        <f>SUM(D15:F15)</f>
        <v>217</v>
      </c>
      <c r="H15" s="233">
        <f>+H13+T_T134111213141516171819202122232425262728293031[[#This Row],[Total]]</f>
        <v>217</v>
      </c>
      <c r="I15" s="240">
        <f>IF(T_T134111213141516171819202122232425262728293031[[#This Row],[Total]]&lt;0,T_T134111213141516171819202122232425262728293031[[#This Row],[Total]]*-1,0)</f>
        <v>0</v>
      </c>
      <c r="J15" s="231"/>
    </row>
    <row r="16" spans="1:14" x14ac:dyDescent="0.3">
      <c r="A16" s="17"/>
      <c r="B16" s="18" t="s">
        <v>591</v>
      </c>
      <c r="C16" s="6">
        <v>8623</v>
      </c>
      <c r="D16" s="2">
        <v>-217</v>
      </c>
      <c r="E16" s="2"/>
      <c r="F16" s="230"/>
      <c r="G16" s="230">
        <f t="shared" ref="G16:G38" si="0">SUM(D16:F16)</f>
        <v>-217</v>
      </c>
      <c r="H16" s="233">
        <f t="shared" ref="H16:H40" si="1">H15+G16</f>
        <v>0</v>
      </c>
      <c r="I16" s="240">
        <f>IF(T_T134111213141516171819202122232425262728293031[[#This Row],[Total]]&lt;0,T_T134111213141516171819202122232425262728293031[[#This Row],[Total]]*-1,0)</f>
        <v>217</v>
      </c>
      <c r="J16" s="231"/>
    </row>
    <row r="17" spans="1:10" x14ac:dyDescent="0.3">
      <c r="A17" s="164">
        <v>46081</v>
      </c>
      <c r="B17" s="161" t="s">
        <v>592</v>
      </c>
      <c r="C17" s="6"/>
      <c r="D17" s="2">
        <v>217</v>
      </c>
      <c r="E17" s="2">
        <v>1</v>
      </c>
      <c r="F17" s="230"/>
      <c r="G17" s="230">
        <f t="shared" si="0"/>
        <v>218</v>
      </c>
      <c r="H17" s="233">
        <f t="shared" si="1"/>
        <v>218</v>
      </c>
      <c r="I17" s="240">
        <f>IF(T_T134111213141516171819202122232425262728293031[[#This Row],[Total]]&lt;0,T_T134111213141516171819202122232425262728293031[[#This Row],[Total]]*-1,0)</f>
        <v>0</v>
      </c>
      <c r="J17" s="231"/>
    </row>
    <row r="18" spans="1:10" x14ac:dyDescent="0.3">
      <c r="A18" s="187"/>
      <c r="B18" s="18" t="s">
        <v>593</v>
      </c>
      <c r="C18" s="6"/>
      <c r="D18" s="2"/>
      <c r="E18" s="2"/>
      <c r="F18" s="230"/>
      <c r="G18" s="230">
        <f t="shared" si="0"/>
        <v>0</v>
      </c>
      <c r="H18" s="233">
        <f t="shared" si="1"/>
        <v>218</v>
      </c>
      <c r="I18" s="240">
        <f>IF(T_T134111213141516171819202122232425262728293031[[#This Row],[Total]]&lt;0,T_T134111213141516171819202122232425262728293031[[#This Row],[Total]]*-1,0)</f>
        <v>0</v>
      </c>
      <c r="J18" s="231"/>
    </row>
    <row r="19" spans="1:10" x14ac:dyDescent="0.3">
      <c r="A19" s="188">
        <v>45747</v>
      </c>
      <c r="B19" s="3" t="s">
        <v>534</v>
      </c>
      <c r="C19" s="6"/>
      <c r="D19" s="2">
        <v>258</v>
      </c>
      <c r="E19" s="2"/>
      <c r="F19" s="230"/>
      <c r="G19" s="230">
        <f t="shared" si="0"/>
        <v>258</v>
      </c>
      <c r="H19" s="233">
        <f t="shared" si="1"/>
        <v>476</v>
      </c>
      <c r="I19" s="240">
        <f>IF(T_T134111213141516171819202122232425262728293031[[#This Row],[Total]]&lt;0,T_T134111213141516171819202122232425262728293031[[#This Row],[Total]]*-1,0)</f>
        <v>0</v>
      </c>
      <c r="J19" s="231"/>
    </row>
    <row r="20" spans="1:10" x14ac:dyDescent="0.3">
      <c r="A20" s="188"/>
      <c r="B20" s="82" t="s">
        <v>535</v>
      </c>
      <c r="C20" s="6"/>
      <c r="D20" s="2"/>
      <c r="E20" s="2"/>
      <c r="F20" s="230"/>
      <c r="G20" s="230">
        <f t="shared" si="0"/>
        <v>0</v>
      </c>
      <c r="H20" s="233">
        <f t="shared" si="1"/>
        <v>476</v>
      </c>
      <c r="I20" s="240">
        <f>IF(T_T134111213141516171819202122232425262728293031[[#This Row],[Total]]&lt;0,T_T134111213141516171819202122232425262728293031[[#This Row],[Total]]*-1,0)</f>
        <v>0</v>
      </c>
      <c r="J20" s="231"/>
    </row>
    <row r="21" spans="1:10" x14ac:dyDescent="0.3">
      <c r="A21" s="188">
        <v>45777</v>
      </c>
      <c r="B21" s="3" t="s">
        <v>536</v>
      </c>
      <c r="C21" s="6"/>
      <c r="D21" s="2">
        <v>258</v>
      </c>
      <c r="E21" s="2"/>
      <c r="F21" s="230"/>
      <c r="G21" s="230">
        <f t="shared" si="0"/>
        <v>258</v>
      </c>
      <c r="H21" s="233">
        <f t="shared" si="1"/>
        <v>734</v>
      </c>
      <c r="I21" s="309">
        <f>IF(T_T134111213141516171819202122232425262728293031[[#This Row],[Total]]&lt;0,T_T134111213141516171819202122232425262728293031[[#This Row],[Total]]*-1,0)</f>
        <v>0</v>
      </c>
      <c r="J21" s="320"/>
    </row>
    <row r="22" spans="1:10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734</v>
      </c>
      <c r="I22" s="309">
        <f>IF(T_T134111213141516171819202122232425262728293031[[#This Row],[Total]]&lt;0,T_T134111213141516171819202122232425262728293031[[#This Row],[Total]]*-1,0)</f>
        <v>0</v>
      </c>
      <c r="J22" s="320"/>
    </row>
    <row r="23" spans="1:10" x14ac:dyDescent="0.3">
      <c r="A23" s="40">
        <v>45807</v>
      </c>
      <c r="B23" s="3" t="s">
        <v>538</v>
      </c>
      <c r="C23" s="229"/>
      <c r="D23" s="230">
        <v>258</v>
      </c>
      <c r="E23" s="230"/>
      <c r="F23" s="230"/>
      <c r="G23" s="230">
        <f t="shared" si="0"/>
        <v>258</v>
      </c>
      <c r="H23" s="233">
        <f t="shared" si="1"/>
        <v>992</v>
      </c>
      <c r="I23" s="309">
        <f>IF(T_T134111213141516171819202122232425262728293031[[#This Row],[Total]]&lt;0,T_T134111213141516171819202122232425262728293031[[#This Row],[Total]]*-1,0)</f>
        <v>0</v>
      </c>
      <c r="J23" s="320"/>
    </row>
    <row r="24" spans="1:10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992</v>
      </c>
      <c r="I24" s="311">
        <f>IF(T_T134111213141516171819202122232425262728293031[[#This Row],[Total]]&lt;0,T_T134111213141516171819202122232425262728293031[[#This Row],[Total]]*-1,0)</f>
        <v>0</v>
      </c>
      <c r="J24" s="324"/>
    </row>
    <row r="25" spans="1:10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992</v>
      </c>
      <c r="I25" s="309">
        <f>IF(T_T134111213141516171819202122232425262728293031[[#This Row],[Total]]&lt;0,T_T134111213141516171819202122232425262728293031[[#This Row],[Total]]*-1,0)</f>
        <v>0</v>
      </c>
      <c r="J25" s="320"/>
    </row>
    <row r="26" spans="1:10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992</v>
      </c>
      <c r="I26" s="309">
        <f>IF(T_T134111213141516171819202122232425262728293031[[#This Row],[Total]]&lt;0,T_T134111213141516171819202122232425262728293031[[#This Row],[Total]]*-1,0)</f>
        <v>0</v>
      </c>
      <c r="J26" s="320"/>
    </row>
    <row r="27" spans="1:10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992</v>
      </c>
      <c r="I27" s="309">
        <f>IF(T_T134111213141516171819202122232425262728293031[[#This Row],[Total]]&lt;0,T_T134111213141516171819202122232425262728293031[[#This Row],[Total]]*-1,0)</f>
        <v>0</v>
      </c>
      <c r="J27" s="320"/>
    </row>
    <row r="28" spans="1:10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992</v>
      </c>
      <c r="I28" s="311">
        <f>IF(T_T134111213141516171819202122232425262728293031[[#This Row],[Total]]&lt;0,T_T134111213141516171819202122232425262728293031[[#This Row],[Total]]*-1,0)</f>
        <v>0</v>
      </c>
      <c r="J28" s="324"/>
    </row>
    <row r="29" spans="1:10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992</v>
      </c>
      <c r="I29" s="309">
        <f>IF(T_T134111213141516171819202122232425262728293031[[#This Row],[Total]]&lt;0,T_T134111213141516171819202122232425262728293031[[#This Row],[Total]]*-1,0)</f>
        <v>0</v>
      </c>
      <c r="J29" s="320"/>
    </row>
    <row r="30" spans="1:10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992</v>
      </c>
      <c r="I30" s="309">
        <f>IF(T_T134111213141516171819202122232425262728293031[[#This Row],[Total]]&lt;0,T_T134111213141516171819202122232425262728293031[[#This Row],[Total]]*-1,0)</f>
        <v>0</v>
      </c>
      <c r="J30" s="320"/>
    </row>
    <row r="31" spans="1:10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992</v>
      </c>
      <c r="I31" s="309">
        <f>IF(T_T134111213141516171819202122232425262728293031[[#This Row],[Total]]&lt;0,T_T134111213141516171819202122232425262728293031[[#This Row],[Total]]*-1,0)</f>
        <v>0</v>
      </c>
      <c r="J31" s="320"/>
    </row>
    <row r="32" spans="1:10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992</v>
      </c>
      <c r="I32" s="309">
        <f>IF(T_T134111213141516171819202122232425262728293031[[#This Row],[Total]]&lt;0,T_T134111213141516171819202122232425262728293031[[#This Row],[Total]]*-1,0)</f>
        <v>0</v>
      </c>
      <c r="J32" s="320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992</v>
      </c>
      <c r="I33" s="309">
        <f>IF(T_T134111213141516171819202122232425262728293031[[#This Row],[Total]]&lt;0,T_T134111213141516171819202122232425262728293031[[#This Row],[Total]]*-1,0)</f>
        <v>0</v>
      </c>
      <c r="J33" s="320"/>
    </row>
    <row r="34" spans="1:10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992</v>
      </c>
      <c r="I34" s="309">
        <f>IF(T_T134111213141516171819202122232425262728293031[[#This Row],[Total]]&lt;0,T_T134111213141516171819202122232425262728293031[[#This Row],[Total]]*-1,0)</f>
        <v>0</v>
      </c>
      <c r="J34" s="320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992</v>
      </c>
      <c r="I35" s="309">
        <f>IF(T_T134111213141516171819202122232425262728293031[[#This Row],[Total]]&lt;0,T_T134111213141516171819202122232425262728293031[[#This Row],[Total]]*-1,0)</f>
        <v>0</v>
      </c>
      <c r="J35" s="320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992</v>
      </c>
      <c r="I36" s="309">
        <f>IF(T_T134111213141516171819202122232425262728293031[[#This Row],[Total]]&lt;0,T_T134111213141516171819202122232425262728293031[[#This Row],[Total]]*-1,0)</f>
        <v>0</v>
      </c>
      <c r="J36" s="320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992</v>
      </c>
      <c r="I37" s="311">
        <f>IF(T_T134111213141516171819202122232425262728293031[[#This Row],[Total]]&lt;0,T_T134111213141516171819202122232425262728293031[[#This Row],[Total]]*-1,0)</f>
        <v>0</v>
      </c>
      <c r="J37" s="324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992</v>
      </c>
      <c r="I38" s="353">
        <f>IF(T_T134111213141516171819202122232425262728293031[[#This Row],[Total]]&lt;0,T_T134111213141516171819202122232425262728293031[[#This Row],[Total]]*-1,0)</f>
        <v>0</v>
      </c>
      <c r="J38" s="355"/>
    </row>
    <row r="39" spans="1:10" x14ac:dyDescent="0.3">
      <c r="A39" s="107"/>
      <c r="B39" s="82"/>
      <c r="C39" s="229"/>
      <c r="D39" s="230"/>
      <c r="E39" s="230"/>
      <c r="F39" s="230"/>
      <c r="G39" s="230">
        <f>SUM(D39:F47)</f>
        <v>0</v>
      </c>
      <c r="H39" s="233">
        <f t="shared" si="1"/>
        <v>992</v>
      </c>
      <c r="I39" s="353">
        <f>IF(T_T134111213141516171819202122232425262728293031[[#This Row],[Total]]&lt;0,T_T134111213141516171819202122232425262728293031[[#This Row],[Total]]*-1,0)</f>
        <v>0</v>
      </c>
      <c r="J39" s="355"/>
    </row>
    <row r="40" spans="1:10" x14ac:dyDescent="0.3">
      <c r="A40" s="107"/>
      <c r="B40" s="82"/>
      <c r="C40" s="229"/>
      <c r="D40" s="230"/>
      <c r="E40" s="230"/>
      <c r="F40" s="230"/>
      <c r="G40" s="230">
        <f>SUM(D40:F48)</f>
        <v>0</v>
      </c>
      <c r="H40" s="233">
        <f t="shared" si="1"/>
        <v>992</v>
      </c>
      <c r="I40" s="353">
        <f>IF(T_T134111213141516171819202122232425262728293031[[#This Row],[Total]]&lt;0,T_T134111213141516171819202122232425262728293031[[#This Row],[Total]]*-1,0)</f>
        <v>0</v>
      </c>
      <c r="J40" s="355"/>
    </row>
    <row r="41" spans="1:10" x14ac:dyDescent="0.3">
      <c r="A41" s="170"/>
      <c r="B41" s="18"/>
      <c r="C41" s="471"/>
      <c r="D41" s="472"/>
      <c r="E41" s="472"/>
      <c r="F41" s="472"/>
      <c r="G41" s="472"/>
      <c r="H41" s="483"/>
      <c r="I41" s="473">
        <f>IF(T_T134111213141516171819202122232425262728293031[[#This Row],[Total]]&lt;0,T_T134111213141516171819202122232425262728293031[[#This Row],[Total]]*-1,0)</f>
        <v>0</v>
      </c>
      <c r="J41" s="476"/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orientation="portrait" verticalDpi="360" r:id="rId2"/>
  <drawing r:id="rId3"/>
  <tableParts count="1">
    <tablePart r:id="rId4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M41"/>
  <sheetViews>
    <sheetView showGridLines="0" zoomScale="98" zoomScaleNormal="98" workbookViewId="0">
      <selection activeCell="E25" sqref="E25"/>
    </sheetView>
  </sheetViews>
  <sheetFormatPr baseColWidth="10" defaultColWidth="9.109375" defaultRowHeight="14.4" x14ac:dyDescent="0.3"/>
  <cols>
    <col min="1" max="1" width="14.6640625" customWidth="1"/>
    <col min="2" max="2" width="34.88671875" customWidth="1"/>
    <col min="3" max="3" width="9.5546875" style="4" customWidth="1"/>
    <col min="4" max="4" width="14.109375" style="1" customWidth="1"/>
    <col min="5" max="5" width="11.88671875" style="1" customWidth="1"/>
    <col min="6" max="6" width="6.5546875" style="1" customWidth="1"/>
    <col min="7" max="7" width="11.88671875" style="1" customWidth="1"/>
    <col min="8" max="8" width="12.44140625" style="1" customWidth="1"/>
    <col min="9" max="9" width="12.88671875" hidden="1" customWidth="1"/>
    <col min="11" max="11" width="4.109375" customWidth="1"/>
    <col min="12" max="12" width="2.33203125" customWidth="1"/>
    <col min="13" max="13" width="9.109375" hidden="1" customWidth="1"/>
  </cols>
  <sheetData>
    <row r="2" spans="1:11" ht="15.6" x14ac:dyDescent="0.3">
      <c r="A2" s="27" t="s">
        <v>36</v>
      </c>
      <c r="B2" s="41" t="s">
        <v>71</v>
      </c>
    </row>
    <row r="3" spans="1:11" ht="14.25" customHeight="1" x14ac:dyDescent="0.3">
      <c r="A3" s="27" t="s">
        <v>31</v>
      </c>
      <c r="B3" s="28" t="s">
        <v>192</v>
      </c>
    </row>
    <row r="4" spans="1:11" hidden="1" x14ac:dyDescent="0.3">
      <c r="A4" s="27" t="s">
        <v>32</v>
      </c>
      <c r="B4" s="28" t="e">
        <f>LOOKUP(B2,#REF!,#REF!)</f>
        <v>#REF!</v>
      </c>
    </row>
    <row r="5" spans="1:11" hidden="1" x14ac:dyDescent="0.3">
      <c r="A5" s="27" t="s">
        <v>33</v>
      </c>
      <c r="B5" s="28" t="e">
        <f>LOOKUP(B2,#REF!,#REF!)</f>
        <v>#REF!</v>
      </c>
    </row>
    <row r="6" spans="1:11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1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1" x14ac:dyDescent="0.3">
      <c r="A8" s="21"/>
      <c r="B8" s="636"/>
      <c r="C8" s="636"/>
      <c r="D8" s="636"/>
      <c r="E8" s="636"/>
      <c r="F8" s="636"/>
      <c r="G8" s="636"/>
      <c r="H8" s="636"/>
    </row>
    <row r="9" spans="1:11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75" t="s">
        <v>188</v>
      </c>
      <c r="K9" s="75" t="s">
        <v>191</v>
      </c>
    </row>
    <row r="10" spans="1:11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/>
      <c r="J10" s="52"/>
      <c r="K10" s="79"/>
    </row>
    <row r="11" spans="1:11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6">
        <f>IF(T_T13411121314151617181920212223242526272829303132[[#This Row],[Total]]&lt;0,T_T13411121314151617181920212223242526272829303132[[#This Row],[Total]]*-1,0)</f>
        <v>0</v>
      </c>
      <c r="J11" s="51"/>
      <c r="K11" s="79"/>
    </row>
    <row r="12" spans="1:11" x14ac:dyDescent="0.3">
      <c r="A12" s="117"/>
      <c r="B12" s="118" t="s">
        <v>467</v>
      </c>
      <c r="C12" s="424"/>
      <c r="D12" s="425"/>
      <c r="E12" s="425"/>
      <c r="F12" s="425"/>
      <c r="G12" s="425"/>
      <c r="H12" s="426">
        <v>0</v>
      </c>
      <c r="I12" s="427">
        <f>IF(T_T13411121314151617181920212223242526272829303132[[#This Row],[Total]]&lt;0,T_T13411121314151617181920212223242526272829303132[[#This Row],[Total]]*-1,0)</f>
        <v>0</v>
      </c>
      <c r="J12" s="430"/>
      <c r="K12" s="419"/>
    </row>
    <row r="13" spans="1:11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6">
        <f>IF(T_T13411121314151617181920212223242526272829303132[[#This Row],[Total]]&lt;0,T_T13411121314151617181920212223242526272829303132[[#This Row],[Total]]*-1,0)</f>
        <v>0</v>
      </c>
      <c r="J13" s="51"/>
      <c r="K13" s="79"/>
    </row>
    <row r="14" spans="1:11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6">
        <f>IF(T_T13411121314151617181920212223242526272829303132[[#This Row],[Total]]&lt;0,T_T13411121314151617181920212223242526272829303132[[#This Row],[Total]]*-1,0)</f>
        <v>0</v>
      </c>
      <c r="J14" s="473"/>
      <c r="K14" s="485"/>
    </row>
    <row r="15" spans="1:11" x14ac:dyDescent="0.3">
      <c r="A15" s="17">
        <v>45687</v>
      </c>
      <c r="B15" s="18" t="s">
        <v>530</v>
      </c>
      <c r="C15" s="6"/>
      <c r="D15" s="2">
        <v>142</v>
      </c>
      <c r="E15" s="2">
        <v>90</v>
      </c>
      <c r="F15" s="20"/>
      <c r="G15" s="20">
        <f>SUM(D15:F15)</f>
        <v>232</v>
      </c>
      <c r="H15" s="233">
        <f>+H13+T_T13411121314151617181920212223242526272829303132[[#This Row],[Total]]</f>
        <v>232</v>
      </c>
      <c r="I15" s="6">
        <f>IF(T_T13411121314151617181920212223242526272829303132[[#This Row],[Total]]&lt;0,T_T13411121314151617181920212223242526272829303132[[#This Row],[Total]]*-1,0)</f>
        <v>0</v>
      </c>
      <c r="J15" s="51"/>
      <c r="K15" s="79"/>
    </row>
    <row r="16" spans="1:11" x14ac:dyDescent="0.3">
      <c r="A16" s="17"/>
      <c r="B16" s="18" t="s">
        <v>531</v>
      </c>
      <c r="C16" s="6">
        <v>8965</v>
      </c>
      <c r="D16" s="2">
        <v>-142</v>
      </c>
      <c r="E16" s="2">
        <v>-90</v>
      </c>
      <c r="F16" s="230"/>
      <c r="G16" s="230">
        <f t="shared" ref="G16:G38" si="0">SUM(D16:F16)</f>
        <v>-232</v>
      </c>
      <c r="H16" s="233">
        <f t="shared" ref="H16:H39" si="1">H15+G16</f>
        <v>0</v>
      </c>
      <c r="I16" s="6">
        <f>IF(T_T13411121314151617181920212223242526272829303132[[#This Row],[Total]]&lt;0,T_T13411121314151617181920212223242526272829303132[[#This Row],[Total]]*-1,0)</f>
        <v>232</v>
      </c>
      <c r="J16" s="51"/>
      <c r="K16" s="79"/>
    </row>
    <row r="17" spans="1:11" x14ac:dyDescent="0.3">
      <c r="A17" s="164">
        <v>46081</v>
      </c>
      <c r="B17" s="161" t="s">
        <v>592</v>
      </c>
      <c r="C17" s="6"/>
      <c r="D17" s="2">
        <v>142</v>
      </c>
      <c r="E17" s="2">
        <v>42</v>
      </c>
      <c r="F17" s="230"/>
      <c r="G17" s="230">
        <f t="shared" si="0"/>
        <v>184</v>
      </c>
      <c r="H17" s="233">
        <f t="shared" si="1"/>
        <v>184</v>
      </c>
      <c r="I17" s="6">
        <f>IF(T_T13411121314151617181920212223242526272829303132[[#This Row],[Total]]&lt;0,T_T13411121314151617181920212223242526272829303132[[#This Row],[Total]]*-1,0)</f>
        <v>0</v>
      </c>
      <c r="J17" s="51"/>
      <c r="K17" s="79"/>
    </row>
    <row r="18" spans="1:11" x14ac:dyDescent="0.3">
      <c r="A18" s="187"/>
      <c r="B18" s="18" t="s">
        <v>593</v>
      </c>
      <c r="C18" s="6">
        <v>8965</v>
      </c>
      <c r="D18" s="2">
        <v>-142</v>
      </c>
      <c r="E18" s="2">
        <v>-42</v>
      </c>
      <c r="F18" s="230"/>
      <c r="G18" s="230">
        <f t="shared" si="0"/>
        <v>-184</v>
      </c>
      <c r="H18" s="233">
        <f t="shared" si="1"/>
        <v>0</v>
      </c>
      <c r="I18" s="6">
        <f>IF(T_T13411121314151617181920212223242526272829303132[[#This Row],[Total]]&lt;0,T_T13411121314151617181920212223242526272829303132[[#This Row],[Total]]*-1,0)</f>
        <v>184</v>
      </c>
      <c r="J18" s="51"/>
      <c r="K18" s="79"/>
    </row>
    <row r="19" spans="1:11" x14ac:dyDescent="0.3">
      <c r="A19" s="188">
        <v>45747</v>
      </c>
      <c r="B19" s="3" t="s">
        <v>534</v>
      </c>
      <c r="C19" s="6"/>
      <c r="D19" s="2">
        <v>170</v>
      </c>
      <c r="E19" s="2">
        <v>54</v>
      </c>
      <c r="F19" s="230"/>
      <c r="G19" s="230">
        <f t="shared" si="0"/>
        <v>224</v>
      </c>
      <c r="H19" s="233">
        <f t="shared" si="1"/>
        <v>224</v>
      </c>
      <c r="I19" s="6">
        <f>IF(T_T13411121314151617181920212223242526272829303132[[#This Row],[Total]]&lt;0,T_T13411121314151617181920212223242526272829303132[[#This Row],[Total]]*-1,0)</f>
        <v>0</v>
      </c>
      <c r="J19" s="51"/>
      <c r="K19" s="79"/>
    </row>
    <row r="20" spans="1:11" ht="15.75" customHeight="1" x14ac:dyDescent="0.3">
      <c r="A20" s="188"/>
      <c r="B20" s="82" t="s">
        <v>535</v>
      </c>
      <c r="C20" s="6">
        <v>8965</v>
      </c>
      <c r="D20" s="2">
        <v>-170</v>
      </c>
      <c r="E20" s="2">
        <v>-54</v>
      </c>
      <c r="F20" s="230"/>
      <c r="G20" s="230">
        <f t="shared" si="0"/>
        <v>-224</v>
      </c>
      <c r="H20" s="233">
        <f t="shared" si="1"/>
        <v>0</v>
      </c>
      <c r="I20" s="6">
        <f>IF(T_T13411121314151617181920212223242526272829303132[[#This Row],[Total]]&lt;0,T_T13411121314151617181920212223242526272829303132[[#This Row],[Total]]*-1,0)</f>
        <v>224</v>
      </c>
      <c r="J20" s="51"/>
      <c r="K20" s="79"/>
    </row>
    <row r="21" spans="1:11" x14ac:dyDescent="0.3">
      <c r="A21" s="188">
        <v>45777</v>
      </c>
      <c r="B21" s="3" t="s">
        <v>536</v>
      </c>
      <c r="C21" s="6"/>
      <c r="D21" s="2">
        <v>170</v>
      </c>
      <c r="E21" s="2">
        <v>38</v>
      </c>
      <c r="F21" s="230"/>
      <c r="G21" s="230">
        <f t="shared" si="0"/>
        <v>208</v>
      </c>
      <c r="H21" s="233">
        <f t="shared" si="1"/>
        <v>208</v>
      </c>
      <c r="I21" s="6">
        <f>IF(T_T13411121314151617181920212223242526272829303132[[#This Row],[Total]]&lt;0,T_T13411121314151617181920212223242526272829303132[[#This Row],[Total]]*-1,0)</f>
        <v>0</v>
      </c>
      <c r="J21" s="51"/>
      <c r="K21" s="79"/>
    </row>
    <row r="22" spans="1:11" x14ac:dyDescent="0.3">
      <c r="A22" s="83"/>
      <c r="B22" s="82" t="s">
        <v>537</v>
      </c>
      <c r="C22" s="6">
        <v>8965</v>
      </c>
      <c r="D22" s="2">
        <v>-170</v>
      </c>
      <c r="E22" s="2">
        <v>-38</v>
      </c>
      <c r="F22" s="230"/>
      <c r="G22" s="230">
        <f t="shared" si="0"/>
        <v>-208</v>
      </c>
      <c r="H22" s="233">
        <f t="shared" si="1"/>
        <v>0</v>
      </c>
      <c r="I22" s="6">
        <f>IF(T_T13411121314151617181920212223242526272829303132[[#This Row],[Total]]&lt;0,T_T13411121314151617181920212223242526272829303132[[#This Row],[Total]]*-1,0)</f>
        <v>208</v>
      </c>
      <c r="J22" s="51"/>
      <c r="K22" s="79"/>
    </row>
    <row r="23" spans="1:11" x14ac:dyDescent="0.3">
      <c r="A23" s="40">
        <v>45807</v>
      </c>
      <c r="B23" s="3" t="s">
        <v>538</v>
      </c>
      <c r="C23" s="229"/>
      <c r="D23" s="230">
        <v>170</v>
      </c>
      <c r="E23" s="230">
        <v>27</v>
      </c>
      <c r="F23" s="230"/>
      <c r="G23" s="230">
        <f t="shared" si="0"/>
        <v>197</v>
      </c>
      <c r="H23" s="233">
        <f t="shared" si="1"/>
        <v>197</v>
      </c>
      <c r="I23" s="6">
        <f>IF(T_T13411121314151617181920212223242526272829303132[[#This Row],[Total]]&lt;0,T_T13411121314151617181920212223242526272829303132[[#This Row],[Total]]*-1,0)</f>
        <v>0</v>
      </c>
      <c r="J23" s="51"/>
      <c r="K23" s="79"/>
    </row>
    <row r="24" spans="1:11" x14ac:dyDescent="0.3">
      <c r="A24" s="9"/>
      <c r="B24" s="18" t="s">
        <v>539</v>
      </c>
      <c r="C24" s="6">
        <v>8965</v>
      </c>
      <c r="D24" s="230">
        <v>-170</v>
      </c>
      <c r="E24" s="230">
        <v>-27</v>
      </c>
      <c r="F24" s="230"/>
      <c r="G24" s="230">
        <f t="shared" si="0"/>
        <v>-197</v>
      </c>
      <c r="H24" s="233">
        <f t="shared" si="1"/>
        <v>0</v>
      </c>
      <c r="I24" s="6">
        <f>IF(T_T13411121314151617181920212223242526272829303132[[#This Row],[Total]]&lt;0,T_T13411121314151617181920212223242526272829303132[[#This Row],[Total]]*-1,0)</f>
        <v>197</v>
      </c>
      <c r="J24" s="51"/>
      <c r="K24" s="79"/>
    </row>
    <row r="25" spans="1:11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0</v>
      </c>
      <c r="I25" s="6">
        <f>IF(T_T13411121314151617181920212223242526272829303132[[#This Row],[Total]]&lt;0,T_T13411121314151617181920212223242526272829303132[[#This Row],[Total]]*-1,0)</f>
        <v>0</v>
      </c>
      <c r="J25" s="51"/>
      <c r="K25" s="79"/>
    </row>
    <row r="26" spans="1:11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0</v>
      </c>
      <c r="I26" s="6">
        <f>IF(T_T13411121314151617181920212223242526272829303132[[#This Row],[Total]]&lt;0,T_T13411121314151617181920212223242526272829303132[[#This Row],[Total]]*-1,0)</f>
        <v>0</v>
      </c>
      <c r="J26" s="51"/>
      <c r="K26" s="79"/>
    </row>
    <row r="27" spans="1:11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0</v>
      </c>
      <c r="I27" s="6">
        <f>IF(T_T13411121314151617181920212223242526272829303132[[#This Row],[Total]]&lt;0,T_T13411121314151617181920212223242526272829303132[[#This Row],[Total]]*-1,0)</f>
        <v>0</v>
      </c>
      <c r="J27" s="51"/>
      <c r="K27" s="79"/>
    </row>
    <row r="28" spans="1:11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0</v>
      </c>
      <c r="I28" s="6">
        <f>IF(T_T13411121314151617181920212223242526272829303132[[#This Row],[Total]]&lt;0,T_T13411121314151617181920212223242526272829303132[[#This Row],[Total]]*-1,0)</f>
        <v>0</v>
      </c>
      <c r="J28" s="51"/>
      <c r="K28" s="79"/>
    </row>
    <row r="29" spans="1:11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0</v>
      </c>
      <c r="I29" s="6">
        <f>IF(T_T13411121314151617181920212223242526272829303132[[#This Row],[Total]]&lt;0,T_T13411121314151617181920212223242526272829303132[[#This Row],[Total]]*-1,0)</f>
        <v>0</v>
      </c>
      <c r="J29" s="51"/>
      <c r="K29" s="79"/>
    </row>
    <row r="30" spans="1:11" x14ac:dyDescent="0.3">
      <c r="A30" s="107"/>
      <c r="B30" s="82" t="s">
        <v>545</v>
      </c>
      <c r="C30" s="6"/>
      <c r="D30" s="230"/>
      <c r="E30" s="7"/>
      <c r="F30" s="230"/>
      <c r="G30" s="230">
        <f t="shared" si="0"/>
        <v>0</v>
      </c>
      <c r="H30" s="233">
        <f t="shared" si="1"/>
        <v>0</v>
      </c>
      <c r="I30" s="6">
        <f>IF(T_T13411121314151617181920212223242526272829303132[[#This Row],[Total]]&lt;0,T_T13411121314151617181920212223242526272829303132[[#This Row],[Total]]*-1,0)</f>
        <v>0</v>
      </c>
      <c r="J30" s="51"/>
      <c r="K30" s="79"/>
    </row>
    <row r="31" spans="1:11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0</v>
      </c>
      <c r="I31" s="6">
        <f>IF(T_T13411121314151617181920212223242526272829303132[[#This Row],[Total]]&lt;0,T_T13411121314151617181920212223242526272829303132[[#This Row],[Total]]*-1,0)</f>
        <v>0</v>
      </c>
      <c r="J31" s="51"/>
      <c r="K31" s="79"/>
    </row>
    <row r="32" spans="1:11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0</v>
      </c>
      <c r="I32" s="6">
        <f>IF(T_T13411121314151617181920212223242526272829303132[[#This Row],[Total]]&lt;0,T_T13411121314151617181920212223242526272829303132[[#This Row],[Total]]*-1,0)</f>
        <v>0</v>
      </c>
      <c r="J32" s="51"/>
      <c r="K32" s="79"/>
    </row>
    <row r="33" spans="1:11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0</v>
      </c>
      <c r="I33" s="6">
        <f>IF(T_T13411121314151617181920212223242526272829303132[[#This Row],[Total]]&lt;0,T_T13411121314151617181920212223242526272829303132[[#This Row],[Total]]*-1,0)</f>
        <v>0</v>
      </c>
      <c r="J33" s="51"/>
      <c r="K33" s="79"/>
    </row>
    <row r="34" spans="1:11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0</v>
      </c>
      <c r="I34" s="6">
        <f>IF(T_T13411121314151617181920212223242526272829303132[[#This Row],[Total]]&lt;0,T_T13411121314151617181920212223242526272829303132[[#This Row],[Total]]*-1,0)</f>
        <v>0</v>
      </c>
      <c r="J34" s="51"/>
      <c r="K34" s="79"/>
    </row>
    <row r="35" spans="1:11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0</v>
      </c>
      <c r="I35" s="6">
        <f>IF(T_T13411121314151617181920212223242526272829303132[[#This Row],[Total]]&lt;0,T_T13411121314151617181920212223242526272829303132[[#This Row],[Total]]*-1,0)</f>
        <v>0</v>
      </c>
      <c r="J35" s="51"/>
      <c r="K35" s="79"/>
    </row>
    <row r="36" spans="1:11" x14ac:dyDescent="0.3">
      <c r="A36" s="17"/>
      <c r="B36" s="18" t="s">
        <v>551</v>
      </c>
      <c r="C36" s="229"/>
      <c r="D36" s="230"/>
      <c r="E36" s="7"/>
      <c r="F36" s="230"/>
      <c r="G36" s="230">
        <f t="shared" si="0"/>
        <v>0</v>
      </c>
      <c r="H36" s="233">
        <f t="shared" si="1"/>
        <v>0</v>
      </c>
      <c r="I36" s="240">
        <f>IF(T_T13411121314151617181920212223242526272829303132[[#This Row],[Total]]&lt;0,T_T13411121314151617181920212223242526272829303132[[#This Row],[Total]]*-1,0)</f>
        <v>0</v>
      </c>
      <c r="J36" s="240"/>
      <c r="K36" s="232"/>
    </row>
    <row r="37" spans="1:11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0</v>
      </c>
      <c r="I37" s="240">
        <f>IF(T_T13411121314151617181920212223242526272829303132[[#This Row],[Total]]&lt;0,T_T13411121314151617181920212223242526272829303132[[#This Row],[Total]]*-1,0)</f>
        <v>0</v>
      </c>
      <c r="J37" s="240"/>
      <c r="K37" s="232"/>
    </row>
    <row r="38" spans="1:11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0</v>
      </c>
      <c r="I38" s="240">
        <f>IF(T_T13411121314151617181920212223242526272829303132[[#This Row],[Total]]&lt;0,T_T13411121314151617181920212223242526272829303132[[#This Row],[Total]]*-1,0)</f>
        <v>0</v>
      </c>
      <c r="J38" s="240"/>
      <c r="K38" s="232"/>
    </row>
    <row r="39" spans="1:11" x14ac:dyDescent="0.3">
      <c r="A39" s="107"/>
      <c r="B39" s="82"/>
      <c r="C39" s="229"/>
      <c r="D39" s="230"/>
      <c r="E39" s="230"/>
      <c r="F39" s="230"/>
      <c r="G39" s="230">
        <f>SUM(D39:F39)</f>
        <v>0</v>
      </c>
      <c r="H39" s="233">
        <f t="shared" si="1"/>
        <v>0</v>
      </c>
      <c r="I39" s="239">
        <f>IF(T_T13411121314151617181920212223242526272829303132[[#This Row],[Total]]&lt;0,T_T13411121314151617181920212223242526272829303132[[#This Row],[Total]]*-1,0)</f>
        <v>0</v>
      </c>
      <c r="J39" s="239"/>
      <c r="K39" s="232"/>
    </row>
    <row r="40" spans="1:11" x14ac:dyDescent="0.3">
      <c r="A40" s="107"/>
      <c r="B40" s="82"/>
      <c r="C40" s="471"/>
      <c r="D40" s="472"/>
      <c r="E40" s="472"/>
      <c r="F40" s="472"/>
      <c r="G40" s="472"/>
      <c r="H40" s="483"/>
      <c r="I40" s="473">
        <f>IF(T_T13411121314151617181920212223242526272829303132[[#This Row],[Total]]&lt;0,T_T13411121314151617181920212223242526272829303132[[#This Row],[Total]]*-1,0)</f>
        <v>0</v>
      </c>
      <c r="J40" s="473"/>
      <c r="K40" s="485"/>
    </row>
    <row r="41" spans="1:11" x14ac:dyDescent="0.3">
      <c r="A41" s="170"/>
      <c r="B41" s="18"/>
      <c r="C41" s="471"/>
      <c r="D41" s="472"/>
      <c r="E41" s="472"/>
      <c r="F41" s="472"/>
      <c r="G41" s="472"/>
      <c r="H41" s="483"/>
      <c r="I41" s="473">
        <f>IF(T_T13411121314151617181920212223242526272829303132[[#This Row],[Total]]&lt;0,T_T13411121314151617181920212223242526272829303132[[#This Row],[Total]]*-1,0)</f>
        <v>0</v>
      </c>
      <c r="J41" s="473"/>
      <c r="K41" s="485"/>
    </row>
  </sheetData>
  <mergeCells count="1">
    <mergeCell ref="B8:H8"/>
  </mergeCells>
  <hyperlinks>
    <hyperlink ref="B7" r:id="rId1" display="jose.orozco@outlook.com"/>
    <hyperlink ref="H7" location="Resumen!A1" display="Rsumen         "/>
  </hyperlinks>
  <pageMargins left="0.70866141732283472" right="0.70866141732283472" top="0.74803149606299213" bottom="0.74803149606299213" header="0.31496062992125984" footer="0.31496062992125984"/>
  <pageSetup scale="75" orientation="portrait" verticalDpi="360" r:id="rId2"/>
  <drawing r:id="rId3"/>
  <tableParts count="1">
    <tablePart r:id="rId4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N41"/>
  <sheetViews>
    <sheetView showGridLines="0" topLeftCell="A3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1.88671875" customWidth="1"/>
    <col min="2" max="2" width="32.33203125" customWidth="1"/>
    <col min="3" max="3" width="10" style="4" customWidth="1"/>
    <col min="4" max="4" width="10.5546875" style="1" customWidth="1"/>
    <col min="5" max="5" width="9.88671875" style="1" customWidth="1"/>
    <col min="6" max="6" width="3.5546875" style="1" customWidth="1"/>
    <col min="7" max="7" width="8.6640625" style="1" customWidth="1"/>
    <col min="8" max="8" width="12.44140625" style="1" customWidth="1"/>
    <col min="9" max="9" width="0.6640625" customWidth="1"/>
    <col min="10" max="10" width="9.44140625" customWidth="1"/>
    <col min="13" max="14" width="10.6640625" bestFit="1" customWidth="1"/>
    <col min="15" max="15" width="15" customWidth="1"/>
  </cols>
  <sheetData>
    <row r="2" spans="1:14" ht="15.6" x14ac:dyDescent="0.3">
      <c r="A2" s="27" t="s">
        <v>36</v>
      </c>
      <c r="B2" s="41" t="s">
        <v>72</v>
      </c>
    </row>
    <row r="3" spans="1:14" ht="14.25" customHeight="1" x14ac:dyDescent="0.3">
      <c r="A3" s="27" t="s">
        <v>31</v>
      </c>
      <c r="B3" s="21" t="s">
        <v>233</v>
      </c>
    </row>
    <row r="4" spans="1:14" hidden="1" x14ac:dyDescent="0.3">
      <c r="A4" s="27" t="s">
        <v>32</v>
      </c>
      <c r="B4" s="28" t="e">
        <f>LOOKUP(B2,#REF!,#REF!)</f>
        <v>#REF!</v>
      </c>
    </row>
    <row r="5" spans="1:14" hidden="1" x14ac:dyDescent="0.3">
      <c r="A5" s="27" t="s">
        <v>33</v>
      </c>
      <c r="B5" s="28" t="e">
        <f>LOOKUP(B2,#REF!,#REF!)</f>
        <v>#REF!</v>
      </c>
    </row>
    <row r="6" spans="1:14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4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4" x14ac:dyDescent="0.3">
      <c r="A8" s="21"/>
    </row>
    <row r="9" spans="1:14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96" t="s">
        <v>188</v>
      </c>
    </row>
    <row r="10" spans="1:14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/>
      <c r="J10" s="95"/>
      <c r="N10" s="178"/>
    </row>
    <row r="11" spans="1:14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355">
        <f>IF(T_T1341112131415161718192021222324252627282930313233[[#This Row],[Total]]&lt;0,T_T1341112131415161718192021222324252627282930313233[[#This Row],[Total]]*-1,0)</f>
        <v>0</v>
      </c>
      <c r="J11" s="355"/>
    </row>
    <row r="12" spans="1:14" x14ac:dyDescent="0.3">
      <c r="A12" s="434"/>
      <c r="B12" s="118" t="s">
        <v>467</v>
      </c>
      <c r="C12" s="424"/>
      <c r="D12" s="425"/>
      <c r="E12" s="425"/>
      <c r="F12" s="425"/>
      <c r="G12" s="425"/>
      <c r="H12" s="426">
        <v>0</v>
      </c>
      <c r="I12" s="427">
        <f>IF(T_T1341112131415161718192021222324252627282930313233[[#This Row],[Total]]&lt;0,T_T1341112131415161718192021222324252627282930313233[[#This Row],[Total]]*-1,0)</f>
        <v>0</v>
      </c>
      <c r="J12" s="427"/>
    </row>
    <row r="13" spans="1:14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355">
        <f>IF(T_T1341112131415161718192021222324252627282930313233[[#This Row],[Total]]&lt;0,T_T1341112131415161718192021222324252627282930313233[[#This Row],[Total]]*-1,0)</f>
        <v>0</v>
      </c>
      <c r="J13" s="355"/>
    </row>
    <row r="14" spans="1:14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6">
        <f>IF(T_T1341112131415161718192021222324252627282930313233[[#This Row],[Total]]&lt;0,T_T1341112131415161718192021222324252627282930313233[[#This Row],[Total]]*-1,0)</f>
        <v>0</v>
      </c>
      <c r="J14" s="476"/>
    </row>
    <row r="15" spans="1:14" x14ac:dyDescent="0.3">
      <c r="A15" s="17">
        <v>46052</v>
      </c>
      <c r="B15" s="18" t="s">
        <v>590</v>
      </c>
      <c r="C15" s="6"/>
      <c r="D15" s="2">
        <v>142</v>
      </c>
      <c r="E15" s="2">
        <v>10</v>
      </c>
      <c r="F15" s="20"/>
      <c r="G15" s="20">
        <f>SUM(D15:F15)</f>
        <v>152</v>
      </c>
      <c r="H15" s="233">
        <f>+H13+T_T1341112131415161718192021222324252627282930313233[[#This Row],[Total]]</f>
        <v>152</v>
      </c>
      <c r="I15" s="355">
        <f>IF(T_T1341112131415161718192021222324252627282930313233[[#This Row],[Total]]&lt;0,T_T1341112131415161718192021222324252627282930313233[[#This Row],[Total]]*-1,0)</f>
        <v>0</v>
      </c>
      <c r="J15" s="355"/>
    </row>
    <row r="16" spans="1:14" x14ac:dyDescent="0.3">
      <c r="A16" s="17"/>
      <c r="B16" s="18" t="s">
        <v>591</v>
      </c>
      <c r="C16" s="6">
        <v>8627</v>
      </c>
      <c r="D16" s="2">
        <v>-142</v>
      </c>
      <c r="E16" s="2">
        <v>-10</v>
      </c>
      <c r="F16" s="230"/>
      <c r="G16" s="20">
        <f>SUM(D16:F16)</f>
        <v>-152</v>
      </c>
      <c r="H16" s="233">
        <f>+H15+T_T1341112131415161718192021222324252627282930313233[[#This Row],[Total]]</f>
        <v>0</v>
      </c>
      <c r="I16" s="355">
        <f>IF(T_T1341112131415161718192021222324252627282930313233[[#This Row],[Total]]&lt;0,T_T1341112131415161718192021222324252627282930313233[[#This Row],[Total]]*-1,0)</f>
        <v>152</v>
      </c>
      <c r="J16" s="355"/>
    </row>
    <row r="17" spans="1:10" x14ac:dyDescent="0.3">
      <c r="A17" s="164">
        <v>46080</v>
      </c>
      <c r="B17" s="161" t="s">
        <v>592</v>
      </c>
      <c r="C17" s="6"/>
      <c r="D17" s="2">
        <v>142</v>
      </c>
      <c r="E17" s="2">
        <v>18</v>
      </c>
      <c r="F17" s="230"/>
      <c r="G17" s="20">
        <f>SUM(D17:F17)</f>
        <v>160</v>
      </c>
      <c r="H17" s="233">
        <f>+H16+T_T1341112131415161718192021222324252627282930313233[[#This Row],[Total]]</f>
        <v>160</v>
      </c>
      <c r="I17" s="355">
        <f>IF(T_T1341112131415161718192021222324252627282930313233[[#This Row],[Total]]&lt;0,T_T1341112131415161718192021222324252627282930313233[[#This Row],[Total]]*-1,0)</f>
        <v>0</v>
      </c>
      <c r="J17" s="355"/>
    </row>
    <row r="18" spans="1:10" x14ac:dyDescent="0.3">
      <c r="A18" s="187"/>
      <c r="B18" s="18" t="s">
        <v>593</v>
      </c>
      <c r="C18" s="6">
        <v>8753</v>
      </c>
      <c r="D18" s="2">
        <v>-142</v>
      </c>
      <c r="E18" s="2">
        <v>-18</v>
      </c>
      <c r="F18" s="230"/>
      <c r="G18" s="20">
        <f>SUM(D18:F18)</f>
        <v>-160</v>
      </c>
      <c r="H18" s="233">
        <f t="shared" ref="H18:H38" si="0">H17+G18</f>
        <v>0</v>
      </c>
      <c r="I18" s="355">
        <f>IF(T_T1341112131415161718192021222324252627282930313233[[#This Row],[Total]]&lt;0,T_T1341112131415161718192021222324252627282930313233[[#This Row],[Total]]*-1,0)</f>
        <v>160</v>
      </c>
      <c r="J18" s="355"/>
    </row>
    <row r="19" spans="1:10" x14ac:dyDescent="0.3">
      <c r="A19" s="188">
        <v>45747</v>
      </c>
      <c r="B19" s="3" t="s">
        <v>534</v>
      </c>
      <c r="C19" s="6"/>
      <c r="D19" s="2">
        <v>170</v>
      </c>
      <c r="E19" s="2">
        <v>6</v>
      </c>
      <c r="F19" s="230"/>
      <c r="G19" s="230">
        <f t="shared" ref="G19:G38" si="1">SUM(D19:F19)</f>
        <v>176</v>
      </c>
      <c r="H19" s="233">
        <f t="shared" si="0"/>
        <v>176</v>
      </c>
      <c r="I19" s="355">
        <f>IF(T_T1341112131415161718192021222324252627282930313233[[#This Row],[Total]]&lt;0,T_T1341112131415161718192021222324252627282930313233[[#This Row],[Total]]*-1,0)</f>
        <v>0</v>
      </c>
      <c r="J19" s="355"/>
    </row>
    <row r="20" spans="1:10" x14ac:dyDescent="0.3">
      <c r="A20" s="188"/>
      <c r="B20" s="82" t="s">
        <v>535</v>
      </c>
      <c r="C20" s="6">
        <v>8847</v>
      </c>
      <c r="D20" s="2">
        <v>-170</v>
      </c>
      <c r="E20" s="2">
        <v>-6</v>
      </c>
      <c r="F20" s="230"/>
      <c r="G20" s="230">
        <f t="shared" si="1"/>
        <v>-176</v>
      </c>
      <c r="H20" s="233">
        <f t="shared" si="0"/>
        <v>0</v>
      </c>
      <c r="I20" s="355">
        <f>IF(T_T1341112131415161718192021222324252627282930313233[[#This Row],[Total]]&lt;0,T_T1341112131415161718192021222324252627282930313233[[#This Row],[Total]]*-1,0)</f>
        <v>176</v>
      </c>
      <c r="J20" s="355"/>
    </row>
    <row r="21" spans="1:10" x14ac:dyDescent="0.3">
      <c r="A21" s="188">
        <v>45777</v>
      </c>
      <c r="B21" s="3" t="s">
        <v>536</v>
      </c>
      <c r="C21" s="6"/>
      <c r="D21" s="2">
        <v>170</v>
      </c>
      <c r="E21" s="2">
        <v>6</v>
      </c>
      <c r="F21" s="230"/>
      <c r="G21" s="230">
        <f t="shared" si="1"/>
        <v>176</v>
      </c>
      <c r="H21" s="233">
        <f t="shared" si="0"/>
        <v>176</v>
      </c>
      <c r="I21" s="355">
        <f>IF(T_T1341112131415161718192021222324252627282930313233[[#This Row],[Total]]&lt;0,T_T1341112131415161718192021222324252627282930313233[[#This Row],[Total]]*-1,0)</f>
        <v>0</v>
      </c>
      <c r="J21" s="355"/>
    </row>
    <row r="22" spans="1:10" x14ac:dyDescent="0.3">
      <c r="A22" s="83"/>
      <c r="B22" s="82" t="s">
        <v>537</v>
      </c>
      <c r="C22" s="6">
        <v>8956</v>
      </c>
      <c r="D22" s="2">
        <v>-170</v>
      </c>
      <c r="E22" s="2">
        <v>-6</v>
      </c>
      <c r="F22" s="230"/>
      <c r="G22" s="230">
        <f t="shared" si="1"/>
        <v>-176</v>
      </c>
      <c r="H22" s="233">
        <f t="shared" si="0"/>
        <v>0</v>
      </c>
      <c r="I22" s="355">
        <f>IF(T_T1341112131415161718192021222324252627282930313233[[#This Row],[Total]]&lt;0,T_T1341112131415161718192021222324252627282930313233[[#This Row],[Total]]*-1,0)</f>
        <v>176</v>
      </c>
      <c r="J22" s="355"/>
    </row>
    <row r="23" spans="1:10" x14ac:dyDescent="0.3">
      <c r="A23" s="40">
        <v>45807</v>
      </c>
      <c r="B23" s="3" t="s">
        <v>538</v>
      </c>
      <c r="C23" s="229"/>
      <c r="D23" s="230">
        <v>170</v>
      </c>
      <c r="E23" s="230">
        <v>5</v>
      </c>
      <c r="F23" s="230"/>
      <c r="G23" s="230">
        <f t="shared" si="1"/>
        <v>175</v>
      </c>
      <c r="H23" s="233">
        <f t="shared" si="0"/>
        <v>175</v>
      </c>
      <c r="I23" s="355">
        <f>IF(T_T1341112131415161718192021222324252627282930313233[[#This Row],[Total]]&lt;0,T_T1341112131415161718192021222324252627282930313233[[#This Row],[Total]]*-1,0)</f>
        <v>0</v>
      </c>
      <c r="J23" s="355"/>
    </row>
    <row r="24" spans="1:10" x14ac:dyDescent="0.3">
      <c r="A24" s="9"/>
      <c r="B24" s="18" t="s">
        <v>539</v>
      </c>
      <c r="C24" s="6"/>
      <c r="D24" s="230"/>
      <c r="E24" s="230"/>
      <c r="F24" s="230"/>
      <c r="G24" s="230">
        <f t="shared" si="1"/>
        <v>0</v>
      </c>
      <c r="H24" s="233">
        <f t="shared" si="0"/>
        <v>175</v>
      </c>
      <c r="I24" s="355">
        <f>IF(T_T1341112131415161718192021222324252627282930313233[[#This Row],[Total]]&lt;0,T_T1341112131415161718192021222324252627282930313233[[#This Row],[Total]]*-1,0)</f>
        <v>0</v>
      </c>
      <c r="J24" s="355"/>
    </row>
    <row r="25" spans="1:10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1"/>
        <v>0</v>
      </c>
      <c r="H25" s="233">
        <f t="shared" si="0"/>
        <v>175</v>
      </c>
      <c r="I25" s="355">
        <f>IF(T_T1341112131415161718192021222324252627282930313233[[#This Row],[Total]]&lt;0,T_T1341112131415161718192021222324252627282930313233[[#This Row],[Total]]*-1,0)</f>
        <v>0</v>
      </c>
      <c r="J25" s="355"/>
    </row>
    <row r="26" spans="1:10" x14ac:dyDescent="0.3">
      <c r="A26" s="9"/>
      <c r="B26" s="18" t="s">
        <v>541</v>
      </c>
      <c r="C26" s="6"/>
      <c r="D26" s="230"/>
      <c r="E26" s="230"/>
      <c r="F26" s="230"/>
      <c r="G26" s="230">
        <f t="shared" si="1"/>
        <v>0</v>
      </c>
      <c r="H26" s="233">
        <f t="shared" si="0"/>
        <v>175</v>
      </c>
      <c r="I26" s="355">
        <f>IF(T_T1341112131415161718192021222324252627282930313233[[#This Row],[Total]]&lt;0,T_T1341112131415161718192021222324252627282930313233[[#This Row],[Total]]*-1,0)</f>
        <v>0</v>
      </c>
      <c r="J26" s="355"/>
    </row>
    <row r="27" spans="1:10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1"/>
        <v>0</v>
      </c>
      <c r="H27" s="233">
        <f t="shared" si="0"/>
        <v>175</v>
      </c>
      <c r="I27" s="355">
        <f>IF(T_T1341112131415161718192021222324252627282930313233[[#This Row],[Total]]&lt;0,T_T1341112131415161718192021222324252627282930313233[[#This Row],[Total]]*-1,0)</f>
        <v>0</v>
      </c>
      <c r="J27" s="355"/>
    </row>
    <row r="28" spans="1:10" x14ac:dyDescent="0.3">
      <c r="A28" s="107"/>
      <c r="B28" s="82" t="s">
        <v>543</v>
      </c>
      <c r="C28" s="6"/>
      <c r="D28" s="230"/>
      <c r="E28" s="230"/>
      <c r="F28" s="230"/>
      <c r="G28" s="230">
        <f t="shared" si="1"/>
        <v>0</v>
      </c>
      <c r="H28" s="233">
        <f t="shared" si="0"/>
        <v>175</v>
      </c>
      <c r="I28" s="355">
        <f>IF(T_T1341112131415161718192021222324252627282930313233[[#This Row],[Total]]&lt;0,T_T1341112131415161718192021222324252627282930313233[[#This Row],[Total]]*-1,0)</f>
        <v>0</v>
      </c>
      <c r="J28" s="355"/>
    </row>
    <row r="29" spans="1:10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1"/>
        <v>0</v>
      </c>
      <c r="H29" s="233">
        <f t="shared" si="0"/>
        <v>175</v>
      </c>
      <c r="I29" s="355">
        <f>IF(T_T1341112131415161718192021222324252627282930313233[[#This Row],[Total]]&lt;0,T_T1341112131415161718192021222324252627282930313233[[#This Row],[Total]]*-1,0)</f>
        <v>0</v>
      </c>
      <c r="J29" s="355"/>
    </row>
    <row r="30" spans="1:10" x14ac:dyDescent="0.3">
      <c r="A30" s="107"/>
      <c r="B30" s="82" t="s">
        <v>545</v>
      </c>
      <c r="C30" s="6"/>
      <c r="D30" s="230"/>
      <c r="E30" s="230"/>
      <c r="F30" s="230"/>
      <c r="G30" s="230">
        <f t="shared" si="1"/>
        <v>0</v>
      </c>
      <c r="H30" s="233">
        <f t="shared" si="0"/>
        <v>175</v>
      </c>
      <c r="I30" s="355">
        <f>IF(T_T1341112131415161718192021222324252627282930313233[[#This Row],[Total]]&lt;0,T_T1341112131415161718192021222324252627282930313233[[#This Row],[Total]]*-1,0)</f>
        <v>0</v>
      </c>
      <c r="J30" s="355"/>
    </row>
    <row r="31" spans="1:10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1"/>
        <v>0</v>
      </c>
      <c r="H31" s="233">
        <f t="shared" si="0"/>
        <v>175</v>
      </c>
      <c r="I31" s="355">
        <f>IF(T_T1341112131415161718192021222324252627282930313233[[#This Row],[Total]]&lt;0,T_T1341112131415161718192021222324252627282930313233[[#This Row],[Total]]*-1,0)</f>
        <v>0</v>
      </c>
      <c r="J31" s="355"/>
    </row>
    <row r="32" spans="1:10" x14ac:dyDescent="0.3">
      <c r="A32" s="9"/>
      <c r="B32" s="3" t="s">
        <v>547</v>
      </c>
      <c r="C32" s="6"/>
      <c r="D32" s="230"/>
      <c r="E32" s="230"/>
      <c r="F32" s="230"/>
      <c r="G32" s="230">
        <f t="shared" si="1"/>
        <v>0</v>
      </c>
      <c r="H32" s="233">
        <f t="shared" si="0"/>
        <v>175</v>
      </c>
      <c r="I32" s="355">
        <f>IF(T_T1341112131415161718192021222324252627282930313233[[#This Row],[Total]]&lt;0,T_T1341112131415161718192021222324252627282930313233[[#This Row],[Total]]*-1,0)</f>
        <v>0</v>
      </c>
      <c r="J32" s="355"/>
    </row>
    <row r="33" spans="1:10" x14ac:dyDescent="0.3">
      <c r="A33" s="9">
        <v>45960</v>
      </c>
      <c r="B33" s="3" t="s">
        <v>548</v>
      </c>
      <c r="C33" s="229"/>
      <c r="D33" s="7"/>
      <c r="E33" s="230"/>
      <c r="F33" s="230"/>
      <c r="G33" s="230">
        <f t="shared" si="1"/>
        <v>0</v>
      </c>
      <c r="H33" s="233">
        <f t="shared" si="0"/>
        <v>175</v>
      </c>
      <c r="I33" s="355">
        <f>IF(T_T1341112131415161718192021222324252627282930313233[[#This Row],[Total]]&lt;0,T_T1341112131415161718192021222324252627282930313233[[#This Row],[Total]]*-1,0)</f>
        <v>0</v>
      </c>
      <c r="J33" s="355"/>
    </row>
    <row r="34" spans="1:10" x14ac:dyDescent="0.3">
      <c r="A34" s="9"/>
      <c r="B34" s="3" t="s">
        <v>549</v>
      </c>
      <c r="C34" s="229"/>
      <c r="D34" s="230"/>
      <c r="E34" s="230"/>
      <c r="F34" s="230"/>
      <c r="G34" s="230">
        <f t="shared" si="1"/>
        <v>0</v>
      </c>
      <c r="H34" s="233">
        <f t="shared" si="0"/>
        <v>175</v>
      </c>
      <c r="I34" s="355">
        <f>IF(T_T1341112131415161718192021222324252627282930313233[[#This Row],[Total]]&lt;0,T_T1341112131415161718192021222324252627282930313233[[#This Row],[Total]]*-1,0)</f>
        <v>0</v>
      </c>
      <c r="J34" s="355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1"/>
        <v>0</v>
      </c>
      <c r="H35" s="233">
        <f t="shared" si="0"/>
        <v>175</v>
      </c>
      <c r="I35" s="355">
        <f>IF(T_T1341112131415161718192021222324252627282930313233[[#This Row],[Total]]&lt;0,T_T1341112131415161718192021222324252627282930313233[[#This Row],[Total]]*-1,0)</f>
        <v>0</v>
      </c>
      <c r="J35" s="355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1"/>
        <v>0</v>
      </c>
      <c r="H36" s="233">
        <f t="shared" si="0"/>
        <v>175</v>
      </c>
      <c r="I36" s="355">
        <f>IF(T_T1341112131415161718192021222324252627282930313233[[#This Row],[Total]]&lt;0,T_T1341112131415161718192021222324252627282930313233[[#This Row],[Total]]*-1,0)</f>
        <v>0</v>
      </c>
      <c r="J36" s="355"/>
    </row>
    <row r="37" spans="1:10" x14ac:dyDescent="0.3">
      <c r="A37" s="188">
        <v>46021</v>
      </c>
      <c r="B37" s="3" t="s">
        <v>552</v>
      </c>
      <c r="C37" s="229"/>
      <c r="D37" s="230"/>
      <c r="E37" s="7"/>
      <c r="F37" s="230"/>
      <c r="G37" s="230">
        <f t="shared" si="1"/>
        <v>0</v>
      </c>
      <c r="H37" s="233">
        <f t="shared" si="0"/>
        <v>175</v>
      </c>
      <c r="I37" s="355">
        <f>IF(T_T1341112131415161718192021222324252627282930313233[[#This Row],[Total]]&lt;0,T_T1341112131415161718192021222324252627282930313233[[#This Row],[Total]]*-1,0)</f>
        <v>0</v>
      </c>
      <c r="J37" s="355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1"/>
        <v>0</v>
      </c>
      <c r="H38" s="233">
        <f t="shared" si="0"/>
        <v>175</v>
      </c>
      <c r="I38" s="355">
        <f>IF(T_T1341112131415161718192021222324252627282930313233[[#This Row],[Total]]&lt;0,T_T1341112131415161718192021222324252627282930313233[[#This Row],[Total]]*-1,0)</f>
        <v>0</v>
      </c>
      <c r="J38" s="355"/>
    </row>
    <row r="39" spans="1:10" x14ac:dyDescent="0.3">
      <c r="A39" s="107"/>
      <c r="B39" s="82"/>
      <c r="C39" s="481"/>
      <c r="D39" s="482"/>
      <c r="E39" s="482"/>
      <c r="F39" s="482"/>
      <c r="G39" s="482"/>
      <c r="H39" s="483"/>
      <c r="I39" s="473">
        <f>IF(T_T1341112131415161718192021222324252627282930313233[[#This Row],[Total]]&lt;0,T_T1341112131415161718192021222324252627282930313233[[#This Row],[Total]]*-1,0)</f>
        <v>0</v>
      </c>
      <c r="J39" s="476"/>
    </row>
    <row r="40" spans="1:10" x14ac:dyDescent="0.3">
      <c r="A40" s="107"/>
      <c r="B40" s="82"/>
      <c r="C40" s="481"/>
      <c r="D40" s="482"/>
      <c r="E40" s="482"/>
      <c r="F40" s="482"/>
      <c r="G40" s="482"/>
      <c r="H40" s="483"/>
      <c r="I40" s="473">
        <f>IF(T_T1341112131415161718192021222324252627282930313233[[#This Row],[Total]]&lt;0,T_T1341112131415161718192021222324252627282930313233[[#This Row],[Total]]*-1,0)</f>
        <v>0</v>
      </c>
      <c r="J40" s="476"/>
    </row>
    <row r="41" spans="1:10" x14ac:dyDescent="0.3">
      <c r="A41" s="170"/>
      <c r="B41" s="18"/>
      <c r="C41" s="481"/>
      <c r="D41" s="482"/>
      <c r="E41" s="482"/>
      <c r="F41" s="482"/>
      <c r="G41" s="482"/>
      <c r="H41" s="483"/>
      <c r="I41" s="473">
        <f>IF(T_T1341112131415161718192021222324252627282930313233[[#This Row],[Total]]&lt;0,T_T1341112131415161718192021222324252627282930313233[[#This Row],[Total]]*-1,0)</f>
        <v>0</v>
      </c>
      <c r="J41" s="476"/>
    </row>
  </sheetData>
  <hyperlinks>
    <hyperlink ref="B7" r:id="rId1" display="jose.orozco@outlook.com"/>
    <hyperlink ref="H7" location="Resumen!A1" display="Rsumen         "/>
  </hyperlinks>
  <pageMargins left="0.51" right="0.55000000000000004" top="0.39" bottom="0.35" header="0.31496062992125984" footer="0.31496062992125984"/>
  <pageSetup scale="75" orientation="portrait" verticalDpi="360" r:id="rId2"/>
  <drawing r:id="rId3"/>
  <tableParts count="1">
    <tablePart r:id="rId4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2:N44"/>
  <sheetViews>
    <sheetView showGridLines="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44.88671875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4" max="14" width="10.6640625" bestFit="1" customWidth="1"/>
    <col min="15" max="15" width="14.88671875" customWidth="1"/>
  </cols>
  <sheetData>
    <row r="2" spans="1:14" ht="15.6" x14ac:dyDescent="0.3">
      <c r="A2" s="27" t="s">
        <v>36</v>
      </c>
      <c r="B2" s="41" t="s">
        <v>83</v>
      </c>
    </row>
    <row r="3" spans="1:14" ht="13.5" customHeight="1" x14ac:dyDescent="0.3">
      <c r="A3" s="27" t="s">
        <v>31</v>
      </c>
      <c r="B3" s="21" t="s">
        <v>234</v>
      </c>
    </row>
    <row r="4" spans="1:14" hidden="1" x14ac:dyDescent="0.3">
      <c r="A4" s="27" t="s">
        <v>32</v>
      </c>
      <c r="B4" s="28" t="e">
        <f>LOOKUP(B2,#REF!,#REF!)</f>
        <v>#REF!</v>
      </c>
    </row>
    <row r="5" spans="1:14" hidden="1" x14ac:dyDescent="0.3">
      <c r="A5" s="27" t="s">
        <v>33</v>
      </c>
      <c r="B5" s="28" t="e">
        <f>LOOKUP(B2,#REF!,#REF!)</f>
        <v>#REF!</v>
      </c>
    </row>
    <row r="6" spans="1:14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4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4" x14ac:dyDescent="0.3">
      <c r="A8" s="21"/>
    </row>
    <row r="9" spans="1:14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96" t="s">
        <v>188</v>
      </c>
    </row>
    <row r="10" spans="1:14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IF(T_T134111213141516171819202122232425262728293031323335[[#This Row],[Total]]&lt;0,T_T134111213141516171819202122232425262728293031323335[[#This Row],[Total]]*-1,0)</f>
        <v>0</v>
      </c>
      <c r="J10" s="95"/>
      <c r="N10" s="178"/>
    </row>
    <row r="11" spans="1:14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IF(T_T134111213141516171819202122232425262728293031323335[[#This Row],[Total]]&lt;0,T_T134111213141516171819202122232425262728293031323335[[#This Row],[Total]]*-1,0)</f>
        <v>0</v>
      </c>
      <c r="J11" s="231"/>
    </row>
    <row r="12" spans="1:14" x14ac:dyDescent="0.3">
      <c r="A12" s="361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IF(T_T134111213141516171819202122232425262728293031323335[[#This Row],[Total]]&lt;0,T_T134111213141516171819202122232425262728293031323335[[#This Row],[Total]]*-1,0)</f>
        <v>0</v>
      </c>
      <c r="J12" s="427"/>
    </row>
    <row r="13" spans="1:14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IF(T_T134111213141516171819202122232425262728293031323335[[#This Row],[Total]]&lt;0,T_T134111213141516171819202122232425262728293031323335[[#This Row],[Total]]*-1,0)</f>
        <v>0</v>
      </c>
      <c r="J13" s="231"/>
    </row>
    <row r="14" spans="1:14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IF(T_T134111213141516171819202122232425262728293031323335[[#This Row],[Total]]&lt;0,T_T134111213141516171819202122232425262728293031323335[[#This Row],[Total]]*-1,0)</f>
        <v>0</v>
      </c>
      <c r="J14" s="476"/>
    </row>
    <row r="15" spans="1:14" x14ac:dyDescent="0.3">
      <c r="A15" s="17">
        <v>46052</v>
      </c>
      <c r="B15" s="18" t="s">
        <v>590</v>
      </c>
      <c r="C15" s="6"/>
      <c r="D15" s="2">
        <v>211</v>
      </c>
      <c r="E15" s="2">
        <v>1</v>
      </c>
      <c r="F15" s="20"/>
      <c r="G15" s="20">
        <f>SUM(D15:F15)</f>
        <v>212</v>
      </c>
      <c r="H15" s="233">
        <f>+H13+T_T134111213141516171819202122232425262728293031323335[[#This Row],[Total]]</f>
        <v>212</v>
      </c>
      <c r="I15" s="240">
        <f>IF(T_T134111213141516171819202122232425262728293031323335[[#This Row],[Total]]&lt;0,T_T134111213141516171819202122232425262728293031323335[[#This Row],[Total]]*-1,0)</f>
        <v>0</v>
      </c>
      <c r="J15" s="231"/>
    </row>
    <row r="16" spans="1:14" x14ac:dyDescent="0.3">
      <c r="A16" s="17"/>
      <c r="B16" s="18" t="s">
        <v>591</v>
      </c>
      <c r="C16" s="6">
        <v>8579</v>
      </c>
      <c r="D16" s="2">
        <v>-211</v>
      </c>
      <c r="E16" s="2">
        <v>-1</v>
      </c>
      <c r="F16" s="230"/>
      <c r="G16" s="230">
        <f t="shared" ref="G16:G38" si="0">SUM(D16:F16)</f>
        <v>-212</v>
      </c>
      <c r="H16" s="233">
        <f t="shared" ref="H16:H40" si="1">H15+G16</f>
        <v>0</v>
      </c>
      <c r="I16" s="240">
        <f>IF(T_T134111213141516171819202122232425262728293031323335[[#This Row],[Total]]&lt;0,T_T134111213141516171819202122232425262728293031323335[[#This Row],[Total]]*-1,0)</f>
        <v>212</v>
      </c>
      <c r="J16" s="231"/>
    </row>
    <row r="17" spans="1:10" x14ac:dyDescent="0.3">
      <c r="A17" s="164">
        <v>46081</v>
      </c>
      <c r="B17" s="161" t="s">
        <v>592</v>
      </c>
      <c r="C17" s="6"/>
      <c r="D17" s="2">
        <v>211</v>
      </c>
      <c r="E17" s="2">
        <v>1</v>
      </c>
      <c r="F17" s="230"/>
      <c r="G17" s="230">
        <f t="shared" si="0"/>
        <v>212</v>
      </c>
      <c r="H17" s="233">
        <f t="shared" si="1"/>
        <v>212</v>
      </c>
      <c r="I17" s="240">
        <f>IF(T_T134111213141516171819202122232425262728293031323335[[#This Row],[Total]]&lt;0,T_T134111213141516171819202122232425262728293031323335[[#This Row],[Total]]*-1,0)</f>
        <v>0</v>
      </c>
      <c r="J17" s="231"/>
    </row>
    <row r="18" spans="1:10" x14ac:dyDescent="0.3">
      <c r="A18" s="187"/>
      <c r="B18" s="18" t="s">
        <v>593</v>
      </c>
      <c r="C18" s="6">
        <v>8857</v>
      </c>
      <c r="D18" s="2">
        <v>-211</v>
      </c>
      <c r="E18" s="2">
        <v>-1</v>
      </c>
      <c r="F18" s="230"/>
      <c r="G18" s="230">
        <f t="shared" si="0"/>
        <v>-212</v>
      </c>
      <c r="H18" s="233">
        <f t="shared" si="1"/>
        <v>0</v>
      </c>
      <c r="I18" s="240">
        <f>IF(T_T134111213141516171819202122232425262728293031323335[[#This Row],[Total]]&lt;0,T_T134111213141516171819202122232425262728293031323335[[#This Row],[Total]]*-1,0)</f>
        <v>212</v>
      </c>
      <c r="J18" s="231"/>
    </row>
    <row r="19" spans="1:10" x14ac:dyDescent="0.3">
      <c r="A19" s="188">
        <v>45747</v>
      </c>
      <c r="B19" s="3" t="s">
        <v>534</v>
      </c>
      <c r="C19" s="6"/>
      <c r="D19" s="2">
        <v>252</v>
      </c>
      <c r="E19" s="2">
        <v>2</v>
      </c>
      <c r="F19" s="230"/>
      <c r="G19" s="230">
        <f t="shared" si="0"/>
        <v>254</v>
      </c>
      <c r="H19" s="233">
        <f t="shared" si="1"/>
        <v>254</v>
      </c>
      <c r="I19" s="240">
        <f>IF(T_T134111213141516171819202122232425262728293031323335[[#This Row],[Total]]&lt;0,T_T134111213141516171819202122232425262728293031323335[[#This Row],[Total]]*-1,0)</f>
        <v>0</v>
      </c>
      <c r="J19" s="231"/>
    </row>
    <row r="20" spans="1:10" x14ac:dyDescent="0.3">
      <c r="A20" s="188"/>
      <c r="B20" s="82" t="s">
        <v>535</v>
      </c>
      <c r="C20" s="6">
        <v>8857</v>
      </c>
      <c r="D20" s="2">
        <v>-252</v>
      </c>
      <c r="E20" s="2">
        <v>-2</v>
      </c>
      <c r="F20" s="230"/>
      <c r="G20" s="230">
        <f t="shared" si="0"/>
        <v>-254</v>
      </c>
      <c r="H20" s="233">
        <f t="shared" si="1"/>
        <v>0</v>
      </c>
      <c r="I20" s="240">
        <f>IF(T_T134111213141516171819202122232425262728293031323335[[#This Row],[Total]]&lt;0,T_T134111213141516171819202122232425262728293031323335[[#This Row],[Total]]*-1,0)</f>
        <v>254</v>
      </c>
      <c r="J20" s="231"/>
    </row>
    <row r="21" spans="1:10" x14ac:dyDescent="0.3">
      <c r="A21" s="188">
        <v>45777</v>
      </c>
      <c r="B21" s="3" t="s">
        <v>536</v>
      </c>
      <c r="C21" s="6"/>
      <c r="D21" s="2">
        <v>252</v>
      </c>
      <c r="E21" s="2">
        <v>1</v>
      </c>
      <c r="F21" s="230"/>
      <c r="G21" s="230">
        <f t="shared" si="0"/>
        <v>253</v>
      </c>
      <c r="H21" s="233">
        <f t="shared" si="1"/>
        <v>253</v>
      </c>
      <c r="I21" s="309">
        <f>IF(T_T134111213141516171819202122232425262728293031323335[[#This Row],[Total]]&lt;0,T_T134111213141516171819202122232425262728293031323335[[#This Row],[Total]]*-1,0)</f>
        <v>0</v>
      </c>
      <c r="J21" s="320"/>
    </row>
    <row r="22" spans="1:10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253</v>
      </c>
      <c r="I22" s="309">
        <f>IF(T_T134111213141516171819202122232425262728293031323335[[#This Row],[Total]]&lt;0,T_T134111213141516171819202122232425262728293031323335[[#This Row],[Total]]*-1,0)</f>
        <v>0</v>
      </c>
      <c r="J22" s="320"/>
    </row>
    <row r="23" spans="1:10" x14ac:dyDescent="0.3">
      <c r="A23" s="40">
        <v>45807</v>
      </c>
      <c r="B23" s="3" t="s">
        <v>538</v>
      </c>
      <c r="C23" s="229"/>
      <c r="D23" s="230">
        <v>252</v>
      </c>
      <c r="E23" s="230">
        <v>1</v>
      </c>
      <c r="F23" s="230"/>
      <c r="G23" s="230">
        <f t="shared" si="0"/>
        <v>253</v>
      </c>
      <c r="H23" s="233">
        <f t="shared" si="1"/>
        <v>506</v>
      </c>
      <c r="I23" s="309">
        <f>IF(T_T134111213141516171819202122232425262728293031323335[[#This Row],[Total]]&lt;0,T_T134111213141516171819202122232425262728293031323335[[#This Row],[Total]]*-1,0)</f>
        <v>0</v>
      </c>
      <c r="J23" s="320"/>
    </row>
    <row r="24" spans="1:10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506</v>
      </c>
      <c r="I24" s="309">
        <f>IF(T_T134111213141516171819202122232425262728293031323335[[#This Row],[Total]]&lt;0,T_T134111213141516171819202122232425262728293031323335[[#This Row],[Total]]*-1,0)</f>
        <v>0</v>
      </c>
      <c r="J24" s="320"/>
    </row>
    <row r="25" spans="1:10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506</v>
      </c>
      <c r="I25" s="309">
        <f>IF(T_T134111213141516171819202122232425262728293031323335[[#This Row],[Total]]&lt;0,T_T134111213141516171819202122232425262728293031323335[[#This Row],[Total]]*-1,0)</f>
        <v>0</v>
      </c>
      <c r="J25" s="320"/>
    </row>
    <row r="26" spans="1:10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506</v>
      </c>
      <c r="I26" s="309">
        <f>IF(T_T134111213141516171819202122232425262728293031323335[[#This Row],[Total]]&lt;0,T_T134111213141516171819202122232425262728293031323335[[#This Row],[Total]]*-1,0)</f>
        <v>0</v>
      </c>
      <c r="J26" s="320"/>
    </row>
    <row r="27" spans="1:10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506</v>
      </c>
      <c r="I27" s="309">
        <f>IF(T_T134111213141516171819202122232425262728293031323335[[#This Row],[Total]]&lt;0,T_T134111213141516171819202122232425262728293031323335[[#This Row],[Total]]*-1,0)</f>
        <v>0</v>
      </c>
      <c r="J27" s="320"/>
    </row>
    <row r="28" spans="1:10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506</v>
      </c>
      <c r="I28" s="309">
        <f>IF(T_T134111213141516171819202122232425262728293031323335[[#This Row],[Total]]&lt;0,T_T134111213141516171819202122232425262728293031323335[[#This Row],[Total]]*-1,0)</f>
        <v>0</v>
      </c>
      <c r="J28" s="320"/>
    </row>
    <row r="29" spans="1:10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506</v>
      </c>
      <c r="I29" s="309">
        <f>IF(T_T134111213141516171819202122232425262728293031323335[[#This Row],[Total]]&lt;0,T_T134111213141516171819202122232425262728293031323335[[#This Row],[Total]]*-1,0)</f>
        <v>0</v>
      </c>
      <c r="J29" s="320"/>
    </row>
    <row r="30" spans="1:10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506</v>
      </c>
      <c r="I30" s="309">
        <f>IF(T_T134111213141516171819202122232425262728293031323335[[#This Row],[Total]]&lt;0,T_T134111213141516171819202122232425262728293031323335[[#This Row],[Total]]*-1,0)</f>
        <v>0</v>
      </c>
      <c r="J30" s="320"/>
    </row>
    <row r="31" spans="1:10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506</v>
      </c>
      <c r="I31" s="309">
        <f>IF(T_T134111213141516171819202122232425262728293031323335[[#This Row],[Total]]&lt;0,T_T134111213141516171819202122232425262728293031323335[[#This Row],[Total]]*-1,0)</f>
        <v>0</v>
      </c>
      <c r="J31" s="320"/>
    </row>
    <row r="32" spans="1:10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506</v>
      </c>
      <c r="I32" s="309">
        <f>IF(T_T134111213141516171819202122232425262728293031323335[[#This Row],[Total]]&lt;0,T_T134111213141516171819202122232425262728293031323335[[#This Row],[Total]]*-1,0)</f>
        <v>0</v>
      </c>
      <c r="J32" s="320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506</v>
      </c>
      <c r="I33" s="309">
        <f>IF(T_T134111213141516171819202122232425262728293031323335[[#This Row],[Total]]&lt;0,T_T134111213141516171819202122232425262728293031323335[[#This Row],[Total]]*-1,0)</f>
        <v>0</v>
      </c>
      <c r="J33" s="320"/>
    </row>
    <row r="34" spans="1:10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506</v>
      </c>
      <c r="I34" s="309">
        <f>IF(T_T134111213141516171819202122232425262728293031323335[[#This Row],[Total]]&lt;0,T_T134111213141516171819202122232425262728293031323335[[#This Row],[Total]]*-1,0)</f>
        <v>0</v>
      </c>
      <c r="J34" s="320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506</v>
      </c>
      <c r="I35" s="309">
        <f>IF(T_T134111213141516171819202122232425262728293031323335[[#This Row],[Total]]&lt;0,T_T134111213141516171819202122232425262728293031323335[[#This Row],[Total]]*-1,0)</f>
        <v>0</v>
      </c>
      <c r="J35" s="320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506</v>
      </c>
      <c r="I36" s="309">
        <f>IF(T_T134111213141516171819202122232425262728293031323335[[#This Row],[Total]]&lt;0,T_T134111213141516171819202122232425262728293031323335[[#This Row],[Total]]*-1,0)</f>
        <v>0</v>
      </c>
      <c r="J36" s="320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506</v>
      </c>
      <c r="I37" s="309">
        <f>IF(T_T134111213141516171819202122232425262728293031323335[[#This Row],[Total]]&lt;0,T_T134111213141516171819202122232425262728293031323335[[#This Row],[Total]]*-1,0)</f>
        <v>0</v>
      </c>
      <c r="J37" s="320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506</v>
      </c>
      <c r="I38" s="353">
        <f>IF(T_T134111213141516171819202122232425262728293031323335[[#This Row],[Total]]&lt;0,T_T134111213141516171819202122232425262728293031323335[[#This Row],[Total]]*-1,0)</f>
        <v>0</v>
      </c>
      <c r="J38" s="355"/>
    </row>
    <row r="39" spans="1:10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506</v>
      </c>
      <c r="I39" s="353">
        <f>IF(T_T134111213141516171819202122232425262728293031323335[[#This Row],[Total]]&lt;0,T_T134111213141516171819202122232425262728293031323335[[#This Row],[Total]]*-1,0)</f>
        <v>0</v>
      </c>
      <c r="J39" s="355"/>
    </row>
    <row r="40" spans="1:10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506</v>
      </c>
      <c r="I40" s="353">
        <f>IF(T_T134111213141516171819202122232425262728293031323335[[#This Row],[Total]]&lt;0,T_T134111213141516171819202122232425262728293031323335[[#This Row],[Total]]*-1,0)</f>
        <v>0</v>
      </c>
      <c r="J40" s="355"/>
    </row>
    <row r="41" spans="1:10" x14ac:dyDescent="0.3">
      <c r="A41" s="492"/>
      <c r="B41" s="493"/>
      <c r="C41" s="466"/>
      <c r="D41" s="467"/>
      <c r="E41" s="467"/>
      <c r="F41" s="467"/>
      <c r="G41" s="467"/>
      <c r="H41" s="474"/>
      <c r="I41" s="475"/>
      <c r="J41" s="480"/>
    </row>
    <row r="44" spans="1:10" x14ac:dyDescent="0.3">
      <c r="H44" s="1">
        <f>+T_T134111213141516171819202122232425262728293031323335[[#Totals],[Agua]]+T_T134111213141516171819202122232425262728293031323335[[#Totals],[Expensas]]</f>
        <v>0</v>
      </c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scale="60" orientation="portrait" verticalDpi="360" r:id="rId2"/>
  <drawing r:id="rId3"/>
  <tableParts count="1">
    <tablePart r:id="rId4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N47"/>
  <sheetViews>
    <sheetView showGridLines="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1" max="11" width="10.33203125" customWidth="1"/>
    <col min="12" max="12" width="10.6640625" customWidth="1"/>
    <col min="14" max="14" width="10.6640625" bestFit="1" customWidth="1"/>
    <col min="15" max="15" width="14.5546875" customWidth="1"/>
  </cols>
  <sheetData>
    <row r="2" spans="1:14" ht="15.6" x14ac:dyDescent="0.3">
      <c r="A2" s="27" t="s">
        <v>36</v>
      </c>
      <c r="B2" s="41" t="s">
        <v>84</v>
      </c>
    </row>
    <row r="3" spans="1:14" ht="12.75" customHeight="1" x14ac:dyDescent="0.3">
      <c r="A3" s="27" t="s">
        <v>31</v>
      </c>
      <c r="B3" s="28"/>
    </row>
    <row r="4" spans="1:14" hidden="1" x14ac:dyDescent="0.3">
      <c r="A4" s="27" t="s">
        <v>32</v>
      </c>
      <c r="B4" s="28" t="e">
        <f>LOOKUP(B2,#REF!,#REF!)</f>
        <v>#REF!</v>
      </c>
    </row>
    <row r="5" spans="1:14" hidden="1" x14ac:dyDescent="0.3">
      <c r="A5" s="27" t="s">
        <v>33</v>
      </c>
      <c r="B5" s="28" t="e">
        <f>LOOKUP(B2,#REF!,#REF!)</f>
        <v>#REF!</v>
      </c>
    </row>
    <row r="6" spans="1:14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4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4" x14ac:dyDescent="0.3">
      <c r="A8" s="21"/>
      <c r="B8" s="21" t="s">
        <v>235</v>
      </c>
    </row>
    <row r="9" spans="1:14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204" t="s">
        <v>28</v>
      </c>
      <c r="I9" s="205" t="s">
        <v>49</v>
      </c>
      <c r="J9" s="206" t="s">
        <v>188</v>
      </c>
      <c r="K9" s="75" t="s">
        <v>191</v>
      </c>
    </row>
    <row r="10" spans="1:14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/>
      <c r="J10" s="104"/>
      <c r="K10" s="79"/>
      <c r="N10" s="178"/>
    </row>
    <row r="11" spans="1:14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IF(T_T13411121314151617181920212223242526272829303132333536[[#This Row],[Total]]&lt;0,T_T13411121314151617181920212223242526272829303132333536[[#This Row],[Total]]*-1,0)</f>
        <v>0</v>
      </c>
      <c r="J11" s="260"/>
      <c r="K11" s="79"/>
    </row>
    <row r="12" spans="1:14" x14ac:dyDescent="0.3">
      <c r="A12" s="117"/>
      <c r="B12" s="118" t="s">
        <v>467</v>
      </c>
      <c r="C12" s="424"/>
      <c r="D12" s="425"/>
      <c r="E12" s="425"/>
      <c r="F12" s="425"/>
      <c r="G12" s="425">
        <f>SUM(D12:F12)</f>
        <v>0</v>
      </c>
      <c r="H12" s="435">
        <f>H11+G12</f>
        <v>0</v>
      </c>
      <c r="I12" s="430">
        <f>IF(T_T13411121314151617181920212223242526272829303132333536[[#This Row],[Total]]&lt;0,T_T13411121314151617181920212223242526272829303132333536[[#This Row],[Total]]*-1,0)</f>
        <v>0</v>
      </c>
      <c r="J12" s="436"/>
      <c r="K12" s="419"/>
    </row>
    <row r="13" spans="1:14" x14ac:dyDescent="0.3">
      <c r="A13" s="288"/>
      <c r="B13" s="118" t="s">
        <v>502</v>
      </c>
      <c r="C13" s="289"/>
      <c r="D13" s="290"/>
      <c r="E13" s="290"/>
      <c r="F13" s="290"/>
      <c r="G13" s="290"/>
      <c r="H13" s="435">
        <v>0</v>
      </c>
      <c r="I13" s="240">
        <f>IF(T_T13411121314151617181920212223242526272829303132333536[[#This Row],[Total]]&lt;0,T_T13411121314151617181920212223242526272829303132333536[[#This Row],[Total]]*-1,0)</f>
        <v>0</v>
      </c>
      <c r="J13" s="260"/>
      <c r="K13" s="79"/>
    </row>
    <row r="14" spans="1:14" x14ac:dyDescent="0.3">
      <c r="A14" s="288"/>
      <c r="B14" s="118" t="s">
        <v>529</v>
      </c>
      <c r="C14" s="481"/>
      <c r="D14" s="482"/>
      <c r="E14" s="482"/>
      <c r="F14" s="482"/>
      <c r="G14" s="482">
        <f>SUM(D14:F14)</f>
        <v>0</v>
      </c>
      <c r="H14" s="489">
        <f>H13+G14</f>
        <v>0</v>
      </c>
      <c r="I14" s="473">
        <f>IF(T_T13411121314151617181920212223242526272829303132333536[[#This Row],[Total]]&lt;0,T_T13411121314151617181920212223242526272829303132333536[[#This Row],[Total]]*-1,0)</f>
        <v>0</v>
      </c>
      <c r="J14" s="490"/>
      <c r="K14" s="485"/>
    </row>
    <row r="15" spans="1:14" x14ac:dyDescent="0.3">
      <c r="A15" s="17">
        <v>46052</v>
      </c>
      <c r="B15" s="18" t="s">
        <v>590</v>
      </c>
      <c r="C15" s="6"/>
      <c r="D15" s="2">
        <v>184</v>
      </c>
      <c r="E15" s="2">
        <v>62</v>
      </c>
      <c r="F15" s="20"/>
      <c r="G15" s="20">
        <f>SUM(D15:F15)</f>
        <v>246</v>
      </c>
      <c r="H15" s="435">
        <f>+G15+H13</f>
        <v>246</v>
      </c>
      <c r="I15" s="240">
        <f>IF(T_T13411121314151617181920212223242526272829303132333536[[#This Row],[Total]]&lt;0,T_T13411121314151617181920212223242526272829303132333536[[#This Row],[Total]]*-1,0)</f>
        <v>0</v>
      </c>
      <c r="J15" s="260"/>
      <c r="K15" s="79"/>
    </row>
    <row r="16" spans="1:14" x14ac:dyDescent="0.3">
      <c r="A16" s="17"/>
      <c r="B16" s="18" t="s">
        <v>591</v>
      </c>
      <c r="C16" s="6">
        <v>8562</v>
      </c>
      <c r="D16" s="2">
        <v>-184</v>
      </c>
      <c r="E16" s="2">
        <v>-62</v>
      </c>
      <c r="F16" s="230"/>
      <c r="G16" s="230">
        <f t="shared" ref="G16:G43" si="0">SUM(D16:F16)</f>
        <v>-246</v>
      </c>
      <c r="H16" s="435">
        <f>H15+G16</f>
        <v>0</v>
      </c>
      <c r="I16" s="240">
        <f>IF(T_T13411121314151617181920212223242526272829303132333536[[#This Row],[Total]]&lt;0,T_T13411121314151617181920212223242526272829303132333536[[#This Row],[Total]]*-1,0)</f>
        <v>246</v>
      </c>
      <c r="J16" s="260"/>
      <c r="K16" s="79"/>
    </row>
    <row r="17" spans="1:13" x14ac:dyDescent="0.3">
      <c r="A17" s="164">
        <v>46081</v>
      </c>
      <c r="B17" s="161" t="s">
        <v>592</v>
      </c>
      <c r="C17" s="6"/>
      <c r="D17" s="2">
        <v>184</v>
      </c>
      <c r="E17" s="2">
        <v>39</v>
      </c>
      <c r="F17" s="230"/>
      <c r="G17" s="230">
        <f t="shared" si="0"/>
        <v>223</v>
      </c>
      <c r="H17" s="233">
        <f t="shared" ref="H17:H44" si="1">H16+G17</f>
        <v>223</v>
      </c>
      <c r="I17" s="240">
        <f>IF(T_T13411121314151617181920212223242526272829303132333536[[#This Row],[Total]]&lt;0,T_T13411121314151617181920212223242526272829303132333536[[#This Row],[Total]]*-1,0)</f>
        <v>0</v>
      </c>
      <c r="J17" s="260"/>
      <c r="K17" s="79"/>
    </row>
    <row r="18" spans="1:13" x14ac:dyDescent="0.3">
      <c r="A18" s="187"/>
      <c r="B18" s="18" t="s">
        <v>593</v>
      </c>
      <c r="C18" s="6">
        <v>8782</v>
      </c>
      <c r="D18" s="2">
        <v>-184</v>
      </c>
      <c r="E18" s="2">
        <v>-39</v>
      </c>
      <c r="F18" s="230"/>
      <c r="G18" s="230">
        <f t="shared" si="0"/>
        <v>-223</v>
      </c>
      <c r="H18" s="233">
        <f>H17+G18</f>
        <v>0</v>
      </c>
      <c r="I18" s="240">
        <f>IF(T_T13411121314151617181920212223242526272829303132333536[[#This Row],[Total]]&lt;0,T_T13411121314151617181920212223242526272829303132333536[[#This Row],[Total]]*-1,0)</f>
        <v>223</v>
      </c>
      <c r="J18" s="260"/>
      <c r="K18" s="79"/>
    </row>
    <row r="19" spans="1:13" x14ac:dyDescent="0.3">
      <c r="A19" s="188">
        <v>45747</v>
      </c>
      <c r="B19" s="3" t="s">
        <v>534</v>
      </c>
      <c r="C19" s="6"/>
      <c r="D19" s="2">
        <v>220</v>
      </c>
      <c r="E19" s="2">
        <v>22</v>
      </c>
      <c r="F19" s="230"/>
      <c r="G19" s="230">
        <f t="shared" si="0"/>
        <v>242</v>
      </c>
      <c r="H19" s="233">
        <f>H18+G19</f>
        <v>242</v>
      </c>
      <c r="I19" s="240">
        <f>IF(T_T13411121314151617181920212223242526272829303132333536[[#This Row],[Total]]&lt;0,T_T13411121314151617181920212223242526272829303132333536[[#This Row],[Total]]*-1,0)</f>
        <v>0</v>
      </c>
      <c r="J19" s="260"/>
      <c r="K19" s="79"/>
    </row>
    <row r="20" spans="1:13" x14ac:dyDescent="0.3">
      <c r="A20" s="188"/>
      <c r="B20" s="82" t="s">
        <v>535</v>
      </c>
      <c r="C20" s="6">
        <v>8929</v>
      </c>
      <c r="D20" s="2">
        <v>-220</v>
      </c>
      <c r="E20" s="2">
        <v>-22</v>
      </c>
      <c r="F20" s="230"/>
      <c r="G20" s="230">
        <f t="shared" si="0"/>
        <v>-242</v>
      </c>
      <c r="H20" s="233">
        <f t="shared" si="1"/>
        <v>0</v>
      </c>
      <c r="I20" s="240">
        <f>IF(T_T13411121314151617181920212223242526272829303132333536[[#This Row],[Total]]&lt;0,T_T13411121314151617181920212223242526272829303132333536[[#This Row],[Total]]*-1,0)</f>
        <v>242</v>
      </c>
      <c r="J20" s="260"/>
      <c r="K20" s="79"/>
    </row>
    <row r="21" spans="1:13" x14ac:dyDescent="0.3">
      <c r="A21" s="188">
        <v>45777</v>
      </c>
      <c r="B21" s="3" t="s">
        <v>536</v>
      </c>
      <c r="C21" s="6"/>
      <c r="D21" s="2">
        <v>220</v>
      </c>
      <c r="E21" s="2">
        <v>34</v>
      </c>
      <c r="F21" s="230"/>
      <c r="G21" s="230">
        <f t="shared" si="0"/>
        <v>254</v>
      </c>
      <c r="H21" s="233">
        <f t="shared" si="1"/>
        <v>254</v>
      </c>
      <c r="I21" s="309">
        <f>IF(T_T13411121314151617181920212223242526272829303132333536[[#This Row],[Total]]&lt;0,T_T13411121314151617181920212223242526272829303132333536[[#This Row],[Total]]*-1,0)</f>
        <v>0</v>
      </c>
      <c r="J21" s="326"/>
      <c r="K21" s="313"/>
    </row>
    <row r="22" spans="1:13" x14ac:dyDescent="0.3">
      <c r="A22" s="83"/>
      <c r="B22" s="82" t="s">
        <v>537</v>
      </c>
      <c r="C22" s="6">
        <v>8930</v>
      </c>
      <c r="D22" s="2">
        <v>-220</v>
      </c>
      <c r="E22" s="2">
        <v>-34</v>
      </c>
      <c r="F22" s="230"/>
      <c r="G22" s="230">
        <f t="shared" si="0"/>
        <v>-254</v>
      </c>
      <c r="H22" s="233">
        <f t="shared" si="1"/>
        <v>0</v>
      </c>
      <c r="I22" s="309">
        <f>IF(T_T13411121314151617181920212223242526272829303132333536[[#This Row],[Total]]&lt;0,T_T13411121314151617181920212223242526272829303132333536[[#This Row],[Total]]*-1,0)</f>
        <v>254</v>
      </c>
      <c r="J22" s="326"/>
      <c r="K22" s="313"/>
    </row>
    <row r="23" spans="1:13" x14ac:dyDescent="0.3">
      <c r="A23" s="40">
        <v>45807</v>
      </c>
      <c r="B23" s="3" t="s">
        <v>538</v>
      </c>
      <c r="C23" s="376"/>
      <c r="D23" s="377">
        <v>220</v>
      </c>
      <c r="E23" s="377">
        <v>28</v>
      </c>
      <c r="F23" s="377"/>
      <c r="G23" s="377">
        <f>SUM(D23:F23)</f>
        <v>248</v>
      </c>
      <c r="H23" s="233">
        <f t="shared" si="1"/>
        <v>248</v>
      </c>
      <c r="I23" s="353">
        <f>IF(T_T13411121314151617181920212223242526272829303132333536[[#This Row],[Total]]&lt;0,T_T13411121314151617181920212223242526272829303132333536[[#This Row],[Total]]*-1,0)</f>
        <v>0</v>
      </c>
      <c r="J23" s="360"/>
      <c r="K23" s="354"/>
    </row>
    <row r="24" spans="1:13" x14ac:dyDescent="0.3">
      <c r="A24" s="9"/>
      <c r="B24" s="18" t="s">
        <v>539</v>
      </c>
      <c r="C24" s="376"/>
      <c r="D24" s="377"/>
      <c r="E24" s="377"/>
      <c r="F24" s="377"/>
      <c r="G24" s="377">
        <f>SUM(D24:F24)</f>
        <v>0</v>
      </c>
      <c r="H24" s="233">
        <f t="shared" si="1"/>
        <v>248</v>
      </c>
      <c r="I24" s="353">
        <f>IF(T_T13411121314151617181920212223242526272829303132333536[[#This Row],[Total]]&lt;0,T_T13411121314151617181920212223242526272829303132333536[[#This Row],[Total]]*-1,0)</f>
        <v>0</v>
      </c>
      <c r="J24" s="360"/>
      <c r="K24" s="354"/>
    </row>
    <row r="25" spans="1:13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248</v>
      </c>
      <c r="I25" s="309">
        <f>IF(T_T13411121314151617181920212223242526272829303132333536[[#This Row],[Total]]&lt;0,T_T13411121314151617181920212223242526272829303132333536[[#This Row],[Total]]*-1,0)</f>
        <v>0</v>
      </c>
      <c r="J25" s="326"/>
      <c r="K25" s="313"/>
    </row>
    <row r="26" spans="1:13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248</v>
      </c>
      <c r="I26" s="309">
        <f>IF(T_T13411121314151617181920212223242526272829303132333536[[#This Row],[Total]]&lt;0,T_T13411121314151617181920212223242526272829303132333536[[#This Row],[Total]]*-1,0)</f>
        <v>0</v>
      </c>
      <c r="J26" s="326"/>
      <c r="K26" s="313"/>
    </row>
    <row r="27" spans="1:13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248</v>
      </c>
      <c r="I27" s="309">
        <f>IF(T_T13411121314151617181920212223242526272829303132333536[[#This Row],[Total]]&lt;0,T_T13411121314151617181920212223242526272829303132333536[[#This Row],[Total]]*-1,0)</f>
        <v>0</v>
      </c>
      <c r="J27" s="326"/>
      <c r="K27" s="313"/>
    </row>
    <row r="28" spans="1:13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248</v>
      </c>
      <c r="I28" s="309">
        <f>IF(T_T13411121314151617181920212223242526272829303132333536[[#This Row],[Total]]&lt;0,T_T13411121314151617181920212223242526272829303132333536[[#This Row],[Total]]*-1,0)</f>
        <v>0</v>
      </c>
      <c r="J28" s="326"/>
      <c r="K28" s="313"/>
    </row>
    <row r="29" spans="1:13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248</v>
      </c>
      <c r="I29" s="309">
        <f>IF(T_T13411121314151617181920212223242526272829303132333536[[#This Row],[Total]]&lt;0,T_T13411121314151617181920212223242526272829303132333536[[#This Row],[Total]]*-1,0)</f>
        <v>0</v>
      </c>
      <c r="J29" s="326"/>
      <c r="K29" s="313"/>
      <c r="M29" t="s">
        <v>576</v>
      </c>
    </row>
    <row r="30" spans="1:13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248</v>
      </c>
      <c r="I30" s="309">
        <f>IF(T_T13411121314151617181920212223242526272829303132333536[[#This Row],[Total]]&lt;0,T_T13411121314151617181920212223242526272829303132333536[[#This Row],[Total]]*-1,0)</f>
        <v>0</v>
      </c>
      <c r="J30" s="326"/>
      <c r="K30" s="313"/>
    </row>
    <row r="31" spans="1:13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248</v>
      </c>
      <c r="I31" s="309">
        <f>IF(T_T13411121314151617181920212223242526272829303132333536[[#This Row],[Total]]&lt;0,T_T13411121314151617181920212223242526272829303132333536[[#This Row],[Total]]*-1,0)</f>
        <v>0</v>
      </c>
      <c r="J31" s="326"/>
      <c r="K31" s="313"/>
    </row>
    <row r="32" spans="1:13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248</v>
      </c>
      <c r="I32" s="309">
        <f>IF(T_T13411121314151617181920212223242526272829303132333536[[#This Row],[Total]]&lt;0,T_T13411121314151617181920212223242526272829303132333536[[#This Row],[Total]]*-1,0)</f>
        <v>0</v>
      </c>
      <c r="J32" s="326"/>
      <c r="K32" s="313"/>
    </row>
    <row r="33" spans="1:11" x14ac:dyDescent="0.3">
      <c r="A33" s="9">
        <v>45960</v>
      </c>
      <c r="B33" s="3" t="s">
        <v>548</v>
      </c>
      <c r="C33" s="376"/>
      <c r="D33" s="377"/>
      <c r="E33" s="377"/>
      <c r="F33" s="377"/>
      <c r="G33" s="377">
        <f>SUM(D33:F33)</f>
        <v>0</v>
      </c>
      <c r="H33" s="378">
        <f>H32+G33</f>
        <v>248</v>
      </c>
      <c r="I33" s="353">
        <f>IF(T_T13411121314151617181920212223242526272829303132333536[[#This Row],[Total]]&lt;0,T_T13411121314151617181920212223242526272829303132333536[[#This Row],[Total]]*-1,0)</f>
        <v>0</v>
      </c>
      <c r="J33" s="360"/>
      <c r="K33" s="354"/>
    </row>
    <row r="34" spans="1:11" x14ac:dyDescent="0.3">
      <c r="A34" s="9"/>
      <c r="B34" s="3" t="s">
        <v>549</v>
      </c>
      <c r="C34" s="376"/>
      <c r="D34" s="377"/>
      <c r="E34" s="377"/>
      <c r="F34" s="377"/>
      <c r="G34" s="377">
        <f>SUM(D34:F34)</f>
        <v>0</v>
      </c>
      <c r="H34" s="378">
        <f>H33+G34</f>
        <v>248</v>
      </c>
      <c r="I34" s="353">
        <f>IF(T_T13411121314151617181920212223242526272829303132333536[[#This Row],[Total]]&lt;0,T_T13411121314151617181920212223242526272829303132333536[[#This Row],[Total]]*-1,0)</f>
        <v>0</v>
      </c>
      <c r="J34" s="360"/>
      <c r="K34" s="354"/>
    </row>
    <row r="35" spans="1:11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378">
        <f>H34+G35</f>
        <v>248</v>
      </c>
      <c r="I35" s="309">
        <f>IF(T_T13411121314151617181920212223242526272829303132333536[[#This Row],[Total]]&lt;0,T_T13411121314151617181920212223242526272829303132333536[[#This Row],[Total]]*-1,0)</f>
        <v>0</v>
      </c>
      <c r="J35" s="326"/>
      <c r="K35" s="313"/>
    </row>
    <row r="36" spans="1:11" x14ac:dyDescent="0.3">
      <c r="A36" s="17"/>
      <c r="B36" s="18" t="s">
        <v>551</v>
      </c>
      <c r="C36" s="6"/>
      <c r="D36" s="230"/>
      <c r="E36" s="230"/>
      <c r="F36" s="230"/>
      <c r="G36" s="230">
        <f t="shared" si="0"/>
        <v>0</v>
      </c>
      <c r="H36" s="378">
        <f>H35+G36</f>
        <v>248</v>
      </c>
      <c r="I36" s="309">
        <f>IF(T_T13411121314151617181920212223242526272829303132333536[[#This Row],[Total]]&lt;0,T_T13411121314151617181920212223242526272829303132333536[[#This Row],[Total]]*-1,0)</f>
        <v>0</v>
      </c>
      <c r="J36" s="326"/>
      <c r="K36" s="313"/>
    </row>
    <row r="37" spans="1:11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248</v>
      </c>
      <c r="I37" s="309">
        <f>IF(T_T13411121314151617181920212223242526272829303132333536[[#This Row],[Total]]&lt;0,T_T13411121314151617181920212223242526272829303132333536[[#This Row],[Total]]*-1,0)</f>
        <v>0</v>
      </c>
      <c r="J37" s="326"/>
      <c r="K37" s="313"/>
    </row>
    <row r="38" spans="1:11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248</v>
      </c>
      <c r="I38" s="309">
        <f>IF(T_T13411121314151617181920212223242526272829303132333536[[#This Row],[Total]]&lt;0,T_T13411121314151617181920212223242526272829303132333536[[#This Row],[Total]]*-1,0)</f>
        <v>0</v>
      </c>
      <c r="J38" s="326"/>
      <c r="K38" s="313"/>
    </row>
    <row r="39" spans="1:11" x14ac:dyDescent="0.3">
      <c r="A39" s="107"/>
      <c r="B39" s="82"/>
      <c r="C39" s="229"/>
      <c r="D39" s="7"/>
      <c r="E39" s="230"/>
      <c r="F39" s="230"/>
      <c r="G39" s="230">
        <f t="shared" si="0"/>
        <v>0</v>
      </c>
      <c r="H39" s="233">
        <f t="shared" si="1"/>
        <v>248</v>
      </c>
      <c r="I39" s="309">
        <f>IF(T_T13411121314151617181920212223242526272829303132333536[[#This Row],[Total]]&lt;0,T_T13411121314151617181920212223242526272829303132333536[[#This Row],[Total]]*-1,0)</f>
        <v>0</v>
      </c>
      <c r="J39" s="326"/>
      <c r="K39" s="313"/>
    </row>
    <row r="40" spans="1:11" x14ac:dyDescent="0.3">
      <c r="A40" s="107"/>
      <c r="B40" s="82"/>
      <c r="C40" s="229"/>
      <c r="D40" s="230"/>
      <c r="E40" s="230"/>
      <c r="F40" s="230"/>
      <c r="G40" s="230">
        <f t="shared" si="0"/>
        <v>0</v>
      </c>
      <c r="H40" s="233">
        <f t="shared" si="1"/>
        <v>248</v>
      </c>
      <c r="I40" s="309">
        <f>IF(T_T13411121314151617181920212223242526272829303132333536[[#This Row],[Total]]&lt;0,T_T13411121314151617181920212223242526272829303132333536[[#This Row],[Total]]*-1,0)</f>
        <v>0</v>
      </c>
      <c r="J40" s="326"/>
      <c r="K40" s="313"/>
    </row>
    <row r="41" spans="1:11" x14ac:dyDescent="0.3">
      <c r="A41" s="170"/>
      <c r="B41" s="18"/>
      <c r="C41" s="229"/>
      <c r="D41" s="230"/>
      <c r="E41" s="230"/>
      <c r="F41" s="230"/>
      <c r="G41" s="230">
        <f t="shared" si="0"/>
        <v>0</v>
      </c>
      <c r="H41" s="233">
        <f t="shared" si="1"/>
        <v>248</v>
      </c>
      <c r="I41" s="347">
        <f>IF(T_T13411121314151617181920212223242526272829303132333536[[#This Row],[Total]]&lt;0,T_T13411121314151617181920212223242526272829303132333536[[#This Row],[Total]]*-1,0)</f>
        <v>0</v>
      </c>
      <c r="J41" s="348"/>
      <c r="K41" s="349"/>
    </row>
    <row r="42" spans="1:11" x14ac:dyDescent="0.3">
      <c r="A42" s="257"/>
      <c r="B42" s="110"/>
      <c r="C42" s="229"/>
      <c r="D42" s="230"/>
      <c r="E42" s="230"/>
      <c r="F42" s="230"/>
      <c r="G42" s="230">
        <f t="shared" si="0"/>
        <v>0</v>
      </c>
      <c r="H42" s="233">
        <f t="shared" si="1"/>
        <v>248</v>
      </c>
      <c r="I42" s="347">
        <f>IF(T_T13411121314151617181920212223242526272829303132333536[[#This Row],[Total]]&lt;0,T_T13411121314151617181920212223242526272829303132333536[[#This Row],[Total]]*-1,0)</f>
        <v>0</v>
      </c>
      <c r="J42" s="348"/>
      <c r="K42" s="349"/>
    </row>
    <row r="43" spans="1:11" x14ac:dyDescent="0.3">
      <c r="A43" s="107"/>
      <c r="B43" s="82"/>
      <c r="C43" s="229"/>
      <c r="D43" s="230"/>
      <c r="E43" s="230"/>
      <c r="F43" s="230"/>
      <c r="G43" s="230">
        <f t="shared" si="0"/>
        <v>0</v>
      </c>
      <c r="H43" s="233">
        <f t="shared" si="1"/>
        <v>248</v>
      </c>
      <c r="I43" s="309">
        <f>IF(T_T13411121314151617181920212223242526272829303132333536[[#This Row],[Total]]&lt;0,T_T13411121314151617181920212223242526272829303132333536[[#This Row],[Total]]*-1,0)</f>
        <v>0</v>
      </c>
      <c r="J43" s="326"/>
      <c r="K43" s="79"/>
    </row>
    <row r="44" spans="1:11" x14ac:dyDescent="0.3">
      <c r="A44" s="107"/>
      <c r="B44" s="82"/>
      <c r="C44" s="229"/>
      <c r="D44" s="230"/>
      <c r="E44" s="230"/>
      <c r="F44" s="230"/>
      <c r="G44" s="230">
        <f>SUM(D44:F51)</f>
        <v>0</v>
      </c>
      <c r="H44" s="233">
        <f t="shared" si="1"/>
        <v>248</v>
      </c>
      <c r="I44" s="309">
        <f>IF(T_T13411121314151617181920212223242526272829303132333536[[#This Row],[Total]]&lt;0,T_T13411121314151617181920212223242526272829303132333536[[#This Row],[Total]]*-1,0)</f>
        <v>0</v>
      </c>
      <c r="J44" s="326"/>
      <c r="K44" s="313"/>
    </row>
    <row r="45" spans="1:11" x14ac:dyDescent="0.3">
      <c r="A45" s="17"/>
      <c r="B45" s="18"/>
      <c r="C45" s="321"/>
      <c r="D45" s="322"/>
      <c r="E45" s="315"/>
      <c r="F45" s="322"/>
      <c r="G45" s="315">
        <f>SUM(D45:F45)</f>
        <v>0</v>
      </c>
      <c r="H45" s="325">
        <f>H44+G45</f>
        <v>248</v>
      </c>
      <c r="I45" s="309">
        <f>IF(T_T13411121314151617181920212223242526272829303132333536[[#This Row],[Total]]&lt;0,T_T13411121314151617181920212223242526272829303132333536[[#This Row],[Total]]*-1,0)</f>
        <v>0</v>
      </c>
      <c r="J45" s="326"/>
      <c r="K45" s="313"/>
    </row>
    <row r="46" spans="1:11" x14ac:dyDescent="0.3">
      <c r="A46" s="17"/>
      <c r="B46" s="18"/>
      <c r="C46" s="466"/>
      <c r="D46" s="467"/>
      <c r="E46" s="467"/>
      <c r="F46" s="467"/>
      <c r="G46" s="467"/>
      <c r="H46" s="468"/>
      <c r="I46" s="469"/>
      <c r="J46" s="470"/>
      <c r="K46" s="76"/>
    </row>
    <row r="47" spans="1:11" x14ac:dyDescent="0.3">
      <c r="C47" s="4" t="s">
        <v>358</v>
      </c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orientation="portrait" verticalDpi="360" r:id="rId2"/>
  <drawing r:id="rId3"/>
  <tableParts count="1">
    <tablePart r:id="rId4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N41"/>
  <sheetViews>
    <sheetView showGridLines="0" zoomScale="85" zoomScaleNormal="85" workbookViewId="0">
      <selection activeCell="D25" sqref="D25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9.33203125" style="4" customWidth="1"/>
    <col min="4" max="4" width="10" style="1" customWidth="1"/>
    <col min="5" max="5" width="11.88671875" style="1" customWidth="1"/>
    <col min="6" max="6" width="4.6640625" style="1" customWidth="1"/>
    <col min="7" max="7" width="11.88671875" style="1" customWidth="1"/>
    <col min="8" max="8" width="12.44140625" style="1" customWidth="1"/>
    <col min="9" max="9" width="12.88671875" hidden="1" customWidth="1"/>
    <col min="14" max="14" width="10.6640625" bestFit="1" customWidth="1"/>
    <col min="15" max="15" width="17" customWidth="1"/>
  </cols>
  <sheetData>
    <row r="2" spans="1:14" ht="15.6" x14ac:dyDescent="0.3">
      <c r="A2" s="27" t="s">
        <v>36</v>
      </c>
      <c r="B2" s="41" t="s">
        <v>85</v>
      </c>
    </row>
    <row r="3" spans="1:14" x14ac:dyDescent="0.3">
      <c r="A3" s="27" t="s">
        <v>31</v>
      </c>
      <c r="B3" s="21" t="s">
        <v>236</v>
      </c>
    </row>
    <row r="4" spans="1:14" x14ac:dyDescent="0.3">
      <c r="A4" s="27" t="s">
        <v>32</v>
      </c>
      <c r="B4" s="28" t="e">
        <f>LOOKUP(B2,#REF!,#REF!)</f>
        <v>#REF!</v>
      </c>
    </row>
    <row r="5" spans="1:14" x14ac:dyDescent="0.3">
      <c r="A5" s="27" t="s">
        <v>33</v>
      </c>
      <c r="B5" s="28" t="e">
        <f>LOOKUP(B2,#REF!,#REF!)</f>
        <v>#REF!</v>
      </c>
    </row>
    <row r="6" spans="1:14" x14ac:dyDescent="0.3">
      <c r="A6" s="27" t="s">
        <v>34</v>
      </c>
      <c r="B6" s="28" t="e">
        <f>LOOKUP(B2,#REF!,#REF!)</f>
        <v>#REF!</v>
      </c>
      <c r="G6" s="25"/>
      <c r="H6" s="25"/>
    </row>
    <row r="7" spans="1:14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4" x14ac:dyDescent="0.3">
      <c r="A8" s="21"/>
    </row>
    <row r="9" spans="1:14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69" t="s">
        <v>188</v>
      </c>
    </row>
    <row r="10" spans="1:14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IF(T_T1341112131415161718192021222324252627282930313233353637[[#This Row],[Total]]&lt;0,T_T1341112131415161718192021222324252627282930313233353637[[#This Row],[Total]]*-1,0)</f>
        <v>0</v>
      </c>
      <c r="J10" s="77"/>
      <c r="N10" s="178"/>
    </row>
    <row r="11" spans="1:14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IF(T_T1341112131415161718192021222324252627282930313233353637[[#This Row],[Total]]&lt;0,T_T1341112131415161718192021222324252627282930313233353637[[#This Row],[Total]]*-1,0)</f>
        <v>0</v>
      </c>
      <c r="J11" s="232"/>
    </row>
    <row r="12" spans="1:14" x14ac:dyDescent="0.3">
      <c r="A12" s="361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IF(T_T1341112131415161718192021222324252627282930313233353637[[#This Row],[Total]]&lt;0,T_T1341112131415161718192021222324252627282930313233353637[[#This Row],[Total]]*-1,0)</f>
        <v>0</v>
      </c>
      <c r="J12" s="419"/>
    </row>
    <row r="13" spans="1:14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IF(T_T1341112131415161718192021222324252627282930313233353637[[#This Row],[Total]]&lt;0,T_T1341112131415161718192021222324252627282930313233353637[[#This Row],[Total]]*-1,0)</f>
        <v>0</v>
      </c>
      <c r="J13" s="232"/>
    </row>
    <row r="14" spans="1:14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IF(T_T1341112131415161718192021222324252627282930313233353637[[#This Row],[Total]]&lt;0,T_T1341112131415161718192021222324252627282930313233353637[[#This Row],[Total]]*-1,0)</f>
        <v>0</v>
      </c>
      <c r="J14" s="485"/>
    </row>
    <row r="15" spans="1:14" x14ac:dyDescent="0.3">
      <c r="A15" s="17">
        <v>46052</v>
      </c>
      <c r="B15" s="18" t="s">
        <v>590</v>
      </c>
      <c r="C15" s="6"/>
      <c r="D15" s="2">
        <v>183</v>
      </c>
      <c r="E15" s="2">
        <v>46</v>
      </c>
      <c r="F15" s="20"/>
      <c r="G15" s="20">
        <f>SUM(D15:F15)</f>
        <v>229</v>
      </c>
      <c r="H15" s="233">
        <f>+H13+T_T1341112131415161718192021222324252627282930313233353637[[#This Row],[Total]]</f>
        <v>229</v>
      </c>
      <c r="I15" s="240">
        <f>IF(T_T1341112131415161718192021222324252627282930313233353637[[#This Row],[Total]]&lt;0,T_T1341112131415161718192021222324252627282930313233353637[[#This Row],[Total]]*-1,0)</f>
        <v>0</v>
      </c>
      <c r="J15" s="232"/>
    </row>
    <row r="16" spans="1:14" x14ac:dyDescent="0.3">
      <c r="A16" s="17"/>
      <c r="B16" s="18" t="s">
        <v>591</v>
      </c>
      <c r="C16" s="6">
        <v>8595</v>
      </c>
      <c r="D16" s="2">
        <v>-183</v>
      </c>
      <c r="E16" s="2">
        <v>-46</v>
      </c>
      <c r="F16" s="230"/>
      <c r="G16" s="230">
        <f t="shared" ref="G16:G38" si="0">SUM(D16:F16)</f>
        <v>-229</v>
      </c>
      <c r="H16" s="233">
        <f t="shared" ref="H16:H40" si="1">H15+G16</f>
        <v>0</v>
      </c>
      <c r="I16" s="240">
        <f>IF(T_T1341112131415161718192021222324252627282930313233353637[[#This Row],[Total]]&lt;0,T_T1341112131415161718192021222324252627282930313233353637[[#This Row],[Total]]*-1,0)</f>
        <v>229</v>
      </c>
      <c r="J16" s="232"/>
    </row>
    <row r="17" spans="1:10" x14ac:dyDescent="0.3">
      <c r="A17" s="164">
        <v>46081</v>
      </c>
      <c r="B17" s="161" t="s">
        <v>592</v>
      </c>
      <c r="C17" s="6"/>
      <c r="D17" s="2">
        <v>183</v>
      </c>
      <c r="E17" s="2">
        <v>41</v>
      </c>
      <c r="F17" s="230"/>
      <c r="G17" s="230">
        <f t="shared" si="0"/>
        <v>224</v>
      </c>
      <c r="H17" s="233">
        <f t="shared" si="1"/>
        <v>224</v>
      </c>
      <c r="I17" s="240">
        <f>IF(T_T1341112131415161718192021222324252627282930313233353637[[#This Row],[Total]]&lt;0,T_T1341112131415161718192021222324252627282930313233353637[[#This Row],[Total]]*-1,0)</f>
        <v>0</v>
      </c>
      <c r="J17" s="232"/>
    </row>
    <row r="18" spans="1:10" x14ac:dyDescent="0.3">
      <c r="A18" s="187"/>
      <c r="B18" s="18" t="s">
        <v>593</v>
      </c>
      <c r="C18" s="6"/>
      <c r="D18" s="2"/>
      <c r="E18" s="2"/>
      <c r="F18" s="230"/>
      <c r="G18" s="230">
        <f t="shared" si="0"/>
        <v>0</v>
      </c>
      <c r="H18" s="233">
        <f t="shared" si="1"/>
        <v>224</v>
      </c>
      <c r="I18" s="240">
        <f>IF(T_T1341112131415161718192021222324252627282930313233353637[[#This Row],[Total]]&lt;0,T_T1341112131415161718192021222324252627282930313233353637[[#This Row],[Total]]*-1,0)</f>
        <v>0</v>
      </c>
      <c r="J18" s="232"/>
    </row>
    <row r="19" spans="1:10" x14ac:dyDescent="0.3">
      <c r="A19" s="188">
        <v>45747</v>
      </c>
      <c r="B19" s="3" t="s">
        <v>534</v>
      </c>
      <c r="C19" s="6"/>
      <c r="D19" s="2">
        <f>189+30</f>
        <v>219</v>
      </c>
      <c r="E19" s="2">
        <v>28</v>
      </c>
      <c r="F19" s="230"/>
      <c r="G19" s="230">
        <f t="shared" si="0"/>
        <v>247</v>
      </c>
      <c r="H19" s="233">
        <f t="shared" si="1"/>
        <v>471</v>
      </c>
      <c r="I19" s="240">
        <f>IF(T_T1341112131415161718192021222324252627282930313233353637[[#This Row],[Total]]&lt;0,T_T1341112131415161718192021222324252627282930313233353637[[#This Row],[Total]]*-1,0)</f>
        <v>0</v>
      </c>
      <c r="J19" s="232"/>
    </row>
    <row r="20" spans="1:10" x14ac:dyDescent="0.3">
      <c r="A20" s="188"/>
      <c r="B20" s="82" t="s">
        <v>535</v>
      </c>
      <c r="C20" s="6"/>
      <c r="D20" s="2"/>
      <c r="E20" s="2"/>
      <c r="F20" s="230"/>
      <c r="G20" s="230">
        <f t="shared" si="0"/>
        <v>0</v>
      </c>
      <c r="H20" s="233">
        <f t="shared" si="1"/>
        <v>471</v>
      </c>
      <c r="I20" s="240">
        <f>IF(T_T1341112131415161718192021222324252627282930313233353637[[#This Row],[Total]]&lt;0,T_T1341112131415161718192021222324252627282930313233353637[[#This Row],[Total]]*-1,0)</f>
        <v>0</v>
      </c>
      <c r="J20" s="232"/>
    </row>
    <row r="21" spans="1:10" x14ac:dyDescent="0.3">
      <c r="A21" s="188">
        <v>45777</v>
      </c>
      <c r="B21" s="3" t="s">
        <v>536</v>
      </c>
      <c r="C21" s="6"/>
      <c r="D21" s="2">
        <v>219</v>
      </c>
      <c r="E21" s="2">
        <v>31</v>
      </c>
      <c r="F21" s="230"/>
      <c r="G21" s="230">
        <f t="shared" si="0"/>
        <v>250</v>
      </c>
      <c r="H21" s="233">
        <f t="shared" si="1"/>
        <v>721</v>
      </c>
      <c r="I21" s="309">
        <f>IF(T_T1341112131415161718192021222324252627282930313233353637[[#This Row],[Total]]&lt;0,T_T1341112131415161718192021222324252627282930313233353637[[#This Row],[Total]]*-1,0)</f>
        <v>0</v>
      </c>
      <c r="J21" s="313"/>
    </row>
    <row r="22" spans="1:10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721</v>
      </c>
      <c r="I22" s="309">
        <f>IF(T_T1341112131415161718192021222324252627282930313233353637[[#This Row],[Total]]&lt;0,T_T1341112131415161718192021222324252627282930313233353637[[#This Row],[Total]]*-1,0)</f>
        <v>0</v>
      </c>
      <c r="J22" s="313"/>
    </row>
    <row r="23" spans="1:10" x14ac:dyDescent="0.3">
      <c r="A23" s="40">
        <v>45807</v>
      </c>
      <c r="B23" s="3" t="s">
        <v>538</v>
      </c>
      <c r="C23" s="229"/>
      <c r="D23" s="230">
        <v>219</v>
      </c>
      <c r="E23" s="230">
        <v>32</v>
      </c>
      <c r="F23" s="230"/>
      <c r="G23" s="230">
        <f t="shared" si="0"/>
        <v>251</v>
      </c>
      <c r="H23" s="233">
        <f t="shared" si="1"/>
        <v>972</v>
      </c>
      <c r="I23" s="309">
        <f>IF(T_T1341112131415161718192021222324252627282930313233353637[[#This Row],[Total]]&lt;0,T_T1341112131415161718192021222324252627282930313233353637[[#This Row],[Total]]*-1,0)</f>
        <v>0</v>
      </c>
      <c r="J23" s="313"/>
    </row>
    <row r="24" spans="1:10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972</v>
      </c>
      <c r="I24" s="309">
        <f>IF(T_T1341112131415161718192021222324252627282930313233353637[[#This Row],[Total]]&lt;0,T_T1341112131415161718192021222324252627282930313233353637[[#This Row],[Total]]*-1,0)</f>
        <v>0</v>
      </c>
      <c r="J24" s="313"/>
    </row>
    <row r="25" spans="1:10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972</v>
      </c>
      <c r="I25" s="309">
        <f>IF(T_T1341112131415161718192021222324252627282930313233353637[[#This Row],[Total]]&lt;0,T_T1341112131415161718192021222324252627282930313233353637[[#This Row],[Total]]*-1,0)</f>
        <v>0</v>
      </c>
      <c r="J25" s="313"/>
    </row>
    <row r="26" spans="1:10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972</v>
      </c>
      <c r="I26" s="309">
        <f>IF(T_T1341112131415161718192021222324252627282930313233353637[[#This Row],[Total]]&lt;0,T_T1341112131415161718192021222324252627282930313233353637[[#This Row],[Total]]*-1,0)</f>
        <v>0</v>
      </c>
      <c r="J26" s="313"/>
    </row>
    <row r="27" spans="1:10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972</v>
      </c>
      <c r="I27" s="309">
        <f>IF(T_T1341112131415161718192021222324252627282930313233353637[[#This Row],[Total]]&lt;0,T_T1341112131415161718192021222324252627282930313233353637[[#This Row],[Total]]*-1,0)</f>
        <v>0</v>
      </c>
      <c r="J27" s="313"/>
    </row>
    <row r="28" spans="1:10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972</v>
      </c>
      <c r="I28" s="309">
        <f>IF(T_T1341112131415161718192021222324252627282930313233353637[[#This Row],[Total]]&lt;0,T_T1341112131415161718192021222324252627282930313233353637[[#This Row],[Total]]*-1,0)</f>
        <v>0</v>
      </c>
      <c r="J28" s="313"/>
    </row>
    <row r="29" spans="1:10" x14ac:dyDescent="0.3">
      <c r="A29" s="107">
        <v>45899</v>
      </c>
      <c r="B29" s="82" t="s">
        <v>544</v>
      </c>
      <c r="C29" s="229"/>
      <c r="D29" s="230"/>
      <c r="E29" s="7"/>
      <c r="F29" s="230"/>
      <c r="G29" s="230">
        <f t="shared" si="0"/>
        <v>0</v>
      </c>
      <c r="H29" s="233">
        <f t="shared" si="1"/>
        <v>972</v>
      </c>
      <c r="I29" s="309">
        <f>IF(T_T1341112131415161718192021222324252627282930313233353637[[#This Row],[Total]]&lt;0,T_T1341112131415161718192021222324252627282930313233353637[[#This Row],[Total]]*-1,0)</f>
        <v>0</v>
      </c>
      <c r="J29" s="313"/>
    </row>
    <row r="30" spans="1:10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972</v>
      </c>
      <c r="I30" s="309">
        <f>IF(T_T1341112131415161718192021222324252627282930313233353637[[#This Row],[Total]]&lt;0,T_T1341112131415161718192021222324252627282930313233353637[[#This Row],[Total]]*-1,0)</f>
        <v>0</v>
      </c>
      <c r="J30" s="313"/>
    </row>
    <row r="31" spans="1:10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972</v>
      </c>
      <c r="I31" s="309">
        <f>IF(T_T1341112131415161718192021222324252627282930313233353637[[#This Row],[Total]]&lt;0,T_T1341112131415161718192021222324252627282930313233353637[[#This Row],[Total]]*-1,0)</f>
        <v>0</v>
      </c>
      <c r="J31" s="313"/>
    </row>
    <row r="32" spans="1:10" x14ac:dyDescent="0.3">
      <c r="A32" s="9"/>
      <c r="B32" s="3" t="s">
        <v>547</v>
      </c>
      <c r="C32" s="6"/>
      <c r="D32" s="230"/>
      <c r="E32" s="7"/>
      <c r="F32" s="230"/>
      <c r="G32" s="230">
        <f t="shared" si="0"/>
        <v>0</v>
      </c>
      <c r="H32" s="233">
        <f t="shared" si="1"/>
        <v>972</v>
      </c>
      <c r="I32" s="309">
        <f>IF(T_T1341112131415161718192021222324252627282930313233353637[[#This Row],[Total]]&lt;0,T_T1341112131415161718192021222324252627282930313233353637[[#This Row],[Total]]*-1,0)</f>
        <v>0</v>
      </c>
      <c r="J32" s="313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972</v>
      </c>
      <c r="I33" s="309">
        <f>IF(T_T1341112131415161718192021222324252627282930313233353637[[#This Row],[Total]]&lt;0,T_T1341112131415161718192021222324252627282930313233353637[[#This Row],[Total]]*-1,0)</f>
        <v>0</v>
      </c>
      <c r="J33" s="313"/>
    </row>
    <row r="34" spans="1:10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972</v>
      </c>
      <c r="I34" s="309">
        <f>IF(T_T1341112131415161718192021222324252627282930313233353637[[#This Row],[Total]]&lt;0,T_T1341112131415161718192021222324252627282930313233353637[[#This Row],[Total]]*-1,0)</f>
        <v>0</v>
      </c>
      <c r="J34" s="313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972</v>
      </c>
      <c r="I35" s="309">
        <f>IF(T_T1341112131415161718192021222324252627282930313233353637[[#This Row],[Total]]&lt;0,T_T1341112131415161718192021222324252627282930313233353637[[#This Row],[Total]]*-1,0)</f>
        <v>0</v>
      </c>
      <c r="J35" s="313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972</v>
      </c>
      <c r="I36" s="309">
        <f>IF(T_T1341112131415161718192021222324252627282930313233353637[[#This Row],[Total]]&lt;0,T_T1341112131415161718192021222324252627282930313233353637[[#This Row],[Total]]*-1,0)</f>
        <v>0</v>
      </c>
      <c r="J36" s="313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972</v>
      </c>
      <c r="I37" s="309">
        <f>IF(T_T1341112131415161718192021222324252627282930313233353637[[#This Row],[Total]]&lt;0,T_T1341112131415161718192021222324252627282930313233353637[[#This Row],[Total]]*-1,0)</f>
        <v>0</v>
      </c>
      <c r="J37" s="313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972</v>
      </c>
      <c r="I38" s="353">
        <f>IF(T_T1341112131415161718192021222324252627282930313233353637[[#This Row],[Total]]&lt;0,T_T1341112131415161718192021222324252627282930313233353637[[#This Row],[Total]]*-1,0)</f>
        <v>0</v>
      </c>
      <c r="J38" s="354"/>
    </row>
    <row r="39" spans="1:10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972</v>
      </c>
      <c r="I39" s="353">
        <f>IF(T_T1341112131415161718192021222324252627282930313233353637[[#This Row],[Total]]&lt;0,T_T1341112131415161718192021222324252627282930313233353637[[#This Row],[Total]]*-1,0)</f>
        <v>0</v>
      </c>
      <c r="J39" s="354"/>
    </row>
    <row r="40" spans="1:10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972</v>
      </c>
      <c r="I40" s="353">
        <f>IF(T_T1341112131415161718192021222324252627282930313233353637[[#This Row],[Total]]&lt;0,T_T1341112131415161718192021222324252627282930313233353637[[#This Row],[Total]]*-1,0)</f>
        <v>0</v>
      </c>
      <c r="J40" s="354"/>
    </row>
    <row r="41" spans="1:10" x14ac:dyDescent="0.3">
      <c r="A41" s="492"/>
      <c r="B41" s="493"/>
      <c r="C41" s="466"/>
      <c r="D41" s="467"/>
      <c r="E41" s="467"/>
      <c r="F41" s="467"/>
      <c r="G41" s="467"/>
      <c r="H41" s="474"/>
      <c r="I41" s="475"/>
      <c r="J41" s="480"/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orientation="portrait" verticalDpi="360" r:id="rId2"/>
  <drawing r:id="rId3"/>
  <tableParts count="1">
    <tablePart r:id="rId4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L127"/>
  <sheetViews>
    <sheetView showGridLines="0" topLeftCell="A8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2.5546875" customWidth="1"/>
    <col min="2" max="2" width="33.33203125" customWidth="1"/>
    <col min="3" max="3" width="11.109375" style="4" customWidth="1"/>
    <col min="4" max="4" width="12.33203125" style="1" customWidth="1"/>
    <col min="5" max="5" width="8.88671875" style="1" customWidth="1"/>
    <col min="6" max="6" width="7" style="1" customWidth="1"/>
    <col min="7" max="7" width="10.5546875" style="1" customWidth="1"/>
    <col min="8" max="8" width="13.109375" style="1" customWidth="1"/>
    <col min="9" max="9" width="12.88671875" hidden="1" customWidth="1"/>
    <col min="10" max="10" width="1.109375" customWidth="1"/>
  </cols>
  <sheetData>
    <row r="2" spans="1:12" ht="15.6" x14ac:dyDescent="0.3">
      <c r="A2" s="27" t="s">
        <v>36</v>
      </c>
      <c r="B2" s="41" t="s">
        <v>86</v>
      </c>
    </row>
    <row r="3" spans="1:12" x14ac:dyDescent="0.3">
      <c r="A3" s="27" t="s">
        <v>31</v>
      </c>
      <c r="B3" s="1" t="s">
        <v>382</v>
      </c>
    </row>
    <row r="4" spans="1:12" x14ac:dyDescent="0.3">
      <c r="A4" s="27"/>
      <c r="B4" s="21"/>
    </row>
    <row r="5" spans="1:12" hidden="1" x14ac:dyDescent="0.3">
      <c r="A5" s="27"/>
      <c r="B5" s="21"/>
    </row>
    <row r="6" spans="1:12" hidden="1" x14ac:dyDescent="0.3">
      <c r="A6" s="27"/>
      <c r="B6" s="21"/>
    </row>
    <row r="7" spans="1:12" hidden="1" x14ac:dyDescent="0.3">
      <c r="A7" s="27"/>
      <c r="B7" s="21"/>
    </row>
    <row r="8" spans="1:12" x14ac:dyDescent="0.3">
      <c r="A8" s="21"/>
    </row>
    <row r="9" spans="1:12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75" t="s">
        <v>188</v>
      </c>
      <c r="K9" s="96" t="s">
        <v>191</v>
      </c>
      <c r="L9" s="242" t="s">
        <v>262</v>
      </c>
    </row>
    <row r="10" spans="1:12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IF(T_T134111213141516171819202122232425262728293031323335363738[[#This Row],[Total]]&lt;0,T_T134111213141516171819202122232425262728293031323335363738[[#This Row],[Total]]*-1,0)</f>
        <v>0</v>
      </c>
      <c r="J10" s="74"/>
      <c r="K10" s="97"/>
      <c r="L10" s="232"/>
    </row>
    <row r="11" spans="1:12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IF(T_T134111213141516171819202122232425262728293031323335363738[[#This Row],[Total]]&lt;0,T_T134111213141516171819202122232425262728293031323335363738[[#This Row],[Total]]*-1,0)</f>
        <v>0</v>
      </c>
      <c r="J11" s="231"/>
      <c r="K11" s="232"/>
      <c r="L11" s="232"/>
    </row>
    <row r="12" spans="1:12" x14ac:dyDescent="0.3">
      <c r="A12" s="117"/>
      <c r="B12" s="118" t="s">
        <v>467</v>
      </c>
      <c r="C12" s="424"/>
      <c r="D12" s="425"/>
      <c r="E12" s="425"/>
      <c r="F12" s="425"/>
      <c r="G12" s="425">
        <f>SUM(D12:F12)</f>
        <v>0</v>
      </c>
      <c r="H12" s="426">
        <v>0</v>
      </c>
      <c r="I12" s="430">
        <f>IF(T_T134111213141516171819202122232425262728293031323335363738[[#This Row],[Total]]&lt;0,T_T134111213141516171819202122232425262728293031323335363738[[#This Row],[Total]]*-1,0)</f>
        <v>0</v>
      </c>
      <c r="J12" s="427"/>
      <c r="K12" s="419"/>
      <c r="L12" s="419"/>
    </row>
    <row r="13" spans="1:12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51">
        <f>IF(T_T134111213141516171819202122232425262728293031323335363738[[#This Row],[Total]]&lt;0,T_T134111213141516171819202122232425262728293031323335363738[[#This Row],[Total]]*-1,0)</f>
        <v>0</v>
      </c>
      <c r="J13" s="73"/>
      <c r="K13" s="79"/>
      <c r="L13" s="79"/>
    </row>
    <row r="14" spans="1:12" x14ac:dyDescent="0.3">
      <c r="A14" s="288"/>
      <c r="B14" s="118" t="s">
        <v>529</v>
      </c>
      <c r="C14" s="481"/>
      <c r="D14" s="482"/>
      <c r="E14" s="482"/>
      <c r="F14" s="482"/>
      <c r="G14" s="482">
        <f>SUM(D14:F14)</f>
        <v>0</v>
      </c>
      <c r="H14" s="484">
        <f>H13+G14</f>
        <v>0</v>
      </c>
      <c r="I14" s="473">
        <f>IF(T_T134111213141516171819202122232425262728293031323335363738[[#This Row],[Total]]&lt;0,T_T134111213141516171819202122232425262728293031323335363738[[#This Row],[Total]]*-1,0)</f>
        <v>0</v>
      </c>
      <c r="J14" s="476"/>
      <c r="K14" s="485"/>
      <c r="L14" s="485"/>
    </row>
    <row r="15" spans="1:12" x14ac:dyDescent="0.3">
      <c r="A15" s="17">
        <v>45687</v>
      </c>
      <c r="B15" s="18" t="s">
        <v>530</v>
      </c>
      <c r="C15" s="6"/>
      <c r="D15" s="2">
        <v>210</v>
      </c>
      <c r="E15" s="2">
        <v>8</v>
      </c>
      <c r="F15" s="20"/>
      <c r="G15" s="20">
        <f>SUM(D15:F15)</f>
        <v>218</v>
      </c>
      <c r="H15" s="233">
        <f>+H13+T_T134111213141516171819202122232425262728293031323335363738[[#This Row],[Total]]</f>
        <v>218</v>
      </c>
      <c r="I15" s="240">
        <f>IF(T_T134111213141516171819202122232425262728293031323335363738[[#This Row],[Total]]&lt;0,T_T134111213141516171819202122232425262728293031323335363738[[#This Row],[Total]]*-1,0)</f>
        <v>0</v>
      </c>
      <c r="J15" s="231"/>
      <c r="K15" s="232"/>
      <c r="L15" s="232"/>
    </row>
    <row r="16" spans="1:12" x14ac:dyDescent="0.3">
      <c r="A16" s="17"/>
      <c r="B16" s="18" t="s">
        <v>531</v>
      </c>
      <c r="C16" s="6">
        <v>8688</v>
      </c>
      <c r="D16" s="2">
        <v>-210</v>
      </c>
      <c r="E16" s="2">
        <v>-8</v>
      </c>
      <c r="F16" s="230"/>
      <c r="G16" s="230">
        <f t="shared" ref="G16:G38" si="0">SUM(D16:F16)</f>
        <v>-218</v>
      </c>
      <c r="H16" s="233">
        <f t="shared" ref="H16:H38" si="1">H15+G16</f>
        <v>0</v>
      </c>
      <c r="I16" s="240">
        <f>IF(T_T134111213141516171819202122232425262728293031323335363738[[#This Row],[Total]]&lt;0,T_T134111213141516171819202122232425262728293031323335363738[[#This Row],[Total]]*-1,0)</f>
        <v>218</v>
      </c>
      <c r="J16" s="231"/>
      <c r="K16" s="232"/>
      <c r="L16" s="232"/>
    </row>
    <row r="17" spans="1:12" x14ac:dyDescent="0.3">
      <c r="A17" s="164">
        <v>45715</v>
      </c>
      <c r="B17" s="161" t="s">
        <v>532</v>
      </c>
      <c r="C17" s="6"/>
      <c r="D17" s="2">
        <v>210</v>
      </c>
      <c r="E17" s="2">
        <v>8</v>
      </c>
      <c r="F17" s="230"/>
      <c r="G17" s="230">
        <f t="shared" si="0"/>
        <v>218</v>
      </c>
      <c r="H17" s="233">
        <f t="shared" si="1"/>
        <v>218</v>
      </c>
      <c r="I17" s="240">
        <f>IF(T_T134111213141516171819202122232425262728293031323335363738[[#This Row],[Total]]&lt;0,T_T134111213141516171819202122232425262728293031323335363738[[#This Row],[Total]]*-1,0)</f>
        <v>0</v>
      </c>
      <c r="J17" s="231"/>
      <c r="K17" s="232"/>
      <c r="L17" s="232"/>
    </row>
    <row r="18" spans="1:12" x14ac:dyDescent="0.3">
      <c r="A18" s="187"/>
      <c r="B18" s="18" t="s">
        <v>533</v>
      </c>
      <c r="C18" s="6">
        <v>8689</v>
      </c>
      <c r="D18" s="2">
        <v>-210</v>
      </c>
      <c r="E18" s="2">
        <v>-8</v>
      </c>
      <c r="F18" s="230"/>
      <c r="G18" s="230">
        <f t="shared" si="0"/>
        <v>-218</v>
      </c>
      <c r="H18" s="233">
        <f t="shared" si="1"/>
        <v>0</v>
      </c>
      <c r="I18" s="240">
        <f>IF(T_T134111213141516171819202122232425262728293031323335363738[[#This Row],[Total]]&lt;0,T_T134111213141516171819202122232425262728293031323335363738[[#This Row],[Total]]*-1,0)</f>
        <v>218</v>
      </c>
      <c r="J18" s="231"/>
      <c r="K18" s="232"/>
      <c r="L18" s="232"/>
    </row>
    <row r="19" spans="1:12" x14ac:dyDescent="0.3">
      <c r="A19" s="188">
        <v>45747</v>
      </c>
      <c r="B19" s="3" t="s">
        <v>534</v>
      </c>
      <c r="C19" s="6"/>
      <c r="D19" s="2">
        <v>251</v>
      </c>
      <c r="E19" s="2">
        <v>5</v>
      </c>
      <c r="F19" s="230"/>
      <c r="G19" s="230">
        <f t="shared" si="0"/>
        <v>256</v>
      </c>
      <c r="H19" s="233">
        <f t="shared" si="1"/>
        <v>256</v>
      </c>
      <c r="I19" s="240">
        <f>IF(T_T134111213141516171819202122232425262728293031323335363738[[#This Row],[Total]]&lt;0,T_T134111213141516171819202122232425262728293031323335363738[[#This Row],[Total]]*-1,0)</f>
        <v>0</v>
      </c>
      <c r="J19" s="231"/>
      <c r="K19" s="232"/>
      <c r="L19" s="232"/>
    </row>
    <row r="20" spans="1:12" x14ac:dyDescent="0.3">
      <c r="A20" s="188"/>
      <c r="B20" s="82" t="s">
        <v>535</v>
      </c>
      <c r="C20" s="6">
        <v>8823</v>
      </c>
      <c r="D20" s="2">
        <v>-251</v>
      </c>
      <c r="E20" s="2">
        <v>-5</v>
      </c>
      <c r="F20" s="230"/>
      <c r="G20" s="230">
        <f t="shared" si="0"/>
        <v>-256</v>
      </c>
      <c r="H20" s="233">
        <f t="shared" si="1"/>
        <v>0</v>
      </c>
      <c r="I20" s="240">
        <f>IF(T_T134111213141516171819202122232425262728293031323335363738[[#This Row],[Total]]&lt;0,T_T134111213141516171819202122232425262728293031323335363738[[#This Row],[Total]]*-1,0)</f>
        <v>256</v>
      </c>
      <c r="J20" s="231"/>
      <c r="K20" s="232"/>
      <c r="L20" s="232"/>
    </row>
    <row r="21" spans="1:12" x14ac:dyDescent="0.3">
      <c r="A21" s="188">
        <v>45777</v>
      </c>
      <c r="B21" s="3" t="s">
        <v>536</v>
      </c>
      <c r="C21" s="6"/>
      <c r="D21" s="2">
        <v>251</v>
      </c>
      <c r="E21" s="2">
        <v>8</v>
      </c>
      <c r="F21" s="230"/>
      <c r="G21" s="230">
        <f t="shared" si="0"/>
        <v>259</v>
      </c>
      <c r="H21" s="233">
        <f t="shared" si="1"/>
        <v>259</v>
      </c>
      <c r="I21" s="309">
        <f>IF(T_T134111213141516171819202122232425262728293031323335363738[[#This Row],[Total]]&lt;0,T_T134111213141516171819202122232425262728293031323335363738[[#This Row],[Total]]*-1,0)</f>
        <v>0</v>
      </c>
      <c r="J21" s="320"/>
      <c r="K21" s="313"/>
      <c r="L21" s="313"/>
    </row>
    <row r="22" spans="1:12" x14ac:dyDescent="0.3">
      <c r="A22" s="83"/>
      <c r="B22" s="82" t="s">
        <v>537</v>
      </c>
      <c r="C22" s="6">
        <v>8899</v>
      </c>
      <c r="D22" s="2">
        <v>-251</v>
      </c>
      <c r="E22" s="2">
        <v>-8</v>
      </c>
      <c r="F22" s="230"/>
      <c r="G22" s="230">
        <f t="shared" si="0"/>
        <v>-259</v>
      </c>
      <c r="H22" s="233">
        <f t="shared" si="1"/>
        <v>0</v>
      </c>
      <c r="I22" s="309">
        <f>IF(T_T134111213141516171819202122232425262728293031323335363738[[#This Row],[Total]]&lt;0,T_T134111213141516171819202122232425262728293031323335363738[[#This Row],[Total]]*-1,0)</f>
        <v>259</v>
      </c>
      <c r="J22" s="320"/>
      <c r="K22" s="313"/>
      <c r="L22" s="313"/>
    </row>
    <row r="23" spans="1:12" ht="15" customHeight="1" x14ac:dyDescent="0.3">
      <c r="A23" s="40">
        <v>45807</v>
      </c>
      <c r="B23" s="3" t="s">
        <v>538</v>
      </c>
      <c r="C23" s="229"/>
      <c r="D23" s="230">
        <v>251</v>
      </c>
      <c r="E23" s="230">
        <v>16</v>
      </c>
      <c r="F23" s="230"/>
      <c r="G23" s="230">
        <f t="shared" si="0"/>
        <v>267</v>
      </c>
      <c r="H23" s="233">
        <f t="shared" si="1"/>
        <v>267</v>
      </c>
      <c r="I23" s="309">
        <f>IF(T_T134111213141516171819202122232425262728293031323335363738[[#This Row],[Total]]&lt;0,T_T134111213141516171819202122232425262728293031323335363738[[#This Row],[Total]]*-1,0)</f>
        <v>0</v>
      </c>
      <c r="J23" s="320"/>
      <c r="K23" s="313"/>
      <c r="L23" s="313"/>
    </row>
    <row r="24" spans="1:12" ht="15" customHeight="1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267</v>
      </c>
      <c r="I24" s="309">
        <f>IF(T_T134111213141516171819202122232425262728293031323335363738[[#This Row],[Total]]&lt;0,T_T134111213141516171819202122232425262728293031323335363738[[#This Row],[Total]]*-1,0)</f>
        <v>0</v>
      </c>
      <c r="J24" s="320"/>
      <c r="K24" s="313"/>
      <c r="L24" s="313"/>
    </row>
    <row r="25" spans="1:12" ht="15" customHeight="1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267</v>
      </c>
      <c r="I25" s="309">
        <f>IF(T_T134111213141516171819202122232425262728293031323335363738[[#This Row],[Total]]&lt;0,T_T134111213141516171819202122232425262728293031323335363738[[#This Row],[Total]]*-1,0)</f>
        <v>0</v>
      </c>
      <c r="J25" s="320"/>
      <c r="K25" s="313"/>
      <c r="L25" s="313"/>
    </row>
    <row r="26" spans="1:12" ht="15" customHeight="1" x14ac:dyDescent="0.3">
      <c r="A26" s="9"/>
      <c r="B26" s="18" t="s">
        <v>541</v>
      </c>
      <c r="C26" s="229"/>
      <c r="D26" s="230"/>
      <c r="E26" s="230"/>
      <c r="F26" s="230"/>
      <c r="G26" s="230">
        <f t="shared" si="0"/>
        <v>0</v>
      </c>
      <c r="H26" s="233">
        <f t="shared" si="1"/>
        <v>267</v>
      </c>
      <c r="I26" s="309">
        <f>IF(T_T134111213141516171819202122232425262728293031323335363738[[#This Row],[Total]]&lt;0,T_T134111213141516171819202122232425262728293031323335363738[[#This Row],[Total]]*-1,0)</f>
        <v>0</v>
      </c>
      <c r="J26" s="320"/>
      <c r="K26" s="313"/>
      <c r="L26" s="313"/>
    </row>
    <row r="27" spans="1:12" ht="15" customHeight="1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267</v>
      </c>
      <c r="I27" s="309">
        <f>IF(T_T134111213141516171819202122232425262728293031323335363738[[#This Row],[Total]]&lt;0,T_T134111213141516171819202122232425262728293031323335363738[[#This Row],[Total]]*-1,0)</f>
        <v>0</v>
      </c>
      <c r="J27" s="320"/>
      <c r="K27" s="313"/>
      <c r="L27" s="313"/>
    </row>
    <row r="28" spans="1:12" ht="15" customHeight="1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267</v>
      </c>
      <c r="I28" s="309">
        <f>IF(T_T134111213141516171819202122232425262728293031323335363738[[#This Row],[Total]]&lt;0,T_T134111213141516171819202122232425262728293031323335363738[[#This Row],[Total]]*-1,0)</f>
        <v>0</v>
      </c>
      <c r="J28" s="320"/>
      <c r="K28" s="313"/>
      <c r="L28" s="313"/>
    </row>
    <row r="29" spans="1:12" ht="15" customHeight="1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267</v>
      </c>
      <c r="I29" s="309">
        <f>IF(T_T134111213141516171819202122232425262728293031323335363738[[#This Row],[Total]]&lt;0,T_T134111213141516171819202122232425262728293031323335363738[[#This Row],[Total]]*-1,0)</f>
        <v>0</v>
      </c>
      <c r="J29" s="320"/>
      <c r="K29" s="313"/>
      <c r="L29" s="313"/>
    </row>
    <row r="30" spans="1:12" ht="15" customHeight="1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267</v>
      </c>
      <c r="I30" s="309">
        <f>IF(T_T134111213141516171819202122232425262728293031323335363738[[#This Row],[Total]]&lt;0,T_T134111213141516171819202122232425262728293031323335363738[[#This Row],[Total]]*-1,0)</f>
        <v>0</v>
      </c>
      <c r="J30" s="320"/>
      <c r="K30" s="313"/>
      <c r="L30" s="313"/>
    </row>
    <row r="31" spans="1:12" ht="15" customHeight="1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267</v>
      </c>
      <c r="I31" s="309">
        <f>IF(T_T134111213141516171819202122232425262728293031323335363738[[#This Row],[Total]]&lt;0,T_T134111213141516171819202122232425262728293031323335363738[[#This Row],[Total]]*-1,0)</f>
        <v>0</v>
      </c>
      <c r="J31" s="320"/>
      <c r="K31" s="313"/>
      <c r="L31" s="313"/>
    </row>
    <row r="32" spans="1:12" ht="15" customHeight="1" x14ac:dyDescent="0.3">
      <c r="A32" s="9"/>
      <c r="B32" s="3" t="s">
        <v>547</v>
      </c>
      <c r="C32" s="376"/>
      <c r="D32" s="377"/>
      <c r="E32" s="377"/>
      <c r="F32" s="230"/>
      <c r="G32" s="230">
        <f t="shared" si="0"/>
        <v>0</v>
      </c>
      <c r="H32" s="233">
        <f t="shared" si="1"/>
        <v>267</v>
      </c>
      <c r="I32" s="309">
        <f>IF(T_T134111213141516171819202122232425262728293031323335363738[[#This Row],[Total]]&lt;0,T_T134111213141516171819202122232425262728293031323335363738[[#This Row],[Total]]*-1,0)</f>
        <v>0</v>
      </c>
      <c r="J32" s="320"/>
      <c r="K32" s="313"/>
      <c r="L32" s="313"/>
    </row>
    <row r="33" spans="1:12" x14ac:dyDescent="0.3">
      <c r="A33" s="9">
        <v>45960</v>
      </c>
      <c r="B33" s="3" t="s">
        <v>548</v>
      </c>
      <c r="C33" s="376"/>
      <c r="D33" s="377"/>
      <c r="E33" s="377"/>
      <c r="F33" s="230"/>
      <c r="G33" s="230">
        <f t="shared" si="0"/>
        <v>0</v>
      </c>
      <c r="H33" s="233">
        <f t="shared" si="1"/>
        <v>267</v>
      </c>
      <c r="I33" s="309">
        <f>IF(T_T134111213141516171819202122232425262728293031323335363738[[#This Row],[Total]]&lt;0,T_T134111213141516171819202122232425262728293031323335363738[[#This Row],[Total]]*-1,0)</f>
        <v>0</v>
      </c>
      <c r="J33" s="320"/>
      <c r="K33" s="313"/>
      <c r="L33" s="313"/>
    </row>
    <row r="34" spans="1:12" x14ac:dyDescent="0.3">
      <c r="A34" s="9"/>
      <c r="B34" s="3" t="s">
        <v>549</v>
      </c>
      <c r="C34" s="376"/>
      <c r="D34" s="377"/>
      <c r="E34" s="377"/>
      <c r="F34" s="230"/>
      <c r="G34" s="230">
        <f t="shared" si="0"/>
        <v>0</v>
      </c>
      <c r="H34" s="233">
        <f t="shared" si="1"/>
        <v>267</v>
      </c>
      <c r="I34" s="309">
        <f>IF(T_T134111213141516171819202122232425262728293031323335363738[[#This Row],[Total]]&lt;0,T_T134111213141516171819202122232425262728293031323335363738[[#This Row],[Total]]*-1,0)</f>
        <v>0</v>
      </c>
      <c r="J34" s="320"/>
      <c r="K34" s="313"/>
      <c r="L34" s="313"/>
    </row>
    <row r="35" spans="1:12" x14ac:dyDescent="0.3">
      <c r="A35" s="9">
        <v>45991</v>
      </c>
      <c r="B35" s="3" t="s">
        <v>550</v>
      </c>
      <c r="C35" s="376"/>
      <c r="D35" s="377"/>
      <c r="E35" s="7"/>
      <c r="F35" s="230"/>
      <c r="G35" s="230">
        <f t="shared" si="0"/>
        <v>0</v>
      </c>
      <c r="H35" s="233">
        <f t="shared" si="1"/>
        <v>267</v>
      </c>
      <c r="I35" s="309">
        <f>IF(T_T134111213141516171819202122232425262728293031323335363738[[#This Row],[Total]]&lt;0,T_T134111213141516171819202122232425262728293031323335363738[[#This Row],[Total]]*-1,0)</f>
        <v>0</v>
      </c>
      <c r="J35" s="320"/>
      <c r="K35" s="313"/>
      <c r="L35" s="313"/>
    </row>
    <row r="36" spans="1:12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267</v>
      </c>
      <c r="I36" s="309">
        <f>IF(T_T134111213141516171819202122232425262728293031323335363738[[#This Row],[Total]]&lt;0,T_T134111213141516171819202122232425262728293031323335363738[[#This Row],[Total]]*-1,0)</f>
        <v>0</v>
      </c>
      <c r="J36" s="320"/>
      <c r="K36" s="313"/>
      <c r="L36" s="313"/>
    </row>
    <row r="37" spans="1:12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267</v>
      </c>
      <c r="I37" s="309">
        <f>IF(T_T134111213141516171819202122232425262728293031323335363738[[#This Row],[Total]]&lt;0,T_T134111213141516171819202122232425262728293031323335363738[[#This Row],[Total]]*-1,0)</f>
        <v>0</v>
      </c>
      <c r="J37" s="320"/>
      <c r="K37" s="313"/>
      <c r="L37" s="313"/>
    </row>
    <row r="38" spans="1:12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267</v>
      </c>
      <c r="I38" s="309">
        <f>IF(T_T134111213141516171819202122232425262728293031323335363738[[#This Row],[Total]]&lt;0,T_T134111213141516171819202122232425262728293031323335363738[[#This Row],[Total]]*-1,0)</f>
        <v>0</v>
      </c>
      <c r="J38" s="320"/>
      <c r="K38" s="313"/>
      <c r="L38" s="313"/>
    </row>
    <row r="39" spans="1:12" x14ac:dyDescent="0.3">
      <c r="A39" s="107"/>
      <c r="B39" s="82"/>
      <c r="C39" s="229"/>
      <c r="D39" s="230"/>
      <c r="E39" s="230"/>
      <c r="F39" s="230"/>
      <c r="G39" s="230"/>
      <c r="H39" s="233"/>
      <c r="I39" s="309">
        <f>IF(T_T134111213141516171819202122232425262728293031323335363738[[#This Row],[Total]]&lt;0,T_T134111213141516171819202122232425262728293031323335363738[[#This Row],[Total]]*-1,0)</f>
        <v>0</v>
      </c>
      <c r="J39" s="320"/>
      <c r="K39" s="313"/>
      <c r="L39" s="313"/>
    </row>
    <row r="40" spans="1:12" x14ac:dyDescent="0.3">
      <c r="A40" s="107"/>
      <c r="B40" s="82"/>
      <c r="C40" s="229"/>
      <c r="D40" s="230"/>
      <c r="E40" s="230"/>
      <c r="F40" s="230"/>
      <c r="G40" s="230"/>
      <c r="H40" s="233"/>
      <c r="I40" s="309">
        <f>IF(T_T134111213141516171819202122232425262728293031323335363738[[#This Row],[Total]]&lt;0,T_T134111213141516171819202122232425262728293031323335363738[[#This Row],[Total]]*-1,0)</f>
        <v>0</v>
      </c>
      <c r="J40" s="320"/>
      <c r="K40" s="313"/>
      <c r="L40" s="313"/>
    </row>
    <row r="41" spans="1:12" x14ac:dyDescent="0.3">
      <c r="A41" s="170"/>
      <c r="B41" s="18"/>
      <c r="C41" s="314"/>
      <c r="D41" s="315"/>
      <c r="E41" s="315"/>
      <c r="F41" s="315"/>
      <c r="G41" s="315"/>
      <c r="H41" s="316"/>
      <c r="I41" s="309">
        <f>IF(T_T134111213141516171819202122232425262728293031323335363738[[#This Row],[Total]]&lt;0,T_T134111213141516171819202122232425262728293031323335363738[[#This Row],[Total]]*-1,0)</f>
        <v>0</v>
      </c>
      <c r="J41" s="320"/>
      <c r="K41" s="313"/>
      <c r="L41" s="313"/>
    </row>
    <row r="42" spans="1:12" x14ac:dyDescent="0.3">
      <c r="A42" s="107"/>
      <c r="B42" s="82"/>
      <c r="C42" s="6"/>
      <c r="D42" s="315"/>
      <c r="E42" s="315"/>
      <c r="F42" s="315"/>
      <c r="G42" s="315"/>
      <c r="H42" s="316"/>
      <c r="I42" s="309">
        <f>IF(T_T134111213141516171819202122232425262728293031323335363738[[#This Row],[Total]]&lt;0,T_T134111213141516171819202122232425262728293031323335363738[[#This Row],[Total]]*-1,0)</f>
        <v>0</v>
      </c>
      <c r="J42" s="320"/>
      <c r="K42" s="313"/>
      <c r="L42" s="313"/>
    </row>
    <row r="43" spans="1:12" x14ac:dyDescent="0.3">
      <c r="A43" s="188"/>
      <c r="B43" s="3"/>
      <c r="C43" s="314"/>
      <c r="D43" s="315"/>
      <c r="E43" s="315"/>
      <c r="F43" s="315"/>
      <c r="G43" s="315"/>
      <c r="H43" s="316"/>
      <c r="I43" s="309">
        <f>IF(T_T134111213141516171819202122232425262728293031323335363738[[#This Row],[Total]]&lt;0,T_T134111213141516171819202122232425262728293031323335363738[[#This Row],[Total]]*-1,0)</f>
        <v>0</v>
      </c>
      <c r="J43" s="320"/>
      <c r="K43" s="313"/>
      <c r="L43" s="313"/>
    </row>
    <row r="44" spans="1:12" x14ac:dyDescent="0.3">
      <c r="A44" s="83"/>
      <c r="B44" s="127"/>
      <c r="C44" s="314"/>
      <c r="D44" s="315"/>
      <c r="E44" s="315"/>
      <c r="F44" s="315"/>
      <c r="G44" s="315"/>
      <c r="H44" s="316"/>
      <c r="I44" s="309">
        <f>IF(T_T134111213141516171819202122232425262728293031323335363738[[#This Row],[Total]]&lt;0,T_T134111213141516171819202122232425262728293031323335363738[[#This Row],[Total]]*-1,0)</f>
        <v>0</v>
      </c>
      <c r="J44" s="320"/>
      <c r="K44" s="313"/>
      <c r="L44" s="313"/>
    </row>
    <row r="45" spans="1:12" x14ac:dyDescent="0.3">
      <c r="A45" s="188"/>
      <c r="B45" s="3"/>
      <c r="C45" s="314"/>
      <c r="D45" s="315"/>
      <c r="E45" s="315"/>
      <c r="F45" s="315"/>
      <c r="G45" s="315"/>
      <c r="H45" s="316"/>
      <c r="I45" s="309">
        <f>IF(T_T134111213141516171819202122232425262728293031323335363738[[#This Row],[Total]]&lt;0,T_T134111213141516171819202122232425262728293031323335363738[[#This Row],[Total]]*-1,0)</f>
        <v>0</v>
      </c>
      <c r="J45" s="320"/>
      <c r="K45" s="313"/>
      <c r="L45" s="313"/>
    </row>
    <row r="46" spans="1:12" x14ac:dyDescent="0.3">
      <c r="A46" s="257"/>
      <c r="B46" s="110"/>
      <c r="C46" s="314"/>
      <c r="D46" s="315"/>
      <c r="E46" s="315"/>
      <c r="F46" s="315"/>
      <c r="G46" s="315"/>
      <c r="H46" s="316"/>
      <c r="I46" s="309">
        <f>IF(T_T134111213141516171819202122232425262728293031323335363738[[#This Row],[Total]]&lt;0,T_T134111213141516171819202122232425262728293031323335363738[[#This Row],[Total]]*-1,0)</f>
        <v>0</v>
      </c>
      <c r="J46" s="320"/>
      <c r="K46" s="313"/>
      <c r="L46" s="313"/>
    </row>
    <row r="47" spans="1:12" x14ac:dyDescent="0.3">
      <c r="A47" s="17"/>
      <c r="B47" s="18"/>
      <c r="C47" s="314"/>
      <c r="D47" s="315"/>
      <c r="E47" s="315"/>
      <c r="F47" s="315"/>
      <c r="G47" s="315"/>
      <c r="H47" s="316"/>
      <c r="I47" s="309">
        <f>IF(T_T134111213141516171819202122232425262728293031323335363738[[#This Row],[Total]]&lt;0,T_T134111213141516171819202122232425262728293031323335363738[[#This Row],[Total]]*-1,0)</f>
        <v>0</v>
      </c>
      <c r="J47" s="320"/>
      <c r="K47" s="313"/>
      <c r="L47" s="313"/>
    </row>
    <row r="48" spans="1:12" x14ac:dyDescent="0.3">
      <c r="A48" s="17"/>
      <c r="B48" s="18"/>
      <c r="C48" s="466"/>
      <c r="D48" s="467"/>
      <c r="E48" s="467"/>
      <c r="F48" s="467"/>
      <c r="G48" s="467"/>
      <c r="H48" s="474"/>
      <c r="I48" s="475"/>
      <c r="J48" s="480"/>
      <c r="K48" s="76"/>
      <c r="L48" s="76"/>
    </row>
    <row r="55" spans="1:8" x14ac:dyDescent="0.3">
      <c r="C55" s="6"/>
      <c r="D55" s="2"/>
      <c r="E55" s="2"/>
      <c r="F55" s="2"/>
      <c r="G55" s="2"/>
      <c r="H55" s="2"/>
    </row>
    <row r="56" spans="1:8" x14ac:dyDescent="0.3">
      <c r="A56" s="107"/>
      <c r="B56" s="82"/>
      <c r="C56" s="6"/>
      <c r="D56" s="2"/>
      <c r="E56" s="2"/>
      <c r="F56" s="2"/>
      <c r="G56" s="2"/>
      <c r="H56" s="2"/>
    </row>
    <row r="57" spans="1:8" x14ac:dyDescent="0.3">
      <c r="A57" s="107"/>
      <c r="B57" s="82"/>
      <c r="C57" s="6"/>
      <c r="D57" s="2"/>
      <c r="E57" s="2"/>
      <c r="F57" s="2"/>
      <c r="G57" s="2"/>
      <c r="H57" s="2"/>
    </row>
    <row r="58" spans="1:8" x14ac:dyDescent="0.3">
      <c r="A58" s="107"/>
      <c r="B58" s="82"/>
      <c r="C58" s="6"/>
      <c r="D58" s="2"/>
      <c r="E58" s="2"/>
      <c r="F58" s="2"/>
      <c r="G58" s="2"/>
      <c r="H58" s="2"/>
    </row>
    <row r="59" spans="1:8" x14ac:dyDescent="0.3">
      <c r="A59" s="107"/>
      <c r="B59" s="82"/>
      <c r="C59" s="6"/>
      <c r="D59" s="2"/>
      <c r="E59" s="2"/>
      <c r="F59" s="2"/>
      <c r="G59" s="2"/>
      <c r="H59" s="2"/>
    </row>
    <row r="60" spans="1:8" x14ac:dyDescent="0.3">
      <c r="C60" s="6"/>
      <c r="D60" s="2"/>
      <c r="E60" s="2"/>
      <c r="F60" s="2"/>
      <c r="G60" s="2"/>
      <c r="H60" s="2"/>
    </row>
    <row r="62" spans="1:8" x14ac:dyDescent="0.3">
      <c r="A62" s="334"/>
      <c r="B62" s="335"/>
    </row>
    <row r="63" spans="1:8" x14ac:dyDescent="0.3">
      <c r="A63" s="334"/>
      <c r="B63" s="335"/>
    </row>
    <row r="64" spans="1:8" x14ac:dyDescent="0.3">
      <c r="A64" s="334"/>
      <c r="B64" s="335"/>
    </row>
    <row r="65" spans="1:12" x14ac:dyDescent="0.3">
      <c r="A65" s="334"/>
      <c r="B65" s="335"/>
    </row>
    <row r="66" spans="1:12" x14ac:dyDescent="0.3">
      <c r="A66" s="334"/>
      <c r="B66" s="335"/>
    </row>
    <row r="69" spans="1:12" ht="15.6" x14ac:dyDescent="0.3">
      <c r="A69" s="27"/>
      <c r="B69" s="41"/>
    </row>
    <row r="70" spans="1:12" x14ac:dyDescent="0.3">
      <c r="A70" s="27"/>
      <c r="B70" s="28"/>
    </row>
    <row r="71" spans="1:12" x14ac:dyDescent="0.3">
      <c r="A71" s="27" t="s">
        <v>188</v>
      </c>
      <c r="B71" s="28" t="s">
        <v>191</v>
      </c>
      <c r="C71" s="4" t="s">
        <v>383</v>
      </c>
      <c r="D71" s="1" t="s">
        <v>471</v>
      </c>
      <c r="E71" s="1" t="s">
        <v>433</v>
      </c>
      <c r="F71" s="1" t="s">
        <v>472</v>
      </c>
      <c r="G71" s="1" t="s">
        <v>473</v>
      </c>
      <c r="H71" s="1" t="s">
        <v>474</v>
      </c>
      <c r="I71" t="s">
        <v>475</v>
      </c>
      <c r="J71" t="s">
        <v>476</v>
      </c>
      <c r="K71" t="s">
        <v>477</v>
      </c>
      <c r="L71" s="242" t="s">
        <v>262</v>
      </c>
    </row>
    <row r="72" spans="1:12" x14ac:dyDescent="0.3">
      <c r="A72" s="27"/>
      <c r="B72" s="28"/>
      <c r="L72" s="232"/>
    </row>
    <row r="73" spans="1:12" x14ac:dyDescent="0.3">
      <c r="A73" s="27"/>
      <c r="B73" s="28"/>
      <c r="G73" s="25"/>
      <c r="H73" s="25"/>
      <c r="L73" s="232"/>
    </row>
    <row r="74" spans="1:12" x14ac:dyDescent="0.3">
      <c r="A74" s="27"/>
      <c r="B74" s="29"/>
      <c r="C74" s="5"/>
      <c r="G74" s="25"/>
      <c r="H74" s="26"/>
      <c r="I74" s="24"/>
      <c r="L74" s="232"/>
    </row>
    <row r="75" spans="1:12" x14ac:dyDescent="0.3">
      <c r="A75" s="21"/>
      <c r="B75" s="21"/>
      <c r="L75" s="232"/>
    </row>
    <row r="76" spans="1:12" x14ac:dyDescent="0.3">
      <c r="L76" s="232"/>
    </row>
    <row r="77" spans="1:12" x14ac:dyDescent="0.3">
      <c r="A77" s="1"/>
      <c r="L77" s="232"/>
    </row>
    <row r="78" spans="1:12" x14ac:dyDescent="0.3">
      <c r="L78" s="232"/>
    </row>
    <row r="79" spans="1:12" x14ac:dyDescent="0.3">
      <c r="A79" s="11"/>
      <c r="B79" s="12"/>
      <c r="C79" s="13"/>
      <c r="D79" s="14"/>
      <c r="E79" s="14"/>
      <c r="F79" s="14"/>
      <c r="G79" s="15"/>
      <c r="H79" s="268"/>
      <c r="I79" s="34"/>
      <c r="J79" s="96"/>
      <c r="K79" s="173"/>
      <c r="L79" s="232"/>
    </row>
    <row r="80" spans="1:12" x14ac:dyDescent="0.3">
      <c r="A80" s="40"/>
      <c r="B80" s="3"/>
      <c r="C80" s="32"/>
      <c r="D80" s="20"/>
      <c r="E80" s="33"/>
      <c r="F80" s="7"/>
      <c r="G80" s="91"/>
      <c r="H80" s="186"/>
      <c r="I80" s="145"/>
      <c r="J80" s="97"/>
      <c r="K80" s="172"/>
    </row>
    <row r="81" spans="1:11" x14ac:dyDescent="0.3">
      <c r="A81" s="40"/>
      <c r="B81" s="3"/>
      <c r="C81" s="35"/>
      <c r="D81" s="31"/>
      <c r="E81" s="31"/>
      <c r="F81" s="7"/>
      <c r="G81" s="91"/>
      <c r="H81" s="186"/>
      <c r="I81" s="145"/>
      <c r="J81" s="97"/>
      <c r="K81" s="172"/>
    </row>
    <row r="82" spans="1:11" x14ac:dyDescent="0.3">
      <c r="A82" s="40"/>
      <c r="B82" s="3"/>
      <c r="C82" s="32"/>
      <c r="D82" s="20"/>
      <c r="E82" s="33"/>
      <c r="F82" s="7"/>
      <c r="G82" s="91"/>
      <c r="H82" s="186"/>
      <c r="I82" s="145"/>
      <c r="J82" s="97"/>
      <c r="K82" s="172"/>
    </row>
    <row r="83" spans="1:11" x14ac:dyDescent="0.3">
      <c r="A83" s="40"/>
      <c r="B83" s="3"/>
      <c r="C83" s="35"/>
      <c r="D83" s="31"/>
      <c r="E83" s="31"/>
      <c r="F83" s="7"/>
      <c r="G83" s="91"/>
      <c r="H83" s="186"/>
      <c r="I83" s="145"/>
      <c r="J83" s="97"/>
      <c r="K83" s="172"/>
    </row>
    <row r="84" spans="1:11" x14ac:dyDescent="0.3">
      <c r="A84" s="9"/>
      <c r="B84" s="3"/>
      <c r="C84" s="32"/>
      <c r="D84" s="20"/>
      <c r="E84" s="33"/>
      <c r="F84" s="7"/>
      <c r="G84" s="91"/>
      <c r="H84" s="186"/>
      <c r="I84" s="145"/>
      <c r="J84" s="97"/>
      <c r="K84" s="172"/>
    </row>
    <row r="85" spans="1:11" x14ac:dyDescent="0.3">
      <c r="A85" s="9"/>
      <c r="B85" s="3"/>
      <c r="C85" s="35"/>
      <c r="D85" s="31"/>
      <c r="E85" s="31"/>
      <c r="F85" s="7"/>
      <c r="G85" s="91"/>
      <c r="H85" s="186"/>
      <c r="I85" s="145"/>
      <c r="J85" s="97"/>
      <c r="K85" s="172"/>
    </row>
    <row r="86" spans="1:11" x14ac:dyDescent="0.3">
      <c r="A86" s="9"/>
      <c r="B86" s="3"/>
      <c r="C86" s="32"/>
      <c r="D86" s="20"/>
      <c r="E86" s="33"/>
      <c r="F86" s="7"/>
      <c r="G86" s="91"/>
      <c r="H86" s="186"/>
      <c r="I86" s="145"/>
      <c r="J86" s="97"/>
      <c r="K86" s="172"/>
    </row>
    <row r="87" spans="1:11" x14ac:dyDescent="0.3">
      <c r="A87" s="9"/>
      <c r="B87" s="3"/>
      <c r="C87" s="32"/>
      <c r="D87" s="31"/>
      <c r="E87" s="33"/>
      <c r="F87" s="7"/>
      <c r="G87" s="91"/>
      <c r="H87" s="186"/>
      <c r="I87" s="145"/>
      <c r="J87" s="97"/>
      <c r="K87" s="172"/>
    </row>
    <row r="88" spans="1:11" x14ac:dyDescent="0.3">
      <c r="A88" s="9"/>
      <c r="B88" s="3"/>
      <c r="C88" s="36"/>
      <c r="D88" s="20"/>
      <c r="E88" s="37"/>
      <c r="F88" s="37"/>
      <c r="G88" s="91"/>
      <c r="H88" s="186"/>
      <c r="I88" s="145"/>
      <c r="J88" s="97"/>
      <c r="K88" s="172"/>
    </row>
    <row r="89" spans="1:11" x14ac:dyDescent="0.3">
      <c r="A89" s="9"/>
      <c r="B89" s="18"/>
      <c r="C89" s="32"/>
      <c r="D89" s="31"/>
      <c r="E89" s="37"/>
      <c r="F89" s="37"/>
      <c r="G89" s="91"/>
      <c r="H89" s="186"/>
      <c r="I89" s="145"/>
      <c r="J89" s="116"/>
      <c r="K89" s="174"/>
    </row>
    <row r="90" spans="1:11" x14ac:dyDescent="0.3">
      <c r="A90" s="17"/>
      <c r="B90" s="3"/>
      <c r="C90" s="36"/>
      <c r="D90" s="20"/>
      <c r="E90" s="37"/>
      <c r="F90" s="37"/>
      <c r="G90" s="91"/>
      <c r="H90" s="186"/>
      <c r="I90" s="145"/>
      <c r="J90" s="97"/>
      <c r="K90" s="172"/>
    </row>
    <row r="91" spans="1:11" x14ac:dyDescent="0.3">
      <c r="A91" s="17"/>
      <c r="B91" s="18"/>
      <c r="C91" s="32"/>
      <c r="D91" s="31"/>
      <c r="E91" s="39"/>
      <c r="F91" s="39"/>
      <c r="G91" s="91"/>
      <c r="H91" s="186"/>
      <c r="I91" s="145"/>
      <c r="J91" s="97"/>
      <c r="K91" s="172"/>
    </row>
    <row r="92" spans="1:11" x14ac:dyDescent="0.3">
      <c r="A92" s="17"/>
      <c r="B92" s="3"/>
      <c r="C92" s="6"/>
      <c r="D92" s="20"/>
      <c r="E92" s="7"/>
      <c r="F92" s="7"/>
      <c r="G92" s="91"/>
      <c r="H92" s="186"/>
      <c r="I92" s="145"/>
      <c r="J92" s="97"/>
      <c r="K92" s="172"/>
    </row>
    <row r="93" spans="1:11" x14ac:dyDescent="0.3">
      <c r="A93" s="17"/>
      <c r="B93" s="18"/>
      <c r="C93" s="32"/>
      <c r="D93" s="31"/>
      <c r="E93" s="7"/>
      <c r="F93" s="7"/>
      <c r="G93" s="91"/>
      <c r="H93" s="186"/>
      <c r="I93" s="145"/>
      <c r="J93" s="97"/>
      <c r="K93" s="172"/>
    </row>
    <row r="94" spans="1:11" x14ac:dyDescent="0.3">
      <c r="A94" s="17"/>
      <c r="B94" s="3"/>
      <c r="C94" s="6"/>
      <c r="D94" s="20"/>
      <c r="E94" s="7"/>
      <c r="F94" s="7"/>
      <c r="G94" s="91"/>
      <c r="H94" s="186"/>
      <c r="I94" s="145"/>
      <c r="J94" s="97"/>
      <c r="K94" s="172"/>
    </row>
    <row r="95" spans="1:11" x14ac:dyDescent="0.3">
      <c r="A95" s="17"/>
      <c r="B95" s="18"/>
      <c r="C95" s="32"/>
      <c r="D95" s="31"/>
      <c r="E95" s="20"/>
      <c r="F95" s="20"/>
      <c r="G95" s="91"/>
      <c r="H95" s="186"/>
      <c r="I95" s="145"/>
      <c r="J95" s="97"/>
      <c r="K95" s="172"/>
    </row>
    <row r="96" spans="1:11" x14ac:dyDescent="0.3">
      <c r="A96" s="17"/>
      <c r="B96" s="3"/>
      <c r="C96" s="6"/>
      <c r="D96" s="20"/>
      <c r="E96" s="7"/>
      <c r="F96" s="7"/>
      <c r="G96" s="91"/>
      <c r="H96" s="186"/>
      <c r="I96" s="145"/>
      <c r="J96" s="97"/>
      <c r="K96" s="172"/>
    </row>
    <row r="97" spans="1:11" x14ac:dyDescent="0.3">
      <c r="A97" s="17"/>
      <c r="B97" s="18"/>
      <c r="C97" s="32"/>
      <c r="D97" s="31"/>
      <c r="E97" s="7"/>
      <c r="F97" s="7"/>
      <c r="G97" s="91"/>
      <c r="H97" s="186"/>
      <c r="I97" s="145"/>
      <c r="J97" s="97"/>
      <c r="K97" s="172"/>
    </row>
    <row r="98" spans="1:11" x14ac:dyDescent="0.3">
      <c r="A98" s="17"/>
      <c r="B98" s="3"/>
      <c r="C98" s="6"/>
      <c r="D98" s="20"/>
      <c r="E98" s="7"/>
      <c r="F98" s="7"/>
      <c r="G98" s="91"/>
      <c r="H98" s="186"/>
      <c r="I98" s="264"/>
      <c r="J98" s="97"/>
      <c r="K98" s="172"/>
    </row>
    <row r="99" spans="1:11" x14ac:dyDescent="0.3">
      <c r="A99" s="17"/>
      <c r="B99" s="18"/>
      <c r="C99" s="32"/>
      <c r="D99" s="31"/>
      <c r="E99" s="7"/>
      <c r="F99" s="7"/>
      <c r="G99" s="91"/>
      <c r="H99" s="186"/>
      <c r="I99" s="264"/>
      <c r="J99" s="97"/>
      <c r="K99" s="172"/>
    </row>
    <row r="100" spans="1:11" x14ac:dyDescent="0.3">
      <c r="A100" s="86"/>
      <c r="B100" s="3"/>
      <c r="C100" s="90"/>
      <c r="D100" s="20"/>
      <c r="E100" s="91"/>
      <c r="F100" s="91"/>
      <c r="G100" s="91"/>
      <c r="H100" s="186"/>
      <c r="I100" s="265"/>
      <c r="J100" s="97"/>
      <c r="K100" s="172"/>
    </row>
    <row r="101" spans="1:11" x14ac:dyDescent="0.3">
      <c r="A101" s="86"/>
      <c r="B101" s="18"/>
      <c r="C101" s="32"/>
      <c r="D101" s="31"/>
      <c r="E101" s="91"/>
      <c r="F101" s="91"/>
      <c r="G101" s="91"/>
      <c r="H101" s="186"/>
      <c r="I101" s="265"/>
      <c r="J101" s="97"/>
      <c r="K101" s="172"/>
    </row>
    <row r="102" spans="1:11" x14ac:dyDescent="0.3">
      <c r="A102" s="9"/>
      <c r="B102" s="3"/>
      <c r="C102" s="90"/>
      <c r="D102" s="20"/>
      <c r="E102" s="91"/>
      <c r="F102" s="91"/>
      <c r="G102" s="91"/>
      <c r="H102" s="186"/>
      <c r="I102" s="265"/>
      <c r="J102" s="97"/>
      <c r="K102" s="172"/>
    </row>
    <row r="103" spans="1:11" x14ac:dyDescent="0.3">
      <c r="A103" s="9"/>
      <c r="B103" s="18"/>
      <c r="C103" s="32"/>
      <c r="D103" s="31"/>
      <c r="E103" s="91"/>
      <c r="F103" s="91"/>
      <c r="G103" s="91"/>
      <c r="H103" s="186"/>
      <c r="I103" s="265"/>
      <c r="J103" s="97"/>
      <c r="K103" s="172"/>
    </row>
    <row r="104" spans="1:11" x14ac:dyDescent="0.3">
      <c r="A104" s="17"/>
      <c r="B104" s="18"/>
      <c r="C104" s="98"/>
      <c r="D104" s="20"/>
      <c r="E104" s="99"/>
      <c r="F104" s="99"/>
      <c r="G104" s="91"/>
      <c r="H104" s="186"/>
      <c r="I104" s="266"/>
      <c r="J104" s="79"/>
      <c r="K104" s="172"/>
    </row>
    <row r="105" spans="1:11" x14ac:dyDescent="0.3">
      <c r="A105" s="17"/>
      <c r="B105" s="18"/>
      <c r="C105" s="32"/>
      <c r="D105" s="31"/>
      <c r="E105" s="88"/>
      <c r="F105" s="88"/>
      <c r="G105" s="91"/>
      <c r="H105" s="186"/>
      <c r="I105" s="266"/>
      <c r="J105" s="79"/>
      <c r="K105" s="172"/>
    </row>
    <row r="106" spans="1:11" x14ac:dyDescent="0.3">
      <c r="A106" s="164"/>
      <c r="B106" s="161"/>
      <c r="C106" s="162"/>
      <c r="D106" s="20"/>
      <c r="E106" s="163"/>
      <c r="F106" s="163"/>
      <c r="G106" s="91"/>
      <c r="H106" s="186"/>
      <c r="I106" s="266"/>
      <c r="J106" s="79"/>
      <c r="K106" s="172"/>
    </row>
    <row r="107" spans="1:11" x14ac:dyDescent="0.3">
      <c r="A107" s="164"/>
      <c r="B107" s="103"/>
      <c r="C107" s="32"/>
      <c r="D107" s="31"/>
      <c r="E107" s="71"/>
      <c r="F107" s="71"/>
      <c r="G107" s="91"/>
      <c r="H107" s="186"/>
      <c r="I107" s="266"/>
      <c r="J107" s="79"/>
      <c r="K107" s="172"/>
    </row>
    <row r="108" spans="1:11" x14ac:dyDescent="0.3">
      <c r="A108" s="188"/>
      <c r="B108" s="3"/>
      <c r="C108" s="189"/>
      <c r="D108" s="20"/>
      <c r="E108" s="190"/>
      <c r="F108" s="190"/>
      <c r="G108" s="91"/>
      <c r="H108" s="186"/>
      <c r="I108" s="267"/>
      <c r="J108" s="181"/>
      <c r="K108" s="181"/>
    </row>
    <row r="109" spans="1:11" x14ac:dyDescent="0.3">
      <c r="A109" s="188"/>
      <c r="B109" s="82"/>
      <c r="C109" s="32"/>
      <c r="D109" s="31"/>
      <c r="E109" s="190"/>
      <c r="F109" s="197"/>
      <c r="G109" s="91"/>
      <c r="H109" s="186"/>
      <c r="I109" s="267"/>
      <c r="J109" s="181"/>
      <c r="K109" s="181"/>
    </row>
    <row r="110" spans="1:11" x14ac:dyDescent="0.3">
      <c r="A110" s="188"/>
      <c r="B110" s="3"/>
      <c r="C110" s="196"/>
      <c r="D110" s="20"/>
      <c r="E110" s="190"/>
      <c r="F110" s="197"/>
      <c r="G110" s="91"/>
      <c r="H110" s="186"/>
      <c r="I110" s="267"/>
      <c r="J110" s="181"/>
      <c r="K110" s="181"/>
    </row>
    <row r="111" spans="1:11" x14ac:dyDescent="0.3">
      <c r="A111" s="188"/>
      <c r="B111" s="82"/>
      <c r="C111" s="32"/>
      <c r="D111" s="31"/>
      <c r="E111" s="190"/>
      <c r="F111" s="197"/>
      <c r="G111" s="91"/>
      <c r="H111" s="186"/>
      <c r="I111" s="267"/>
      <c r="J111" s="181"/>
      <c r="K111" s="181"/>
    </row>
    <row r="112" spans="1:11" x14ac:dyDescent="0.3">
      <c r="A112" s="188"/>
      <c r="B112" s="3"/>
      <c r="C112" s="196"/>
      <c r="D112" s="20"/>
      <c r="E112" s="190"/>
      <c r="F112" s="197"/>
      <c r="G112" s="91"/>
      <c r="H112" s="186"/>
      <c r="I112" s="267"/>
      <c r="J112" s="181"/>
      <c r="K112" s="181"/>
    </row>
    <row r="113" spans="1:11" x14ac:dyDescent="0.3">
      <c r="A113" s="188"/>
      <c r="B113" s="127"/>
      <c r="C113" s="32"/>
      <c r="D113" s="31"/>
      <c r="E113" s="190"/>
      <c r="F113" s="197"/>
      <c r="G113" s="91"/>
      <c r="H113" s="186"/>
      <c r="I113" s="267"/>
      <c r="J113" s="181"/>
      <c r="K113" s="181"/>
    </row>
    <row r="114" spans="1:11" x14ac:dyDescent="0.3">
      <c r="A114" s="164"/>
      <c r="B114" s="3"/>
      <c r="C114" s="196"/>
      <c r="D114" s="20"/>
      <c r="E114" s="190"/>
      <c r="F114" s="197"/>
      <c r="G114" s="91"/>
      <c r="H114" s="186"/>
      <c r="I114" s="267"/>
      <c r="J114" s="181"/>
      <c r="K114" s="181"/>
    </row>
    <row r="115" spans="1:11" x14ac:dyDescent="0.3">
      <c r="A115" s="164"/>
      <c r="B115" s="127"/>
      <c r="C115" s="32"/>
      <c r="D115" s="31"/>
      <c r="E115" s="190"/>
      <c r="F115" s="197"/>
      <c r="G115" s="91"/>
      <c r="H115" s="186"/>
      <c r="I115" s="267"/>
      <c r="J115" s="181"/>
      <c r="K115" s="181"/>
    </row>
    <row r="116" spans="1:11" x14ac:dyDescent="0.3">
      <c r="A116" s="9"/>
      <c r="B116" s="3"/>
      <c r="C116" s="189"/>
      <c r="D116" s="20"/>
      <c r="E116" s="190"/>
      <c r="F116" s="190"/>
      <c r="G116" s="91"/>
      <c r="H116" s="186"/>
      <c r="I116" s="267"/>
      <c r="J116" s="181"/>
      <c r="K116" s="181"/>
    </row>
    <row r="117" spans="1:11" x14ac:dyDescent="0.3">
      <c r="A117" s="9"/>
      <c r="B117" s="3"/>
      <c r="C117" s="32"/>
      <c r="D117" s="31"/>
      <c r="E117" s="190"/>
      <c r="F117" s="190"/>
      <c r="G117" s="91"/>
      <c r="H117" s="186"/>
      <c r="I117" s="267"/>
      <c r="J117" s="181"/>
      <c r="K117" s="181"/>
    </row>
    <row r="118" spans="1:11" x14ac:dyDescent="0.3">
      <c r="A118" s="9"/>
      <c r="B118" s="3"/>
      <c r="C118" s="189"/>
      <c r="D118" s="20"/>
      <c r="E118" s="190"/>
      <c r="F118" s="190"/>
      <c r="G118" s="91"/>
      <c r="H118" s="186"/>
      <c r="I118" s="267"/>
      <c r="J118" s="181"/>
      <c r="K118" s="181"/>
    </row>
    <row r="119" spans="1:11" x14ac:dyDescent="0.3">
      <c r="A119" s="9"/>
      <c r="B119" s="3"/>
      <c r="C119" s="32"/>
      <c r="D119" s="31"/>
      <c r="E119" s="190"/>
      <c r="F119" s="190"/>
      <c r="G119" s="91"/>
      <c r="H119" s="186"/>
      <c r="I119" s="267"/>
      <c r="J119" s="181"/>
      <c r="K119" s="79"/>
    </row>
    <row r="120" spans="1:11" x14ac:dyDescent="0.3">
      <c r="A120" s="9"/>
      <c r="B120" s="3"/>
      <c r="C120" s="189"/>
      <c r="D120" s="20"/>
      <c r="E120" s="190"/>
      <c r="F120" s="190"/>
      <c r="G120" s="91"/>
      <c r="H120" s="186"/>
      <c r="I120" s="267"/>
      <c r="J120" s="181"/>
      <c r="K120" s="181"/>
    </row>
    <row r="121" spans="1:11" x14ac:dyDescent="0.3">
      <c r="A121" s="9"/>
      <c r="B121" s="3"/>
      <c r="C121" s="32"/>
      <c r="D121" s="31"/>
      <c r="E121" s="190"/>
      <c r="F121" s="190"/>
      <c r="G121" s="91"/>
      <c r="H121" s="186"/>
      <c r="I121" s="267"/>
      <c r="J121" s="181"/>
      <c r="K121" s="181"/>
    </row>
    <row r="122" spans="1:11" x14ac:dyDescent="0.3">
      <c r="A122" s="9"/>
      <c r="B122" s="3"/>
      <c r="C122" s="189"/>
      <c r="D122" s="20"/>
      <c r="E122" s="190"/>
      <c r="F122" s="190"/>
      <c r="G122" s="91"/>
      <c r="H122" s="186"/>
      <c r="I122" s="267"/>
      <c r="J122" s="181"/>
      <c r="K122" s="181"/>
    </row>
    <row r="123" spans="1:11" x14ac:dyDescent="0.3">
      <c r="A123" s="9"/>
      <c r="B123" s="3"/>
      <c r="C123" s="32"/>
      <c r="D123" s="31"/>
      <c r="E123" s="190"/>
      <c r="F123" s="190"/>
      <c r="G123" s="91"/>
      <c r="H123" s="186"/>
      <c r="I123" s="267"/>
      <c r="J123" s="181"/>
      <c r="K123" s="181"/>
    </row>
    <row r="124" spans="1:11" x14ac:dyDescent="0.3">
      <c r="A124" s="9"/>
      <c r="B124" s="3"/>
      <c r="C124" s="189"/>
      <c r="D124" s="20"/>
      <c r="E124" s="190"/>
      <c r="F124" s="190"/>
      <c r="G124" s="91"/>
      <c r="H124" s="186"/>
      <c r="I124" s="267"/>
      <c r="J124" s="181"/>
      <c r="K124" s="181"/>
    </row>
    <row r="125" spans="1:11" x14ac:dyDescent="0.3">
      <c r="A125" s="9"/>
      <c r="B125" s="18"/>
      <c r="C125" s="32"/>
      <c r="D125" s="31"/>
      <c r="E125" s="194"/>
      <c r="F125" s="194"/>
      <c r="G125" s="91"/>
      <c r="H125" s="186"/>
      <c r="I125" s="267"/>
      <c r="J125" s="181"/>
      <c r="K125" s="181"/>
    </row>
    <row r="126" spans="1:11" x14ac:dyDescent="0.3">
      <c r="A126" s="40"/>
      <c r="B126" s="3"/>
      <c r="C126" s="169"/>
      <c r="D126" s="141"/>
      <c r="E126" s="141"/>
      <c r="F126" s="141"/>
      <c r="G126" s="91"/>
      <c r="H126" s="186"/>
      <c r="I126" s="263"/>
      <c r="J126" s="228"/>
      <c r="K126" s="76"/>
    </row>
    <row r="127" spans="1:11" x14ac:dyDescent="0.3">
      <c r="A127" s="40"/>
      <c r="B127" s="3"/>
      <c r="C127" s="32"/>
      <c r="D127" s="2"/>
      <c r="E127" s="2"/>
      <c r="F127" s="2"/>
      <c r="G127" s="2"/>
      <c r="H127" s="186"/>
    </row>
  </sheetData>
  <pageMargins left="0.45" right="0.70866141732283472" top="0.74803149606299213" bottom="0.74803149606299213" header="0.31496062992125984" footer="0.31496062992125984"/>
  <pageSetup scale="75" orientation="portrait" verticalDpi="360" r:id="rId1"/>
  <drawing r:id="rId2"/>
  <tableParts count="2">
    <tablePart r:id="rId3"/>
    <tablePart r:id="rId4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M43"/>
  <sheetViews>
    <sheetView showGridLines="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0.6640625" bestFit="1" customWidth="1"/>
    <col min="14" max="14" width="17.88671875" customWidth="1"/>
  </cols>
  <sheetData>
    <row r="2" spans="1:13" ht="15.6" x14ac:dyDescent="0.3">
      <c r="A2" s="27" t="s">
        <v>36</v>
      </c>
      <c r="B2" s="41" t="s">
        <v>87</v>
      </c>
    </row>
    <row r="3" spans="1:13" x14ac:dyDescent="0.3">
      <c r="A3" s="27" t="s">
        <v>31</v>
      </c>
      <c r="B3" s="28" t="s">
        <v>204</v>
      </c>
    </row>
    <row r="4" spans="1:13" ht="1.5" customHeight="1" x14ac:dyDescent="0.3">
      <c r="A4" s="27" t="s">
        <v>32</v>
      </c>
      <c r="B4" s="28" t="e">
        <f>LOOKUP(B2,#REF!,#REF!)</f>
        <v>#REF!</v>
      </c>
    </row>
    <row r="5" spans="1:13" hidden="1" x14ac:dyDescent="0.3">
      <c r="A5" s="27" t="s">
        <v>33</v>
      </c>
      <c r="B5" s="28" t="e">
        <f>LOOKUP(B2,#REF!,#REF!)</f>
        <v>#REF!</v>
      </c>
    </row>
    <row r="6" spans="1:13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3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3" x14ac:dyDescent="0.3">
      <c r="A8" s="21"/>
      <c r="B8" s="21"/>
    </row>
    <row r="9" spans="1:13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13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IF(T_T13411121314151617181920212223242526272829303132333536373839[[#This Row],[Total]]&lt;0,T_T13411121314151617181920212223242526272829303132333536373839[[#This Row],[Total]]*-1,0)</f>
        <v>0</v>
      </c>
      <c r="M10" s="178"/>
    </row>
    <row r="11" spans="1:13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IF(T_T13411121314151617181920212223242526272829303132333536373839[[#This Row],[Total]]&lt;0,T_T13411121314151617181920212223242526272829303132333536373839[[#This Row],[Total]]*-1,0)</f>
        <v>0</v>
      </c>
    </row>
    <row r="12" spans="1:13" x14ac:dyDescent="0.3">
      <c r="A12" s="361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IF(T_T13411121314151617181920212223242526272829303132333536373839[[#This Row],[Total]]&lt;0,T_T13411121314151617181920212223242526272829303132333536373839[[#This Row],[Total]]*-1,0)</f>
        <v>0</v>
      </c>
    </row>
    <row r="13" spans="1:13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IF(T_T13411121314151617181920212223242526272829303132333536373839[[#This Row],[Total]]&lt;0,T_T13411121314151617181920212223242526272829303132333536373839[[#This Row],[Total]]*-1,0)</f>
        <v>0</v>
      </c>
    </row>
    <row r="14" spans="1:13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IF(T_T13411121314151617181920212223242526272829303132333536373839[[#This Row],[Total]]&lt;0,T_T13411121314151617181920212223242526272829303132333536373839[[#This Row],[Total]]*-1,0)</f>
        <v>0</v>
      </c>
    </row>
    <row r="15" spans="1:13" x14ac:dyDescent="0.3">
      <c r="A15" s="17">
        <v>45687</v>
      </c>
      <c r="B15" s="18" t="s">
        <v>530</v>
      </c>
      <c r="C15" s="6"/>
      <c r="D15" s="2">
        <v>181</v>
      </c>
      <c r="E15" s="2">
        <v>22</v>
      </c>
      <c r="F15" s="20"/>
      <c r="G15" s="20">
        <f>SUM(D15:F15)</f>
        <v>203</v>
      </c>
      <c r="H15" s="233">
        <f>+H13+T_T13411121314151617181920212223242526272829303132333536373839[[#This Row],[Total]]</f>
        <v>203</v>
      </c>
      <c r="I15" s="240">
        <f>IF(T_T13411121314151617181920212223242526272829303132333536373839[[#This Row],[Total]]&lt;0,T_T13411121314151617181920212223242526272829303132333536373839[[#This Row],[Total]]*-1,0)</f>
        <v>0</v>
      </c>
    </row>
    <row r="16" spans="1:13" x14ac:dyDescent="0.3">
      <c r="A16" s="17"/>
      <c r="B16" s="18" t="s">
        <v>531</v>
      </c>
      <c r="C16" s="6">
        <v>8631</v>
      </c>
      <c r="D16" s="2">
        <v>-181</v>
      </c>
      <c r="E16" s="2">
        <v>-22</v>
      </c>
      <c r="F16" s="230"/>
      <c r="G16" s="230">
        <f t="shared" ref="G16:G38" si="0">SUM(D16:F16)</f>
        <v>-203</v>
      </c>
      <c r="H16" s="233">
        <f t="shared" ref="H16:H40" si="1">H15+G16</f>
        <v>0</v>
      </c>
      <c r="I16" s="240">
        <f>IF(T_T13411121314151617181920212223242526272829303132333536373839[[#This Row],[Total]]&lt;0,T_T13411121314151617181920212223242526272829303132333536373839[[#This Row],[Total]]*-1,0)</f>
        <v>203</v>
      </c>
    </row>
    <row r="17" spans="1:9" x14ac:dyDescent="0.3">
      <c r="A17" s="164">
        <v>45715</v>
      </c>
      <c r="B17" s="161" t="s">
        <v>532</v>
      </c>
      <c r="C17" s="6"/>
      <c r="D17" s="2">
        <v>181</v>
      </c>
      <c r="E17" s="2">
        <v>17</v>
      </c>
      <c r="F17" s="230"/>
      <c r="G17" s="230">
        <f t="shared" si="0"/>
        <v>198</v>
      </c>
      <c r="H17" s="233">
        <f t="shared" si="1"/>
        <v>198</v>
      </c>
      <c r="I17" s="240">
        <f>IF(T_T13411121314151617181920212223242526272829303132333536373839[[#This Row],[Total]]&lt;0,T_T13411121314151617181920212223242526272829303132333536373839[[#This Row],[Total]]*-1,0)</f>
        <v>0</v>
      </c>
    </row>
    <row r="18" spans="1:9" x14ac:dyDescent="0.3">
      <c r="A18" s="187"/>
      <c r="B18" s="18" t="s">
        <v>533</v>
      </c>
      <c r="C18" s="6">
        <v>8697</v>
      </c>
      <c r="D18" s="2">
        <v>-181</v>
      </c>
      <c r="E18" s="2">
        <v>-17</v>
      </c>
      <c r="F18" s="230"/>
      <c r="G18" s="230">
        <f t="shared" si="0"/>
        <v>-198</v>
      </c>
      <c r="H18" s="233">
        <f t="shared" si="1"/>
        <v>0</v>
      </c>
      <c r="I18" s="240">
        <f>IF(T_T13411121314151617181920212223242526272829303132333536373839[[#This Row],[Total]]&lt;0,T_T13411121314151617181920212223242526272829303132333536373839[[#This Row],[Total]]*-1,0)</f>
        <v>198</v>
      </c>
    </row>
    <row r="19" spans="1:9" x14ac:dyDescent="0.3">
      <c r="A19" s="188">
        <v>45747</v>
      </c>
      <c r="B19" s="3" t="s">
        <v>534</v>
      </c>
      <c r="C19" s="6"/>
      <c r="D19" s="2">
        <v>217</v>
      </c>
      <c r="E19" s="2">
        <v>14</v>
      </c>
      <c r="F19" s="230"/>
      <c r="G19" s="230">
        <f t="shared" si="0"/>
        <v>231</v>
      </c>
      <c r="H19" s="233">
        <f t="shared" si="1"/>
        <v>231</v>
      </c>
      <c r="I19" s="240">
        <f>IF(T_T13411121314151617181920212223242526272829303132333536373839[[#This Row],[Total]]&lt;0,T_T13411121314151617181920212223242526272829303132333536373839[[#This Row],[Total]]*-1,0)</f>
        <v>0</v>
      </c>
    </row>
    <row r="20" spans="1:9" x14ac:dyDescent="0.3">
      <c r="A20" s="188"/>
      <c r="B20" s="82" t="s">
        <v>535</v>
      </c>
      <c r="C20" s="6">
        <v>8844</v>
      </c>
      <c r="D20" s="2">
        <v>-217</v>
      </c>
      <c r="E20" s="2">
        <v>-14</v>
      </c>
      <c r="F20" s="230"/>
      <c r="G20" s="230">
        <f t="shared" si="0"/>
        <v>-231</v>
      </c>
      <c r="H20" s="233">
        <f t="shared" si="1"/>
        <v>0</v>
      </c>
      <c r="I20" s="240">
        <f>IF(T_T13411121314151617181920212223242526272829303132333536373839[[#This Row],[Total]]&lt;0,T_T13411121314151617181920212223242526272829303132333536373839[[#This Row],[Total]]*-1,0)</f>
        <v>231</v>
      </c>
    </row>
    <row r="21" spans="1:9" x14ac:dyDescent="0.3">
      <c r="A21" s="188">
        <v>45777</v>
      </c>
      <c r="B21" s="3" t="s">
        <v>536</v>
      </c>
      <c r="C21" s="6"/>
      <c r="D21" s="2">
        <v>217</v>
      </c>
      <c r="E21" s="2">
        <v>16</v>
      </c>
      <c r="F21" s="230"/>
      <c r="G21" s="230">
        <f t="shared" si="0"/>
        <v>233</v>
      </c>
      <c r="H21" s="233">
        <f t="shared" si="1"/>
        <v>233</v>
      </c>
      <c r="I21" s="309">
        <f>IF(T_T13411121314151617181920212223242526272829303132333536373839[[#This Row],[Total]]&lt;0,T_T13411121314151617181920212223242526272829303132333536373839[[#This Row],[Total]]*-1,0)</f>
        <v>0</v>
      </c>
    </row>
    <row r="22" spans="1:9" x14ac:dyDescent="0.3">
      <c r="A22" s="83"/>
      <c r="B22" s="82" t="s">
        <v>537</v>
      </c>
      <c r="C22" s="6">
        <v>8909</v>
      </c>
      <c r="D22" s="2">
        <v>-217</v>
      </c>
      <c r="E22" s="2">
        <v>-16</v>
      </c>
      <c r="F22" s="230"/>
      <c r="G22" s="230">
        <f>SUM(D22:F22)</f>
        <v>-233</v>
      </c>
      <c r="H22" s="233">
        <f t="shared" si="1"/>
        <v>0</v>
      </c>
      <c r="I22" s="309">
        <f>IF(T_T13411121314151617181920212223242526272829303132333536373839[[#This Row],[Total]]&lt;0,T_T13411121314151617181920212223242526272829303132333536373839[[#This Row],[Total]]*-1,0)</f>
        <v>233</v>
      </c>
    </row>
    <row r="23" spans="1:9" x14ac:dyDescent="0.3">
      <c r="A23" s="40">
        <v>45807</v>
      </c>
      <c r="B23" s="3" t="s">
        <v>538</v>
      </c>
      <c r="C23" s="229"/>
      <c r="D23" s="230">
        <v>217</v>
      </c>
      <c r="E23" s="230">
        <v>15</v>
      </c>
      <c r="F23" s="230"/>
      <c r="G23" s="230">
        <f t="shared" si="0"/>
        <v>232</v>
      </c>
      <c r="H23" s="233">
        <f t="shared" si="1"/>
        <v>232</v>
      </c>
      <c r="I23" s="309">
        <f>IF(T_T13411121314151617181920212223242526272829303132333536373839[[#This Row],[Total]]&lt;0,T_T13411121314151617181920212223242526272829303132333536373839[[#This Row],[Total]]*-1,0)</f>
        <v>0</v>
      </c>
    </row>
    <row r="24" spans="1:9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232</v>
      </c>
      <c r="I24" s="309">
        <f>IF(T_T13411121314151617181920212223242526272829303132333536373839[[#This Row],[Total]]&lt;0,T_T13411121314151617181920212223242526272829303132333536373839[[#This Row],[Total]]*-1,0)</f>
        <v>0</v>
      </c>
    </row>
    <row r="25" spans="1:9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232</v>
      </c>
      <c r="I25" s="309">
        <f>IF(T_T13411121314151617181920212223242526272829303132333536373839[[#This Row],[Total]]&lt;0,T_T13411121314151617181920212223242526272829303132333536373839[[#This Row],[Total]]*-1,0)</f>
        <v>0</v>
      </c>
    </row>
    <row r="26" spans="1:9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232</v>
      </c>
      <c r="I26" s="309">
        <f>IF(T_T13411121314151617181920212223242526272829303132333536373839[[#This Row],[Total]]&lt;0,T_T13411121314151617181920212223242526272829303132333536373839[[#This Row],[Total]]*-1,0)</f>
        <v>0</v>
      </c>
    </row>
    <row r="27" spans="1:9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232</v>
      </c>
      <c r="I27" s="309">
        <f>IF(T_T13411121314151617181920212223242526272829303132333536373839[[#This Row],[Total]]&lt;0,T_T13411121314151617181920212223242526272829303132333536373839[[#This Row],[Total]]*-1,0)</f>
        <v>0</v>
      </c>
    </row>
    <row r="28" spans="1:9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232</v>
      </c>
      <c r="I28" s="309">
        <f>IF(T_T13411121314151617181920212223242526272829303132333536373839[[#This Row],[Total]]&lt;0,T_T13411121314151617181920212223242526272829303132333536373839[[#This Row],[Total]]*-1,0)</f>
        <v>0</v>
      </c>
    </row>
    <row r="29" spans="1:9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232</v>
      </c>
      <c r="I29" s="309">
        <f>IF(T_T13411121314151617181920212223242526272829303132333536373839[[#This Row],[Total]]&lt;0,T_T13411121314151617181920212223242526272829303132333536373839[[#This Row],[Total]]*-1,0)</f>
        <v>0</v>
      </c>
    </row>
    <row r="30" spans="1:9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232</v>
      </c>
      <c r="I30" s="309">
        <f>IF(T_T13411121314151617181920212223242526272829303132333536373839[[#This Row],[Total]]&lt;0,T_T13411121314151617181920212223242526272829303132333536373839[[#This Row],[Total]]*-1,0)</f>
        <v>0</v>
      </c>
    </row>
    <row r="31" spans="1:9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232</v>
      </c>
      <c r="I31" s="309">
        <f>IF(T_T13411121314151617181920212223242526272829303132333536373839[[#This Row],[Total]]&lt;0,T_T13411121314151617181920212223242526272829303132333536373839[[#This Row],[Total]]*-1,0)</f>
        <v>0</v>
      </c>
    </row>
    <row r="32" spans="1:9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232</v>
      </c>
      <c r="I32" s="309">
        <f>IF(T_T13411121314151617181920212223242526272829303132333536373839[[#This Row],[Total]]&lt;0,T_T13411121314151617181920212223242526272829303132333536373839[[#This Row],[Total]]*-1,0)</f>
        <v>0</v>
      </c>
    </row>
    <row r="33" spans="1:9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232</v>
      </c>
      <c r="I33" s="309">
        <f>IF(T_T13411121314151617181920212223242526272829303132333536373839[[#This Row],[Total]]&lt;0,T_T13411121314151617181920212223242526272829303132333536373839[[#This Row],[Total]]*-1,0)</f>
        <v>0</v>
      </c>
    </row>
    <row r="34" spans="1:9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232</v>
      </c>
      <c r="I34" s="309">
        <f>IF(T_T13411121314151617181920212223242526272829303132333536373839[[#This Row],[Total]]&lt;0,T_T13411121314151617181920212223242526272829303132333536373839[[#This Row],[Total]]*-1,0)</f>
        <v>0</v>
      </c>
    </row>
    <row r="35" spans="1:9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232</v>
      </c>
      <c r="I35" s="309">
        <f>IF(T_T13411121314151617181920212223242526272829303132333536373839[[#This Row],[Total]]&lt;0,T_T13411121314151617181920212223242526272829303132333536373839[[#This Row],[Total]]*-1,0)</f>
        <v>0</v>
      </c>
    </row>
    <row r="36" spans="1:9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232</v>
      </c>
      <c r="I36" s="309">
        <f>IF(T_T13411121314151617181920212223242526272829303132333536373839[[#This Row],[Total]]&lt;0,T_T13411121314151617181920212223242526272829303132333536373839[[#This Row],[Total]]*-1,0)</f>
        <v>0</v>
      </c>
    </row>
    <row r="37" spans="1:9" x14ac:dyDescent="0.3">
      <c r="A37" s="188">
        <v>46021</v>
      </c>
      <c r="B37" s="3" t="s">
        <v>552</v>
      </c>
      <c r="C37" s="229"/>
      <c r="D37" s="230"/>
      <c r="E37" s="7"/>
      <c r="F37" s="230"/>
      <c r="G37" s="230">
        <f t="shared" si="0"/>
        <v>0</v>
      </c>
      <c r="H37" s="233">
        <f t="shared" si="1"/>
        <v>232</v>
      </c>
      <c r="I37" s="309">
        <f>IF(T_T13411121314151617181920212223242526272829303132333536373839[[#This Row],[Total]]&lt;0,T_T13411121314151617181920212223242526272829303132333536373839[[#This Row],[Total]]*-1,0)</f>
        <v>0</v>
      </c>
    </row>
    <row r="38" spans="1:9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232</v>
      </c>
      <c r="I38" s="353">
        <f>IF(T_T13411121314151617181920212223242526272829303132333536373839[[#This Row],[Total]]&lt;0,T_T13411121314151617181920212223242526272829303132333536373839[[#This Row],[Total]]*-1,0)</f>
        <v>0</v>
      </c>
    </row>
    <row r="39" spans="1:9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232</v>
      </c>
      <c r="I39" s="353">
        <f>IF(T_T13411121314151617181920212223242526272829303132333536373839[[#This Row],[Total]]&lt;0,T_T13411121314151617181920212223242526272829303132333536373839[[#This Row],[Total]]*-1,0)</f>
        <v>0</v>
      </c>
    </row>
    <row r="40" spans="1:9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232</v>
      </c>
      <c r="I40" s="353">
        <f>IF(T_T13411121314151617181920212223242526272829303132333536373839[[#This Row],[Total]]&lt;0,T_T13411121314151617181920212223242526272829303132333536373839[[#This Row],[Total]]*-1,0)</f>
        <v>0</v>
      </c>
    </row>
    <row r="41" spans="1:9" x14ac:dyDescent="0.3">
      <c r="A41" s="492"/>
      <c r="B41" s="493"/>
      <c r="C41" s="466"/>
      <c r="D41" s="467"/>
      <c r="E41" s="467"/>
      <c r="F41" s="467"/>
      <c r="G41" s="467"/>
      <c r="H41" s="486"/>
      <c r="I41" s="475"/>
    </row>
    <row r="42" spans="1:9" x14ac:dyDescent="0.3">
      <c r="A42" s="3"/>
      <c r="B42" s="3"/>
      <c r="C42" s="6"/>
      <c r="D42" s="2"/>
      <c r="E42" s="2"/>
      <c r="F42" s="2"/>
      <c r="G42" s="2"/>
      <c r="H42" s="2"/>
    </row>
    <row r="43" spans="1:9" x14ac:dyDescent="0.3">
      <c r="A43" s="3"/>
      <c r="B43" s="3"/>
      <c r="C43" s="6"/>
      <c r="D43" s="2"/>
      <c r="E43" s="2"/>
      <c r="F43" s="2"/>
      <c r="G43" s="2"/>
      <c r="H43" s="2"/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orientation="portrait" verticalDpi="360" r:id="rId2"/>
  <drawing r:id="rId3"/>
  <tableParts count="1">
    <tablePart r:id="rId4"/>
  </tablePart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O45"/>
  <sheetViews>
    <sheetView showGridLines="0" zoomScaleNormal="100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6.33203125" customWidth="1"/>
    <col min="3" max="3" width="10.88671875" style="4" customWidth="1"/>
    <col min="4" max="4" width="12.5546875" style="1" customWidth="1"/>
    <col min="5" max="5" width="10" style="1" customWidth="1"/>
    <col min="6" max="6" width="7.5546875" style="1" customWidth="1"/>
    <col min="7" max="7" width="10.88671875" style="1" customWidth="1"/>
    <col min="8" max="8" width="12.44140625" style="1" customWidth="1"/>
    <col min="9" max="9" width="12.88671875" hidden="1" customWidth="1"/>
    <col min="15" max="15" width="10.6640625" bestFit="1" customWidth="1"/>
    <col min="16" max="16" width="15.6640625" customWidth="1"/>
  </cols>
  <sheetData>
    <row r="1" spans="1:15" x14ac:dyDescent="0.3">
      <c r="E1" s="1" t="s">
        <v>488</v>
      </c>
    </row>
    <row r="2" spans="1:15" ht="13.5" customHeight="1" x14ac:dyDescent="0.3">
      <c r="A2" s="27" t="s">
        <v>36</v>
      </c>
      <c r="B2" s="41" t="s">
        <v>88</v>
      </c>
    </row>
    <row r="3" spans="1:15" x14ac:dyDescent="0.3">
      <c r="A3" s="27" t="s">
        <v>31</v>
      </c>
      <c r="B3" t="s">
        <v>478</v>
      </c>
    </row>
    <row r="4" spans="1:15" x14ac:dyDescent="0.3">
      <c r="A4" s="27" t="s">
        <v>32</v>
      </c>
      <c r="B4" s="28" t="e">
        <f>LOOKUP(B2,#REF!,#REF!)</f>
        <v>#REF!</v>
      </c>
    </row>
    <row r="5" spans="1:15" x14ac:dyDescent="0.3">
      <c r="A5" s="27" t="s">
        <v>33</v>
      </c>
      <c r="B5" s="28" t="e">
        <f>LOOKUP(B2,#REF!,#REF!)</f>
        <v>#REF!</v>
      </c>
    </row>
    <row r="6" spans="1:15" x14ac:dyDescent="0.3">
      <c r="A6" s="27" t="s">
        <v>34</v>
      </c>
      <c r="B6" s="28" t="e">
        <f>LOOKUP(B2,#REF!,#REF!)</f>
        <v>#REF!</v>
      </c>
      <c r="G6" s="25"/>
      <c r="H6" s="25"/>
    </row>
    <row r="7" spans="1:15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9" spans="1:15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96" t="s">
        <v>188</v>
      </c>
      <c r="K9" s="173" t="s">
        <v>191</v>
      </c>
    </row>
    <row r="10" spans="1:15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IF(T_T1341112131415161718192021222324252627282930313233353637383940[[#This Row],[Total]]&lt;0,T_T1341112131415161718192021222324252627282930313233353637383940[[#This Row],[Total]]*-1,0)</f>
        <v>0</v>
      </c>
      <c r="J10" s="97"/>
      <c r="K10" s="172"/>
      <c r="O10" s="178"/>
    </row>
    <row r="11" spans="1:15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IF(T_T1341112131415161718192021222324252627282930313233353637383940[[#This Row],[Total]]&lt;0,T_T1341112131415161718192021222324252627282930313233353637383940[[#This Row],[Total]]*-1,0)</f>
        <v>0</v>
      </c>
      <c r="J11" s="232"/>
      <c r="K11" s="232"/>
    </row>
    <row r="12" spans="1:15" x14ac:dyDescent="0.3">
      <c r="A12" s="117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IF(T_T1341112131415161718192021222324252627282930313233353637383940[[#This Row],[Total]]&lt;0,T_T1341112131415161718192021222324252627282930313233353637383940[[#This Row],[Total]]*-1,0)</f>
        <v>0</v>
      </c>
      <c r="J12" s="419"/>
      <c r="K12" s="419"/>
    </row>
    <row r="13" spans="1:15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IF(T_T1341112131415161718192021222324252627282930313233353637383940[[#This Row],[Total]]&lt;0,T_T1341112131415161718192021222324252627282930313233353637383940[[#This Row],[Total]]*-1,0)</f>
        <v>0</v>
      </c>
      <c r="J13" s="232"/>
      <c r="K13" s="232"/>
    </row>
    <row r="14" spans="1:15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IF(T_T1341112131415161718192021222324252627282930313233353637383940[[#This Row],[Total]]&lt;0,T_T1341112131415161718192021222324252627282930313233353637383940[[#This Row],[Total]]*-1,0)</f>
        <v>0</v>
      </c>
      <c r="J14" s="485"/>
      <c r="K14" s="485"/>
    </row>
    <row r="15" spans="1:15" x14ac:dyDescent="0.3">
      <c r="A15" s="17">
        <v>46052</v>
      </c>
      <c r="B15" s="18" t="s">
        <v>530</v>
      </c>
      <c r="C15" s="6"/>
      <c r="D15" s="2">
        <v>142</v>
      </c>
      <c r="E15" s="2">
        <v>9</v>
      </c>
      <c r="F15" s="20"/>
      <c r="G15" s="20">
        <f>SUM(D15:F15)</f>
        <v>151</v>
      </c>
      <c r="H15" s="233">
        <f>+H13+T_T1341112131415161718192021222324252627282930313233353637383940[[#This Row],[Total]]</f>
        <v>151</v>
      </c>
      <c r="I15" s="240">
        <f>IF(T_T1341112131415161718192021222324252627282930313233353637383940[[#This Row],[Total]]&lt;0,T_T1341112131415161718192021222324252627282930313233353637383940[[#This Row],[Total]]*-1,0)</f>
        <v>0</v>
      </c>
      <c r="J15" s="232"/>
      <c r="K15" s="232"/>
    </row>
    <row r="16" spans="1:15" x14ac:dyDescent="0.3">
      <c r="A16" s="17"/>
      <c r="B16" s="18" t="s">
        <v>531</v>
      </c>
      <c r="C16" s="6">
        <v>8570</v>
      </c>
      <c r="D16" s="2">
        <v>-142</v>
      </c>
      <c r="E16" s="2">
        <v>-9</v>
      </c>
      <c r="F16" s="230"/>
      <c r="G16" s="230">
        <f t="shared" ref="G16:G38" si="0">SUM(D16:F16)</f>
        <v>-151</v>
      </c>
      <c r="H16" s="233">
        <f t="shared" ref="H16:H39" si="1">H15+G16</f>
        <v>0</v>
      </c>
      <c r="I16" s="240">
        <f>IF(T_T1341112131415161718192021222324252627282930313233353637383940[[#This Row],[Total]]&lt;0,T_T1341112131415161718192021222324252627282930313233353637383940[[#This Row],[Total]]*-1,0)</f>
        <v>151</v>
      </c>
      <c r="J16" s="232"/>
      <c r="K16" s="232"/>
    </row>
    <row r="17" spans="1:11" x14ac:dyDescent="0.3">
      <c r="A17" s="164">
        <v>45715</v>
      </c>
      <c r="B17" s="161" t="s">
        <v>532</v>
      </c>
      <c r="C17" s="6"/>
      <c r="D17" s="2">
        <v>142</v>
      </c>
      <c r="E17" s="2">
        <v>9</v>
      </c>
      <c r="F17" s="230"/>
      <c r="G17" s="230">
        <f t="shared" si="0"/>
        <v>151</v>
      </c>
      <c r="H17" s="233">
        <f t="shared" si="1"/>
        <v>151</v>
      </c>
      <c r="I17" s="240">
        <f>IF(T_T1341112131415161718192021222324252627282930313233353637383940[[#This Row],[Total]]&lt;0,T_T1341112131415161718192021222324252627282930313233353637383940[[#This Row],[Total]]*-1,0)</f>
        <v>0</v>
      </c>
      <c r="J17" s="232"/>
      <c r="K17" s="232"/>
    </row>
    <row r="18" spans="1:11" x14ac:dyDescent="0.3">
      <c r="A18" s="187"/>
      <c r="B18" s="18" t="s">
        <v>533</v>
      </c>
      <c r="C18" s="6">
        <v>8679</v>
      </c>
      <c r="D18" s="2">
        <v>-142</v>
      </c>
      <c r="E18" s="2">
        <v>-9</v>
      </c>
      <c r="F18" s="230"/>
      <c r="G18" s="230">
        <f t="shared" si="0"/>
        <v>-151</v>
      </c>
      <c r="H18" s="233">
        <f t="shared" si="1"/>
        <v>0</v>
      </c>
      <c r="I18" s="240">
        <f>IF(T_T1341112131415161718192021222324252627282930313233353637383940[[#This Row],[Total]]&lt;0,T_T1341112131415161718192021222324252627282930313233353637383940[[#This Row],[Total]]*-1,0)</f>
        <v>151</v>
      </c>
      <c r="J18" s="232"/>
      <c r="K18" s="232"/>
    </row>
    <row r="19" spans="1:11" x14ac:dyDescent="0.3">
      <c r="A19" s="188">
        <v>45747</v>
      </c>
      <c r="B19" s="3" t="s">
        <v>534</v>
      </c>
      <c r="C19" s="6"/>
      <c r="D19" s="2">
        <v>170</v>
      </c>
      <c r="E19" s="2">
        <v>8</v>
      </c>
      <c r="F19" s="230"/>
      <c r="G19" s="230">
        <f t="shared" si="0"/>
        <v>178</v>
      </c>
      <c r="H19" s="233">
        <f t="shared" si="1"/>
        <v>178</v>
      </c>
      <c r="I19" s="240">
        <f>IF(T_T1341112131415161718192021222324252627282930313233353637383940[[#This Row],[Total]]&lt;0,T_T1341112131415161718192021222324252627282930313233353637383940[[#This Row],[Total]]*-1,0)</f>
        <v>0</v>
      </c>
      <c r="J19" s="232"/>
      <c r="K19" s="232"/>
    </row>
    <row r="20" spans="1:11" x14ac:dyDescent="0.3">
      <c r="A20" s="188"/>
      <c r="B20" s="82" t="s">
        <v>535</v>
      </c>
      <c r="C20" s="6">
        <v>8767</v>
      </c>
      <c r="D20" s="2">
        <v>-170</v>
      </c>
      <c r="E20" s="2">
        <v>-8</v>
      </c>
      <c r="F20" s="230"/>
      <c r="G20" s="230">
        <f t="shared" si="0"/>
        <v>-178</v>
      </c>
      <c r="H20" s="233">
        <f t="shared" si="1"/>
        <v>0</v>
      </c>
      <c r="I20" s="240">
        <f>IF(T_T1341112131415161718192021222324252627282930313233353637383940[[#This Row],[Total]]&lt;0,T_T1341112131415161718192021222324252627282930313233353637383940[[#This Row],[Total]]*-1,0)</f>
        <v>178</v>
      </c>
      <c r="J20" s="232"/>
      <c r="K20" s="232"/>
    </row>
    <row r="21" spans="1:11" x14ac:dyDescent="0.3">
      <c r="A21" s="188">
        <v>45777</v>
      </c>
      <c r="B21" s="3" t="s">
        <v>536</v>
      </c>
      <c r="C21" s="6"/>
      <c r="D21" s="2">
        <v>170</v>
      </c>
      <c r="E21" s="2">
        <v>8</v>
      </c>
      <c r="F21" s="230"/>
      <c r="G21" s="230">
        <f t="shared" si="0"/>
        <v>178</v>
      </c>
      <c r="H21" s="233">
        <f t="shared" si="1"/>
        <v>178</v>
      </c>
      <c r="I21" s="309">
        <f>IF(T_T1341112131415161718192021222324252627282930313233353637383940[[#This Row],[Total]]&lt;0,T_T1341112131415161718192021222324252627282930313233353637383940[[#This Row],[Total]]*-1,0)</f>
        <v>0</v>
      </c>
      <c r="J21" s="313"/>
      <c r="K21" s="313"/>
    </row>
    <row r="22" spans="1:11" x14ac:dyDescent="0.3">
      <c r="A22" s="83"/>
      <c r="B22" s="82" t="s">
        <v>537</v>
      </c>
      <c r="C22" s="6">
        <v>8871</v>
      </c>
      <c r="D22" s="2">
        <v>-170</v>
      </c>
      <c r="E22" s="2">
        <v>-8</v>
      </c>
      <c r="F22" s="230"/>
      <c r="G22" s="230">
        <f t="shared" si="0"/>
        <v>-178</v>
      </c>
      <c r="H22" s="233">
        <f t="shared" si="1"/>
        <v>0</v>
      </c>
      <c r="I22" s="309">
        <f>IF(T_T1341112131415161718192021222324252627282930313233353637383940[[#This Row],[Total]]&lt;0,T_T1341112131415161718192021222324252627282930313233353637383940[[#This Row],[Total]]*-1,0)</f>
        <v>178</v>
      </c>
      <c r="J22" s="313"/>
      <c r="K22" s="313"/>
    </row>
    <row r="23" spans="1:11" x14ac:dyDescent="0.3">
      <c r="A23" s="40">
        <v>45807</v>
      </c>
      <c r="B23" s="3" t="s">
        <v>538</v>
      </c>
      <c r="C23" s="229"/>
      <c r="D23" s="230">
        <v>170</v>
      </c>
      <c r="E23" s="7">
        <v>9</v>
      </c>
      <c r="F23" s="230"/>
      <c r="G23" s="230">
        <f t="shared" si="0"/>
        <v>179</v>
      </c>
      <c r="H23" s="233">
        <f t="shared" si="1"/>
        <v>179</v>
      </c>
      <c r="I23" s="309">
        <f>IF(T_T1341112131415161718192021222324252627282930313233353637383940[[#This Row],[Total]]&lt;0,T_T1341112131415161718192021222324252627282930313233353637383940[[#This Row],[Total]]*-1,0)</f>
        <v>0</v>
      </c>
      <c r="J23" s="313"/>
      <c r="K23" s="313"/>
    </row>
    <row r="24" spans="1:11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179</v>
      </c>
      <c r="I24" s="309">
        <f>IF(T_T1341112131415161718192021222324252627282930313233353637383940[[#This Row],[Total]]&lt;0,T_T1341112131415161718192021222324252627282930313233353637383940[[#This Row],[Total]]*-1,0)</f>
        <v>0</v>
      </c>
      <c r="J24" s="313"/>
      <c r="K24" s="313"/>
    </row>
    <row r="25" spans="1:11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179</v>
      </c>
      <c r="I25" s="309">
        <f>IF(T_T1341112131415161718192021222324252627282930313233353637383940[[#This Row],[Total]]&lt;0,T_T1341112131415161718192021222324252627282930313233353637383940[[#This Row],[Total]]*-1,0)</f>
        <v>0</v>
      </c>
      <c r="J25" s="313"/>
      <c r="K25" s="313"/>
    </row>
    <row r="26" spans="1:11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179</v>
      </c>
      <c r="I26" s="309">
        <f>IF(T_T1341112131415161718192021222324252627282930313233353637383940[[#This Row],[Total]]&lt;0,T_T1341112131415161718192021222324252627282930313233353637383940[[#This Row],[Total]]*-1,0)</f>
        <v>0</v>
      </c>
      <c r="J26" s="313"/>
      <c r="K26" s="313"/>
    </row>
    <row r="27" spans="1:11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179</v>
      </c>
      <c r="I27" s="309">
        <f>IF(T_T1341112131415161718192021222324252627282930313233353637383940[[#This Row],[Total]]&lt;0,T_T1341112131415161718192021222324252627282930313233353637383940[[#This Row],[Total]]*-1,0)</f>
        <v>0</v>
      </c>
      <c r="J27" s="313"/>
      <c r="K27" s="313"/>
    </row>
    <row r="28" spans="1:11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179</v>
      </c>
      <c r="I28" s="309">
        <f>IF(T_T1341112131415161718192021222324252627282930313233353637383940[[#This Row],[Total]]&lt;0,T_T1341112131415161718192021222324252627282930313233353637383940[[#This Row],[Total]]*-1,0)</f>
        <v>0</v>
      </c>
      <c r="J28" s="313"/>
      <c r="K28" s="313"/>
    </row>
    <row r="29" spans="1:11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179</v>
      </c>
      <c r="I29" s="309">
        <f>IF(T_T1341112131415161718192021222324252627282930313233353637383940[[#This Row],[Total]]&lt;0,T_T1341112131415161718192021222324252627282930313233353637383940[[#This Row],[Total]]*-1,0)</f>
        <v>0</v>
      </c>
      <c r="J29" s="313"/>
      <c r="K29" s="313"/>
    </row>
    <row r="30" spans="1:11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179</v>
      </c>
      <c r="I30" s="309">
        <f>IF(T_T1341112131415161718192021222324252627282930313233353637383940[[#This Row],[Total]]&lt;0,T_T1341112131415161718192021222324252627282930313233353637383940[[#This Row],[Total]]*-1,0)</f>
        <v>0</v>
      </c>
      <c r="J30" s="313"/>
      <c r="K30" s="313"/>
    </row>
    <row r="31" spans="1:11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179</v>
      </c>
      <c r="I31" s="309">
        <f>IF(T_T1341112131415161718192021222324252627282930313233353637383940[[#This Row],[Total]]&lt;0,T_T1341112131415161718192021222324252627282930313233353637383940[[#This Row],[Total]]*-1,0)</f>
        <v>0</v>
      </c>
      <c r="J31" s="313"/>
      <c r="K31" s="313"/>
    </row>
    <row r="32" spans="1:11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179</v>
      </c>
      <c r="I32" s="309">
        <f>IF(T_T1341112131415161718192021222324252627282930313233353637383940[[#This Row],[Total]]&lt;0,T_T1341112131415161718192021222324252627282930313233353637383940[[#This Row],[Total]]*-1,0)</f>
        <v>0</v>
      </c>
      <c r="J32" s="313"/>
      <c r="K32" s="313"/>
    </row>
    <row r="33" spans="1:11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179</v>
      </c>
      <c r="I33" s="309">
        <f>IF(T_T1341112131415161718192021222324252627282930313233353637383940[[#This Row],[Total]]&lt;0,T_T1341112131415161718192021222324252627282930313233353637383940[[#This Row],[Total]]*-1,0)</f>
        <v>0</v>
      </c>
      <c r="J33" s="313"/>
      <c r="K33" s="313"/>
    </row>
    <row r="34" spans="1:11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179</v>
      </c>
      <c r="I34" s="309">
        <f>IF(T_T1341112131415161718192021222324252627282930313233353637383940[[#This Row],[Total]]&lt;0,T_T1341112131415161718192021222324252627282930313233353637383940[[#This Row],[Total]]*-1,0)</f>
        <v>0</v>
      </c>
      <c r="J34" s="313"/>
      <c r="K34" s="313"/>
    </row>
    <row r="35" spans="1:11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179</v>
      </c>
      <c r="I35" s="309">
        <f>IF(T_T1341112131415161718192021222324252627282930313233353637383940[[#This Row],[Total]]&lt;0,T_T1341112131415161718192021222324252627282930313233353637383940[[#This Row],[Total]]*-1,0)</f>
        <v>0</v>
      </c>
      <c r="J35" s="313"/>
      <c r="K35" s="313"/>
    </row>
    <row r="36" spans="1:11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179</v>
      </c>
      <c r="I36" s="309">
        <f>IF(T_T1341112131415161718192021222324252627282930313233353637383940[[#This Row],[Total]]&lt;0,T_T1341112131415161718192021222324252627282930313233353637383940[[#This Row],[Total]]*-1,0)</f>
        <v>0</v>
      </c>
      <c r="J36" s="313"/>
      <c r="K36" s="313"/>
    </row>
    <row r="37" spans="1:11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179</v>
      </c>
      <c r="I37" s="309">
        <f>IF(T_T1341112131415161718192021222324252627282930313233353637383940[[#This Row],[Total]]&lt;0,T_T1341112131415161718192021222324252627282930313233353637383940[[#This Row],[Total]]*-1,0)</f>
        <v>0</v>
      </c>
      <c r="J37" s="313"/>
      <c r="K37" s="313"/>
    </row>
    <row r="38" spans="1:11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179</v>
      </c>
      <c r="I38" s="309">
        <f>IF(T_T1341112131415161718192021222324252627282930313233353637383940[[#This Row],[Total]]&lt;0,T_T1341112131415161718192021222324252627282930313233353637383940[[#This Row],[Total]]*-1,0)</f>
        <v>0</v>
      </c>
      <c r="J38" s="313"/>
      <c r="K38" s="313"/>
    </row>
    <row r="39" spans="1:11" x14ac:dyDescent="0.3">
      <c r="A39" s="107"/>
      <c r="B39" s="82"/>
      <c r="C39" s="229"/>
      <c r="D39" s="230"/>
      <c r="E39" s="230"/>
      <c r="F39" s="230"/>
      <c r="G39" s="230">
        <f>SUM(D39:F48)</f>
        <v>0</v>
      </c>
      <c r="H39" s="233">
        <f t="shared" si="1"/>
        <v>179</v>
      </c>
      <c r="I39" s="309">
        <f>IF(T_T1341112131415161718192021222324252627282930313233353637383940[[#This Row],[Total]]&lt;0,T_T1341112131415161718192021222324252627282930313233353637383940[[#This Row],[Total]]*-1,0)</f>
        <v>0</v>
      </c>
      <c r="J39" s="313"/>
      <c r="K39" s="313"/>
    </row>
    <row r="40" spans="1:11" x14ac:dyDescent="0.3">
      <c r="A40" s="107"/>
      <c r="B40" s="82"/>
      <c r="C40" s="471"/>
      <c r="D40" s="472"/>
      <c r="E40" s="472"/>
      <c r="F40" s="472"/>
      <c r="G40" s="472"/>
      <c r="H40" s="483"/>
      <c r="I40" s="473">
        <f>IF(T_T1341112131415161718192021222324252627282930313233353637383940[[#This Row],[Total]]&lt;0,T_T1341112131415161718192021222324252627282930313233353637383940[[#This Row],[Total]]*-1,0)</f>
        <v>0</v>
      </c>
      <c r="J40" s="485"/>
      <c r="K40" s="485"/>
    </row>
    <row r="41" spans="1:11" x14ac:dyDescent="0.3">
      <c r="A41" s="170"/>
      <c r="B41" s="18"/>
      <c r="C41" s="471"/>
      <c r="D41" s="472"/>
      <c r="E41" s="472"/>
      <c r="F41" s="472"/>
      <c r="G41" s="472"/>
      <c r="H41" s="483"/>
      <c r="I41" s="473">
        <f>IF(T_T1341112131415161718192021222324252627282930313233353637383940[[#This Row],[Total]]&lt;0,T_T1341112131415161718192021222324252627282930313233353637383940[[#This Row],[Total]]*-1,0)</f>
        <v>0</v>
      </c>
      <c r="J41" s="485"/>
      <c r="K41" s="485"/>
    </row>
    <row r="42" spans="1:11" x14ac:dyDescent="0.3">
      <c r="A42" s="494"/>
      <c r="B42" s="495"/>
      <c r="C42" s="496"/>
      <c r="D42" s="497"/>
      <c r="E42" s="497"/>
      <c r="F42" s="497"/>
      <c r="G42" s="497">
        <f>SUM(D41:F49)</f>
        <v>0</v>
      </c>
      <c r="H42" s="486">
        <f>H39+G42</f>
        <v>179</v>
      </c>
      <c r="I42" s="475"/>
      <c r="J42" s="480"/>
      <c r="K42" s="76"/>
    </row>
    <row r="45" spans="1:11" x14ac:dyDescent="0.3"/>
  </sheetData>
  <hyperlinks>
    <hyperlink ref="B7" r:id="rId1" display="jose.orozco@outlook.com"/>
    <hyperlink ref="H7" location="Resumen!A1" display="Rsumen         "/>
  </hyperlinks>
  <pageMargins left="1.03" right="0.47244094488188981" top="0.19685039370078741" bottom="0.19685039370078741" header="0.15748031496062992" footer="0.19685039370078741"/>
  <pageSetup scale="60" orientation="portrait" verticalDpi="360" r:id="rId2"/>
  <drawing r:id="rId3"/>
  <legacyDrawing r:id="rId4"/>
  <tableParts count="1">
    <tablePart r:id="rId5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I41"/>
  <sheetViews>
    <sheetView showGridLines="0" zoomScale="98" zoomScaleNormal="98" workbookViewId="0">
      <selection activeCell="E23" sqref="E23"/>
    </sheetView>
  </sheetViews>
  <sheetFormatPr baseColWidth="10" defaultColWidth="9.109375" defaultRowHeight="14.4" x14ac:dyDescent="0.3"/>
  <cols>
    <col min="1" max="1" width="13.109375" customWidth="1"/>
    <col min="2" max="2" width="32.33203125" customWidth="1"/>
    <col min="3" max="3" width="10.109375" style="4" customWidth="1"/>
    <col min="4" max="4" width="11.33203125" style="1" customWidth="1"/>
    <col min="5" max="5" width="9.33203125" style="1" customWidth="1"/>
    <col min="6" max="6" width="8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0.6640625" bestFit="1" customWidth="1"/>
    <col min="14" max="14" width="15.88671875" customWidth="1"/>
  </cols>
  <sheetData>
    <row r="1" spans="1:9" ht="15" customHeight="1" x14ac:dyDescent="0.3"/>
    <row r="2" spans="1:9" ht="15" customHeight="1" x14ac:dyDescent="0.3">
      <c r="A2" s="27" t="s">
        <v>36</v>
      </c>
      <c r="B2" s="41" t="s">
        <v>89</v>
      </c>
    </row>
    <row r="3" spans="1:9" ht="15" customHeight="1" x14ac:dyDescent="0.3">
      <c r="A3" s="27" t="s">
        <v>31</v>
      </c>
      <c r="B3" s="4" t="s">
        <v>197</v>
      </c>
    </row>
    <row r="4" spans="1:9" ht="15" hidden="1" customHeight="1" x14ac:dyDescent="0.3">
      <c r="A4" s="27"/>
      <c r="B4" s="4"/>
    </row>
    <row r="5" spans="1:9" ht="15" hidden="1" customHeight="1" x14ac:dyDescent="0.3">
      <c r="A5" s="27"/>
      <c r="B5" s="4"/>
    </row>
    <row r="6" spans="1:9" ht="15" hidden="1" customHeight="1" x14ac:dyDescent="0.3">
      <c r="A6" s="27"/>
      <c r="B6" s="4"/>
    </row>
    <row r="7" spans="1:9" ht="15" hidden="1" customHeight="1" x14ac:dyDescent="0.3">
      <c r="A7" s="27"/>
      <c r="B7" s="4"/>
    </row>
    <row r="8" spans="1:9" ht="15" customHeight="1" x14ac:dyDescent="0.3">
      <c r="A8" s="21"/>
      <c r="B8" s="21"/>
    </row>
    <row r="9" spans="1:9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9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240"/>
    </row>
    <row r="11" spans="1:9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IF(T_T134111213141516171819202122232425262728293031323335363738394041[[#This Row],[Total]]&lt;0,T_T134111213141516171819202122232425262728293031323335363738394041[[#This Row],[Total]]*-1,0)</f>
        <v>0</v>
      </c>
    </row>
    <row r="12" spans="1:9" x14ac:dyDescent="0.3">
      <c r="A12" s="361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IF(T_T134111213141516171819202122232425262728293031323335363738394041[[#This Row],[Total]]&lt;0,T_T134111213141516171819202122232425262728293031323335363738394041[[#This Row],[Total]]*-1,0)</f>
        <v>0</v>
      </c>
    </row>
    <row r="13" spans="1:9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IF(T_T134111213141516171819202122232425262728293031323335363738394041[[#This Row],[Total]]&lt;0,T_T134111213141516171819202122232425262728293031323335363738394041[[#This Row],[Total]]*-1,0)</f>
        <v>0</v>
      </c>
    </row>
    <row r="14" spans="1:9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IF(T_T134111213141516171819202122232425262728293031323335363738394041[[#This Row],[Total]]&lt;0,T_T134111213141516171819202122232425262728293031323335363738394041[[#This Row],[Total]]*-1,0)</f>
        <v>0</v>
      </c>
    </row>
    <row r="15" spans="1:9" x14ac:dyDescent="0.3">
      <c r="A15" s="17">
        <v>45687</v>
      </c>
      <c r="B15" s="18" t="s">
        <v>530</v>
      </c>
      <c r="C15" s="6"/>
      <c r="D15" s="2">
        <v>142</v>
      </c>
      <c r="E15" s="2">
        <v>1</v>
      </c>
      <c r="F15" s="20"/>
      <c r="G15" s="20">
        <f>SUM(D15:F15)</f>
        <v>143</v>
      </c>
      <c r="H15" s="233">
        <f>+H13+T_T134111213141516171819202122232425262728293031323335363738394041[[#This Row],[Total]]</f>
        <v>143</v>
      </c>
      <c r="I15" s="240">
        <f>IF(T_T134111213141516171819202122232425262728293031323335363738394041[[#This Row],[Total]]&lt;0,T_T134111213141516171819202122232425262728293031323335363738394041[[#This Row],[Total]]*-1,0)</f>
        <v>0</v>
      </c>
    </row>
    <row r="16" spans="1:9" x14ac:dyDescent="0.3">
      <c r="A16" s="17"/>
      <c r="B16" s="18" t="s">
        <v>531</v>
      </c>
      <c r="C16" s="6">
        <v>8693</v>
      </c>
      <c r="D16" s="2">
        <v>-142</v>
      </c>
      <c r="E16" s="2">
        <v>-1</v>
      </c>
      <c r="F16" s="230"/>
      <c r="G16" s="230">
        <f t="shared" ref="G16:G38" si="0">SUM(D16:F16)</f>
        <v>-143</v>
      </c>
      <c r="H16" s="233">
        <f t="shared" ref="H16:H40" si="1">H15+G16</f>
        <v>0</v>
      </c>
      <c r="I16" s="240">
        <f>IF(T_T134111213141516171819202122232425262728293031323335363738394041[[#This Row],[Total]]&lt;0,T_T134111213141516171819202122232425262728293031323335363738394041[[#This Row],[Total]]*-1,0)</f>
        <v>143</v>
      </c>
    </row>
    <row r="17" spans="1:9" x14ac:dyDescent="0.3">
      <c r="A17" s="164">
        <v>45715</v>
      </c>
      <c r="B17" s="161" t="s">
        <v>532</v>
      </c>
      <c r="C17" s="6"/>
      <c r="D17" s="2">
        <v>142</v>
      </c>
      <c r="E17" s="2">
        <v>22</v>
      </c>
      <c r="F17" s="230"/>
      <c r="G17" s="230">
        <f t="shared" si="0"/>
        <v>164</v>
      </c>
      <c r="H17" s="233">
        <f t="shared" si="1"/>
        <v>164</v>
      </c>
      <c r="I17" s="240">
        <f>IF(T_T134111213141516171819202122232425262728293031323335363738394041[[#This Row],[Total]]&lt;0,T_T134111213141516171819202122232425262728293031323335363738394041[[#This Row],[Total]]*-1,0)</f>
        <v>0</v>
      </c>
    </row>
    <row r="18" spans="1:9" x14ac:dyDescent="0.3">
      <c r="A18" s="187"/>
      <c r="B18" s="18" t="s">
        <v>533</v>
      </c>
      <c r="C18" s="6">
        <v>8693</v>
      </c>
      <c r="D18" s="2">
        <v>-142</v>
      </c>
      <c r="E18" s="2">
        <v>-22</v>
      </c>
      <c r="F18" s="230"/>
      <c r="G18" s="230">
        <f t="shared" si="0"/>
        <v>-164</v>
      </c>
      <c r="H18" s="233">
        <f t="shared" si="1"/>
        <v>0</v>
      </c>
      <c r="I18" s="240">
        <f>IF(T_T134111213141516171819202122232425262728293031323335363738394041[[#This Row],[Total]]&lt;0,T_T134111213141516171819202122232425262728293031323335363738394041[[#This Row],[Total]]*-1,0)</f>
        <v>164</v>
      </c>
    </row>
    <row r="19" spans="1:9" x14ac:dyDescent="0.3">
      <c r="A19" s="188">
        <v>45747</v>
      </c>
      <c r="B19" s="3" t="s">
        <v>534</v>
      </c>
      <c r="C19" s="6"/>
      <c r="D19" s="2">
        <v>170</v>
      </c>
      <c r="E19" s="2">
        <v>21</v>
      </c>
      <c r="F19" s="230"/>
      <c r="G19" s="230">
        <f t="shared" si="0"/>
        <v>191</v>
      </c>
      <c r="H19" s="233">
        <f t="shared" si="1"/>
        <v>191</v>
      </c>
      <c r="I19" s="240">
        <f>IF(T_T134111213141516171819202122232425262728293031323335363738394041[[#This Row],[Total]]&lt;0,T_T134111213141516171819202122232425262728293031323335363738394041[[#This Row],[Total]]*-1,0)</f>
        <v>0</v>
      </c>
    </row>
    <row r="20" spans="1:9" x14ac:dyDescent="0.3">
      <c r="A20" s="188"/>
      <c r="B20" s="82" t="s">
        <v>535</v>
      </c>
      <c r="C20" s="6">
        <v>8970</v>
      </c>
      <c r="D20" s="2">
        <v>-170</v>
      </c>
      <c r="E20" s="2">
        <v>-21</v>
      </c>
      <c r="F20" s="230"/>
      <c r="G20" s="230">
        <f t="shared" si="0"/>
        <v>-191</v>
      </c>
      <c r="H20" s="233">
        <f t="shared" si="1"/>
        <v>0</v>
      </c>
      <c r="I20" s="240">
        <f>IF(T_T134111213141516171819202122232425262728293031323335363738394041[[#This Row],[Total]]&lt;0,T_T134111213141516171819202122232425262728293031323335363738394041[[#This Row],[Total]]*-1,0)</f>
        <v>191</v>
      </c>
    </row>
    <row r="21" spans="1:9" x14ac:dyDescent="0.3">
      <c r="A21" s="188">
        <v>45777</v>
      </c>
      <c r="B21" s="3" t="s">
        <v>536</v>
      </c>
      <c r="C21" s="6"/>
      <c r="D21" s="2">
        <v>170</v>
      </c>
      <c r="E21" s="2">
        <v>22</v>
      </c>
      <c r="F21" s="230"/>
      <c r="G21" s="230">
        <f t="shared" si="0"/>
        <v>192</v>
      </c>
      <c r="H21" s="233">
        <f t="shared" si="1"/>
        <v>192</v>
      </c>
      <c r="I21" s="309">
        <f>IF(T_T134111213141516171819202122232425262728293031323335363738394041[[#This Row],[Total]]&lt;0,T_T134111213141516171819202122232425262728293031323335363738394041[[#This Row],[Total]]*-1,0)</f>
        <v>0</v>
      </c>
    </row>
    <row r="22" spans="1:9" x14ac:dyDescent="0.3">
      <c r="A22" s="83"/>
      <c r="B22" s="82" t="s">
        <v>537</v>
      </c>
      <c r="C22" s="6">
        <v>8971</v>
      </c>
      <c r="D22" s="2">
        <v>-170</v>
      </c>
      <c r="E22" s="2">
        <v>-22</v>
      </c>
      <c r="F22" s="230"/>
      <c r="G22" s="230">
        <f t="shared" si="0"/>
        <v>-192</v>
      </c>
      <c r="H22" s="233">
        <f t="shared" si="1"/>
        <v>0</v>
      </c>
      <c r="I22" s="309">
        <f>IF(T_T134111213141516171819202122232425262728293031323335363738394041[[#This Row],[Total]]&lt;0,T_T134111213141516171819202122232425262728293031323335363738394041[[#This Row],[Total]]*-1,0)</f>
        <v>192</v>
      </c>
    </row>
    <row r="23" spans="1:9" x14ac:dyDescent="0.3">
      <c r="A23" s="40">
        <v>45807</v>
      </c>
      <c r="B23" s="3" t="s">
        <v>538</v>
      </c>
      <c r="C23" s="229"/>
      <c r="D23" s="230">
        <v>170</v>
      </c>
      <c r="E23" s="230">
        <v>38</v>
      </c>
      <c r="F23" s="230"/>
      <c r="G23" s="230">
        <f t="shared" si="0"/>
        <v>208</v>
      </c>
      <c r="H23" s="233">
        <f t="shared" si="1"/>
        <v>208</v>
      </c>
      <c r="I23" s="309">
        <f>IF(T_T134111213141516171819202122232425262728293031323335363738394041[[#This Row],[Total]]&lt;0,T_T134111213141516171819202122232425262728293031323335363738394041[[#This Row],[Total]]*-1,0)</f>
        <v>0</v>
      </c>
    </row>
    <row r="24" spans="1:9" x14ac:dyDescent="0.3">
      <c r="A24" s="9"/>
      <c r="B24" s="18" t="s">
        <v>539</v>
      </c>
      <c r="C24" s="6"/>
      <c r="D24" s="2"/>
      <c r="E24" s="230"/>
      <c r="F24" s="230"/>
      <c r="G24" s="230">
        <f t="shared" si="0"/>
        <v>0</v>
      </c>
      <c r="H24" s="233">
        <f t="shared" si="1"/>
        <v>208</v>
      </c>
      <c r="I24" s="309">
        <f>IF(T_T134111213141516171819202122232425262728293031323335363738394041[[#This Row],[Total]]&lt;0,T_T134111213141516171819202122232425262728293031323335363738394041[[#This Row],[Total]]*-1,0)</f>
        <v>0</v>
      </c>
    </row>
    <row r="25" spans="1:9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208</v>
      </c>
      <c r="I25" s="309">
        <f>IF(T_T134111213141516171819202122232425262728293031323335363738394041[[#This Row],[Total]]&lt;0,T_T134111213141516171819202122232425262728293031323335363738394041[[#This Row],[Total]]*-1,0)</f>
        <v>0</v>
      </c>
    </row>
    <row r="26" spans="1:9" x14ac:dyDescent="0.3">
      <c r="A26" s="9"/>
      <c r="B26" s="18" t="s">
        <v>541</v>
      </c>
      <c r="C26" s="6"/>
      <c r="D26" s="2"/>
      <c r="E26" s="230"/>
      <c r="F26" s="230"/>
      <c r="G26" s="230">
        <f t="shared" si="0"/>
        <v>0</v>
      </c>
      <c r="H26" s="233">
        <f t="shared" si="1"/>
        <v>208</v>
      </c>
      <c r="I26" s="309">
        <f>IF(T_T134111213141516171819202122232425262728293031323335363738394041[[#This Row],[Total]]&lt;0,T_T134111213141516171819202122232425262728293031323335363738394041[[#This Row],[Total]]*-1,0)</f>
        <v>0</v>
      </c>
    </row>
    <row r="27" spans="1:9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208</v>
      </c>
      <c r="I27" s="309">
        <f>IF(T_T134111213141516171819202122232425262728293031323335363738394041[[#This Row],[Total]]&lt;0,T_T134111213141516171819202122232425262728293031323335363738394041[[#This Row],[Total]]*-1,0)</f>
        <v>0</v>
      </c>
    </row>
    <row r="28" spans="1:9" x14ac:dyDescent="0.3">
      <c r="A28" s="107"/>
      <c r="B28" s="82" t="s">
        <v>543</v>
      </c>
      <c r="C28" s="6"/>
      <c r="D28" s="2"/>
      <c r="E28" s="230"/>
      <c r="F28" s="230"/>
      <c r="G28" s="230">
        <f t="shared" si="0"/>
        <v>0</v>
      </c>
      <c r="H28" s="233">
        <f t="shared" si="1"/>
        <v>208</v>
      </c>
      <c r="I28" s="309">
        <f>IF(T_T134111213141516171819202122232425262728293031323335363738394041[[#This Row],[Total]]&lt;0,T_T134111213141516171819202122232425262728293031323335363738394041[[#This Row],[Total]]*-1,0)</f>
        <v>0</v>
      </c>
    </row>
    <row r="29" spans="1:9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208</v>
      </c>
      <c r="I29" s="309">
        <f>IF(T_T134111213141516171819202122232425262728293031323335363738394041[[#This Row],[Total]]&lt;0,T_T134111213141516171819202122232425262728293031323335363738394041[[#This Row],[Total]]*-1,0)</f>
        <v>0</v>
      </c>
    </row>
    <row r="30" spans="1:9" x14ac:dyDescent="0.3">
      <c r="A30" s="107"/>
      <c r="B30" s="82" t="s">
        <v>545</v>
      </c>
      <c r="C30" s="6"/>
      <c r="D30" s="2"/>
      <c r="E30" s="230"/>
      <c r="F30" s="230"/>
      <c r="G30" s="230">
        <f t="shared" si="0"/>
        <v>0</v>
      </c>
      <c r="H30" s="233">
        <f t="shared" si="1"/>
        <v>208</v>
      </c>
      <c r="I30" s="309">
        <f>IF(T_T134111213141516171819202122232425262728293031323335363738394041[[#This Row],[Total]]&lt;0,T_T134111213141516171819202122232425262728293031323335363738394041[[#This Row],[Total]]*-1,0)</f>
        <v>0</v>
      </c>
    </row>
    <row r="31" spans="1:9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208</v>
      </c>
      <c r="I31" s="309">
        <f>IF(T_T134111213141516171819202122232425262728293031323335363738394041[[#This Row],[Total]]&lt;0,T_T134111213141516171819202122232425262728293031323335363738394041[[#This Row],[Total]]*-1,0)</f>
        <v>0</v>
      </c>
    </row>
    <row r="32" spans="1:9" x14ac:dyDescent="0.3">
      <c r="A32" s="9"/>
      <c r="B32" s="3" t="s">
        <v>547</v>
      </c>
      <c r="C32" s="6"/>
      <c r="D32" s="2"/>
      <c r="E32" s="230"/>
      <c r="F32" s="230"/>
      <c r="G32" s="230">
        <f t="shared" si="0"/>
        <v>0</v>
      </c>
      <c r="H32" s="233">
        <f t="shared" si="1"/>
        <v>208</v>
      </c>
      <c r="I32" s="309">
        <f>IF(T_T134111213141516171819202122232425262728293031323335363738394041[[#This Row],[Total]]&lt;0,T_T134111213141516171819202122232425262728293031323335363738394041[[#This Row],[Total]]*-1,0)</f>
        <v>0</v>
      </c>
    </row>
    <row r="33" spans="1:9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208</v>
      </c>
      <c r="I33" s="309">
        <f>IF(T_T134111213141516171819202122232425262728293031323335363738394041[[#This Row],[Total]]&lt;0,T_T134111213141516171819202122232425262728293031323335363738394041[[#This Row],[Total]]*-1,0)</f>
        <v>0</v>
      </c>
    </row>
    <row r="34" spans="1:9" x14ac:dyDescent="0.3">
      <c r="A34" s="9"/>
      <c r="B34" s="3" t="s">
        <v>549</v>
      </c>
      <c r="C34" s="6"/>
      <c r="D34" s="2"/>
      <c r="E34" s="230"/>
      <c r="F34" s="230"/>
      <c r="G34" s="230">
        <f t="shared" si="0"/>
        <v>0</v>
      </c>
      <c r="H34" s="233">
        <f t="shared" si="1"/>
        <v>208</v>
      </c>
      <c r="I34" s="309">
        <f>IF(T_T134111213141516171819202122232425262728293031323335363738394041[[#This Row],[Total]]&lt;0,T_T134111213141516171819202122232425262728293031323335363738394041[[#This Row],[Total]]*-1,0)</f>
        <v>0</v>
      </c>
    </row>
    <row r="35" spans="1:9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208</v>
      </c>
      <c r="I35" s="309">
        <f>IF(T_T134111213141516171819202122232425262728293031323335363738394041[[#This Row],[Total]]&lt;0,T_T134111213141516171819202122232425262728293031323335363738394041[[#This Row],[Total]]*-1,0)</f>
        <v>0</v>
      </c>
    </row>
    <row r="36" spans="1:9" x14ac:dyDescent="0.3">
      <c r="A36" s="17"/>
      <c r="B36" s="18" t="s">
        <v>551</v>
      </c>
      <c r="C36" s="6"/>
      <c r="D36" s="2"/>
      <c r="E36" s="230"/>
      <c r="F36" s="230"/>
      <c r="G36" s="230">
        <f t="shared" si="0"/>
        <v>0</v>
      </c>
      <c r="H36" s="233">
        <f t="shared" si="1"/>
        <v>208</v>
      </c>
      <c r="I36" s="309">
        <f>IF(T_T134111213141516171819202122232425262728293031323335363738394041[[#This Row],[Total]]&lt;0,T_T134111213141516171819202122232425262728293031323335363738394041[[#This Row],[Total]]*-1,0)</f>
        <v>0</v>
      </c>
    </row>
    <row r="37" spans="1:9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208</v>
      </c>
      <c r="I37" s="309">
        <f>IF(T_T134111213141516171819202122232425262728293031323335363738394041[[#This Row],[Total]]&lt;0,T_T134111213141516171819202122232425262728293031323335363738394041[[#This Row],[Total]]*-1,0)</f>
        <v>0</v>
      </c>
    </row>
    <row r="38" spans="1:9" x14ac:dyDescent="0.3">
      <c r="A38" s="257"/>
      <c r="B38" s="110" t="s">
        <v>553</v>
      </c>
      <c r="C38" s="6"/>
      <c r="D38" s="2"/>
      <c r="E38" s="230"/>
      <c r="F38" s="230"/>
      <c r="G38" s="230">
        <f t="shared" si="0"/>
        <v>0</v>
      </c>
      <c r="H38" s="233">
        <f t="shared" si="1"/>
        <v>208</v>
      </c>
      <c r="I38" s="353">
        <f>IF(T_T134111213141516171819202122232425262728293031323335363738394041[[#This Row],[Total]]&lt;0,T_T134111213141516171819202122232425262728293031323335363738394041[[#This Row],[Total]]*-1,0)</f>
        <v>0</v>
      </c>
    </row>
    <row r="39" spans="1:9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208</v>
      </c>
      <c r="I39" s="353">
        <f>IF(T_T134111213141516171819202122232425262728293031323335363738394041[[#This Row],[Total]]&lt;0,T_T134111213141516171819202122232425262728293031323335363738394041[[#This Row],[Total]]*-1,0)</f>
        <v>0</v>
      </c>
    </row>
    <row r="40" spans="1:9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208</v>
      </c>
      <c r="I40" s="353">
        <f>IF(T_T134111213141516171819202122232425262728293031323335363738394041[[#This Row],[Total]]&lt;0,T_T134111213141516171819202122232425262728293031323335363738394041[[#This Row],[Total]]*-1,0)</f>
        <v>0</v>
      </c>
    </row>
    <row r="41" spans="1:9" x14ac:dyDescent="0.3">
      <c r="A41" s="170"/>
      <c r="B41" s="537"/>
      <c r="C41" s="538"/>
      <c r="D41" s="539"/>
      <c r="E41" s="539"/>
      <c r="F41" s="539"/>
      <c r="G41" s="539"/>
      <c r="H41" s="508"/>
      <c r="I41" s="53"/>
    </row>
  </sheetData>
  <pageMargins left="0.78740157480314965" right="0.27559055118110237" top="0.31496062992125984" bottom="0.27559055118110237" header="0.31496062992125984" footer="0.31496062992125984"/>
  <pageSetup scale="68" orientation="portrait" verticalDpi="360" r:id="rId1"/>
  <tableParts count="1">
    <tablePart r:id="rId2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2:P41"/>
  <sheetViews>
    <sheetView showGridLines="0" zoomScaleNormal="100" workbookViewId="0">
      <selection activeCell="E24" sqref="E24"/>
    </sheetView>
  </sheetViews>
  <sheetFormatPr baseColWidth="10" defaultColWidth="9.109375" defaultRowHeight="14.4" x14ac:dyDescent="0.3"/>
  <cols>
    <col min="1" max="1" width="12" customWidth="1"/>
    <col min="2" max="2" width="37.33203125" customWidth="1"/>
    <col min="3" max="3" width="8.5546875" style="4" customWidth="1"/>
    <col min="4" max="4" width="10.6640625" style="1" customWidth="1"/>
    <col min="5" max="5" width="7.44140625" style="1" customWidth="1"/>
    <col min="6" max="6" width="5.88671875" style="1" customWidth="1"/>
    <col min="7" max="7" width="8.6640625" style="1" customWidth="1"/>
    <col min="8" max="8" width="12.44140625" style="1" customWidth="1"/>
    <col min="9" max="9" width="12.88671875" hidden="1" customWidth="1"/>
    <col min="10" max="10" width="4.88671875" customWidth="1"/>
    <col min="12" max="12" width="0.88671875" customWidth="1"/>
    <col min="13" max="13" width="9.109375" hidden="1" customWidth="1"/>
    <col min="14" max="14" width="1.33203125" customWidth="1"/>
    <col min="16" max="16" width="10.6640625" bestFit="1" customWidth="1"/>
    <col min="17" max="17" width="17" customWidth="1"/>
  </cols>
  <sheetData>
    <row r="2" spans="1:16" ht="15.6" x14ac:dyDescent="0.3">
      <c r="A2" s="27" t="s">
        <v>36</v>
      </c>
      <c r="B2" s="41" t="s">
        <v>90</v>
      </c>
    </row>
    <row r="3" spans="1:16" ht="11.25" customHeight="1" x14ac:dyDescent="0.3">
      <c r="A3" s="27" t="s">
        <v>31</v>
      </c>
      <c r="B3" s="4" t="s">
        <v>198</v>
      </c>
    </row>
    <row r="4" spans="1:16" hidden="1" x14ac:dyDescent="0.3">
      <c r="A4" s="27" t="s">
        <v>32</v>
      </c>
      <c r="B4" s="28" t="e">
        <f>LOOKUP(B2,#REF!,#REF!)</f>
        <v>#REF!</v>
      </c>
    </row>
    <row r="5" spans="1:16" hidden="1" x14ac:dyDescent="0.3">
      <c r="A5" s="27" t="s">
        <v>33</v>
      </c>
      <c r="B5" s="28" t="e">
        <f>LOOKUP(B2,#REF!,#REF!)</f>
        <v>#REF!</v>
      </c>
    </row>
    <row r="6" spans="1:16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6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6" x14ac:dyDescent="0.3">
      <c r="A8" s="21"/>
      <c r="B8" s="21"/>
    </row>
    <row r="9" spans="1:16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96" t="s">
        <v>188</v>
      </c>
    </row>
    <row r="10" spans="1:16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IF(T_T13411121314151617181920212223242526272829303132333536373839404142[[#This Row],[Total]]&lt;0,T_T13411121314151617181920212223242526272829303132333536373839404142[[#This Row],[Total]]*-1,0)</f>
        <v>0</v>
      </c>
      <c r="J10" s="106"/>
      <c r="P10" s="178"/>
    </row>
    <row r="11" spans="1:16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IF(T_T13411121314151617181920212223242526272829303132333536373839404142[[#This Row],[Total]]&lt;0,T_T13411121314151617181920212223242526272829303132333536373839404142[[#This Row],[Total]]*-1,0)</f>
        <v>0</v>
      </c>
      <c r="J11" s="240"/>
    </row>
    <row r="12" spans="1:16" x14ac:dyDescent="0.3">
      <c r="A12" s="432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IF(T_T13411121314151617181920212223242526272829303132333536373839404142[[#This Row],[Total]]&lt;0,T_T13411121314151617181920212223242526272829303132333536373839404142[[#This Row],[Total]]*-1,0)</f>
        <v>0</v>
      </c>
      <c r="J12" s="430"/>
    </row>
    <row r="13" spans="1:16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IF(T_T13411121314151617181920212223242526272829303132333536373839404142[[#This Row],[Total]]&lt;0,T_T13411121314151617181920212223242526272829303132333536373839404142[[#This Row],[Total]]*-1,0)</f>
        <v>0</v>
      </c>
      <c r="J13" s="240"/>
    </row>
    <row r="14" spans="1:16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IF(T_T13411121314151617181920212223242526272829303132333536373839404142[[#This Row],[Total]]&lt;0,T_T13411121314151617181920212223242526272829303132333536373839404142[[#This Row],[Total]]*-1,0)</f>
        <v>0</v>
      </c>
      <c r="J14" s="473"/>
    </row>
    <row r="15" spans="1:16" x14ac:dyDescent="0.3">
      <c r="A15" s="17">
        <v>45687</v>
      </c>
      <c r="B15" s="18" t="s">
        <v>530</v>
      </c>
      <c r="C15" s="6"/>
      <c r="D15" s="2">
        <v>185</v>
      </c>
      <c r="E15" s="2">
        <v>21</v>
      </c>
      <c r="F15" s="20"/>
      <c r="G15" s="20">
        <f>SUM(D15:F15)</f>
        <v>206</v>
      </c>
      <c r="H15" s="233">
        <f>+H13+T_T13411121314151617181920212223242526272829303132333536373839404142[[#This Row],[Total]]</f>
        <v>206</v>
      </c>
      <c r="I15" s="240">
        <f>IF(T_T13411121314151617181920212223242526272829303132333536373839404142[[#This Row],[Total]]&lt;0,T_T13411121314151617181920212223242526272829303132333536373839404142[[#This Row],[Total]]*-1,0)</f>
        <v>0</v>
      </c>
      <c r="J15" s="240"/>
    </row>
    <row r="16" spans="1:16" x14ac:dyDescent="0.3">
      <c r="A16" s="17"/>
      <c r="B16" s="18" t="s">
        <v>531</v>
      </c>
      <c r="C16" s="6">
        <v>8703</v>
      </c>
      <c r="D16" s="2">
        <v>-185</v>
      </c>
      <c r="E16" s="2">
        <v>-21</v>
      </c>
      <c r="F16" s="230"/>
      <c r="G16" s="230">
        <f t="shared" ref="G16:G38" si="0">SUM(D16:F16)</f>
        <v>-206</v>
      </c>
      <c r="H16" s="233">
        <f t="shared" ref="H16:H40" si="1">H15+G16</f>
        <v>0</v>
      </c>
      <c r="I16" s="239">
        <f>IF(T_T13411121314151617181920212223242526272829303132333536373839404142[[#This Row],[Total]]&lt;0,T_T13411121314151617181920212223242526272829303132333536373839404142[[#This Row],[Total]]*-1,0)</f>
        <v>206</v>
      </c>
      <c r="J16" s="239"/>
    </row>
    <row r="17" spans="1:10" x14ac:dyDescent="0.3">
      <c r="A17" s="164">
        <v>45715</v>
      </c>
      <c r="B17" s="161" t="s">
        <v>532</v>
      </c>
      <c r="C17" s="6"/>
      <c r="D17" s="2">
        <v>185</v>
      </c>
      <c r="E17" s="2">
        <v>32</v>
      </c>
      <c r="F17" s="230"/>
      <c r="G17" s="230">
        <f t="shared" si="0"/>
        <v>217</v>
      </c>
      <c r="H17" s="233">
        <f t="shared" si="1"/>
        <v>217</v>
      </c>
      <c r="I17" s="240">
        <f>IF(T_T13411121314151617181920212223242526272829303132333536373839404142[[#This Row],[Total]]&lt;0,T_T13411121314151617181920212223242526272829303132333536373839404142[[#This Row],[Total]]*-1,0)</f>
        <v>0</v>
      </c>
      <c r="J17" s="240"/>
    </row>
    <row r="18" spans="1:10" x14ac:dyDescent="0.3">
      <c r="A18" s="187"/>
      <c r="B18" s="18" t="s">
        <v>533</v>
      </c>
      <c r="C18" s="6">
        <v>8703</v>
      </c>
      <c r="D18" s="2">
        <v>-185</v>
      </c>
      <c r="E18" s="2">
        <v>-32</v>
      </c>
      <c r="F18" s="230"/>
      <c r="G18" s="230">
        <f t="shared" si="0"/>
        <v>-217</v>
      </c>
      <c r="H18" s="233">
        <f t="shared" si="1"/>
        <v>0</v>
      </c>
      <c r="I18" s="240">
        <f>IF(T_T13411121314151617181920212223242526272829303132333536373839404142[[#This Row],[Total]]&lt;0,T_T13411121314151617181920212223242526272829303132333536373839404142[[#This Row],[Total]]*-1,0)</f>
        <v>217</v>
      </c>
      <c r="J18" s="240"/>
    </row>
    <row r="19" spans="1:10" x14ac:dyDescent="0.3">
      <c r="A19" s="188">
        <v>45747</v>
      </c>
      <c r="B19" s="3" t="s">
        <v>534</v>
      </c>
      <c r="C19" s="6"/>
      <c r="D19" s="2">
        <v>222</v>
      </c>
      <c r="E19" s="2">
        <v>16</v>
      </c>
      <c r="F19" s="230"/>
      <c r="G19" s="230">
        <f t="shared" si="0"/>
        <v>238</v>
      </c>
      <c r="H19" s="233">
        <f t="shared" si="1"/>
        <v>238</v>
      </c>
      <c r="I19" s="240">
        <f>IF(T_T13411121314151617181920212223242526272829303132333536373839404142[[#This Row],[Total]]&lt;0,T_T13411121314151617181920212223242526272829303132333536373839404142[[#This Row],[Total]]*-1,0)</f>
        <v>0</v>
      </c>
      <c r="J19" s="240"/>
    </row>
    <row r="20" spans="1:10" x14ac:dyDescent="0.3">
      <c r="A20" s="188"/>
      <c r="B20" s="82" t="s">
        <v>535</v>
      </c>
      <c r="C20" s="6">
        <v>8845</v>
      </c>
      <c r="D20" s="2">
        <v>-222</v>
      </c>
      <c r="E20" s="2">
        <v>-16</v>
      </c>
      <c r="F20" s="230"/>
      <c r="G20" s="230">
        <f t="shared" si="0"/>
        <v>-238</v>
      </c>
      <c r="H20" s="233">
        <f t="shared" si="1"/>
        <v>0</v>
      </c>
      <c r="I20" s="239">
        <f>IF(T_T13411121314151617181920212223242526272829303132333536373839404142[[#This Row],[Total]]&lt;0,T_T13411121314151617181920212223242526272829303132333536373839404142[[#This Row],[Total]]*-1,0)</f>
        <v>238</v>
      </c>
      <c r="J20" s="239"/>
    </row>
    <row r="21" spans="1:10" x14ac:dyDescent="0.3">
      <c r="A21" s="188">
        <v>45777</v>
      </c>
      <c r="B21" s="3" t="s">
        <v>536</v>
      </c>
      <c r="C21" s="6"/>
      <c r="D21" s="2">
        <v>222</v>
      </c>
      <c r="E21" s="2">
        <v>40</v>
      </c>
      <c r="F21" s="230"/>
      <c r="G21" s="230">
        <f t="shared" si="0"/>
        <v>262</v>
      </c>
      <c r="H21" s="233">
        <f t="shared" si="1"/>
        <v>262</v>
      </c>
      <c r="I21" s="309">
        <f>IF(T_T13411121314151617181920212223242526272829303132333536373839404142[[#This Row],[Total]]&lt;0,T_T13411121314151617181920212223242526272829303132333536373839404142[[#This Row],[Total]]*-1,0)</f>
        <v>0</v>
      </c>
      <c r="J21" s="309"/>
    </row>
    <row r="22" spans="1:10" x14ac:dyDescent="0.3">
      <c r="A22" s="83"/>
      <c r="B22" s="82" t="s">
        <v>537</v>
      </c>
      <c r="C22" s="6">
        <v>8902</v>
      </c>
      <c r="D22" s="2">
        <v>-222</v>
      </c>
      <c r="E22" s="2">
        <v>-40</v>
      </c>
      <c r="F22" s="230"/>
      <c r="G22" s="230">
        <f t="shared" si="0"/>
        <v>-262</v>
      </c>
      <c r="H22" s="233">
        <f t="shared" si="1"/>
        <v>0</v>
      </c>
      <c r="I22" s="309">
        <f>IF(T_T13411121314151617181920212223242526272829303132333536373839404142[[#This Row],[Total]]&lt;0,T_T13411121314151617181920212223242526272829303132333536373839404142[[#This Row],[Total]]*-1,0)</f>
        <v>262</v>
      </c>
      <c r="J22" s="309"/>
    </row>
    <row r="23" spans="1:10" x14ac:dyDescent="0.3">
      <c r="A23" s="40">
        <v>45807</v>
      </c>
      <c r="B23" s="3" t="s">
        <v>538</v>
      </c>
      <c r="C23" s="229"/>
      <c r="D23" s="230">
        <v>222</v>
      </c>
      <c r="E23" s="230">
        <v>50</v>
      </c>
      <c r="F23" s="230"/>
      <c r="G23" s="230">
        <f t="shared" si="0"/>
        <v>272</v>
      </c>
      <c r="H23" s="233">
        <f t="shared" si="1"/>
        <v>272</v>
      </c>
      <c r="I23" s="309">
        <f>IF(T_T13411121314151617181920212223242526272829303132333536373839404142[[#This Row],[Total]]&lt;0,T_T13411121314151617181920212223242526272829303132333536373839404142[[#This Row],[Total]]*-1,0)</f>
        <v>0</v>
      </c>
      <c r="J23" s="309"/>
    </row>
    <row r="24" spans="1:10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272</v>
      </c>
      <c r="I24" s="311">
        <f>IF(T_T13411121314151617181920212223242526272829303132333536373839404142[[#This Row],[Total]]&lt;0,T_T13411121314151617181920212223242526272829303132333536373839404142[[#This Row],[Total]]*-1,0)</f>
        <v>0</v>
      </c>
      <c r="J24" s="311"/>
    </row>
    <row r="25" spans="1:10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272</v>
      </c>
      <c r="I25" s="309">
        <f>IF(T_T13411121314151617181920212223242526272829303132333536373839404142[[#This Row],[Total]]&lt;0,T_T13411121314151617181920212223242526272829303132333536373839404142[[#This Row],[Total]]*-1,0)</f>
        <v>0</v>
      </c>
      <c r="J25" s="309"/>
    </row>
    <row r="26" spans="1:10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272</v>
      </c>
      <c r="I26" s="309">
        <f>IF(T_T13411121314151617181920212223242526272829303132333536373839404142[[#This Row],[Total]]&lt;0,T_T13411121314151617181920212223242526272829303132333536373839404142[[#This Row],[Total]]*-1,0)</f>
        <v>0</v>
      </c>
      <c r="J26" s="309"/>
    </row>
    <row r="27" spans="1:10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272</v>
      </c>
      <c r="I27" s="309">
        <f>IF(T_T13411121314151617181920212223242526272829303132333536373839404142[[#This Row],[Total]]&lt;0,T_T13411121314151617181920212223242526272829303132333536373839404142[[#This Row],[Total]]*-1,0)</f>
        <v>0</v>
      </c>
      <c r="J27" s="309"/>
    </row>
    <row r="28" spans="1:10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272</v>
      </c>
      <c r="I28" s="311">
        <f>IF(T_T13411121314151617181920212223242526272829303132333536373839404142[[#This Row],[Total]]&lt;0,T_T13411121314151617181920212223242526272829303132333536373839404142[[#This Row],[Total]]*-1,0)</f>
        <v>0</v>
      </c>
      <c r="J28" s="311"/>
    </row>
    <row r="29" spans="1:10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272</v>
      </c>
      <c r="I29" s="309">
        <f>IF(T_T13411121314151617181920212223242526272829303132333536373839404142[[#This Row],[Total]]&lt;0,T_T13411121314151617181920212223242526272829303132333536373839404142[[#This Row],[Total]]*-1,0)</f>
        <v>0</v>
      </c>
      <c r="J29" s="309"/>
    </row>
    <row r="30" spans="1:10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272</v>
      </c>
      <c r="I30" s="309">
        <f>IF(T_T13411121314151617181920212223242526272829303132333536373839404142[[#This Row],[Total]]&lt;0,T_T13411121314151617181920212223242526272829303132333536373839404142[[#This Row],[Total]]*-1,0)</f>
        <v>0</v>
      </c>
      <c r="J30" s="309"/>
    </row>
    <row r="31" spans="1:10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272</v>
      </c>
      <c r="I31" s="309">
        <f>IF(T_T13411121314151617181920212223242526272829303132333536373839404142[[#This Row],[Total]]&lt;0,T_T13411121314151617181920212223242526272829303132333536373839404142[[#This Row],[Total]]*-1,0)</f>
        <v>0</v>
      </c>
      <c r="J31" s="309"/>
    </row>
    <row r="32" spans="1:10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272</v>
      </c>
      <c r="I32" s="309">
        <f>IF(T_T13411121314151617181920212223242526272829303132333536373839404142[[#This Row],[Total]]&lt;0,T_T13411121314151617181920212223242526272829303132333536373839404142[[#This Row],[Total]]*-1,0)</f>
        <v>0</v>
      </c>
      <c r="J32" s="309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272</v>
      </c>
      <c r="I33" s="309">
        <f>IF(T_T13411121314151617181920212223242526272829303132333536373839404142[[#This Row],[Total]]&lt;0,T_T13411121314151617181920212223242526272829303132333536373839404142[[#This Row],[Total]]*-1,0)</f>
        <v>0</v>
      </c>
      <c r="J33" s="309"/>
    </row>
    <row r="34" spans="1:10" x14ac:dyDescent="0.3">
      <c r="A34" s="9"/>
      <c r="B34" s="3" t="s">
        <v>549</v>
      </c>
      <c r="C34" s="6"/>
      <c r="D34" s="230"/>
      <c r="E34" s="230"/>
      <c r="F34" s="230"/>
      <c r="G34" s="230">
        <f t="shared" si="0"/>
        <v>0</v>
      </c>
      <c r="H34" s="233">
        <f t="shared" si="1"/>
        <v>272</v>
      </c>
      <c r="I34" s="309">
        <f>IF(T_T13411121314151617181920212223242526272829303132333536373839404142[[#This Row],[Total]]&lt;0,T_T13411121314151617181920212223242526272829303132333536373839404142[[#This Row],[Total]]*-1,0)</f>
        <v>0</v>
      </c>
      <c r="J34" s="309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272</v>
      </c>
      <c r="I35" s="309">
        <f>IF(T_T13411121314151617181920212223242526272829303132333536373839404142[[#This Row],[Total]]&lt;0,T_T13411121314151617181920212223242526272829303132333536373839404142[[#This Row],[Total]]*-1,0)</f>
        <v>0</v>
      </c>
      <c r="J35" s="309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272</v>
      </c>
      <c r="I36" s="309">
        <f>IF(T_T13411121314151617181920212223242526272829303132333536373839404142[[#This Row],[Total]]&lt;0,T_T13411121314151617181920212223242526272829303132333536373839404142[[#This Row],[Total]]*-1,0)</f>
        <v>0</v>
      </c>
      <c r="J36" s="309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272</v>
      </c>
      <c r="I37" s="311">
        <f>IF(T_T13411121314151617181920212223242526272829303132333536373839404142[[#This Row],[Total]]&lt;0,T_T13411121314151617181920212223242526272829303132333536373839404142[[#This Row],[Total]]*-1,0)</f>
        <v>0</v>
      </c>
      <c r="J37" s="311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272</v>
      </c>
      <c r="I38" s="353">
        <f>IF(T_T13411121314151617181920212223242526272829303132333536373839404142[[#This Row],[Total]]&lt;0,T_T13411121314151617181920212223242526272829303132333536373839404142[[#This Row],[Total]]*-1,0)</f>
        <v>0</v>
      </c>
      <c r="J38" s="353"/>
    </row>
    <row r="39" spans="1:10" x14ac:dyDescent="0.3">
      <c r="A39" s="107"/>
      <c r="B39" s="82"/>
      <c r="C39" s="229"/>
      <c r="D39" s="230"/>
      <c r="E39" s="230"/>
      <c r="F39" s="230"/>
      <c r="G39" s="230">
        <f>SUM(D39:F47)</f>
        <v>0</v>
      </c>
      <c r="H39" s="233">
        <f t="shared" si="1"/>
        <v>272</v>
      </c>
      <c r="I39" s="353">
        <f>IF(T_T13411121314151617181920212223242526272829303132333536373839404142[[#This Row],[Total]]&lt;0,T_T13411121314151617181920212223242526272829303132333536373839404142[[#This Row],[Total]]*-1,0)</f>
        <v>0</v>
      </c>
      <c r="J39" s="353"/>
    </row>
    <row r="40" spans="1:10" x14ac:dyDescent="0.3">
      <c r="A40" s="107"/>
      <c r="B40" s="82"/>
      <c r="C40" s="229"/>
      <c r="D40" s="230"/>
      <c r="E40" s="230"/>
      <c r="F40" s="230"/>
      <c r="G40" s="230">
        <f>SUM(D40:F48)</f>
        <v>0</v>
      </c>
      <c r="H40" s="233">
        <f t="shared" si="1"/>
        <v>272</v>
      </c>
      <c r="I40" s="353">
        <f>IF(T_T13411121314151617181920212223242526272829303132333536373839404142[[#This Row],[Total]]&lt;0,T_T13411121314151617181920212223242526272829303132333536373839404142[[#This Row],[Total]]*-1,0)</f>
        <v>0</v>
      </c>
      <c r="J40" s="353"/>
    </row>
    <row r="41" spans="1:10" x14ac:dyDescent="0.3">
      <c r="A41" s="170"/>
      <c r="B41" s="18"/>
      <c r="C41" s="471"/>
      <c r="D41" s="472"/>
      <c r="E41" s="472"/>
      <c r="F41" s="472"/>
      <c r="G41" s="472"/>
      <c r="H41" s="483"/>
      <c r="I41" s="473">
        <f>IF(T_T13411121314151617181920212223242526272829303132333536373839404142[[#This Row],[Total]]&lt;0,T_T13411121314151617181920212223242526272829303132333536373839404142[[#This Row],[Total]]*-1,0)</f>
        <v>0</v>
      </c>
      <c r="J41" s="473"/>
    </row>
  </sheetData>
  <hyperlinks>
    <hyperlink ref="B7" r:id="rId1" display="jose.orozco@outlook.com"/>
    <hyperlink ref="H7" location="Resumen!A1" display="Rsumen         "/>
  </hyperlinks>
  <pageMargins left="0.44" right="0.33" top="0.75" bottom="0.75" header="0.6" footer="0.3"/>
  <pageSetup orientation="portrait" verticalDpi="360" r:id="rId2"/>
  <drawing r:id="rId3"/>
  <tableParts count="1">
    <tablePart r:id="rId4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Q45"/>
  <sheetViews>
    <sheetView showGridLines="0" zoomScale="98" zoomScaleNormal="98" workbookViewId="0">
      <selection activeCell="E21" sqref="E21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0" max="10" width="0.33203125" customWidth="1"/>
    <col min="11" max="12" width="0.109375" customWidth="1"/>
    <col min="13" max="13" width="3.88671875" customWidth="1"/>
    <col min="15" max="15" width="10.6640625" bestFit="1" customWidth="1"/>
    <col min="16" max="16" width="11.33203125" customWidth="1"/>
  </cols>
  <sheetData>
    <row r="2" spans="1:17" ht="17.25" customHeight="1" x14ac:dyDescent="0.3">
      <c r="A2" s="27" t="s">
        <v>363</v>
      </c>
      <c r="B2" s="41" t="s">
        <v>91</v>
      </c>
    </row>
    <row r="3" spans="1:17" ht="11.25" customHeight="1" x14ac:dyDescent="0.3">
      <c r="A3" s="27" t="s">
        <v>31</v>
      </c>
      <c r="B3" s="28" t="s">
        <v>257</v>
      </c>
    </row>
    <row r="4" spans="1:17" hidden="1" x14ac:dyDescent="0.3">
      <c r="A4" s="27" t="s">
        <v>32</v>
      </c>
      <c r="B4" s="28" t="e">
        <f>LOOKUP(B2,#REF!,#REF!)</f>
        <v>#REF!</v>
      </c>
    </row>
    <row r="5" spans="1:17" hidden="1" x14ac:dyDescent="0.3">
      <c r="A5" s="27" t="s">
        <v>33</v>
      </c>
      <c r="B5" s="28" t="e">
        <f>LOOKUP(B2,#REF!,#REF!)</f>
        <v>#REF!</v>
      </c>
    </row>
    <row r="6" spans="1:17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7" ht="1.5" customHeight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7" x14ac:dyDescent="0.3">
      <c r="A8" s="21"/>
      <c r="B8" s="21"/>
    </row>
    <row r="9" spans="1:17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69" t="s">
        <v>188</v>
      </c>
      <c r="K9" s="69" t="s">
        <v>191</v>
      </c>
      <c r="L9" s="242" t="s">
        <v>262</v>
      </c>
      <c r="M9" s="350" t="s">
        <v>383</v>
      </c>
    </row>
    <row r="10" spans="1:17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/>
      <c r="J10" s="78"/>
      <c r="K10" s="77"/>
      <c r="L10" s="232"/>
      <c r="M10" s="349"/>
      <c r="Q10" s="178"/>
    </row>
    <row r="11" spans="1:17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IF(T_T1341112131415161718192021222324252627282930313233353637383940414243[[#This Row],[Total]]&lt;0,T_T1341112131415161718192021222324252627282930313233353637383940414243[[#This Row],[Total]]*-1,0)</f>
        <v>0</v>
      </c>
      <c r="J11" s="231"/>
      <c r="K11" s="232"/>
      <c r="L11" s="232"/>
      <c r="M11" s="349"/>
    </row>
    <row r="12" spans="1:17" x14ac:dyDescent="0.3">
      <c r="A12" s="361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IF(T_T1341112131415161718192021222324252627282930313233353637383940414243[[#This Row],[Total]]&lt;0,T_T1341112131415161718192021222324252627282930313233353637383940414243[[#This Row],[Total]]*-1,0)</f>
        <v>0</v>
      </c>
      <c r="J12" s="427"/>
      <c r="K12" s="419"/>
      <c r="L12" s="419"/>
      <c r="M12" s="419"/>
    </row>
    <row r="13" spans="1:17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IF(T_T1341112131415161718192021222324252627282930313233353637383940414243[[#This Row],[Total]]&lt;0,T_T1341112131415161718192021222324252627282930313233353637383940414243[[#This Row],[Total]]*-1,0)</f>
        <v>0</v>
      </c>
      <c r="J13" s="231"/>
      <c r="K13" s="232"/>
      <c r="L13" s="232"/>
      <c r="M13" s="349"/>
    </row>
    <row r="14" spans="1:17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IF(T_T1341112131415161718192021222324252627282930313233353637383940414243[[#This Row],[Total]]&lt;0,T_T1341112131415161718192021222324252627282930313233353637383940414243[[#This Row],[Total]]*-1,0)</f>
        <v>0</v>
      </c>
      <c r="J14" s="476"/>
      <c r="K14" s="485"/>
      <c r="L14" s="485"/>
      <c r="M14" s="485"/>
    </row>
    <row r="15" spans="1:17" x14ac:dyDescent="0.3">
      <c r="A15" s="17">
        <v>46052</v>
      </c>
      <c r="B15" s="18" t="s">
        <v>590</v>
      </c>
      <c r="C15" s="6"/>
      <c r="D15" s="2">
        <v>210</v>
      </c>
      <c r="E15" s="2">
        <v>7</v>
      </c>
      <c r="F15" s="20"/>
      <c r="G15" s="20">
        <f>SUM(D15:F15)</f>
        <v>217</v>
      </c>
      <c r="H15" s="233">
        <f>+H13+T_T1341112131415161718192021222324252627282930313233353637383940414243[[#This Row],[Total]]</f>
        <v>217</v>
      </c>
      <c r="I15" s="240">
        <f>IF(T_T1341112131415161718192021222324252627282930313233353637383940414243[[#This Row],[Total]]&lt;0,T_T1341112131415161718192021222324252627282930313233353637383940414243[[#This Row],[Total]]*-1,0)</f>
        <v>0</v>
      </c>
      <c r="J15" s="231"/>
      <c r="K15" s="232"/>
      <c r="L15" s="232"/>
      <c r="M15" s="349"/>
    </row>
    <row r="16" spans="1:17" x14ac:dyDescent="0.3">
      <c r="A16" s="17"/>
      <c r="B16" s="18" t="s">
        <v>591</v>
      </c>
      <c r="C16" s="6">
        <v>8724</v>
      </c>
      <c r="D16" s="2">
        <v>-210</v>
      </c>
      <c r="E16" s="2">
        <v>-7</v>
      </c>
      <c r="F16" s="230"/>
      <c r="G16" s="230">
        <f t="shared" ref="G16:G38" si="0">SUM(D16:F16)</f>
        <v>-217</v>
      </c>
      <c r="H16" s="233">
        <f t="shared" ref="H16:H40" si="1">H15+G16</f>
        <v>0</v>
      </c>
      <c r="I16" s="240">
        <f>IF(T_T1341112131415161718192021222324252627282930313233353637383940414243[[#This Row],[Total]]&lt;0,T_T1341112131415161718192021222324252627282930313233353637383940414243[[#This Row],[Total]]*-1,0)</f>
        <v>217</v>
      </c>
      <c r="J16" s="231"/>
      <c r="K16" s="232"/>
      <c r="L16" s="232"/>
      <c r="M16" s="349"/>
    </row>
    <row r="17" spans="1:13" x14ac:dyDescent="0.3">
      <c r="A17" s="164">
        <v>46080</v>
      </c>
      <c r="B17" s="161" t="s">
        <v>592</v>
      </c>
      <c r="C17" s="6"/>
      <c r="D17" s="2">
        <v>210</v>
      </c>
      <c r="E17" s="2">
        <v>3</v>
      </c>
      <c r="F17" s="230"/>
      <c r="G17" s="230">
        <f t="shared" si="0"/>
        <v>213</v>
      </c>
      <c r="H17" s="233">
        <f t="shared" si="1"/>
        <v>213</v>
      </c>
      <c r="I17" s="240">
        <f>IF(T_T1341112131415161718192021222324252627282930313233353637383940414243[[#This Row],[Total]]&lt;0,T_T1341112131415161718192021222324252627282930313233353637383940414243[[#This Row],[Total]]*-1,0)</f>
        <v>0</v>
      </c>
      <c r="J17" s="231"/>
      <c r="K17" s="232"/>
      <c r="L17" s="232"/>
      <c r="M17" s="349"/>
    </row>
    <row r="18" spans="1:13" x14ac:dyDescent="0.3">
      <c r="A18" s="187"/>
      <c r="B18" s="18" t="s">
        <v>593</v>
      </c>
      <c r="C18" s="6">
        <v>8724</v>
      </c>
      <c r="D18" s="2">
        <v>-210</v>
      </c>
      <c r="E18" s="2">
        <v>-3</v>
      </c>
      <c r="F18" s="230"/>
      <c r="G18" s="230">
        <f t="shared" si="0"/>
        <v>-213</v>
      </c>
      <c r="H18" s="233">
        <f t="shared" si="1"/>
        <v>0</v>
      </c>
      <c r="I18" s="240">
        <f>IF(T_T1341112131415161718192021222324252627282930313233353637383940414243[[#This Row],[Total]]&lt;0,T_T1341112131415161718192021222324252627282930313233353637383940414243[[#This Row],[Total]]*-1,0)</f>
        <v>213</v>
      </c>
      <c r="J18" s="231"/>
      <c r="K18" s="232"/>
      <c r="L18" s="232"/>
      <c r="M18" s="349"/>
    </row>
    <row r="19" spans="1:13" x14ac:dyDescent="0.3">
      <c r="A19" s="188">
        <v>45747</v>
      </c>
      <c r="B19" s="3" t="s">
        <v>534</v>
      </c>
      <c r="C19" s="6"/>
      <c r="D19" s="2">
        <f>220+30</f>
        <v>250</v>
      </c>
      <c r="E19" s="2"/>
      <c r="F19" s="230"/>
      <c r="G19" s="230">
        <f t="shared" si="0"/>
        <v>250</v>
      </c>
      <c r="H19" s="233">
        <f t="shared" si="1"/>
        <v>250</v>
      </c>
      <c r="I19" s="240">
        <f>IF(T_T1341112131415161718192021222324252627282930313233353637383940414243[[#This Row],[Total]]&lt;0,T_T1341112131415161718192021222324252627282930313233353637383940414243[[#This Row],[Total]]*-1,0)</f>
        <v>0</v>
      </c>
      <c r="J19" s="231"/>
      <c r="K19" s="232"/>
      <c r="L19" s="232"/>
      <c r="M19" s="349"/>
    </row>
    <row r="20" spans="1:13" x14ac:dyDescent="0.3">
      <c r="A20" s="188"/>
      <c r="B20" s="82" t="s">
        <v>535</v>
      </c>
      <c r="C20" s="6">
        <v>8962</v>
      </c>
      <c r="D20" s="2">
        <v>-250</v>
      </c>
      <c r="E20" s="2"/>
      <c r="F20" s="230"/>
      <c r="G20" s="230">
        <f t="shared" si="0"/>
        <v>-250</v>
      </c>
      <c r="H20" s="233">
        <f t="shared" si="1"/>
        <v>0</v>
      </c>
      <c r="I20" s="240">
        <f>IF(T_T1341112131415161718192021222324252627282930313233353637383940414243[[#This Row],[Total]]&lt;0,T_T1341112131415161718192021222324252627282930313233353637383940414243[[#This Row],[Total]]*-1,0)</f>
        <v>250</v>
      </c>
      <c r="J20" s="231"/>
      <c r="K20" s="232"/>
      <c r="L20" s="232"/>
      <c r="M20" s="349"/>
    </row>
    <row r="21" spans="1:13" x14ac:dyDescent="0.3">
      <c r="A21" s="188">
        <v>45777</v>
      </c>
      <c r="B21" s="3" t="s">
        <v>536</v>
      </c>
      <c r="C21" s="6"/>
      <c r="D21" s="2">
        <v>250</v>
      </c>
      <c r="E21" s="2">
        <v>1</v>
      </c>
      <c r="F21" s="230"/>
      <c r="G21" s="230">
        <f t="shared" si="0"/>
        <v>251</v>
      </c>
      <c r="H21" s="233">
        <f t="shared" si="1"/>
        <v>251</v>
      </c>
      <c r="I21" s="309">
        <f>IF(T_T1341112131415161718192021222324252627282930313233353637383940414243[[#This Row],[Total]]&lt;0,T_T1341112131415161718192021222324252627282930313233353637383940414243[[#This Row],[Total]]*-1,0)</f>
        <v>0</v>
      </c>
      <c r="J21" s="320"/>
      <c r="K21" s="313"/>
      <c r="L21" s="313"/>
      <c r="M21" s="349"/>
    </row>
    <row r="22" spans="1:13" x14ac:dyDescent="0.3">
      <c r="A22" s="83"/>
      <c r="B22" s="82" t="s">
        <v>537</v>
      </c>
      <c r="C22" s="6">
        <v>8962</v>
      </c>
      <c r="D22" s="2">
        <v>-250</v>
      </c>
      <c r="E22" s="2">
        <v>-1</v>
      </c>
      <c r="F22" s="230"/>
      <c r="G22" s="230">
        <f t="shared" si="0"/>
        <v>-251</v>
      </c>
      <c r="H22" s="233">
        <f t="shared" si="1"/>
        <v>0</v>
      </c>
      <c r="I22" s="309">
        <f>IF(T_T1341112131415161718192021222324252627282930313233353637383940414243[[#This Row],[Total]]&lt;0,T_T1341112131415161718192021222324252627282930313233353637383940414243[[#This Row],[Total]]*-1,0)</f>
        <v>251</v>
      </c>
      <c r="J22" s="320"/>
      <c r="K22" s="313"/>
      <c r="L22" s="313"/>
      <c r="M22" s="349"/>
    </row>
    <row r="23" spans="1:13" x14ac:dyDescent="0.3">
      <c r="A23" s="40">
        <v>45807</v>
      </c>
      <c r="B23" s="3" t="s">
        <v>538</v>
      </c>
      <c r="C23" s="229"/>
      <c r="D23" s="230">
        <v>250</v>
      </c>
      <c r="E23" s="230">
        <v>4</v>
      </c>
      <c r="F23" s="230"/>
      <c r="G23" s="230">
        <f t="shared" si="0"/>
        <v>254</v>
      </c>
      <c r="H23" s="233">
        <f t="shared" si="1"/>
        <v>254</v>
      </c>
      <c r="I23" s="309">
        <f>IF(T_T1341112131415161718192021222324252627282930313233353637383940414243[[#This Row],[Total]]&lt;0,T_T1341112131415161718192021222324252627282930313233353637383940414243[[#This Row],[Total]]*-1,0)</f>
        <v>0</v>
      </c>
      <c r="J23" s="320"/>
      <c r="K23" s="313"/>
      <c r="L23" s="313"/>
      <c r="M23" s="349"/>
    </row>
    <row r="24" spans="1:13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254</v>
      </c>
      <c r="I24" s="309">
        <f>IF(T_T1341112131415161718192021222324252627282930313233353637383940414243[[#This Row],[Total]]&lt;0,T_T1341112131415161718192021222324252627282930313233353637383940414243[[#This Row],[Total]]*-1,0)</f>
        <v>0</v>
      </c>
      <c r="J24" s="320"/>
      <c r="K24" s="313"/>
      <c r="L24" s="313"/>
      <c r="M24" s="349"/>
    </row>
    <row r="25" spans="1:13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254</v>
      </c>
      <c r="I25" s="309">
        <f>IF(T_T1341112131415161718192021222324252627282930313233353637383940414243[[#This Row],[Total]]&lt;0,T_T1341112131415161718192021222324252627282930313233353637383940414243[[#This Row],[Total]]*-1,0)</f>
        <v>0</v>
      </c>
      <c r="J25" s="320"/>
      <c r="K25" s="313"/>
      <c r="L25" s="313"/>
      <c r="M25" s="349"/>
    </row>
    <row r="26" spans="1:13" x14ac:dyDescent="0.3">
      <c r="A26" s="9"/>
      <c r="B26" s="18" t="s">
        <v>541</v>
      </c>
      <c r="C26" s="6"/>
      <c r="D26" s="230"/>
      <c r="E26" s="7"/>
      <c r="F26" s="230"/>
      <c r="G26" s="230">
        <f t="shared" si="0"/>
        <v>0</v>
      </c>
      <c r="H26" s="233">
        <f t="shared" si="1"/>
        <v>254</v>
      </c>
      <c r="I26" s="309">
        <f>IF(T_T1341112131415161718192021222324252627282930313233353637383940414243[[#This Row],[Total]]&lt;0,T_T1341112131415161718192021222324252627282930313233353637383940414243[[#This Row],[Total]]*-1,0)</f>
        <v>0</v>
      </c>
      <c r="J26" s="320"/>
      <c r="K26" s="313"/>
      <c r="L26" s="313"/>
      <c r="M26" s="349"/>
    </row>
    <row r="27" spans="1:13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254</v>
      </c>
      <c r="I27" s="309">
        <f>IF(T_T1341112131415161718192021222324252627282930313233353637383940414243[[#This Row],[Total]]&lt;0,T_T1341112131415161718192021222324252627282930313233353637383940414243[[#This Row],[Total]]*-1,0)</f>
        <v>0</v>
      </c>
      <c r="J27" s="320"/>
      <c r="K27" s="313"/>
      <c r="L27" s="313"/>
      <c r="M27" s="349"/>
    </row>
    <row r="28" spans="1:13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254</v>
      </c>
      <c r="I28" s="309">
        <f>IF(T_T1341112131415161718192021222324252627282930313233353637383940414243[[#This Row],[Total]]&lt;0,T_T1341112131415161718192021222324252627282930313233353637383940414243[[#This Row],[Total]]*-1,0)</f>
        <v>0</v>
      </c>
      <c r="J28" s="320"/>
      <c r="K28" s="313"/>
      <c r="L28" s="313"/>
      <c r="M28" s="349"/>
    </row>
    <row r="29" spans="1:13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254</v>
      </c>
      <c r="I29" s="309">
        <f>IF(T_T1341112131415161718192021222324252627282930313233353637383940414243[[#This Row],[Total]]&lt;0,T_T1341112131415161718192021222324252627282930313233353637383940414243[[#This Row],[Total]]*-1,0)</f>
        <v>0</v>
      </c>
      <c r="J29" s="320"/>
      <c r="K29" s="313"/>
      <c r="L29" s="313"/>
      <c r="M29" s="349"/>
    </row>
    <row r="30" spans="1:13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254</v>
      </c>
      <c r="I30" s="309">
        <f>IF(T_T1341112131415161718192021222324252627282930313233353637383940414243[[#This Row],[Total]]&lt;0,T_T1341112131415161718192021222324252627282930313233353637383940414243[[#This Row],[Total]]*-1,0)</f>
        <v>0</v>
      </c>
      <c r="J30" s="320"/>
      <c r="K30" s="313"/>
      <c r="L30" s="313"/>
      <c r="M30" s="349"/>
    </row>
    <row r="31" spans="1:13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254</v>
      </c>
      <c r="I31" s="309">
        <f>IF(T_T1341112131415161718192021222324252627282930313233353637383940414243[[#This Row],[Total]]&lt;0,T_T1341112131415161718192021222324252627282930313233353637383940414243[[#This Row],[Total]]*-1,0)</f>
        <v>0</v>
      </c>
      <c r="J31" s="320"/>
      <c r="K31" s="313"/>
      <c r="L31" s="313"/>
      <c r="M31" s="349"/>
    </row>
    <row r="32" spans="1:13" x14ac:dyDescent="0.3">
      <c r="A32" s="9"/>
      <c r="B32" s="3" t="s">
        <v>547</v>
      </c>
      <c r="C32" s="6"/>
      <c r="D32" s="7"/>
      <c r="E32" s="230"/>
      <c r="F32" s="230"/>
      <c r="G32" s="230">
        <f t="shared" si="0"/>
        <v>0</v>
      </c>
      <c r="H32" s="233">
        <f t="shared" si="1"/>
        <v>254</v>
      </c>
      <c r="I32" s="309">
        <f>IF(T_T1341112131415161718192021222324252627282930313233353637383940414243[[#This Row],[Total]]&lt;0,T_T1341112131415161718192021222324252627282930313233353637383940414243[[#This Row],[Total]]*-1,0)</f>
        <v>0</v>
      </c>
      <c r="J32" s="320"/>
      <c r="K32" s="313"/>
      <c r="L32" s="313"/>
      <c r="M32" s="349"/>
    </row>
    <row r="33" spans="1:13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254</v>
      </c>
      <c r="I33" s="309">
        <f>IF(T_T1341112131415161718192021222324252627282930313233353637383940414243[[#This Row],[Total]]&lt;0,T_T1341112131415161718192021222324252627282930313233353637383940414243[[#This Row],[Total]]*-1,0)</f>
        <v>0</v>
      </c>
      <c r="J33" s="320"/>
      <c r="K33" s="313"/>
      <c r="L33" s="313"/>
      <c r="M33" s="349"/>
    </row>
    <row r="34" spans="1:13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254</v>
      </c>
      <c r="I34" s="309">
        <f>IF(T_T1341112131415161718192021222324252627282930313233353637383940414243[[#This Row],[Total]]&lt;0,T_T1341112131415161718192021222324252627282930313233353637383940414243[[#This Row],[Total]]*-1,0)</f>
        <v>0</v>
      </c>
      <c r="J34" s="320"/>
      <c r="K34" s="313"/>
      <c r="L34" s="313"/>
      <c r="M34" s="349"/>
    </row>
    <row r="35" spans="1:13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254</v>
      </c>
      <c r="I35" s="309">
        <f>IF(T_T1341112131415161718192021222324252627282930313233353637383940414243[[#This Row],[Total]]&lt;0,T_T1341112131415161718192021222324252627282930313233353637383940414243[[#This Row],[Total]]*-1,0)</f>
        <v>0</v>
      </c>
      <c r="J35" s="320"/>
      <c r="K35" s="313"/>
      <c r="L35" s="313"/>
      <c r="M35" s="349"/>
    </row>
    <row r="36" spans="1:13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254</v>
      </c>
      <c r="I36" s="309">
        <f>IF(T_T1341112131415161718192021222324252627282930313233353637383940414243[[#This Row],[Total]]&lt;0,T_T1341112131415161718192021222324252627282930313233353637383940414243[[#This Row],[Total]]*-1,0)</f>
        <v>0</v>
      </c>
      <c r="J36" s="320"/>
      <c r="K36" s="313"/>
      <c r="L36" s="313"/>
      <c r="M36" s="349"/>
    </row>
    <row r="37" spans="1:13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254</v>
      </c>
      <c r="I37" s="347">
        <f>IF(T_T1341112131415161718192021222324252627282930313233353637383940414243[[#This Row],[Total]]&lt;0,T_T1341112131415161718192021222324252627282930313233353637383940414243[[#This Row],[Total]]*-1,0)</f>
        <v>0</v>
      </c>
      <c r="J37" s="351"/>
      <c r="K37" s="349"/>
      <c r="L37" s="349"/>
      <c r="M37" s="349"/>
    </row>
    <row r="38" spans="1:13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254</v>
      </c>
      <c r="I38" s="347">
        <f>IF(T_T1341112131415161718192021222324252627282930313233353637383940414243[[#This Row],[Total]]&lt;0,T_T1341112131415161718192021222324252627282930313233353637383940414243[[#This Row],[Total]]*-1,0)</f>
        <v>0</v>
      </c>
      <c r="J38" s="351"/>
      <c r="K38" s="349"/>
      <c r="L38" s="349"/>
      <c r="M38" s="349"/>
    </row>
    <row r="39" spans="1:13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254</v>
      </c>
      <c r="I39" s="353">
        <f>IF(T_T1341112131415161718192021222324252627282930313233353637383940414243[[#This Row],[Total]]&lt;0,T_T1341112131415161718192021222324252627282930313233353637383940414243[[#This Row],[Total]]*-1,0)</f>
        <v>0</v>
      </c>
      <c r="J39" s="355"/>
      <c r="K39" s="354"/>
      <c r="L39" s="354"/>
      <c r="M39" s="354"/>
    </row>
    <row r="40" spans="1:13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254</v>
      </c>
      <c r="I40" s="353">
        <f>IF(T_T1341112131415161718192021222324252627282930313233353637383940414243[[#This Row],[Total]]&lt;0,T_T1341112131415161718192021222324252627282930313233353637383940414243[[#This Row],[Total]]*-1,0)</f>
        <v>0</v>
      </c>
      <c r="J40" s="355"/>
      <c r="K40" s="354"/>
      <c r="L40" s="354"/>
      <c r="M40" s="354"/>
    </row>
    <row r="41" spans="1:13" x14ac:dyDescent="0.3">
      <c r="A41" s="492"/>
      <c r="B41" s="493"/>
      <c r="C41" s="466"/>
      <c r="D41" s="467"/>
      <c r="E41" s="467"/>
      <c r="F41" s="467"/>
      <c r="G41" s="467"/>
      <c r="H41" s="474"/>
      <c r="I41" s="475"/>
      <c r="J41" s="480"/>
      <c r="K41" s="76"/>
      <c r="L41" s="76"/>
      <c r="M41" s="76"/>
    </row>
    <row r="42" spans="1:13" x14ac:dyDescent="0.3">
      <c r="F42" s="1">
        <f>+T_T1341112131415161718192021222324252627282930313233353637383940414243[[#Totals],[Expensas]]+T_T1341112131415161718192021222324252627282930313233353637383940414243[[#Totals],[Agua]]</f>
        <v>0</v>
      </c>
    </row>
    <row r="45" spans="1:13" x14ac:dyDescent="0.3">
      <c r="D45" s="1">
        <f>+T_T1341112131415161718192021222324252627282930313233353637383940414243[[#Totals],[Expensas]]-D43</f>
        <v>0</v>
      </c>
    </row>
  </sheetData>
  <hyperlinks>
    <hyperlink ref="B7" r:id="rId1" display="jose.orozco@outlook.com"/>
    <hyperlink ref="H7" location="Resumen!A1" display="Rsumen         "/>
  </hyperlinks>
  <pageMargins left="1.1417322834645669" right="0.70866141732283472" top="1.36" bottom="0.12" header="1.35" footer="0.31496062992125984"/>
  <pageSetup scale="65" orientation="portrait" verticalDpi="360" r:id="rId2"/>
  <drawing r:id="rId3"/>
  <tableParts count="1">
    <tablePart r:id="rId4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2:M97"/>
  <sheetViews>
    <sheetView showGridLines="0" topLeftCell="A2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0.6640625" bestFit="1" customWidth="1"/>
    <col min="14" max="14" width="14.109375" customWidth="1"/>
  </cols>
  <sheetData>
    <row r="2" spans="1:13" ht="15" customHeight="1" x14ac:dyDescent="0.3">
      <c r="A2" s="27" t="s">
        <v>36</v>
      </c>
      <c r="B2" s="41" t="s">
        <v>92</v>
      </c>
    </row>
    <row r="3" spans="1:13" hidden="1" x14ac:dyDescent="0.3">
      <c r="A3" s="27" t="s">
        <v>31</v>
      </c>
      <c r="B3" s="28" t="e">
        <f>LOOKUP(B2,#REF!,#REF!)</f>
        <v>#REF!</v>
      </c>
    </row>
    <row r="4" spans="1:13" hidden="1" x14ac:dyDescent="0.3">
      <c r="A4" s="27" t="s">
        <v>32</v>
      </c>
      <c r="B4" s="28" t="e">
        <f>LOOKUP(B2,#REF!,#REF!)</f>
        <v>#REF!</v>
      </c>
    </row>
    <row r="5" spans="1:13" hidden="1" x14ac:dyDescent="0.3">
      <c r="A5" s="27" t="s">
        <v>33</v>
      </c>
      <c r="B5" s="28" t="e">
        <f>LOOKUP(B2,#REF!,#REF!)</f>
        <v>#REF!</v>
      </c>
      <c r="C5" s="4" t="s">
        <v>190</v>
      </c>
    </row>
    <row r="6" spans="1:13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3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3" x14ac:dyDescent="0.3">
      <c r="A8" s="21"/>
      <c r="B8" s="21" t="s">
        <v>435</v>
      </c>
    </row>
    <row r="9" spans="1:13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75" t="s">
        <v>188</v>
      </c>
    </row>
    <row r="10" spans="1:13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/>
      <c r="J10" s="74"/>
      <c r="M10" s="178"/>
    </row>
    <row r="11" spans="1:13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94"/>
      <c r="J11" s="73"/>
    </row>
    <row r="12" spans="1:13" x14ac:dyDescent="0.3">
      <c r="A12" s="117"/>
      <c r="B12" s="118" t="s">
        <v>467</v>
      </c>
      <c r="C12" s="424"/>
      <c r="D12" s="425"/>
      <c r="E12" s="425"/>
      <c r="F12" s="425"/>
      <c r="G12" s="425"/>
      <c r="H12" s="426">
        <v>0</v>
      </c>
      <c r="I12" s="427"/>
      <c r="J12" s="427"/>
    </row>
    <row r="13" spans="1:13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94"/>
      <c r="J13" s="73"/>
      <c r="M13" s="178"/>
    </row>
    <row r="14" spans="1:13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6"/>
      <c r="J14" s="476"/>
      <c r="M14" s="178"/>
    </row>
    <row r="15" spans="1:13" x14ac:dyDescent="0.3">
      <c r="A15" s="17">
        <v>46052</v>
      </c>
      <c r="B15" s="18" t="s">
        <v>590</v>
      </c>
      <c r="C15" s="6"/>
      <c r="D15" s="2">
        <v>183</v>
      </c>
      <c r="E15" s="2">
        <v>13</v>
      </c>
      <c r="F15" s="20"/>
      <c r="G15" s="20">
        <f>SUM(D15:F15)</f>
        <v>196</v>
      </c>
      <c r="H15" s="233">
        <f>+H13+T_T134111213141516171819202122232425262728293031323335363738394041424344[[#This Row],[Total]]</f>
        <v>196</v>
      </c>
      <c r="I15" s="94"/>
      <c r="J15" s="73"/>
      <c r="M15" s="178"/>
    </row>
    <row r="16" spans="1:13" x14ac:dyDescent="0.3">
      <c r="A16" s="17"/>
      <c r="B16" s="18" t="s">
        <v>591</v>
      </c>
      <c r="C16" s="6">
        <v>8904</v>
      </c>
      <c r="D16" s="2">
        <v>-183</v>
      </c>
      <c r="E16" s="2">
        <v>-13</v>
      </c>
      <c r="F16" s="230"/>
      <c r="G16" s="230">
        <f t="shared" ref="G16:G40" si="0">SUM(D16:F16)</f>
        <v>-196</v>
      </c>
      <c r="H16" s="233">
        <f t="shared" ref="H16:H42" si="1">H15+G16</f>
        <v>0</v>
      </c>
      <c r="I16" s="94"/>
      <c r="J16" s="73"/>
    </row>
    <row r="17" spans="1:10" x14ac:dyDescent="0.3">
      <c r="A17" s="164">
        <v>46081</v>
      </c>
      <c r="B17" s="161" t="s">
        <v>592</v>
      </c>
      <c r="C17" s="6"/>
      <c r="D17" s="2">
        <v>183</v>
      </c>
      <c r="E17" s="2">
        <v>4</v>
      </c>
      <c r="F17" s="230"/>
      <c r="G17" s="230">
        <f t="shared" si="0"/>
        <v>187</v>
      </c>
      <c r="H17" s="233">
        <f t="shared" si="1"/>
        <v>187</v>
      </c>
      <c r="I17" s="6"/>
      <c r="J17" s="73"/>
    </row>
    <row r="18" spans="1:10" x14ac:dyDescent="0.3">
      <c r="A18" s="187"/>
      <c r="B18" s="18" t="s">
        <v>593</v>
      </c>
      <c r="C18" s="6">
        <v>8904</v>
      </c>
      <c r="D18" s="2">
        <v>-183</v>
      </c>
      <c r="E18" s="2">
        <v>-4</v>
      </c>
      <c r="F18" s="230"/>
      <c r="G18" s="230">
        <f t="shared" si="0"/>
        <v>-187</v>
      </c>
      <c r="H18" s="233">
        <f t="shared" si="1"/>
        <v>0</v>
      </c>
      <c r="I18" s="6"/>
      <c r="J18" s="73"/>
    </row>
    <row r="19" spans="1:10" x14ac:dyDescent="0.3">
      <c r="A19" s="188">
        <v>45747</v>
      </c>
      <c r="B19" s="3" t="s">
        <v>534</v>
      </c>
      <c r="C19" s="6"/>
      <c r="D19" s="2">
        <v>189</v>
      </c>
      <c r="E19" s="2">
        <v>4</v>
      </c>
      <c r="F19" s="230"/>
      <c r="G19" s="230">
        <f t="shared" si="0"/>
        <v>193</v>
      </c>
      <c r="H19" s="233">
        <f t="shared" si="1"/>
        <v>193</v>
      </c>
      <c r="I19" s="6"/>
      <c r="J19" s="73"/>
    </row>
    <row r="20" spans="1:10" x14ac:dyDescent="0.3">
      <c r="A20" s="188"/>
      <c r="B20" s="82" t="s">
        <v>535</v>
      </c>
      <c r="C20" s="6">
        <v>8904</v>
      </c>
      <c r="D20" s="2">
        <v>-189</v>
      </c>
      <c r="E20" s="2">
        <v>-4</v>
      </c>
      <c r="F20" s="230"/>
      <c r="G20" s="230">
        <f t="shared" si="0"/>
        <v>-193</v>
      </c>
      <c r="H20" s="233">
        <f t="shared" si="1"/>
        <v>0</v>
      </c>
      <c r="I20" s="6"/>
      <c r="J20" s="73"/>
    </row>
    <row r="21" spans="1:10" x14ac:dyDescent="0.3">
      <c r="A21" s="188">
        <v>45777</v>
      </c>
      <c r="B21" s="3" t="s">
        <v>536</v>
      </c>
      <c r="C21" s="6"/>
      <c r="D21" s="2">
        <v>189</v>
      </c>
      <c r="E21" s="2">
        <v>3</v>
      </c>
      <c r="F21" s="230"/>
      <c r="G21" s="230">
        <f t="shared" si="0"/>
        <v>192</v>
      </c>
      <c r="H21" s="233">
        <f t="shared" si="1"/>
        <v>192</v>
      </c>
      <c r="I21" s="6"/>
      <c r="J21" s="73"/>
    </row>
    <row r="22" spans="1:10" x14ac:dyDescent="0.3">
      <c r="A22" s="83"/>
      <c r="B22" s="82" t="s">
        <v>537</v>
      </c>
      <c r="C22" s="6">
        <v>8904</v>
      </c>
      <c r="D22" s="2">
        <v>-189</v>
      </c>
      <c r="E22" s="2">
        <v>-3</v>
      </c>
      <c r="F22" s="230"/>
      <c r="G22" s="230">
        <f t="shared" si="0"/>
        <v>-192</v>
      </c>
      <c r="H22" s="233">
        <f t="shared" si="1"/>
        <v>0</v>
      </c>
      <c r="I22" s="6"/>
      <c r="J22" s="73"/>
    </row>
    <row r="23" spans="1:10" ht="15.75" customHeight="1" x14ac:dyDescent="0.3">
      <c r="A23" s="40">
        <v>45807</v>
      </c>
      <c r="B23" s="3" t="s">
        <v>538</v>
      </c>
      <c r="C23" s="229"/>
      <c r="D23" s="230">
        <v>189</v>
      </c>
      <c r="E23" s="230">
        <v>2</v>
      </c>
      <c r="F23" s="230"/>
      <c r="G23" s="230">
        <f t="shared" si="0"/>
        <v>191</v>
      </c>
      <c r="H23" s="233">
        <f t="shared" si="1"/>
        <v>191</v>
      </c>
      <c r="I23" s="6"/>
      <c r="J23" s="73"/>
    </row>
    <row r="24" spans="1:10" x14ac:dyDescent="0.3">
      <c r="A24" s="9"/>
      <c r="B24" s="18" t="s">
        <v>539</v>
      </c>
      <c r="C24" s="6"/>
      <c r="D24" s="230"/>
      <c r="E24" s="7"/>
      <c r="F24" s="230"/>
      <c r="G24" s="230">
        <f t="shared" si="0"/>
        <v>0</v>
      </c>
      <c r="H24" s="233">
        <f t="shared" si="1"/>
        <v>191</v>
      </c>
      <c r="I24" s="6"/>
      <c r="J24" s="73"/>
    </row>
    <row r="25" spans="1:10" x14ac:dyDescent="0.3">
      <c r="A25" s="9">
        <v>45838</v>
      </c>
      <c r="B25" s="3" t="s">
        <v>540</v>
      </c>
      <c r="C25" s="229"/>
      <c r="D25" s="7"/>
      <c r="E25" s="230"/>
      <c r="F25" s="230"/>
      <c r="G25" s="230">
        <f t="shared" si="0"/>
        <v>0</v>
      </c>
      <c r="H25" s="233">
        <f t="shared" si="1"/>
        <v>191</v>
      </c>
      <c r="I25" s="6"/>
      <c r="J25" s="73"/>
    </row>
    <row r="26" spans="1:10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191</v>
      </c>
      <c r="I26" s="6"/>
      <c r="J26" s="73"/>
    </row>
    <row r="27" spans="1:10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191</v>
      </c>
      <c r="I27" s="6"/>
      <c r="J27" s="73"/>
    </row>
    <row r="28" spans="1:10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191</v>
      </c>
      <c r="I28" s="6"/>
      <c r="J28" s="73"/>
    </row>
    <row r="29" spans="1:10" x14ac:dyDescent="0.3">
      <c r="A29" s="107">
        <v>45899</v>
      </c>
      <c r="B29" s="82" t="s">
        <v>544</v>
      </c>
      <c r="C29" s="6"/>
      <c r="D29" s="7"/>
      <c r="E29" s="7"/>
      <c r="F29" s="7"/>
      <c r="G29" s="230">
        <f t="shared" si="0"/>
        <v>0</v>
      </c>
      <c r="H29" s="233">
        <f t="shared" si="1"/>
        <v>191</v>
      </c>
      <c r="I29" s="73"/>
      <c r="J29" s="73"/>
    </row>
    <row r="30" spans="1:10" x14ac:dyDescent="0.3">
      <c r="A30" s="107"/>
      <c r="B30" s="82" t="s">
        <v>545</v>
      </c>
      <c r="C30" s="6"/>
      <c r="D30" s="7"/>
      <c r="E30" s="7"/>
      <c r="F30" s="7"/>
      <c r="G30" s="230">
        <f t="shared" si="0"/>
        <v>0</v>
      </c>
      <c r="H30" s="233">
        <f t="shared" si="1"/>
        <v>191</v>
      </c>
      <c r="I30" s="73"/>
      <c r="J30" s="73"/>
    </row>
    <row r="31" spans="1:10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191</v>
      </c>
      <c r="I31" s="6"/>
      <c r="J31" s="73"/>
    </row>
    <row r="32" spans="1:10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191</v>
      </c>
      <c r="I32" s="6"/>
      <c r="J32" s="73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191</v>
      </c>
      <c r="I33" s="6"/>
      <c r="J33" s="73"/>
    </row>
    <row r="34" spans="1:10" x14ac:dyDescent="0.3">
      <c r="A34" s="9"/>
      <c r="B34" s="3" t="s">
        <v>549</v>
      </c>
      <c r="C34" s="6"/>
      <c r="D34" s="230"/>
      <c r="E34" s="230"/>
      <c r="F34" s="230"/>
      <c r="G34" s="230">
        <f t="shared" si="0"/>
        <v>0</v>
      </c>
      <c r="H34" s="233">
        <f t="shared" si="1"/>
        <v>191</v>
      </c>
      <c r="I34" s="6"/>
      <c r="J34" s="73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191</v>
      </c>
      <c r="I35" s="6"/>
      <c r="J35" s="73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191</v>
      </c>
      <c r="I36" s="6"/>
      <c r="J36" s="73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191</v>
      </c>
      <c r="I37" s="6"/>
      <c r="J37" s="73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191</v>
      </c>
      <c r="I38" s="6"/>
      <c r="J38" s="73"/>
    </row>
    <row r="39" spans="1:10" x14ac:dyDescent="0.3">
      <c r="A39" s="107"/>
      <c r="B39" s="82"/>
      <c r="C39" s="229"/>
      <c r="D39" s="230"/>
      <c r="E39" s="230"/>
      <c r="F39" s="230"/>
      <c r="G39" s="230">
        <f t="shared" si="0"/>
        <v>0</v>
      </c>
      <c r="H39" s="233">
        <f t="shared" si="1"/>
        <v>191</v>
      </c>
      <c r="I39" s="6"/>
      <c r="J39" s="73"/>
    </row>
    <row r="40" spans="1:10" x14ac:dyDescent="0.3">
      <c r="A40" s="107"/>
      <c r="B40" s="82"/>
      <c r="C40" s="229"/>
      <c r="D40" s="230"/>
      <c r="E40" s="230"/>
      <c r="F40" s="230"/>
      <c r="G40" s="230">
        <f t="shared" si="0"/>
        <v>0</v>
      </c>
      <c r="H40" s="233">
        <f t="shared" si="1"/>
        <v>191</v>
      </c>
      <c r="I40" s="6"/>
      <c r="J40" s="73"/>
    </row>
    <row r="41" spans="1:10" x14ac:dyDescent="0.3">
      <c r="A41" s="170"/>
      <c r="B41" s="18"/>
      <c r="C41" s="229"/>
      <c r="D41" s="230"/>
      <c r="E41" s="230"/>
      <c r="F41" s="230"/>
      <c r="G41" s="230">
        <f>SUM(D41:F48)</f>
        <v>0</v>
      </c>
      <c r="H41" s="233">
        <f t="shared" si="1"/>
        <v>191</v>
      </c>
      <c r="I41" s="6"/>
      <c r="J41" s="73"/>
    </row>
    <row r="42" spans="1:10" x14ac:dyDescent="0.3">
      <c r="A42" s="107"/>
      <c r="B42" s="82"/>
      <c r="C42" s="229"/>
      <c r="D42" s="230"/>
      <c r="E42" s="230"/>
      <c r="F42" s="230"/>
      <c r="G42" s="230">
        <f>SUM(D42:F49)</f>
        <v>0</v>
      </c>
      <c r="H42" s="233">
        <f t="shared" si="1"/>
        <v>191</v>
      </c>
      <c r="I42" s="6"/>
      <c r="J42" s="73"/>
    </row>
    <row r="43" spans="1:10" x14ac:dyDescent="0.3">
      <c r="A43" s="40"/>
      <c r="B43" s="3"/>
      <c r="C43" s="32"/>
      <c r="D43" s="33"/>
      <c r="E43" s="33"/>
      <c r="F43" s="7"/>
      <c r="G43" s="33"/>
      <c r="H43" s="10"/>
      <c r="I43" s="6"/>
      <c r="J43" s="73"/>
    </row>
    <row r="44" spans="1:10" x14ac:dyDescent="0.3">
      <c r="A44" s="40"/>
      <c r="B44" s="3"/>
      <c r="C44" s="30"/>
      <c r="D44" s="31"/>
      <c r="E44" s="31"/>
      <c r="F44" s="7"/>
      <c r="G44" s="31"/>
      <c r="H44" s="10"/>
      <c r="I44" s="6"/>
      <c r="J44" s="73"/>
    </row>
    <row r="45" spans="1:10" x14ac:dyDescent="0.3">
      <c r="A45" s="9"/>
      <c r="B45" s="3"/>
      <c r="C45" s="32"/>
      <c r="D45" s="33"/>
      <c r="E45" s="33"/>
      <c r="F45" s="7"/>
      <c r="G45" s="33"/>
      <c r="H45" s="10"/>
      <c r="I45" s="6"/>
      <c r="J45" s="73"/>
    </row>
    <row r="46" spans="1:10" x14ac:dyDescent="0.3">
      <c r="A46" s="9"/>
      <c r="B46" s="3"/>
      <c r="C46" s="30"/>
      <c r="D46" s="31"/>
      <c r="E46" s="31"/>
      <c r="F46" s="7"/>
      <c r="G46" s="31"/>
      <c r="H46" s="10"/>
      <c r="I46" s="6"/>
      <c r="J46" s="73"/>
    </row>
    <row r="47" spans="1:10" x14ac:dyDescent="0.3">
      <c r="A47" s="9"/>
      <c r="B47" s="3"/>
      <c r="C47" s="32"/>
      <c r="D47" s="33"/>
      <c r="E47" s="33"/>
      <c r="F47" s="7"/>
      <c r="G47" s="33"/>
      <c r="H47" s="10"/>
      <c r="I47" s="6"/>
      <c r="J47" s="73"/>
    </row>
    <row r="48" spans="1:10" x14ac:dyDescent="0.3">
      <c r="A48" s="17"/>
      <c r="B48" s="3"/>
      <c r="C48" s="32"/>
      <c r="D48" s="33"/>
      <c r="E48" s="33"/>
      <c r="F48" s="7"/>
      <c r="G48" s="33"/>
      <c r="H48" s="10"/>
      <c r="I48" s="6"/>
      <c r="J48" s="73"/>
    </row>
    <row r="49" spans="1:10" x14ac:dyDescent="0.3">
      <c r="A49" s="9"/>
      <c r="B49" s="3"/>
      <c r="C49" s="36"/>
      <c r="D49" s="37"/>
      <c r="E49" s="37"/>
      <c r="F49" s="37"/>
      <c r="G49" s="37"/>
      <c r="H49" s="10"/>
      <c r="I49" s="6"/>
      <c r="J49" s="73"/>
    </row>
    <row r="50" spans="1:10" x14ac:dyDescent="0.3">
      <c r="A50" s="40"/>
      <c r="B50" s="18"/>
      <c r="C50" s="36"/>
      <c r="D50" s="37"/>
      <c r="E50" s="37"/>
      <c r="F50" s="37"/>
      <c r="G50" s="37"/>
      <c r="H50" s="10"/>
      <c r="I50" s="6"/>
      <c r="J50" s="73"/>
    </row>
    <row r="51" spans="1:10" x14ac:dyDescent="0.3">
      <c r="A51" s="17"/>
      <c r="B51" s="3"/>
      <c r="C51" s="36"/>
      <c r="D51" s="37"/>
      <c r="E51" s="37"/>
      <c r="F51" s="37"/>
      <c r="G51" s="37"/>
      <c r="H51" s="10"/>
      <c r="I51" s="6"/>
      <c r="J51" s="73"/>
    </row>
    <row r="52" spans="1:10" x14ac:dyDescent="0.3">
      <c r="A52" s="9"/>
      <c r="B52" s="18"/>
      <c r="C52" s="38"/>
      <c r="D52" s="39"/>
      <c r="E52" s="39"/>
      <c r="F52" s="39"/>
      <c r="G52" s="39"/>
      <c r="H52" s="10"/>
      <c r="I52" s="6"/>
      <c r="J52" s="73"/>
    </row>
    <row r="53" spans="1:10" x14ac:dyDescent="0.3">
      <c r="A53" s="17"/>
      <c r="B53" s="3"/>
      <c r="C53" s="6"/>
      <c r="D53" s="7"/>
      <c r="E53" s="7"/>
      <c r="F53" s="7"/>
      <c r="G53" s="7"/>
      <c r="H53" s="10"/>
      <c r="I53" s="6"/>
      <c r="J53" s="73"/>
    </row>
    <row r="54" spans="1:10" x14ac:dyDescent="0.3">
      <c r="A54" s="9"/>
      <c r="B54" s="18"/>
      <c r="C54" s="6"/>
      <c r="D54" s="7"/>
      <c r="E54" s="7"/>
      <c r="F54" s="7"/>
      <c r="G54" s="7"/>
      <c r="H54" s="10"/>
      <c r="I54" s="6"/>
      <c r="J54" s="73"/>
    </row>
    <row r="55" spans="1:10" x14ac:dyDescent="0.3">
      <c r="A55" s="17"/>
      <c r="B55" s="3"/>
      <c r="C55" s="6"/>
      <c r="D55" s="7"/>
      <c r="E55" s="7"/>
      <c r="F55" s="7"/>
      <c r="G55" s="7"/>
      <c r="H55" s="10"/>
      <c r="I55" s="6"/>
      <c r="J55" s="73"/>
    </row>
    <row r="56" spans="1:10" x14ac:dyDescent="0.3">
      <c r="A56" s="9"/>
      <c r="B56" s="18"/>
      <c r="C56" s="19"/>
      <c r="D56" s="20"/>
      <c r="E56" s="20"/>
      <c r="F56" s="20"/>
      <c r="G56" s="20"/>
      <c r="H56" s="10"/>
      <c r="I56" s="6"/>
      <c r="J56" s="73"/>
    </row>
    <row r="57" spans="1:10" x14ac:dyDescent="0.3">
      <c r="A57" s="17"/>
      <c r="B57" s="3"/>
      <c r="C57" s="6"/>
      <c r="D57" s="7"/>
      <c r="E57" s="7"/>
      <c r="F57" s="7"/>
      <c r="G57" s="7"/>
      <c r="H57" s="10"/>
      <c r="I57" s="6"/>
      <c r="J57" s="73"/>
    </row>
    <row r="58" spans="1:10" x14ac:dyDescent="0.3">
      <c r="A58" s="9"/>
      <c r="B58" s="18"/>
      <c r="C58" s="6"/>
      <c r="D58" s="7"/>
      <c r="E58" s="7"/>
      <c r="F58" s="7"/>
      <c r="G58" s="7"/>
      <c r="H58" s="10"/>
      <c r="I58" s="6"/>
      <c r="J58" s="73"/>
    </row>
    <row r="59" spans="1:10" x14ac:dyDescent="0.3">
      <c r="A59" s="17"/>
      <c r="B59" s="3"/>
      <c r="C59" s="6"/>
      <c r="D59" s="7"/>
      <c r="E59" s="7"/>
      <c r="F59" s="7"/>
      <c r="G59" s="7"/>
      <c r="H59" s="10"/>
      <c r="I59" s="6"/>
      <c r="J59" s="73"/>
    </row>
    <row r="60" spans="1:10" x14ac:dyDescent="0.3">
      <c r="A60" s="9"/>
      <c r="B60" s="18"/>
      <c r="C60" s="6"/>
      <c r="D60" s="7"/>
      <c r="E60" s="7"/>
      <c r="F60" s="7"/>
      <c r="G60" s="7"/>
      <c r="H60" s="10"/>
      <c r="I60" s="6"/>
      <c r="J60" s="73"/>
    </row>
    <row r="61" spans="1:10" x14ac:dyDescent="0.3">
      <c r="A61" s="86"/>
      <c r="B61" s="3"/>
      <c r="C61" s="90"/>
      <c r="D61" s="91"/>
      <c r="E61" s="91"/>
      <c r="F61" s="91"/>
      <c r="G61" s="91"/>
      <c r="H61" s="92"/>
      <c r="I61" s="94"/>
      <c r="J61" s="73"/>
    </row>
    <row r="62" spans="1:10" x14ac:dyDescent="0.3">
      <c r="A62" s="9"/>
      <c r="B62" s="18"/>
      <c r="C62" s="90"/>
      <c r="D62" s="91"/>
      <c r="E62" s="91"/>
      <c r="F62" s="91"/>
      <c r="G62" s="91"/>
      <c r="H62" s="92"/>
      <c r="I62" s="94"/>
      <c r="J62" s="73"/>
    </row>
    <row r="63" spans="1:10" x14ac:dyDescent="0.3">
      <c r="A63" s="9"/>
      <c r="B63" s="3"/>
      <c r="C63" s="90"/>
      <c r="D63" s="91"/>
      <c r="E63" s="91"/>
      <c r="F63" s="91"/>
      <c r="G63" s="91"/>
      <c r="H63" s="92"/>
      <c r="I63" s="94"/>
      <c r="J63" s="73"/>
    </row>
    <row r="64" spans="1:10" x14ac:dyDescent="0.3">
      <c r="A64" s="9"/>
      <c r="B64" s="18"/>
      <c r="C64" s="90"/>
      <c r="D64" s="91"/>
      <c r="E64" s="91"/>
      <c r="F64" s="91"/>
      <c r="G64" s="91"/>
      <c r="H64" s="92"/>
      <c r="I64" s="94"/>
      <c r="J64" s="73"/>
    </row>
    <row r="65" spans="1:10" x14ac:dyDescent="0.3">
      <c r="A65" s="17"/>
      <c r="B65" s="18"/>
      <c r="C65" s="98"/>
      <c r="D65" s="99"/>
      <c r="E65" s="99"/>
      <c r="F65" s="99"/>
      <c r="G65" s="99"/>
      <c r="H65" s="10"/>
      <c r="I65" s="51"/>
      <c r="J65" s="73"/>
    </row>
    <row r="66" spans="1:10" x14ac:dyDescent="0.3">
      <c r="A66" s="17"/>
      <c r="B66" s="18"/>
      <c r="C66" s="87"/>
      <c r="D66" s="88"/>
      <c r="E66" s="88"/>
      <c r="F66" s="88"/>
      <c r="G66" s="88"/>
      <c r="H66" s="10"/>
      <c r="I66" s="51"/>
      <c r="J66" s="73"/>
    </row>
    <row r="67" spans="1:10" x14ac:dyDescent="0.3">
      <c r="A67" s="164"/>
      <c r="B67" s="161"/>
      <c r="C67" s="162"/>
      <c r="D67" s="99"/>
      <c r="E67" s="163"/>
      <c r="F67" s="163"/>
      <c r="G67" s="163"/>
      <c r="H67" s="10"/>
      <c r="I67" s="51"/>
      <c r="J67" s="73"/>
    </row>
    <row r="68" spans="1:10" x14ac:dyDescent="0.3">
      <c r="A68" s="165"/>
      <c r="B68" s="103"/>
      <c r="C68" s="166"/>
      <c r="D68" s="71"/>
      <c r="E68" s="71"/>
      <c r="F68" s="71"/>
      <c r="G68" s="71"/>
      <c r="H68" s="10"/>
      <c r="I68" s="51"/>
      <c r="J68" s="73"/>
    </row>
    <row r="69" spans="1:10" x14ac:dyDescent="0.3">
      <c r="A69" s="188"/>
      <c r="B69" s="3"/>
      <c r="C69" s="189"/>
      <c r="D69" s="99"/>
      <c r="E69" s="190"/>
      <c r="F69" s="190"/>
      <c r="G69" s="190"/>
      <c r="H69" s="191"/>
      <c r="I69" s="192"/>
      <c r="J69" s="73"/>
    </row>
    <row r="70" spans="1:10" x14ac:dyDescent="0.3">
      <c r="A70" s="188"/>
      <c r="B70" s="82"/>
      <c r="C70" s="189"/>
      <c r="D70" s="190"/>
      <c r="E70" s="190"/>
      <c r="F70" s="190"/>
      <c r="G70" s="190"/>
      <c r="H70" s="191"/>
      <c r="I70" s="192"/>
      <c r="J70" s="73"/>
    </row>
    <row r="71" spans="1:10" x14ac:dyDescent="0.3">
      <c r="A71" s="188"/>
      <c r="B71" s="3"/>
      <c r="C71" s="189"/>
      <c r="D71" s="99"/>
      <c r="E71" s="190"/>
      <c r="F71" s="190"/>
      <c r="G71" s="190"/>
      <c r="H71" s="191"/>
      <c r="I71" s="192"/>
      <c r="J71" s="73"/>
    </row>
    <row r="72" spans="1:10" x14ac:dyDescent="0.3">
      <c r="A72" s="83"/>
      <c r="B72" s="82"/>
      <c r="C72" s="189"/>
      <c r="D72" s="190"/>
      <c r="E72" s="190"/>
      <c r="F72" s="190"/>
      <c r="G72" s="190"/>
      <c r="H72" s="191"/>
      <c r="I72" s="192"/>
      <c r="J72" s="73"/>
    </row>
    <row r="73" spans="1:10" x14ac:dyDescent="0.3">
      <c r="A73" s="188"/>
      <c r="B73" s="3"/>
      <c r="C73" s="189"/>
      <c r="D73" s="99"/>
      <c r="E73" s="190"/>
      <c r="F73" s="190"/>
      <c r="G73" s="190"/>
      <c r="H73" s="191"/>
      <c r="I73" s="192"/>
      <c r="J73" s="73"/>
    </row>
    <row r="74" spans="1:10" x14ac:dyDescent="0.3">
      <c r="A74" s="107"/>
      <c r="B74" s="127"/>
      <c r="C74" s="189"/>
      <c r="D74" s="190"/>
      <c r="E74" s="190"/>
      <c r="F74" s="190"/>
      <c r="G74" s="190"/>
      <c r="H74" s="191"/>
      <c r="I74" s="192"/>
      <c r="J74" s="73"/>
    </row>
    <row r="75" spans="1:10" x14ac:dyDescent="0.3">
      <c r="A75" s="164"/>
      <c r="B75" s="3"/>
      <c r="C75" s="189"/>
      <c r="D75" s="99"/>
      <c r="E75" s="190"/>
      <c r="F75" s="190"/>
      <c r="G75" s="190"/>
      <c r="H75" s="191"/>
      <c r="I75" s="192"/>
      <c r="J75" s="73"/>
    </row>
    <row r="76" spans="1:10" x14ac:dyDescent="0.3">
      <c r="A76" s="107"/>
      <c r="B76" s="127"/>
      <c r="C76" s="189"/>
      <c r="D76" s="190"/>
      <c r="E76" s="190"/>
      <c r="F76" s="190"/>
      <c r="G76" s="190"/>
      <c r="H76" s="191"/>
      <c r="I76" s="192"/>
      <c r="J76" s="73"/>
    </row>
    <row r="77" spans="1:10" x14ac:dyDescent="0.3">
      <c r="A77" s="9"/>
      <c r="B77" s="3"/>
      <c r="C77" s="189"/>
      <c r="D77" s="99"/>
      <c r="E77" s="190"/>
      <c r="F77" s="190"/>
      <c r="G77" s="190"/>
      <c r="H77" s="191"/>
      <c r="I77" s="192"/>
      <c r="J77" s="73"/>
    </row>
    <row r="78" spans="1:10" x14ac:dyDescent="0.3">
      <c r="A78" s="9"/>
      <c r="B78" s="3"/>
      <c r="C78" s="189"/>
      <c r="D78" s="190"/>
      <c r="E78" s="190"/>
      <c r="F78" s="190"/>
      <c r="G78" s="190"/>
      <c r="H78" s="191"/>
      <c r="I78" s="192"/>
      <c r="J78" s="73"/>
    </row>
    <row r="79" spans="1:10" x14ac:dyDescent="0.3">
      <c r="A79" s="9"/>
      <c r="B79" s="3"/>
      <c r="C79" s="189"/>
      <c r="D79" s="99"/>
      <c r="E79" s="190"/>
      <c r="F79" s="190"/>
      <c r="G79" s="190"/>
      <c r="H79" s="191"/>
      <c r="I79" s="192"/>
      <c r="J79" s="73"/>
    </row>
    <row r="80" spans="1:10" x14ac:dyDescent="0.3">
      <c r="A80" s="9"/>
      <c r="B80" s="3"/>
      <c r="C80" s="189"/>
      <c r="D80" s="190"/>
      <c r="E80" s="190"/>
      <c r="F80" s="190"/>
      <c r="G80" s="190"/>
      <c r="H80" s="191"/>
      <c r="I80" s="192"/>
      <c r="J80" s="73"/>
    </row>
    <row r="81" spans="1:10" x14ac:dyDescent="0.3">
      <c r="A81" s="9"/>
      <c r="B81" s="3"/>
      <c r="C81" s="189"/>
      <c r="D81" s="99"/>
      <c r="E81" s="190"/>
      <c r="F81" s="190"/>
      <c r="G81" s="190"/>
      <c r="H81" s="191"/>
      <c r="I81" s="192"/>
      <c r="J81" s="73"/>
    </row>
    <row r="82" spans="1:10" x14ac:dyDescent="0.3">
      <c r="A82" s="9"/>
      <c r="B82" s="3"/>
      <c r="C82" s="189"/>
      <c r="D82" s="190"/>
      <c r="E82" s="190"/>
      <c r="F82" s="190"/>
      <c r="G82" s="190"/>
      <c r="H82" s="191"/>
      <c r="I82" s="192"/>
      <c r="J82" s="73"/>
    </row>
    <row r="83" spans="1:10" x14ac:dyDescent="0.3">
      <c r="A83" s="9"/>
      <c r="B83" s="3"/>
      <c r="C83" s="189"/>
      <c r="D83" s="99"/>
      <c r="E83" s="190"/>
      <c r="F83" s="190"/>
      <c r="G83" s="190"/>
      <c r="H83" s="191"/>
      <c r="I83" s="192"/>
      <c r="J83" s="73"/>
    </row>
    <row r="84" spans="1:10" x14ac:dyDescent="0.3">
      <c r="A84" s="9"/>
      <c r="B84" s="3"/>
      <c r="C84" s="189"/>
      <c r="D84" s="190"/>
      <c r="E84" s="190"/>
      <c r="F84" s="190"/>
      <c r="G84" s="190"/>
      <c r="H84" s="191"/>
      <c r="I84" s="192"/>
      <c r="J84" s="73"/>
    </row>
    <row r="85" spans="1:10" x14ac:dyDescent="0.3">
      <c r="A85" s="9"/>
      <c r="B85" s="3"/>
      <c r="C85" s="189"/>
      <c r="D85" s="99"/>
      <c r="E85" s="190"/>
      <c r="F85" s="190"/>
      <c r="G85" s="190"/>
      <c r="H85" s="191"/>
      <c r="I85" s="192"/>
      <c r="J85" s="73"/>
    </row>
    <row r="86" spans="1:10" x14ac:dyDescent="0.3">
      <c r="A86" s="17"/>
      <c r="B86" s="18"/>
      <c r="C86" s="193"/>
      <c r="D86" s="194"/>
      <c r="E86" s="194"/>
      <c r="F86" s="194"/>
      <c r="G86" s="194"/>
      <c r="H86" s="195"/>
      <c r="I86" s="192"/>
      <c r="J86" s="73"/>
    </row>
    <row r="87" spans="1:10" x14ac:dyDescent="0.3">
      <c r="A87" s="188"/>
      <c r="B87" s="3"/>
      <c r="C87" s="169"/>
      <c r="D87" s="99"/>
      <c r="E87" s="141"/>
      <c r="F87" s="141"/>
      <c r="G87" s="2"/>
      <c r="H87" s="2"/>
      <c r="I87" s="240"/>
      <c r="J87" s="73"/>
    </row>
    <row r="88" spans="1:10" x14ac:dyDescent="0.3">
      <c r="A88" s="257"/>
      <c r="B88" s="110"/>
      <c r="C88" s="219"/>
      <c r="D88" s="111"/>
      <c r="E88" s="111"/>
      <c r="F88" s="111"/>
      <c r="G88" s="2"/>
      <c r="H88" s="2"/>
      <c r="I88" s="240"/>
      <c r="J88" s="73"/>
    </row>
    <row r="89" spans="1:10" x14ac:dyDescent="0.3">
      <c r="A89" s="17"/>
      <c r="B89" s="18"/>
      <c r="C89" s="6"/>
      <c r="D89" s="2"/>
      <c r="E89" s="2"/>
      <c r="F89" s="2"/>
      <c r="G89" s="177"/>
      <c r="H89" s="282"/>
      <c r="I89" s="240"/>
      <c r="J89" s="73"/>
    </row>
    <row r="90" spans="1:10" x14ac:dyDescent="0.3">
      <c r="A90" s="17"/>
      <c r="B90" s="18"/>
      <c r="C90" s="6"/>
      <c r="D90" s="2"/>
      <c r="E90" s="2"/>
      <c r="F90" s="2"/>
      <c r="G90" s="177"/>
      <c r="H90" s="282"/>
      <c r="I90" s="240"/>
      <c r="J90" s="73"/>
    </row>
    <row r="91" spans="1:10" x14ac:dyDescent="0.3">
      <c r="A91" s="164"/>
      <c r="B91" s="161"/>
      <c r="C91" s="6"/>
      <c r="D91" s="2"/>
      <c r="E91" s="2"/>
      <c r="F91" s="2"/>
      <c r="G91" s="230"/>
      <c r="H91" s="233"/>
      <c r="I91" s="240"/>
      <c r="J91" s="73"/>
    </row>
    <row r="92" spans="1:10" x14ac:dyDescent="0.3">
      <c r="A92" s="185"/>
      <c r="B92" s="3"/>
      <c r="C92" s="6"/>
      <c r="D92" s="2"/>
      <c r="E92" s="2"/>
      <c r="F92" s="2"/>
      <c r="G92" s="230"/>
      <c r="H92" s="233"/>
      <c r="I92" s="240"/>
      <c r="J92" s="73"/>
    </row>
    <row r="93" spans="1:10" x14ac:dyDescent="0.3">
      <c r="A93" s="188"/>
      <c r="B93" s="3"/>
      <c r="C93" s="229"/>
      <c r="D93" s="230"/>
      <c r="E93" s="230"/>
      <c r="F93" s="230"/>
      <c r="G93" s="230"/>
      <c r="H93" s="233"/>
      <c r="I93" s="240"/>
      <c r="J93" s="73"/>
    </row>
    <row r="94" spans="1:10" x14ac:dyDescent="0.3">
      <c r="A94" s="188"/>
      <c r="B94" s="82"/>
      <c r="C94" s="229"/>
      <c r="D94" s="230"/>
      <c r="E94" s="230"/>
      <c r="F94" s="230"/>
      <c r="G94" s="230"/>
      <c r="H94" s="233"/>
      <c r="I94" s="240"/>
      <c r="J94" s="73"/>
    </row>
    <row r="95" spans="1:10" x14ac:dyDescent="0.3">
      <c r="A95" s="188"/>
      <c r="B95" s="3"/>
      <c r="C95" s="229"/>
      <c r="D95" s="230"/>
      <c r="E95" s="230"/>
      <c r="F95" s="230"/>
      <c r="G95" s="230"/>
      <c r="H95" s="233"/>
      <c r="I95" s="240"/>
      <c r="J95" s="73"/>
    </row>
    <row r="96" spans="1:10" x14ac:dyDescent="0.3">
      <c r="A96" s="83"/>
      <c r="B96" s="82"/>
      <c r="C96" s="229"/>
      <c r="D96" s="230"/>
      <c r="E96" s="230"/>
      <c r="F96" s="230"/>
      <c r="G96" s="230"/>
      <c r="H96" s="233"/>
      <c r="I96" s="240"/>
      <c r="J96" s="379"/>
    </row>
    <row r="97" spans="1:10" x14ac:dyDescent="0.3">
      <c r="A97" s="17"/>
      <c r="B97" s="18"/>
      <c r="C97" s="466"/>
      <c r="D97" s="467"/>
      <c r="E97" s="467"/>
      <c r="F97" s="467"/>
      <c r="G97" s="467"/>
      <c r="H97" s="474"/>
      <c r="I97" s="475"/>
      <c r="J97" s="480"/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orientation="portrait" verticalDpi="360" r:id="rId2"/>
  <drawing r:id="rId3"/>
  <tableParts count="1">
    <tablePart r:id="rId4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M47"/>
  <sheetViews>
    <sheetView showGridLines="0" topLeftCell="A7" zoomScale="98" zoomScaleNormal="98" workbookViewId="0">
      <selection activeCell="E28" sqref="E28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0.6640625" bestFit="1" customWidth="1"/>
    <col min="14" max="14" width="15.33203125" customWidth="1"/>
  </cols>
  <sheetData>
    <row r="2" spans="1:13" ht="15.6" x14ac:dyDescent="0.3">
      <c r="A2" s="27" t="s">
        <v>36</v>
      </c>
      <c r="B2" s="41" t="s">
        <v>93</v>
      </c>
    </row>
    <row r="3" spans="1:13" x14ac:dyDescent="0.3">
      <c r="A3" s="27" t="s">
        <v>31</v>
      </c>
      <c r="B3" s="28" t="e">
        <f>LOOKUP(B2,#REF!,#REF!)</f>
        <v>#REF!</v>
      </c>
    </row>
    <row r="4" spans="1:13" x14ac:dyDescent="0.3">
      <c r="A4" s="27" t="s">
        <v>32</v>
      </c>
      <c r="B4" s="28" t="e">
        <f>LOOKUP(B2,#REF!,#REF!)</f>
        <v>#REF!</v>
      </c>
    </row>
    <row r="5" spans="1:13" x14ac:dyDescent="0.3">
      <c r="A5" s="27" t="s">
        <v>33</v>
      </c>
      <c r="B5" s="28" t="e">
        <f>LOOKUP(B2,#REF!,#REF!)</f>
        <v>#REF!</v>
      </c>
    </row>
    <row r="6" spans="1:13" x14ac:dyDescent="0.3">
      <c r="A6" s="27" t="s">
        <v>34</v>
      </c>
      <c r="B6" s="28" t="e">
        <f>LOOKUP(B2,#REF!,#REF!)</f>
        <v>#REF!</v>
      </c>
      <c r="G6" s="25"/>
      <c r="H6" s="25"/>
    </row>
    <row r="7" spans="1:13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3" x14ac:dyDescent="0.3">
      <c r="A8" s="21"/>
      <c r="B8" s="21" t="s">
        <v>503</v>
      </c>
    </row>
    <row r="9" spans="1:13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416" t="s">
        <v>188</v>
      </c>
    </row>
    <row r="10" spans="1:13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IF(T_T13411121314151617181920212223242526272829303132333536373839404142434445[[#This Row],[Total]]&lt;0,T_T13411121314151617181920212223242526272829303132333536373839404142434445[[#This Row],[Total]]*-1,0)</f>
        <v>0</v>
      </c>
      <c r="J10" s="445"/>
      <c r="M10" s="178"/>
    </row>
    <row r="11" spans="1:13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94">
        <f>IF(T_T13411121314151617181920212223242526272829303132333536373839404142434445[[#This Row],[Total]]&lt;0,T_T13411121314151617181920212223242526272829303132333536373839404142434445[[#This Row],[Total]]*-1,0)</f>
        <v>0</v>
      </c>
      <c r="J11" s="427"/>
      <c r="M11" s="178"/>
    </row>
    <row r="12" spans="1:13" x14ac:dyDescent="0.3">
      <c r="A12" s="361"/>
      <c r="B12" s="118" t="s">
        <v>467</v>
      </c>
      <c r="C12" s="424"/>
      <c r="D12" s="425"/>
      <c r="E12" s="425"/>
      <c r="F12" s="425"/>
      <c r="G12" s="425"/>
      <c r="H12" s="426">
        <v>0</v>
      </c>
      <c r="I12" s="427">
        <f>IF(T_T13411121314151617181920212223242526272829303132333536373839404142434445[[#This Row],[Total]]&lt;0,T_T13411121314151617181920212223242526272829303132333536373839404142434445[[#This Row],[Total]]*-1,0)</f>
        <v>0</v>
      </c>
      <c r="J12" s="427"/>
      <c r="M12" s="178"/>
    </row>
    <row r="13" spans="1:13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IF(T_T13411121314151617181920212223242526272829303132333536373839404142434445[[#This Row],[Total]]&lt;0,T_T13411121314151617181920212223242526272829303132333536373839404142434445[[#This Row],[Total]]*-1,0)</f>
        <v>0</v>
      </c>
      <c r="J13" s="427"/>
    </row>
    <row r="14" spans="1:13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IF(T_T13411121314151617181920212223242526272829303132333536373839404142434445[[#This Row],[Total]]&lt;0,T_T13411121314151617181920212223242526272829303132333536373839404142434445[[#This Row],[Total]]*-1,0)</f>
        <v>0</v>
      </c>
      <c r="J14" s="476"/>
    </row>
    <row r="15" spans="1:13" x14ac:dyDescent="0.3">
      <c r="A15" s="17">
        <v>46052</v>
      </c>
      <c r="B15" s="18" t="s">
        <v>590</v>
      </c>
      <c r="C15" s="6"/>
      <c r="D15" s="2">
        <f>184+26</f>
        <v>210</v>
      </c>
      <c r="E15" s="2">
        <v>28</v>
      </c>
      <c r="F15" s="20"/>
      <c r="G15" s="20">
        <f>SUM(D15:F15)</f>
        <v>238</v>
      </c>
      <c r="H15" s="233">
        <f>+H13+T_T13411121314151617181920212223242526272829303132333536373839404142434445[[#This Row],[Total]]</f>
        <v>238</v>
      </c>
      <c r="I15" s="240">
        <f>IF(T_T13411121314151617181920212223242526272829303132333536373839404142434445[[#This Row],[Total]]&lt;0,T_T13411121314151617181920212223242526272829303132333536373839404142434445[[#This Row],[Total]]*-1,0)</f>
        <v>0</v>
      </c>
      <c r="J15" s="427"/>
    </row>
    <row r="16" spans="1:13" x14ac:dyDescent="0.3">
      <c r="A16" s="17"/>
      <c r="B16" s="18" t="s">
        <v>591</v>
      </c>
      <c r="C16" s="6">
        <v>8587</v>
      </c>
      <c r="D16" s="2">
        <v>-210</v>
      </c>
      <c r="E16" s="2">
        <v>-28</v>
      </c>
      <c r="F16" s="230"/>
      <c r="G16" s="230">
        <f t="shared" ref="G16:G44" si="0">SUM(D16:F16)</f>
        <v>-238</v>
      </c>
      <c r="H16" s="233">
        <f t="shared" ref="H16:H46" si="1">H15+G16</f>
        <v>0</v>
      </c>
      <c r="I16" s="240">
        <f>IF(T_T13411121314151617181920212223242526272829303132333536373839404142434445[[#This Row],[Total]]&lt;0,T_T13411121314151617181920212223242526272829303132333536373839404142434445[[#This Row],[Total]]*-1,0)</f>
        <v>238</v>
      </c>
      <c r="J16" s="427"/>
    </row>
    <row r="17" spans="1:12" x14ac:dyDescent="0.3">
      <c r="A17" s="164">
        <v>45715</v>
      </c>
      <c r="B17" s="161" t="s">
        <v>532</v>
      </c>
      <c r="C17" s="6"/>
      <c r="D17" s="2">
        <f>184+26</f>
        <v>210</v>
      </c>
      <c r="E17" s="2">
        <v>28</v>
      </c>
      <c r="F17" s="230"/>
      <c r="G17" s="230">
        <f t="shared" si="0"/>
        <v>238</v>
      </c>
      <c r="H17" s="233">
        <f t="shared" si="1"/>
        <v>238</v>
      </c>
      <c r="I17" s="240">
        <f>IF(T_T13411121314151617181920212223242526272829303132333536373839404142434445[[#This Row],[Total]]&lt;0,T_T13411121314151617181920212223242526272829303132333536373839404142434445[[#This Row],[Total]]*-1,0)</f>
        <v>0</v>
      </c>
      <c r="J17" s="427"/>
    </row>
    <row r="18" spans="1:12" x14ac:dyDescent="0.3">
      <c r="A18" s="187"/>
      <c r="B18" s="18" t="s">
        <v>533</v>
      </c>
      <c r="C18" s="6">
        <v>8666</v>
      </c>
      <c r="D18" s="2">
        <v>-210</v>
      </c>
      <c r="E18" s="2">
        <v>-28</v>
      </c>
      <c r="F18" s="230"/>
      <c r="G18" s="230">
        <f t="shared" si="0"/>
        <v>-238</v>
      </c>
      <c r="H18" s="233">
        <f t="shared" si="1"/>
        <v>0</v>
      </c>
      <c r="I18" s="240">
        <f>IF(T_T13411121314151617181920212223242526272829303132333536373839404142434445[[#This Row],[Total]]&lt;0,T_T13411121314151617181920212223242526272829303132333536373839404142434445[[#This Row],[Total]]*-1,0)</f>
        <v>238</v>
      </c>
      <c r="J18" s="427"/>
    </row>
    <row r="19" spans="1:12" x14ac:dyDescent="0.3">
      <c r="A19" s="188">
        <v>45747</v>
      </c>
      <c r="B19" s="3" t="s">
        <v>534</v>
      </c>
      <c r="C19" s="462"/>
      <c r="D19" s="463">
        <f>221+30</f>
        <v>251</v>
      </c>
      <c r="E19" s="463">
        <v>20</v>
      </c>
      <c r="F19" s="463"/>
      <c r="G19" s="230">
        <f t="shared" si="0"/>
        <v>271</v>
      </c>
      <c r="H19" s="233">
        <f t="shared" si="1"/>
        <v>271</v>
      </c>
      <c r="I19" s="464">
        <f>IF(T_T13411121314151617181920212223242526272829303132333536373839404142434445[[#This Row],[Total]]&lt;0,T_T13411121314151617181920212223242526272829303132333536373839404142434445[[#This Row],[Total]]*-1,0)</f>
        <v>0</v>
      </c>
      <c r="J19" s="465"/>
      <c r="L19" t="s">
        <v>510</v>
      </c>
    </row>
    <row r="20" spans="1:12" x14ac:dyDescent="0.3">
      <c r="A20" s="188"/>
      <c r="B20" s="82" t="s">
        <v>535</v>
      </c>
      <c r="C20" s="462">
        <v>8800</v>
      </c>
      <c r="D20" s="463">
        <v>-251</v>
      </c>
      <c r="E20" s="463">
        <v>-20</v>
      </c>
      <c r="F20" s="463"/>
      <c r="G20" s="230">
        <f t="shared" si="0"/>
        <v>-271</v>
      </c>
      <c r="H20" s="233">
        <f t="shared" si="1"/>
        <v>0</v>
      </c>
      <c r="I20" s="464">
        <f>IF(T_T13411121314151617181920212223242526272829303132333536373839404142434445[[#This Row],[Total]]&lt;0,T_T13411121314151617181920212223242526272829303132333536373839404142434445[[#This Row],[Total]]*-1,0)</f>
        <v>271</v>
      </c>
      <c r="J20" s="465"/>
    </row>
    <row r="21" spans="1:12" x14ac:dyDescent="0.3">
      <c r="A21" s="511"/>
      <c r="B21" s="82" t="s">
        <v>260</v>
      </c>
      <c r="C21" s="605"/>
      <c r="D21" s="606">
        <v>200</v>
      </c>
      <c r="E21" s="606"/>
      <c r="F21" s="606"/>
      <c r="G21" s="230">
        <f t="shared" si="0"/>
        <v>200</v>
      </c>
      <c r="H21" s="233">
        <f t="shared" si="1"/>
        <v>200</v>
      </c>
      <c r="I21" s="607">
        <f>IF(T_T13411121314151617181920212223242526272829303132333536373839404142434445[[#This Row],[Total]]&lt;0,T_T13411121314151617181920212223242526272829303132333536373839404142434445[[#This Row],[Total]]*-1,0)</f>
        <v>0</v>
      </c>
      <c r="J21" s="609"/>
    </row>
    <row r="22" spans="1:12" x14ac:dyDescent="0.3">
      <c r="A22" s="511"/>
      <c r="B22" s="82" t="s">
        <v>260</v>
      </c>
      <c r="C22" s="605"/>
      <c r="D22" s="606">
        <v>-200</v>
      </c>
      <c r="E22" s="606"/>
      <c r="F22" s="606"/>
      <c r="G22" s="230">
        <f t="shared" si="0"/>
        <v>-200</v>
      </c>
      <c r="H22" s="233">
        <f t="shared" si="1"/>
        <v>0</v>
      </c>
      <c r="I22" s="607">
        <f>IF(T_T13411121314151617181920212223242526272829303132333536373839404142434445[[#This Row],[Total]]&lt;0,T_T13411121314151617181920212223242526272829303132333536373839404142434445[[#This Row],[Total]]*-1,0)</f>
        <v>200</v>
      </c>
      <c r="J22" s="609"/>
    </row>
    <row r="23" spans="1:12" x14ac:dyDescent="0.3">
      <c r="A23" s="511"/>
      <c r="B23" s="82" t="s">
        <v>260</v>
      </c>
      <c r="C23" s="605"/>
      <c r="D23" s="606">
        <v>200</v>
      </c>
      <c r="E23" s="606"/>
      <c r="F23" s="606"/>
      <c r="G23" s="230">
        <f t="shared" si="0"/>
        <v>200</v>
      </c>
      <c r="H23" s="233">
        <f t="shared" si="1"/>
        <v>200</v>
      </c>
      <c r="I23" s="607">
        <f>IF(T_T13411121314151617181920212223242526272829303132333536373839404142434445[[#This Row],[Total]]&lt;0,T_T13411121314151617181920212223242526272829303132333536373839404142434445[[#This Row],[Total]]*-1,0)</f>
        <v>0</v>
      </c>
      <c r="J23" s="609"/>
    </row>
    <row r="24" spans="1:12" x14ac:dyDescent="0.3">
      <c r="A24" s="511"/>
      <c r="B24" s="82" t="s">
        <v>260</v>
      </c>
      <c r="C24" s="605">
        <v>8876</v>
      </c>
      <c r="D24" s="606">
        <v>-200</v>
      </c>
      <c r="E24" s="606"/>
      <c r="F24" s="606"/>
      <c r="G24" s="230">
        <f t="shared" si="0"/>
        <v>-200</v>
      </c>
      <c r="H24" s="233">
        <f t="shared" si="1"/>
        <v>0</v>
      </c>
      <c r="I24" s="607">
        <f>IF(T_T13411121314151617181920212223242526272829303132333536373839404142434445[[#This Row],[Total]]&lt;0,T_T13411121314151617181920212223242526272829303132333536373839404142434445[[#This Row],[Total]]*-1,0)</f>
        <v>200</v>
      </c>
      <c r="J24" s="609"/>
    </row>
    <row r="25" spans="1:12" x14ac:dyDescent="0.3">
      <c r="A25" s="188">
        <v>45777</v>
      </c>
      <c r="B25" s="3" t="s">
        <v>536</v>
      </c>
      <c r="C25" s="6"/>
      <c r="D25" s="2">
        <v>251</v>
      </c>
      <c r="E25" s="2">
        <v>21</v>
      </c>
      <c r="F25" s="230"/>
      <c r="G25" s="230">
        <f t="shared" si="0"/>
        <v>272</v>
      </c>
      <c r="H25" s="233">
        <f t="shared" si="1"/>
        <v>272</v>
      </c>
      <c r="I25" s="240">
        <f>IF(T_T13411121314151617181920212223242526272829303132333536373839404142434445[[#This Row],[Total]]&lt;0,T_T13411121314151617181920212223242526272829303132333536373839404142434445[[#This Row],[Total]]*-1,0)</f>
        <v>0</v>
      </c>
      <c r="J25" s="427"/>
    </row>
    <row r="26" spans="1:12" x14ac:dyDescent="0.3">
      <c r="A26" s="83"/>
      <c r="B26" s="82" t="s">
        <v>537</v>
      </c>
      <c r="C26" s="6">
        <v>8866</v>
      </c>
      <c r="D26" s="2">
        <v>-251</v>
      </c>
      <c r="E26" s="2">
        <v>-21</v>
      </c>
      <c r="F26" s="230"/>
      <c r="G26" s="230">
        <f t="shared" si="0"/>
        <v>-272</v>
      </c>
      <c r="H26" s="233">
        <f t="shared" si="1"/>
        <v>0</v>
      </c>
      <c r="I26" s="240">
        <f>IF(T_T13411121314151617181920212223242526272829303132333536373839404142434445[[#This Row],[Total]]&lt;0,T_T13411121314151617181920212223242526272829303132333536373839404142434445[[#This Row],[Total]]*-1,0)</f>
        <v>272</v>
      </c>
      <c r="J26" s="427"/>
    </row>
    <row r="27" spans="1:12" x14ac:dyDescent="0.3">
      <c r="A27" s="40">
        <v>45807</v>
      </c>
      <c r="B27" s="3" t="s">
        <v>538</v>
      </c>
      <c r="C27" s="6"/>
      <c r="D27" s="2">
        <v>251</v>
      </c>
      <c r="E27" s="2">
        <v>8</v>
      </c>
      <c r="F27" s="230"/>
      <c r="G27" s="230">
        <f t="shared" si="0"/>
        <v>259</v>
      </c>
      <c r="H27" s="233">
        <f t="shared" si="1"/>
        <v>259</v>
      </c>
      <c r="I27" s="240">
        <f>IF(T_T13411121314151617181920212223242526272829303132333536373839404142434445[[#This Row],[Total]]&lt;0,T_T13411121314151617181920212223242526272829303132333536373839404142434445[[#This Row],[Total]]*-1,0)</f>
        <v>0</v>
      </c>
      <c r="J27" s="427"/>
    </row>
    <row r="28" spans="1:12" x14ac:dyDescent="0.3">
      <c r="A28" s="9"/>
      <c r="B28" s="18" t="s">
        <v>539</v>
      </c>
      <c r="C28" s="6"/>
      <c r="D28" s="2"/>
      <c r="E28" s="2"/>
      <c r="F28" s="230"/>
      <c r="G28" s="230">
        <f t="shared" si="0"/>
        <v>0</v>
      </c>
      <c r="H28" s="233">
        <f t="shared" si="1"/>
        <v>259</v>
      </c>
      <c r="I28" s="309">
        <f>IF(T_T13411121314151617181920212223242526272829303132333536373839404142434445[[#This Row],[Total]]&lt;0,T_T13411121314151617181920212223242526272829303132333536373839404142434445[[#This Row],[Total]]*-1,0)</f>
        <v>0</v>
      </c>
      <c r="J28" s="427"/>
    </row>
    <row r="29" spans="1:12" x14ac:dyDescent="0.3">
      <c r="A29" s="9">
        <v>45838</v>
      </c>
      <c r="B29" s="3" t="s">
        <v>540</v>
      </c>
      <c r="C29" s="229"/>
      <c r="D29" s="230"/>
      <c r="E29" s="230"/>
      <c r="F29" s="230"/>
      <c r="G29" s="230">
        <f t="shared" si="0"/>
        <v>0</v>
      </c>
      <c r="H29" s="233">
        <f t="shared" si="1"/>
        <v>259</v>
      </c>
      <c r="I29" s="309">
        <f>IF(T_T13411121314151617181920212223242526272829303132333536373839404142434445[[#This Row],[Total]]&lt;0,T_T13411121314151617181920212223242526272829303132333536373839404142434445[[#This Row],[Total]]*-1,0)</f>
        <v>0</v>
      </c>
      <c r="J29" s="427"/>
    </row>
    <row r="30" spans="1:12" x14ac:dyDescent="0.3">
      <c r="A30" s="9"/>
      <c r="B30" s="18" t="s">
        <v>541</v>
      </c>
      <c r="C30" s="6"/>
      <c r="D30" s="230"/>
      <c r="E30" s="230"/>
      <c r="F30" s="230"/>
      <c r="G30" s="230">
        <f t="shared" si="0"/>
        <v>0</v>
      </c>
      <c r="H30" s="233">
        <f t="shared" si="1"/>
        <v>259</v>
      </c>
      <c r="I30" s="309">
        <f>IF(T_T13411121314151617181920212223242526272829303132333536373839404142434445[[#This Row],[Total]]&lt;0,T_T13411121314151617181920212223242526272829303132333536373839404142434445[[#This Row],[Total]]*-1,0)</f>
        <v>0</v>
      </c>
      <c r="J30" s="427"/>
    </row>
    <row r="31" spans="1:12" x14ac:dyDescent="0.3">
      <c r="A31" s="107">
        <v>45868</v>
      </c>
      <c r="B31" s="82" t="s">
        <v>542</v>
      </c>
      <c r="C31" s="229"/>
      <c r="D31" s="230"/>
      <c r="E31" s="230"/>
      <c r="F31" s="230"/>
      <c r="G31" s="230">
        <f t="shared" si="0"/>
        <v>0</v>
      </c>
      <c r="H31" s="233">
        <f t="shared" si="1"/>
        <v>259</v>
      </c>
      <c r="I31" s="309">
        <f>IF(T_T13411121314151617181920212223242526272829303132333536373839404142434445[[#This Row],[Total]]&lt;0,T_T13411121314151617181920212223242526272829303132333536373839404142434445[[#This Row],[Total]]*-1,0)</f>
        <v>0</v>
      </c>
      <c r="J31" s="427"/>
    </row>
    <row r="32" spans="1:12" x14ac:dyDescent="0.3">
      <c r="A32" s="107"/>
      <c r="B32" s="82" t="s">
        <v>543</v>
      </c>
      <c r="C32" s="6"/>
      <c r="D32" s="230"/>
      <c r="E32" s="230"/>
      <c r="F32" s="230"/>
      <c r="G32" s="230">
        <f t="shared" si="0"/>
        <v>0</v>
      </c>
      <c r="H32" s="233">
        <f t="shared" si="1"/>
        <v>259</v>
      </c>
      <c r="I32" s="309">
        <f>IF(T_T13411121314151617181920212223242526272829303132333536373839404142434445[[#This Row],[Total]]&lt;0,T_T13411121314151617181920212223242526272829303132333536373839404142434445[[#This Row],[Total]]*-1,0)</f>
        <v>0</v>
      </c>
      <c r="J32" s="427"/>
    </row>
    <row r="33" spans="1:10" x14ac:dyDescent="0.3">
      <c r="A33" s="107">
        <v>45899</v>
      </c>
      <c r="B33" s="82" t="s">
        <v>544</v>
      </c>
      <c r="C33" s="229"/>
      <c r="D33" s="230"/>
      <c r="E33" s="230"/>
      <c r="F33" s="230"/>
      <c r="G33" s="230">
        <f t="shared" si="0"/>
        <v>0</v>
      </c>
      <c r="H33" s="233">
        <f t="shared" si="1"/>
        <v>259</v>
      </c>
      <c r="I33" s="309">
        <f>IF(T_T13411121314151617181920212223242526272829303132333536373839404142434445[[#This Row],[Total]]&lt;0,T_T13411121314151617181920212223242526272829303132333536373839404142434445[[#This Row],[Total]]*-1,0)</f>
        <v>0</v>
      </c>
      <c r="J33" s="427"/>
    </row>
    <row r="34" spans="1:10" x14ac:dyDescent="0.3">
      <c r="A34" s="107"/>
      <c r="B34" s="82" t="s">
        <v>545</v>
      </c>
      <c r="C34" s="6"/>
      <c r="D34" s="230"/>
      <c r="E34" s="230"/>
      <c r="F34" s="230"/>
      <c r="G34" s="230">
        <f t="shared" si="0"/>
        <v>0</v>
      </c>
      <c r="H34" s="233">
        <f t="shared" si="1"/>
        <v>259</v>
      </c>
      <c r="I34" s="309">
        <f>IF(T_T13411121314151617181920212223242526272829303132333536373839404142434445[[#This Row],[Total]]&lt;0,T_T13411121314151617181920212223242526272829303132333536373839404142434445[[#This Row],[Total]]*-1,0)</f>
        <v>0</v>
      </c>
      <c r="J34" s="427"/>
    </row>
    <row r="35" spans="1:10" x14ac:dyDescent="0.3">
      <c r="A35" s="9">
        <v>45930</v>
      </c>
      <c r="B35" s="3" t="s">
        <v>546</v>
      </c>
      <c r="C35" s="229"/>
      <c r="D35" s="230"/>
      <c r="E35" s="230"/>
      <c r="F35" s="230"/>
      <c r="G35" s="230">
        <f t="shared" si="0"/>
        <v>0</v>
      </c>
      <c r="H35" s="233">
        <f t="shared" si="1"/>
        <v>259</v>
      </c>
      <c r="I35" s="309">
        <f>IF(T_T13411121314151617181920212223242526272829303132333536373839404142434445[[#This Row],[Total]]&lt;0,T_T13411121314151617181920212223242526272829303132333536373839404142434445[[#This Row],[Total]]*-1,0)</f>
        <v>0</v>
      </c>
      <c r="J35" s="427"/>
    </row>
    <row r="36" spans="1:10" x14ac:dyDescent="0.3">
      <c r="A36" s="9"/>
      <c r="B36" s="3" t="s">
        <v>547</v>
      </c>
      <c r="C36" s="6"/>
      <c r="D36" s="230"/>
      <c r="E36" s="230"/>
      <c r="F36" s="230"/>
      <c r="G36" s="230">
        <f t="shared" si="0"/>
        <v>0</v>
      </c>
      <c r="H36" s="233">
        <f t="shared" si="1"/>
        <v>259</v>
      </c>
      <c r="I36" s="309">
        <f>IF(T_T13411121314151617181920212223242526272829303132333536373839404142434445[[#This Row],[Total]]&lt;0,T_T13411121314151617181920212223242526272829303132333536373839404142434445[[#This Row],[Total]]*-1,0)</f>
        <v>0</v>
      </c>
      <c r="J36" s="427"/>
    </row>
    <row r="37" spans="1:10" x14ac:dyDescent="0.3">
      <c r="A37" s="9">
        <v>45960</v>
      </c>
      <c r="B37" s="3" t="s">
        <v>548</v>
      </c>
      <c r="C37" s="229"/>
      <c r="D37" s="230"/>
      <c r="E37" s="230"/>
      <c r="F37" s="230"/>
      <c r="G37" s="230">
        <f t="shared" si="0"/>
        <v>0</v>
      </c>
      <c r="H37" s="233">
        <f t="shared" si="1"/>
        <v>259</v>
      </c>
      <c r="I37" s="309">
        <f>IF(T_T13411121314151617181920212223242526272829303132333536373839404142434445[[#This Row],[Total]]&lt;0,T_T13411121314151617181920212223242526272829303132333536373839404142434445[[#This Row],[Total]]*-1,0)</f>
        <v>0</v>
      </c>
      <c r="J37" s="427"/>
    </row>
    <row r="38" spans="1:10" x14ac:dyDescent="0.3">
      <c r="A38" s="9"/>
      <c r="B38" s="3" t="s">
        <v>549</v>
      </c>
      <c r="C38" s="6"/>
      <c r="D38" s="230"/>
      <c r="E38" s="230"/>
      <c r="F38" s="230"/>
      <c r="G38" s="230">
        <f t="shared" si="0"/>
        <v>0</v>
      </c>
      <c r="H38" s="233">
        <f t="shared" si="1"/>
        <v>259</v>
      </c>
      <c r="I38" s="309">
        <f>IF(T_T13411121314151617181920212223242526272829303132333536373839404142434445[[#This Row],[Total]]&lt;0,T_T13411121314151617181920212223242526272829303132333536373839404142434445[[#This Row],[Total]]*-1,0)</f>
        <v>0</v>
      </c>
      <c r="J38" s="427"/>
    </row>
    <row r="39" spans="1:10" x14ac:dyDescent="0.3">
      <c r="A39" s="9">
        <v>45991</v>
      </c>
      <c r="B39" s="3" t="s">
        <v>550</v>
      </c>
      <c r="C39" s="229"/>
      <c r="D39" s="230"/>
      <c r="E39" s="230"/>
      <c r="F39" s="230"/>
      <c r="G39" s="230">
        <f t="shared" si="0"/>
        <v>0</v>
      </c>
      <c r="H39" s="233">
        <f t="shared" si="1"/>
        <v>259</v>
      </c>
      <c r="I39" s="309">
        <f>IF(T_T13411121314151617181920212223242526272829303132333536373839404142434445[[#This Row],[Total]]&lt;0,T_T13411121314151617181920212223242526272829303132333536373839404142434445[[#This Row],[Total]]*-1,0)</f>
        <v>0</v>
      </c>
      <c r="J39" s="427"/>
    </row>
    <row r="40" spans="1:10" x14ac:dyDescent="0.3">
      <c r="A40" s="17"/>
      <c r="B40" s="18" t="s">
        <v>551</v>
      </c>
      <c r="C40" s="229"/>
      <c r="D40" s="230"/>
      <c r="E40" s="230"/>
      <c r="F40" s="230"/>
      <c r="G40" s="230">
        <f t="shared" si="0"/>
        <v>0</v>
      </c>
      <c r="H40" s="233">
        <f t="shared" si="1"/>
        <v>259</v>
      </c>
      <c r="I40" s="309">
        <f>IF(T_T13411121314151617181920212223242526272829303132333536373839404142434445[[#This Row],[Total]]&lt;0,T_T13411121314151617181920212223242526272829303132333536373839404142434445[[#This Row],[Total]]*-1,0)</f>
        <v>0</v>
      </c>
      <c r="J40" s="427"/>
    </row>
    <row r="41" spans="1:10" x14ac:dyDescent="0.3">
      <c r="A41" s="188">
        <v>46021</v>
      </c>
      <c r="B41" s="3" t="s">
        <v>552</v>
      </c>
      <c r="C41" s="229"/>
      <c r="D41" s="230"/>
      <c r="E41" s="230"/>
      <c r="F41" s="230"/>
      <c r="G41" s="230">
        <f t="shared" si="0"/>
        <v>0</v>
      </c>
      <c r="H41" s="233">
        <f t="shared" si="1"/>
        <v>259</v>
      </c>
      <c r="I41" s="309">
        <f>IF(T_T13411121314151617181920212223242526272829303132333536373839404142434445[[#This Row],[Total]]&lt;0,T_T13411121314151617181920212223242526272829303132333536373839404142434445[[#This Row],[Total]]*-1,0)</f>
        <v>0</v>
      </c>
      <c r="J41" s="427"/>
    </row>
    <row r="42" spans="1:10" x14ac:dyDescent="0.3">
      <c r="A42" s="257"/>
      <c r="B42" s="110" t="s">
        <v>553</v>
      </c>
      <c r="C42" s="229"/>
      <c r="D42" s="230"/>
      <c r="E42" s="230"/>
      <c r="F42" s="230"/>
      <c r="G42" s="230">
        <f t="shared" si="0"/>
        <v>0</v>
      </c>
      <c r="H42" s="233">
        <f t="shared" si="1"/>
        <v>259</v>
      </c>
      <c r="I42" s="309">
        <f>IF(T_T13411121314151617181920212223242526272829303132333536373839404142434445[[#This Row],[Total]]&lt;0,T_T13411121314151617181920212223242526272829303132333536373839404142434445[[#This Row],[Total]]*-1,0)</f>
        <v>0</v>
      </c>
      <c r="J42" s="427"/>
    </row>
    <row r="43" spans="1:10" x14ac:dyDescent="0.3">
      <c r="A43" s="107"/>
      <c r="B43" s="82"/>
      <c r="C43" s="229"/>
      <c r="D43" s="230"/>
      <c r="E43" s="230"/>
      <c r="F43" s="230"/>
      <c r="G43" s="230">
        <f t="shared" si="0"/>
        <v>0</v>
      </c>
      <c r="H43" s="233">
        <f t="shared" si="1"/>
        <v>259</v>
      </c>
      <c r="I43" s="309">
        <f>IF(T_T13411121314151617181920212223242526272829303132333536373839404142434445[[#This Row],[Total]]&lt;0,T_T13411121314151617181920212223242526272829303132333536373839404142434445[[#This Row],[Total]]*-1,0)</f>
        <v>0</v>
      </c>
      <c r="J43" s="427"/>
    </row>
    <row r="44" spans="1:10" x14ac:dyDescent="0.3">
      <c r="A44" s="107"/>
      <c r="B44" s="82"/>
      <c r="C44" s="229"/>
      <c r="D44" s="230"/>
      <c r="E44" s="230"/>
      <c r="F44" s="230"/>
      <c r="G44" s="230">
        <f t="shared" si="0"/>
        <v>0</v>
      </c>
      <c r="H44" s="233">
        <f t="shared" si="1"/>
        <v>259</v>
      </c>
      <c r="I44" s="309">
        <f>IF(T_T13411121314151617181920212223242526272829303132333536373839404142434445[[#This Row],[Total]]&lt;0,T_T13411121314151617181920212223242526272829303132333536373839404142434445[[#This Row],[Total]]*-1,0)</f>
        <v>0</v>
      </c>
      <c r="J44" s="427"/>
    </row>
    <row r="45" spans="1:10" x14ac:dyDescent="0.3">
      <c r="A45" s="170"/>
      <c r="B45" s="18"/>
      <c r="C45" s="229"/>
      <c r="D45" s="230"/>
      <c r="E45" s="230"/>
      <c r="F45" s="230"/>
      <c r="G45" s="230">
        <f>SUM(D45:F52)</f>
        <v>0</v>
      </c>
      <c r="H45" s="233">
        <f t="shared" si="1"/>
        <v>259</v>
      </c>
      <c r="I45" s="353">
        <f>IF(T_T13411121314151617181920212223242526272829303132333536373839404142434445[[#This Row],[Total]]&lt;0,T_T13411121314151617181920212223242526272829303132333536373839404142434445[[#This Row],[Total]]*-1,0)</f>
        <v>0</v>
      </c>
      <c r="J45" s="427"/>
    </row>
    <row r="46" spans="1:10" x14ac:dyDescent="0.3">
      <c r="A46" s="107"/>
      <c r="B46" s="82"/>
      <c r="C46" s="229"/>
      <c r="D46" s="230"/>
      <c r="E46" s="230"/>
      <c r="F46" s="230"/>
      <c r="G46" s="230">
        <f>SUM(D46:F53)</f>
        <v>0</v>
      </c>
      <c r="H46" s="233">
        <f t="shared" si="1"/>
        <v>259</v>
      </c>
      <c r="I46" s="353">
        <f>IF(T_T13411121314151617181920212223242526272829303132333536373839404142434445[[#This Row],[Total]]&lt;0,T_T13411121314151617181920212223242526272829303132333536373839404142434445[[#This Row],[Total]]*-1,0)</f>
        <v>0</v>
      </c>
      <c r="J46" s="446"/>
    </row>
    <row r="47" spans="1:10" x14ac:dyDescent="0.3">
      <c r="A47" s="17"/>
      <c r="B47" s="18"/>
      <c r="C47" s="610"/>
      <c r="D47" s="611"/>
      <c r="E47" s="611"/>
      <c r="F47" s="611"/>
      <c r="G47" s="611"/>
      <c r="H47" s="612"/>
      <c r="I47" s="613"/>
      <c r="J47" s="614"/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orientation="portrait" verticalDpi="360" r:id="rId2"/>
  <drawing r:id="rId3"/>
  <tableParts count="1">
    <tablePart r:id="rId4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N60"/>
  <sheetViews>
    <sheetView showGridLines="0" zoomScale="98" zoomScaleNormal="98" workbookViewId="0">
      <selection activeCell="D25" sqref="D25"/>
    </sheetView>
  </sheetViews>
  <sheetFormatPr baseColWidth="10" defaultColWidth="9.109375" defaultRowHeight="14.4" x14ac:dyDescent="0.3"/>
  <cols>
    <col min="1" max="1" width="13" customWidth="1"/>
    <col min="2" max="2" width="34.109375" customWidth="1"/>
    <col min="3" max="3" width="11.5546875" style="4" customWidth="1"/>
    <col min="4" max="4" width="12.109375" style="1" customWidth="1"/>
    <col min="5" max="5" width="10.33203125" style="1" customWidth="1"/>
    <col min="6" max="6" width="8.109375" style="1" customWidth="1"/>
    <col min="7" max="7" width="11.109375" style="1" customWidth="1"/>
    <col min="8" max="8" width="12.44140625" style="1" customWidth="1"/>
    <col min="9" max="9" width="12.88671875" hidden="1" customWidth="1"/>
    <col min="10" max="10" width="11.33203125" customWidth="1"/>
    <col min="11" max="11" width="4.5546875" customWidth="1"/>
    <col min="14" max="14" width="10.6640625" bestFit="1" customWidth="1"/>
    <col min="15" max="15" width="15.5546875" customWidth="1"/>
  </cols>
  <sheetData>
    <row r="2" spans="1:14" ht="15.6" x14ac:dyDescent="0.3">
      <c r="A2" s="27" t="s">
        <v>36</v>
      </c>
      <c r="B2" s="41" t="s">
        <v>94</v>
      </c>
    </row>
    <row r="3" spans="1:14" x14ac:dyDescent="0.3">
      <c r="A3" s="27" t="s">
        <v>31</v>
      </c>
      <c r="B3" s="21" t="s">
        <v>237</v>
      </c>
    </row>
    <row r="4" spans="1:14" hidden="1" x14ac:dyDescent="0.3">
      <c r="A4" s="27"/>
      <c r="B4" s="21"/>
    </row>
    <row r="5" spans="1:14" hidden="1" x14ac:dyDescent="0.3">
      <c r="A5" s="27"/>
      <c r="B5" s="21"/>
    </row>
    <row r="6" spans="1:14" hidden="1" x14ac:dyDescent="0.3">
      <c r="A6" s="27"/>
      <c r="B6" s="21"/>
    </row>
    <row r="7" spans="1:14" hidden="1" x14ac:dyDescent="0.3">
      <c r="A7" s="27"/>
      <c r="B7" s="21"/>
    </row>
    <row r="8" spans="1:14" x14ac:dyDescent="0.3">
      <c r="A8" s="21"/>
      <c r="B8" s="21"/>
    </row>
    <row r="9" spans="1:14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204" t="s">
        <v>28</v>
      </c>
      <c r="I9" s="205" t="s">
        <v>49</v>
      </c>
      <c r="J9" s="206" t="s">
        <v>188</v>
      </c>
      <c r="K9" s="242" t="s">
        <v>191</v>
      </c>
      <c r="L9" s="242" t="s">
        <v>262</v>
      </c>
    </row>
    <row r="10" spans="1:14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/>
      <c r="J10" s="104"/>
      <c r="K10" s="232"/>
      <c r="L10" s="232"/>
      <c r="N10" s="178"/>
    </row>
    <row r="11" spans="1:14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IF(T_T1341112131415161718192021222324252627282930313233353637383940414243444546[[#This Row],[Total]]&lt;0,T_T1341112131415161718192021222324252627282930313233353637383940414243444546[[#This Row],[Total]]*-1,0)</f>
        <v>0</v>
      </c>
      <c r="J11" s="260"/>
      <c r="K11" s="232"/>
      <c r="L11" s="232"/>
    </row>
    <row r="12" spans="1:14" x14ac:dyDescent="0.3">
      <c r="A12" s="361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IF(T_T1341112131415161718192021222324252627282930313233353637383940414243444546[[#This Row],[Total]]&lt;0,T_T1341112131415161718192021222324252627282930313233353637383940414243444546[[#This Row],[Total]]*-1,0)</f>
        <v>0</v>
      </c>
      <c r="J12" s="436"/>
      <c r="K12" s="419"/>
      <c r="L12" s="419"/>
    </row>
    <row r="13" spans="1:14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IF(T_T1341112131415161718192021222324252627282930313233353637383940414243444546[[#This Row],[Total]]&lt;0,T_T1341112131415161718192021222324252627282930313233353637383940414243444546[[#This Row],[Total]]*-1,0)</f>
        <v>0</v>
      </c>
      <c r="J13" s="260"/>
      <c r="K13" s="232"/>
      <c r="L13" s="232"/>
    </row>
    <row r="14" spans="1:14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IF(T_T1341112131415161718192021222324252627282930313233353637383940414243444546[[#This Row],[Total]]&lt;0,T_T1341112131415161718192021222324252627282930313233353637383940414243444546[[#This Row],[Total]]*-1,0)</f>
        <v>0</v>
      </c>
      <c r="J14" s="490"/>
      <c r="K14" s="485"/>
      <c r="L14" s="485"/>
    </row>
    <row r="15" spans="1:14" x14ac:dyDescent="0.3">
      <c r="A15" s="17">
        <v>46052</v>
      </c>
      <c r="B15" s="18" t="s">
        <v>590</v>
      </c>
      <c r="C15" s="6"/>
      <c r="D15" s="2">
        <v>207</v>
      </c>
      <c r="E15" s="2">
        <v>18</v>
      </c>
      <c r="F15" s="20"/>
      <c r="G15" s="20">
        <f>SUM(D15:F15)</f>
        <v>225</v>
      </c>
      <c r="H15" s="233">
        <f>+H13+T_T1341112131415161718192021222324252627282930313233353637383940414243444546[[#This Row],[Total]]</f>
        <v>225</v>
      </c>
      <c r="I15" s="240">
        <f>IF(T_T1341112131415161718192021222324252627282930313233353637383940414243444546[[#This Row],[Total]]&lt;0,T_T1341112131415161718192021222324252627282930313233353637383940414243444546[[#This Row],[Total]]*-1,0)</f>
        <v>0</v>
      </c>
      <c r="J15" s="260"/>
      <c r="K15" s="232"/>
      <c r="L15" s="232"/>
    </row>
    <row r="16" spans="1:14" x14ac:dyDescent="0.3">
      <c r="A16" s="17"/>
      <c r="B16" s="18" t="s">
        <v>591</v>
      </c>
      <c r="C16" s="6"/>
      <c r="D16" s="2"/>
      <c r="E16" s="2"/>
      <c r="F16" s="230"/>
      <c r="G16" s="230">
        <f t="shared" ref="G16:G42" si="0">SUM(D16:F16)</f>
        <v>0</v>
      </c>
      <c r="H16" s="233">
        <f t="shared" ref="H16:H44" si="1">H15+G16</f>
        <v>225</v>
      </c>
      <c r="I16" s="240">
        <f>IF(T_T1341112131415161718192021222324252627282930313233353637383940414243444546[[#This Row],[Total]]&lt;0,T_T1341112131415161718192021222324252627282930313233353637383940414243444546[[#This Row],[Total]]*-1,0)</f>
        <v>0</v>
      </c>
      <c r="J16" s="260"/>
      <c r="K16" s="232"/>
      <c r="L16" s="232"/>
    </row>
    <row r="17" spans="1:14" x14ac:dyDescent="0.3">
      <c r="A17" s="164">
        <v>46081</v>
      </c>
      <c r="B17" s="161" t="s">
        <v>592</v>
      </c>
      <c r="C17" s="6"/>
      <c r="D17" s="2">
        <v>207</v>
      </c>
      <c r="E17" s="2">
        <v>32</v>
      </c>
      <c r="F17" s="230"/>
      <c r="G17" s="230">
        <f t="shared" si="0"/>
        <v>239</v>
      </c>
      <c r="H17" s="233">
        <f t="shared" si="1"/>
        <v>464</v>
      </c>
      <c r="I17" s="240">
        <f>IF(T_T1341112131415161718192021222324252627282930313233353637383940414243444546[[#This Row],[Total]]&lt;0,T_T1341112131415161718192021222324252627282930313233353637383940414243444546[[#This Row],[Total]]*-1,0)</f>
        <v>0</v>
      </c>
      <c r="J17" s="260"/>
      <c r="K17" s="232"/>
      <c r="L17" s="232"/>
    </row>
    <row r="18" spans="1:14" x14ac:dyDescent="0.3">
      <c r="A18" s="187"/>
      <c r="B18" s="18" t="s">
        <v>593</v>
      </c>
      <c r="C18" s="6"/>
      <c r="D18" s="2"/>
      <c r="E18" s="2"/>
      <c r="F18" s="230"/>
      <c r="G18" s="230">
        <f t="shared" si="0"/>
        <v>0</v>
      </c>
      <c r="H18" s="233">
        <f t="shared" si="1"/>
        <v>464</v>
      </c>
      <c r="I18" s="240">
        <f>IF(T_T1341112131415161718192021222324252627282930313233353637383940414243444546[[#This Row],[Total]]&lt;0,T_T1341112131415161718192021222324252627282930313233353637383940414243444546[[#This Row],[Total]]*-1,0)</f>
        <v>0</v>
      </c>
      <c r="J18" s="260"/>
      <c r="K18" s="232"/>
      <c r="L18" s="232"/>
    </row>
    <row r="19" spans="1:14" x14ac:dyDescent="0.3">
      <c r="A19" s="188">
        <v>45747</v>
      </c>
      <c r="B19" s="3" t="s">
        <v>534</v>
      </c>
      <c r="C19" s="6"/>
      <c r="D19" s="2">
        <v>247</v>
      </c>
      <c r="E19" s="2">
        <v>37</v>
      </c>
      <c r="F19" s="230"/>
      <c r="G19" s="230">
        <f t="shared" si="0"/>
        <v>284</v>
      </c>
      <c r="H19" s="233">
        <f t="shared" si="1"/>
        <v>748</v>
      </c>
      <c r="I19" s="240">
        <f>IF(T_T1341112131415161718192021222324252627282930313233353637383940414243444546[[#This Row],[Total]]&lt;0,T_T1341112131415161718192021222324252627282930313233353637383940414243444546[[#This Row],[Total]]*-1,0)</f>
        <v>0</v>
      </c>
      <c r="J19" s="260"/>
      <c r="K19" s="232"/>
      <c r="L19" s="232"/>
    </row>
    <row r="20" spans="1:14" x14ac:dyDescent="0.3">
      <c r="A20" s="188"/>
      <c r="B20" s="82" t="s">
        <v>535</v>
      </c>
      <c r="C20" s="6"/>
      <c r="D20" s="2"/>
      <c r="E20" s="2"/>
      <c r="F20" s="230"/>
      <c r="G20" s="230">
        <f t="shared" si="0"/>
        <v>0</v>
      </c>
      <c r="H20" s="233">
        <f t="shared" si="1"/>
        <v>748</v>
      </c>
      <c r="I20" s="240">
        <f>IF(T_T1341112131415161718192021222324252627282930313233353637383940414243444546[[#This Row],[Total]]&lt;0,T_T1341112131415161718192021222324252627282930313233353637383940414243444546[[#This Row],[Total]]*-1,0)</f>
        <v>0</v>
      </c>
      <c r="J20" s="260"/>
      <c r="K20" s="232"/>
      <c r="L20" s="232"/>
    </row>
    <row r="21" spans="1:14" x14ac:dyDescent="0.3">
      <c r="A21" s="188">
        <v>45777</v>
      </c>
      <c r="B21" s="3" t="s">
        <v>536</v>
      </c>
      <c r="C21" s="6"/>
      <c r="D21" s="2">
        <v>247</v>
      </c>
      <c r="E21" s="2">
        <v>52</v>
      </c>
      <c r="F21" s="230"/>
      <c r="G21" s="230">
        <f t="shared" si="0"/>
        <v>299</v>
      </c>
      <c r="H21" s="233">
        <f t="shared" si="1"/>
        <v>1047</v>
      </c>
      <c r="I21" s="309">
        <f>IF(T_T1341112131415161718192021222324252627282930313233353637383940414243444546[[#This Row],[Total]]&lt;0,T_T1341112131415161718192021222324252627282930313233353637383940414243444546[[#This Row],[Total]]*-1,0)</f>
        <v>0</v>
      </c>
      <c r="J21" s="326"/>
      <c r="K21" s="313"/>
      <c r="L21" s="313"/>
    </row>
    <row r="22" spans="1:14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1047</v>
      </c>
      <c r="I22" s="309">
        <f>IF(T_T1341112131415161718192021222324252627282930313233353637383940414243444546[[#This Row],[Total]]&lt;0,T_T1341112131415161718192021222324252627282930313233353637383940414243444546[[#This Row],[Total]]*-1,0)</f>
        <v>0</v>
      </c>
      <c r="J22" s="326"/>
      <c r="K22" s="313"/>
      <c r="L22" s="313"/>
    </row>
    <row r="23" spans="1:14" x14ac:dyDescent="0.3">
      <c r="A23" s="40">
        <v>45807</v>
      </c>
      <c r="B23" s="3" t="s">
        <v>538</v>
      </c>
      <c r="C23" s="229"/>
      <c r="D23" s="230">
        <v>247</v>
      </c>
      <c r="E23" s="230">
        <v>48</v>
      </c>
      <c r="F23" s="230"/>
      <c r="G23" s="230">
        <f t="shared" si="0"/>
        <v>295</v>
      </c>
      <c r="H23" s="233">
        <f t="shared" si="1"/>
        <v>1342</v>
      </c>
      <c r="I23" s="309">
        <f>IF(T_T1341112131415161718192021222324252627282930313233353637383940414243444546[[#This Row],[Total]]&lt;0,T_T1341112131415161718192021222324252627282930313233353637383940414243444546[[#This Row],[Total]]*-1,0)</f>
        <v>0</v>
      </c>
      <c r="J23" s="326"/>
      <c r="K23" s="313"/>
      <c r="L23" s="313"/>
    </row>
    <row r="24" spans="1:14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1342</v>
      </c>
      <c r="I24" s="309">
        <f>IF(T_T1341112131415161718192021222324252627282930313233353637383940414243444546[[#This Row],[Total]]&lt;0,T_T1341112131415161718192021222324252627282930313233353637383940414243444546[[#This Row],[Total]]*-1,0)</f>
        <v>0</v>
      </c>
      <c r="J24" s="326"/>
      <c r="K24" s="313"/>
      <c r="L24" s="313"/>
    </row>
    <row r="25" spans="1:14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1342</v>
      </c>
      <c r="I25" s="309">
        <f>IF(T_T1341112131415161718192021222324252627282930313233353637383940414243444546[[#This Row],[Total]]&lt;0,T_T1341112131415161718192021222324252627282930313233353637383940414243444546[[#This Row],[Total]]*-1,0)</f>
        <v>0</v>
      </c>
      <c r="J25" s="326"/>
      <c r="K25" s="313"/>
      <c r="L25" s="313"/>
    </row>
    <row r="26" spans="1:14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1342</v>
      </c>
      <c r="I26" s="309">
        <f>IF(T_T1341112131415161718192021222324252627282930313233353637383940414243444546[[#This Row],[Total]]&lt;0,T_T1341112131415161718192021222324252627282930313233353637383940414243444546[[#This Row],[Total]]*-1,0)</f>
        <v>0</v>
      </c>
      <c r="J26" s="326"/>
      <c r="K26" s="313"/>
      <c r="L26" s="313"/>
    </row>
    <row r="27" spans="1:14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1342</v>
      </c>
      <c r="I27" s="309">
        <f>IF(T_T1341112131415161718192021222324252627282930313233353637383940414243444546[[#This Row],[Total]]&lt;0,T_T1341112131415161718192021222324252627282930313233353637383940414243444546[[#This Row],[Total]]*-1,0)</f>
        <v>0</v>
      </c>
      <c r="J27" s="326"/>
      <c r="K27" s="313"/>
      <c r="L27" s="313"/>
    </row>
    <row r="28" spans="1:14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1342</v>
      </c>
      <c r="I28" s="309">
        <f>IF(T_T1341112131415161718192021222324252627282930313233353637383940414243444546[[#This Row],[Total]]&lt;0,T_T1341112131415161718192021222324252627282930313233353637383940414243444546[[#This Row],[Total]]*-1,0)</f>
        <v>0</v>
      </c>
      <c r="J28" s="326"/>
      <c r="K28" s="313"/>
      <c r="L28" s="313"/>
    </row>
    <row r="29" spans="1:14" x14ac:dyDescent="0.3">
      <c r="A29" s="107">
        <v>45899</v>
      </c>
      <c r="B29" s="82" t="s">
        <v>544</v>
      </c>
      <c r="C29" s="443"/>
      <c r="D29" s="444"/>
      <c r="E29" s="444"/>
      <c r="F29" s="444"/>
      <c r="G29" s="230">
        <f t="shared" si="0"/>
        <v>0</v>
      </c>
      <c r="H29" s="233">
        <f t="shared" si="1"/>
        <v>1342</v>
      </c>
      <c r="I29" s="430">
        <f>IF(T_T1341112131415161718192021222324252627282930313233353637383940414243444546[[#This Row],[Total]]&lt;0,T_T1341112131415161718192021222324252627282930313233353637383940414243444546[[#This Row],[Total]]*-1,0)</f>
        <v>0</v>
      </c>
      <c r="J29" s="436"/>
      <c r="K29" s="419"/>
      <c r="L29" s="419"/>
      <c r="N29" t="s">
        <v>493</v>
      </c>
    </row>
    <row r="30" spans="1:14" x14ac:dyDescent="0.3">
      <c r="A30" s="107"/>
      <c r="B30" s="82" t="s">
        <v>545</v>
      </c>
      <c r="C30" s="443"/>
      <c r="D30" s="444"/>
      <c r="E30" s="444"/>
      <c r="F30" s="444"/>
      <c r="G30" s="230">
        <f t="shared" si="0"/>
        <v>0</v>
      </c>
      <c r="H30" s="233">
        <f t="shared" si="1"/>
        <v>1342</v>
      </c>
      <c r="I30" s="430">
        <f>IF(T_T1341112131415161718192021222324252627282930313233353637383940414243444546[[#This Row],[Total]]&lt;0,T_T1341112131415161718192021222324252627282930313233353637383940414243444546[[#This Row],[Total]]*-1,0)</f>
        <v>0</v>
      </c>
      <c r="J30" s="436"/>
      <c r="K30" s="419"/>
      <c r="L30" s="419"/>
    </row>
    <row r="31" spans="1:14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1342</v>
      </c>
      <c r="I31" s="309">
        <f>IF(T_T1341112131415161718192021222324252627282930313233353637383940414243444546[[#This Row],[Total]]&lt;0,T_T1341112131415161718192021222324252627282930313233353637383940414243444546[[#This Row],[Total]]*-1,0)</f>
        <v>0</v>
      </c>
      <c r="J31" s="326"/>
      <c r="K31" s="313"/>
      <c r="L31" s="313"/>
    </row>
    <row r="32" spans="1:14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1342</v>
      </c>
      <c r="I32" s="309">
        <f>IF(T_T1341112131415161718192021222324252627282930313233353637383940414243444546[[#This Row],[Total]]&lt;0,T_T1341112131415161718192021222324252627282930313233353637383940414243444546[[#This Row],[Total]]*-1,0)</f>
        <v>0</v>
      </c>
      <c r="J32" s="326"/>
      <c r="K32" s="313"/>
      <c r="L32" s="313"/>
    </row>
    <row r="33" spans="1:12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1342</v>
      </c>
      <c r="I33" s="309">
        <f>IF(T_T1341112131415161718192021222324252627282930313233353637383940414243444546[[#This Row],[Total]]&lt;0,T_T1341112131415161718192021222324252627282930313233353637383940414243444546[[#This Row],[Total]]*-1,0)</f>
        <v>0</v>
      </c>
      <c r="J33" s="326"/>
      <c r="K33" s="313"/>
      <c r="L33" s="313"/>
    </row>
    <row r="34" spans="1:12" x14ac:dyDescent="0.3">
      <c r="A34" s="9"/>
      <c r="B34" s="3" t="s">
        <v>549</v>
      </c>
      <c r="C34" s="6"/>
      <c r="D34" s="230"/>
      <c r="E34" s="230"/>
      <c r="F34" s="230"/>
      <c r="G34" s="230">
        <f t="shared" si="0"/>
        <v>0</v>
      </c>
      <c r="H34" s="233">
        <f t="shared" si="1"/>
        <v>1342</v>
      </c>
      <c r="I34" s="309">
        <f>IF(T_T1341112131415161718192021222324252627282930313233353637383940414243444546[[#This Row],[Total]]&lt;0,T_T1341112131415161718192021222324252627282930313233353637383940414243444546[[#This Row],[Total]]*-1,0)</f>
        <v>0</v>
      </c>
      <c r="J34" s="326"/>
      <c r="K34" s="313"/>
      <c r="L34" s="313"/>
    </row>
    <row r="35" spans="1:12" x14ac:dyDescent="0.3">
      <c r="A35" s="9">
        <v>45991</v>
      </c>
      <c r="B35" s="3" t="s">
        <v>550</v>
      </c>
      <c r="C35" s="376"/>
      <c r="D35" s="377"/>
      <c r="E35" s="377"/>
      <c r="F35" s="377"/>
      <c r="G35" s="230">
        <f t="shared" si="0"/>
        <v>0</v>
      </c>
      <c r="H35" s="233">
        <f t="shared" si="1"/>
        <v>1342</v>
      </c>
      <c r="I35" s="353">
        <f>IF(T_T1341112131415161718192021222324252627282930313233353637383940414243444546[[#This Row],[Total]]&lt;0,T_T1341112131415161718192021222324252627282930313233353637383940414243444546[[#This Row],[Total]]*-1,0)</f>
        <v>0</v>
      </c>
      <c r="J35" s="360"/>
      <c r="K35" s="354"/>
      <c r="L35" s="354"/>
    </row>
    <row r="36" spans="1:12" x14ac:dyDescent="0.3">
      <c r="A36" s="17"/>
      <c r="B36" s="18" t="s">
        <v>551</v>
      </c>
      <c r="C36" s="376"/>
      <c r="D36" s="377"/>
      <c r="E36" s="377"/>
      <c r="F36" s="377"/>
      <c r="G36" s="230">
        <f t="shared" si="0"/>
        <v>0</v>
      </c>
      <c r="H36" s="233">
        <f t="shared" si="1"/>
        <v>1342</v>
      </c>
      <c r="I36" s="353">
        <f>IF(T_T1341112131415161718192021222324252627282930313233353637383940414243444546[[#This Row],[Total]]&lt;0,T_T1341112131415161718192021222324252627282930313233353637383940414243444546[[#This Row],[Total]]*-1,0)</f>
        <v>0</v>
      </c>
      <c r="J36" s="360"/>
      <c r="K36" s="354"/>
      <c r="L36" s="354"/>
    </row>
    <row r="37" spans="1:12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1342</v>
      </c>
      <c r="I37" s="309">
        <f>IF(T_T1341112131415161718192021222324252627282930313233353637383940414243444546[[#This Row],[Total]]&lt;0,T_T1341112131415161718192021222324252627282930313233353637383940414243444546[[#This Row],[Total]]*-1,0)</f>
        <v>0</v>
      </c>
      <c r="J37" s="326"/>
      <c r="K37" s="313"/>
      <c r="L37" s="313"/>
    </row>
    <row r="38" spans="1:12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1342</v>
      </c>
      <c r="I38" s="309">
        <f>IF(T_T1341112131415161718192021222324252627282930313233353637383940414243444546[[#This Row],[Total]]&lt;0,T_T1341112131415161718192021222324252627282930313233353637383940414243444546[[#This Row],[Total]]*-1,0)</f>
        <v>0</v>
      </c>
      <c r="J38" s="326"/>
      <c r="K38" s="313"/>
      <c r="L38" s="313"/>
    </row>
    <row r="39" spans="1:12" x14ac:dyDescent="0.3">
      <c r="A39" s="107"/>
      <c r="B39" s="82"/>
      <c r="C39" s="229"/>
      <c r="D39" s="230"/>
      <c r="E39" s="230"/>
      <c r="F39" s="230"/>
      <c r="G39" s="230">
        <f t="shared" si="0"/>
        <v>0</v>
      </c>
      <c r="H39" s="233">
        <f t="shared" si="1"/>
        <v>1342</v>
      </c>
      <c r="I39" s="309">
        <f>IF(T_T1341112131415161718192021222324252627282930313233353637383940414243444546[[#This Row],[Total]]&lt;0,T_T1341112131415161718192021222324252627282930313233353637383940414243444546[[#This Row],[Total]]*-1,0)</f>
        <v>0</v>
      </c>
      <c r="J39" s="326"/>
      <c r="K39" s="313"/>
      <c r="L39" s="313"/>
    </row>
    <row r="40" spans="1:12" x14ac:dyDescent="0.3">
      <c r="A40" s="107"/>
      <c r="B40" s="82"/>
      <c r="C40" s="229"/>
      <c r="D40" s="230"/>
      <c r="E40" s="230"/>
      <c r="F40" s="230"/>
      <c r="G40" s="230">
        <f t="shared" si="0"/>
        <v>0</v>
      </c>
      <c r="H40" s="233">
        <f t="shared" si="1"/>
        <v>1342</v>
      </c>
      <c r="I40" s="309">
        <f>IF(T_T1341112131415161718192021222324252627282930313233353637383940414243444546[[#This Row],[Total]]&lt;0,T_T1341112131415161718192021222324252627282930313233353637383940414243444546[[#This Row],[Total]]*-1,0)</f>
        <v>0</v>
      </c>
      <c r="J40" s="326"/>
      <c r="K40" s="313"/>
      <c r="L40" s="313"/>
    </row>
    <row r="41" spans="1:12" x14ac:dyDescent="0.3">
      <c r="A41" s="170"/>
      <c r="B41" s="18"/>
      <c r="C41" s="229"/>
      <c r="D41" s="230"/>
      <c r="E41" s="230"/>
      <c r="F41" s="230"/>
      <c r="G41" s="230">
        <f t="shared" si="0"/>
        <v>0</v>
      </c>
      <c r="H41" s="233">
        <f t="shared" si="1"/>
        <v>1342</v>
      </c>
      <c r="I41" s="309">
        <f>IF(T_T1341112131415161718192021222324252627282930313233353637383940414243444546[[#This Row],[Total]]&lt;0,T_T1341112131415161718192021222324252627282930313233353637383940414243444546[[#This Row],[Total]]*-1,0)</f>
        <v>0</v>
      </c>
      <c r="J41" s="326"/>
      <c r="K41" s="313"/>
      <c r="L41" s="313"/>
    </row>
    <row r="42" spans="1:12" x14ac:dyDescent="0.3">
      <c r="A42" s="257"/>
      <c r="B42" s="110"/>
      <c r="C42" s="229"/>
      <c r="D42" s="230"/>
      <c r="E42" s="230"/>
      <c r="F42" s="230"/>
      <c r="G42" s="230">
        <f t="shared" si="0"/>
        <v>0</v>
      </c>
      <c r="H42" s="233">
        <f t="shared" si="1"/>
        <v>1342</v>
      </c>
      <c r="I42" s="353">
        <f>IF(T_T1341112131415161718192021222324252627282930313233353637383940414243444546[[#This Row],[Total]]&lt;0,T_T1341112131415161718192021222324252627282930313233353637383940414243444546[[#This Row],[Total]]*-1,0)</f>
        <v>0</v>
      </c>
      <c r="J42" s="360"/>
      <c r="K42" s="354"/>
      <c r="L42" s="354"/>
    </row>
    <row r="43" spans="1:12" x14ac:dyDescent="0.3">
      <c r="A43" s="107"/>
      <c r="B43" s="82"/>
      <c r="C43" s="229"/>
      <c r="D43" s="230"/>
      <c r="E43" s="230"/>
      <c r="F43" s="230"/>
      <c r="G43" s="230">
        <f>SUM(D43:F50)</f>
        <v>0</v>
      </c>
      <c r="H43" s="233">
        <f t="shared" si="1"/>
        <v>1342</v>
      </c>
      <c r="I43" s="353">
        <f>IF(T_T1341112131415161718192021222324252627282930313233353637383940414243444546[[#This Row],[Total]]&lt;0,T_T1341112131415161718192021222324252627282930313233353637383940414243444546[[#This Row],[Total]]*-1,0)</f>
        <v>0</v>
      </c>
      <c r="J43" s="360"/>
      <c r="K43" s="354"/>
      <c r="L43" s="354"/>
    </row>
    <row r="44" spans="1:12" x14ac:dyDescent="0.3">
      <c r="A44" s="107"/>
      <c r="B44" s="82"/>
      <c r="C44" s="229"/>
      <c r="D44" s="230"/>
      <c r="E44" s="230"/>
      <c r="F44" s="230"/>
      <c r="G44" s="230">
        <f>SUM(D44:F51)</f>
        <v>0</v>
      </c>
      <c r="H44" s="233">
        <f t="shared" si="1"/>
        <v>1342</v>
      </c>
      <c r="I44" s="353">
        <f>IF(T_T1341112131415161718192021222324252627282930313233353637383940414243444546[[#This Row],[Total]]&lt;0,T_T1341112131415161718192021222324252627282930313233353637383940414243444546[[#This Row],[Total]]*-1,0)</f>
        <v>0</v>
      </c>
      <c r="J44" s="360"/>
      <c r="K44" s="354"/>
      <c r="L44" s="354"/>
    </row>
    <row r="45" spans="1:12" x14ac:dyDescent="0.3">
      <c r="A45" s="17"/>
      <c r="B45" s="18"/>
      <c r="C45" s="466"/>
      <c r="D45" s="467"/>
      <c r="E45" s="467"/>
      <c r="F45" s="467"/>
      <c r="G45" s="467"/>
      <c r="H45" s="468"/>
      <c r="I45" s="469"/>
      <c r="J45" s="470"/>
      <c r="K45" s="76"/>
      <c r="L45" s="76"/>
    </row>
    <row r="47" spans="1:12" x14ac:dyDescent="0.3">
      <c r="G47" s="71"/>
    </row>
    <row r="60" spans="7:7" x14ac:dyDescent="0.3">
      <c r="G60" s="1">
        <f>+D47+E47</f>
        <v>0</v>
      </c>
    </row>
  </sheetData>
  <pageMargins left="0.35433070866141736" right="0.78740157480314965" top="0.37" bottom="0.31" header="0.31496062992125984" footer="0.31496062992125984"/>
  <pageSetup scale="60" orientation="portrait" verticalDpi="360"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M44"/>
  <sheetViews>
    <sheetView showGridLines="0" topLeftCell="A2" zoomScaleNormal="100" workbookViewId="0">
      <selection activeCell="E26" sqref="E26"/>
    </sheetView>
  </sheetViews>
  <sheetFormatPr baseColWidth="10" defaultColWidth="9.109375" defaultRowHeight="14.4" x14ac:dyDescent="0.3"/>
  <cols>
    <col min="1" max="1" width="12.88671875" customWidth="1"/>
    <col min="2" max="2" width="33.5546875" customWidth="1"/>
    <col min="3" max="3" width="10.5546875" style="4" customWidth="1"/>
    <col min="4" max="4" width="11.6640625" style="1" customWidth="1"/>
    <col min="5" max="5" width="9.109375" style="1" customWidth="1"/>
    <col min="6" max="6" width="7" style="1" customWidth="1"/>
    <col min="7" max="7" width="10.88671875" style="1" customWidth="1"/>
    <col min="8" max="8" width="12.44140625" style="1" customWidth="1"/>
    <col min="9" max="9" width="12.88671875" hidden="1" customWidth="1"/>
    <col min="10" max="10" width="3.6640625" customWidth="1"/>
    <col min="12" max="12" width="13.109375" customWidth="1"/>
  </cols>
  <sheetData>
    <row r="2" spans="1:13" ht="12.75" customHeight="1" x14ac:dyDescent="0.3">
      <c r="A2" s="27" t="s">
        <v>36</v>
      </c>
      <c r="B2" s="41" t="s">
        <v>95</v>
      </c>
    </row>
    <row r="3" spans="1:13" hidden="1" x14ac:dyDescent="0.3">
      <c r="A3" s="27" t="s">
        <v>31</v>
      </c>
      <c r="B3" s="28" t="e">
        <f>LOOKUP(B2,#REF!,#REF!)</f>
        <v>#REF!</v>
      </c>
    </row>
    <row r="4" spans="1:13" hidden="1" x14ac:dyDescent="0.3">
      <c r="A4" s="27" t="s">
        <v>32</v>
      </c>
      <c r="B4" s="28" t="e">
        <f>LOOKUP(B2,#REF!,#REF!)</f>
        <v>#REF!</v>
      </c>
    </row>
    <row r="5" spans="1:13" hidden="1" x14ac:dyDescent="0.3">
      <c r="A5" s="27" t="s">
        <v>33</v>
      </c>
      <c r="B5" s="28" t="e">
        <f>LOOKUP(B2,#REF!,#REF!)</f>
        <v>#REF!</v>
      </c>
    </row>
    <row r="6" spans="1:13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3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3" x14ac:dyDescent="0.3">
      <c r="A8" s="21"/>
      <c r="B8" s="21" t="s">
        <v>642</v>
      </c>
    </row>
    <row r="9" spans="1:13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75" t="s">
        <v>188</v>
      </c>
      <c r="K9" s="242" t="s">
        <v>191</v>
      </c>
    </row>
    <row r="10" spans="1:13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/>
      <c r="J10" s="51"/>
      <c r="K10" s="232"/>
    </row>
    <row r="11" spans="1:13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6">
        <f>IF(T_T134111213141516171819202122232425262728293031323335363738394041424344454647[[#This Row],[Total]]&lt;0,T_T134111213141516171819202122232425262728293031323335363738394041424344454647[[#This Row],[Total]]*-1,0)</f>
        <v>0</v>
      </c>
      <c r="J11" s="51"/>
      <c r="K11" s="232"/>
    </row>
    <row r="12" spans="1:13" x14ac:dyDescent="0.3">
      <c r="A12" s="432"/>
      <c r="B12" s="118" t="s">
        <v>467</v>
      </c>
      <c r="C12" s="424"/>
      <c r="D12" s="425"/>
      <c r="E12" s="425"/>
      <c r="F12" s="425"/>
      <c r="G12" s="425"/>
      <c r="H12" s="426">
        <v>0</v>
      </c>
      <c r="I12" s="427">
        <f>IF(T_T134111213141516171819202122232425262728293031323335363738394041424344454647[[#This Row],[Total]]&lt;0,T_T134111213141516171819202122232425262728293031323335363738394041424344454647[[#This Row],[Total]]*-1,0)</f>
        <v>0</v>
      </c>
      <c r="J12" s="430"/>
      <c r="K12" s="419"/>
    </row>
    <row r="13" spans="1:13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6">
        <f>IF(T_T134111213141516171819202122232425262728293031323335363738394041424344454647[[#This Row],[Total]]&lt;0,T_T134111213141516171819202122232425262728293031323335363738394041424344454647[[#This Row],[Total]]*-1,0)</f>
        <v>0</v>
      </c>
      <c r="J13" s="53"/>
      <c r="K13" s="232"/>
    </row>
    <row r="14" spans="1:13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6">
        <f>IF(T_T134111213141516171819202122232425262728293031323335363738394041424344454647[[#This Row],[Total]]&lt;0,T_T134111213141516171819202122232425262728293031323335363738394041424344454647[[#This Row],[Total]]*-1,0)</f>
        <v>0</v>
      </c>
      <c r="J14" s="473"/>
      <c r="K14" s="485"/>
    </row>
    <row r="15" spans="1:13" x14ac:dyDescent="0.3">
      <c r="A15" s="17">
        <v>46052</v>
      </c>
      <c r="B15" s="18" t="s">
        <v>590</v>
      </c>
      <c r="C15" s="6"/>
      <c r="D15" s="2">
        <v>142</v>
      </c>
      <c r="E15" s="2"/>
      <c r="F15" s="20"/>
      <c r="G15" s="20">
        <f>SUM(D15:F15)</f>
        <v>142</v>
      </c>
      <c r="H15" s="233">
        <f>+H13+T_T134111213141516171819202122232425262728293031323335363738394041424344454647[[#This Row],[Total]]</f>
        <v>142</v>
      </c>
      <c r="I15" s="231">
        <f>IF(T_T134111213141516171819202122232425262728293031323335363738394041424344454647[[#This Row],[Total]]&lt;0,T_T134111213141516171819202122232425262728293031323335363738394041424344454647[[#This Row],[Total]]*-1,0)</f>
        <v>0</v>
      </c>
      <c r="J15" s="240"/>
      <c r="K15" s="232"/>
      <c r="M15" t="s">
        <v>512</v>
      </c>
    </row>
    <row r="16" spans="1:13" x14ac:dyDescent="0.3">
      <c r="A16" s="17"/>
      <c r="B16" s="18" t="s">
        <v>591</v>
      </c>
      <c r="C16" s="6">
        <v>8851</v>
      </c>
      <c r="D16" s="2">
        <v>-142</v>
      </c>
      <c r="E16" s="2"/>
      <c r="F16" s="230"/>
      <c r="G16" s="230">
        <f t="shared" ref="G16:G42" si="0">SUM(D16:F16)</f>
        <v>-142</v>
      </c>
      <c r="H16" s="233">
        <f t="shared" ref="H16:H44" si="1">H15+G16</f>
        <v>0</v>
      </c>
      <c r="I16" s="231">
        <f>IF(T_T134111213141516171819202122232425262728293031323335363738394041424344454647[[#This Row],[Total]]&lt;0,T_T134111213141516171819202122232425262728293031323335363738394041424344454647[[#This Row],[Total]]*-1,0)</f>
        <v>142</v>
      </c>
      <c r="J16" s="240"/>
      <c r="K16" s="232"/>
    </row>
    <row r="17" spans="1:13" x14ac:dyDescent="0.3">
      <c r="A17" s="164">
        <v>45715</v>
      </c>
      <c r="B17" s="161" t="s">
        <v>532</v>
      </c>
      <c r="C17" s="6"/>
      <c r="D17" s="2">
        <v>142</v>
      </c>
      <c r="E17" s="2"/>
      <c r="F17" s="230"/>
      <c r="G17" s="230">
        <f t="shared" si="0"/>
        <v>142</v>
      </c>
      <c r="H17" s="233">
        <f t="shared" si="1"/>
        <v>142</v>
      </c>
      <c r="I17" s="240">
        <f>IF(T_T134111213141516171819202122232425262728293031323335363738394041424344454647[[#This Row],[Total]]&lt;0,T_T134111213141516171819202122232425262728293031323335363738394041424344454647[[#This Row],[Total]]*-1,0)</f>
        <v>0</v>
      </c>
      <c r="J17" s="240"/>
      <c r="K17" s="232"/>
    </row>
    <row r="18" spans="1:13" x14ac:dyDescent="0.3">
      <c r="A18" s="187"/>
      <c r="B18" s="18" t="s">
        <v>533</v>
      </c>
      <c r="C18" s="6">
        <v>8851</v>
      </c>
      <c r="D18" s="2">
        <v>-142</v>
      </c>
      <c r="E18" s="2"/>
      <c r="F18" s="230"/>
      <c r="G18" s="230">
        <f t="shared" si="0"/>
        <v>-142</v>
      </c>
      <c r="H18" s="233">
        <f t="shared" si="1"/>
        <v>0</v>
      </c>
      <c r="I18" s="240">
        <f>IF(T_T134111213141516171819202122232425262728293031323335363738394041424344454647[[#This Row],[Total]]&lt;0,T_T134111213141516171819202122232425262728293031323335363738394041424344454647[[#This Row],[Total]]*-1,0)</f>
        <v>142</v>
      </c>
      <c r="J18" s="240"/>
      <c r="K18" s="232"/>
    </row>
    <row r="19" spans="1:13" x14ac:dyDescent="0.3">
      <c r="A19" s="188">
        <v>45747</v>
      </c>
      <c r="B19" s="3" t="s">
        <v>534</v>
      </c>
      <c r="C19" s="6"/>
      <c r="D19" s="2">
        <v>170</v>
      </c>
      <c r="E19" s="2"/>
      <c r="F19" s="230"/>
      <c r="G19" s="230">
        <f t="shared" si="0"/>
        <v>170</v>
      </c>
      <c r="H19" s="233">
        <f t="shared" si="1"/>
        <v>170</v>
      </c>
      <c r="I19" s="240">
        <f>IF(T_T134111213141516171819202122232425262728293031323335363738394041424344454647[[#This Row],[Total]]&lt;0,T_T134111213141516171819202122232425262728293031323335363738394041424344454647[[#This Row],[Total]]*-1,0)</f>
        <v>0</v>
      </c>
      <c r="J19" s="240"/>
      <c r="K19" s="232"/>
    </row>
    <row r="20" spans="1:13" x14ac:dyDescent="0.3">
      <c r="A20" s="188"/>
      <c r="B20" s="82" t="s">
        <v>535</v>
      </c>
      <c r="C20" s="6">
        <v>8851</v>
      </c>
      <c r="D20" s="2">
        <v>-170</v>
      </c>
      <c r="E20" s="2"/>
      <c r="F20" s="230"/>
      <c r="G20" s="230">
        <f t="shared" si="0"/>
        <v>-170</v>
      </c>
      <c r="H20" s="233">
        <f t="shared" si="1"/>
        <v>0</v>
      </c>
      <c r="I20" s="239">
        <f>IF(T_T134111213141516171819202122232425262728293031323335363738394041424344454647[[#This Row],[Total]]&lt;0,T_T134111213141516171819202122232425262728293031323335363738394041424344454647[[#This Row],[Total]]*-1,0)</f>
        <v>170</v>
      </c>
      <c r="J20" s="239"/>
      <c r="K20" s="232"/>
    </row>
    <row r="21" spans="1:13" x14ac:dyDescent="0.3">
      <c r="A21" s="510"/>
      <c r="B21" s="137" t="s">
        <v>260</v>
      </c>
      <c r="C21" s="605"/>
      <c r="D21" s="606">
        <v>200</v>
      </c>
      <c r="E21" s="606"/>
      <c r="F21" s="606"/>
      <c r="G21" s="230">
        <f t="shared" si="0"/>
        <v>200</v>
      </c>
      <c r="H21" s="233">
        <f t="shared" si="1"/>
        <v>200</v>
      </c>
      <c r="I21" s="607">
        <f>IF(T_T134111213141516171819202122232425262728293031323335363738394041424344454647[[#This Row],[Total]]&lt;0,T_T134111213141516171819202122232425262728293031323335363738394041424344454647[[#This Row],[Total]]*-1,0)</f>
        <v>0</v>
      </c>
      <c r="J21" s="607"/>
      <c r="K21" s="608"/>
    </row>
    <row r="22" spans="1:13" x14ac:dyDescent="0.3">
      <c r="A22" s="510">
        <v>46126</v>
      </c>
      <c r="B22" s="137" t="s">
        <v>641</v>
      </c>
      <c r="C22" s="605"/>
      <c r="D22" s="606">
        <v>-200</v>
      </c>
      <c r="E22" s="606"/>
      <c r="F22" s="606"/>
      <c r="G22" s="230">
        <f t="shared" si="0"/>
        <v>-200</v>
      </c>
      <c r="H22" s="233">
        <f t="shared" si="1"/>
        <v>0</v>
      </c>
      <c r="I22" s="607">
        <f>IF(T_T134111213141516171819202122232425262728293031323335363738394041424344454647[[#This Row],[Total]]&lt;0,T_T134111213141516171819202122232425262728293031323335363738394041424344454647[[#This Row],[Total]]*-1,0)</f>
        <v>200</v>
      </c>
      <c r="J22" s="607"/>
      <c r="K22" s="608"/>
    </row>
    <row r="23" spans="1:13" x14ac:dyDescent="0.3">
      <c r="A23" s="188">
        <v>45777</v>
      </c>
      <c r="B23" s="3" t="s">
        <v>536</v>
      </c>
      <c r="C23" s="6"/>
      <c r="D23" s="604">
        <v>170</v>
      </c>
      <c r="E23" s="2"/>
      <c r="F23" s="230"/>
      <c r="G23" s="230">
        <f t="shared" si="0"/>
        <v>170</v>
      </c>
      <c r="H23" s="233">
        <f t="shared" si="1"/>
        <v>170</v>
      </c>
      <c r="I23" s="309">
        <f>IF(T_T134111213141516171819202122232425262728293031323335363738394041424344454647[[#This Row],[Total]]&lt;0,T_T134111213141516171819202122232425262728293031323335363738394041424344454647[[#This Row],[Total]]*-1,0)</f>
        <v>0</v>
      </c>
      <c r="J23" s="309"/>
      <c r="K23" s="313"/>
      <c r="M23" t="s">
        <v>492</v>
      </c>
    </row>
    <row r="24" spans="1:13" x14ac:dyDescent="0.3">
      <c r="A24" s="83"/>
      <c r="B24" s="82" t="s">
        <v>537</v>
      </c>
      <c r="C24" s="6" t="s">
        <v>660</v>
      </c>
      <c r="D24" s="2">
        <f>-85-85</f>
        <v>-170</v>
      </c>
      <c r="E24" s="2"/>
      <c r="F24" s="230"/>
      <c r="G24" s="230">
        <f t="shared" si="0"/>
        <v>-170</v>
      </c>
      <c r="H24" s="233">
        <f t="shared" si="1"/>
        <v>0</v>
      </c>
      <c r="I24" s="309">
        <f>IF(T_T134111213141516171819202122232425262728293031323335363738394041424344454647[[#This Row],[Total]]&lt;0,T_T134111213141516171819202122232425262728293031323335363738394041424344454647[[#This Row],[Total]]*-1,0)</f>
        <v>170</v>
      </c>
      <c r="J24" s="309"/>
      <c r="K24" s="313"/>
    </row>
    <row r="25" spans="1:13" x14ac:dyDescent="0.3">
      <c r="A25" s="40">
        <v>45807</v>
      </c>
      <c r="B25" s="3" t="s">
        <v>538</v>
      </c>
      <c r="C25" s="229"/>
      <c r="D25" s="230">
        <v>170</v>
      </c>
      <c r="E25" s="230">
        <v>5</v>
      </c>
      <c r="F25" s="230"/>
      <c r="G25" s="230">
        <f t="shared" si="0"/>
        <v>175</v>
      </c>
      <c r="H25" s="233">
        <f t="shared" si="1"/>
        <v>175</v>
      </c>
      <c r="I25" s="309">
        <f>IF(T_T134111213141516171819202122232425262728293031323335363738394041424344454647[[#This Row],[Total]]&lt;0,T_T134111213141516171819202122232425262728293031323335363738394041424344454647[[#This Row],[Total]]*-1,0)</f>
        <v>0</v>
      </c>
      <c r="J25" s="309"/>
      <c r="K25" s="313"/>
    </row>
    <row r="26" spans="1:13" x14ac:dyDescent="0.3">
      <c r="A26" s="9"/>
      <c r="B26" s="18" t="s">
        <v>539</v>
      </c>
      <c r="C26" s="6"/>
      <c r="D26" s="7"/>
      <c r="E26" s="230"/>
      <c r="F26" s="230"/>
      <c r="G26" s="230">
        <f t="shared" si="0"/>
        <v>0</v>
      </c>
      <c r="H26" s="233">
        <f t="shared" si="1"/>
        <v>175</v>
      </c>
      <c r="I26" s="311">
        <f>IF(T_T134111213141516171819202122232425262728293031323335363738394041424344454647[[#This Row],[Total]]&lt;0,T_T134111213141516171819202122232425262728293031323335363738394041424344454647[[#This Row],[Total]]*-1,0)</f>
        <v>0</v>
      </c>
      <c r="J26" s="311"/>
      <c r="K26" s="313"/>
    </row>
    <row r="27" spans="1:13" x14ac:dyDescent="0.3">
      <c r="A27" s="9">
        <v>45838</v>
      </c>
      <c r="B27" s="3" t="s">
        <v>540</v>
      </c>
      <c r="C27" s="229"/>
      <c r="D27" s="230"/>
      <c r="E27" s="230"/>
      <c r="F27" s="230"/>
      <c r="G27" s="230">
        <f t="shared" si="0"/>
        <v>0</v>
      </c>
      <c r="H27" s="233">
        <f t="shared" si="1"/>
        <v>175</v>
      </c>
      <c r="I27" s="309">
        <f>IF(T_T134111213141516171819202122232425262728293031323335363738394041424344454647[[#This Row],[Total]]&lt;0,T_T134111213141516171819202122232425262728293031323335363738394041424344454647[[#This Row],[Total]]*-1,0)</f>
        <v>0</v>
      </c>
      <c r="J27" s="309"/>
      <c r="K27" s="313"/>
    </row>
    <row r="28" spans="1:13" x14ac:dyDescent="0.3">
      <c r="A28" s="9"/>
      <c r="B28" s="18" t="s">
        <v>541</v>
      </c>
      <c r="C28" s="6"/>
      <c r="D28" s="230"/>
      <c r="E28" s="230"/>
      <c r="F28" s="230"/>
      <c r="G28" s="230">
        <f t="shared" si="0"/>
        <v>0</v>
      </c>
      <c r="H28" s="233">
        <f t="shared" si="1"/>
        <v>175</v>
      </c>
      <c r="I28" s="309">
        <f>IF(T_T134111213141516171819202122232425262728293031323335363738394041424344454647[[#This Row],[Total]]&lt;0,T_T134111213141516171819202122232425262728293031323335363738394041424344454647[[#This Row],[Total]]*-1,0)</f>
        <v>0</v>
      </c>
      <c r="J28" s="309"/>
      <c r="K28" s="313"/>
    </row>
    <row r="29" spans="1:13" x14ac:dyDescent="0.3">
      <c r="A29" s="107">
        <v>45868</v>
      </c>
      <c r="B29" s="82" t="s">
        <v>542</v>
      </c>
      <c r="C29" s="229"/>
      <c r="D29" s="230"/>
      <c r="E29" s="230"/>
      <c r="F29" s="230"/>
      <c r="G29" s="230">
        <f t="shared" si="0"/>
        <v>0</v>
      </c>
      <c r="H29" s="233">
        <f t="shared" si="1"/>
        <v>175</v>
      </c>
      <c r="I29" s="309">
        <f>IF(T_T134111213141516171819202122232425262728293031323335363738394041424344454647[[#This Row],[Total]]&lt;0,T_T134111213141516171819202122232425262728293031323335363738394041424344454647[[#This Row],[Total]]*-1,0)</f>
        <v>0</v>
      </c>
      <c r="J29" s="309"/>
      <c r="K29" s="313"/>
    </row>
    <row r="30" spans="1:13" x14ac:dyDescent="0.3">
      <c r="A30" s="107"/>
      <c r="B30" s="82" t="s">
        <v>543</v>
      </c>
      <c r="C30" s="6"/>
      <c r="D30" s="230"/>
      <c r="E30" s="230"/>
      <c r="F30" s="230"/>
      <c r="G30" s="230">
        <f t="shared" si="0"/>
        <v>0</v>
      </c>
      <c r="H30" s="233">
        <f t="shared" si="1"/>
        <v>175</v>
      </c>
      <c r="I30" s="311">
        <f>IF(T_T134111213141516171819202122232425262728293031323335363738394041424344454647[[#This Row],[Total]]&lt;0,T_T134111213141516171819202122232425262728293031323335363738394041424344454647[[#This Row],[Total]]*-1,0)</f>
        <v>0</v>
      </c>
      <c r="J30" s="311"/>
      <c r="K30" s="313"/>
    </row>
    <row r="31" spans="1:13" x14ac:dyDescent="0.3">
      <c r="A31" s="107">
        <v>45899</v>
      </c>
      <c r="B31" s="82" t="s">
        <v>544</v>
      </c>
      <c r="C31" s="229"/>
      <c r="D31" s="230"/>
      <c r="E31" s="230"/>
      <c r="F31" s="230"/>
      <c r="G31" s="230">
        <f t="shared" si="0"/>
        <v>0</v>
      </c>
      <c r="H31" s="233">
        <f t="shared" si="1"/>
        <v>175</v>
      </c>
      <c r="I31" s="309">
        <f>IF(T_T134111213141516171819202122232425262728293031323335363738394041424344454647[[#This Row],[Total]]&lt;0,T_T134111213141516171819202122232425262728293031323335363738394041424344454647[[#This Row],[Total]]*-1,0)</f>
        <v>0</v>
      </c>
      <c r="J31" s="309"/>
      <c r="K31" s="313"/>
    </row>
    <row r="32" spans="1:13" x14ac:dyDescent="0.3">
      <c r="A32" s="107"/>
      <c r="B32" s="82" t="s">
        <v>545</v>
      </c>
      <c r="C32" s="6"/>
      <c r="D32" s="230"/>
      <c r="E32" s="230"/>
      <c r="F32" s="230"/>
      <c r="G32" s="230">
        <f t="shared" si="0"/>
        <v>0</v>
      </c>
      <c r="H32" s="233">
        <f t="shared" si="1"/>
        <v>175</v>
      </c>
      <c r="I32" s="309">
        <f>IF(T_T134111213141516171819202122232425262728293031323335363738394041424344454647[[#This Row],[Total]]&lt;0,T_T134111213141516171819202122232425262728293031323335363738394041424344454647[[#This Row],[Total]]*-1,0)</f>
        <v>0</v>
      </c>
      <c r="J32" s="309"/>
      <c r="K32" s="313"/>
    </row>
    <row r="33" spans="1:11" x14ac:dyDescent="0.3">
      <c r="A33" s="9">
        <v>45930</v>
      </c>
      <c r="B33" s="3" t="s">
        <v>546</v>
      </c>
      <c r="C33" s="229"/>
      <c r="D33" s="230"/>
      <c r="E33" s="230"/>
      <c r="F33" s="230"/>
      <c r="G33" s="230">
        <f t="shared" si="0"/>
        <v>0</v>
      </c>
      <c r="H33" s="233">
        <f t="shared" si="1"/>
        <v>175</v>
      </c>
      <c r="I33" s="309">
        <f>IF(T_T134111213141516171819202122232425262728293031323335363738394041424344454647[[#This Row],[Total]]&lt;0,T_T134111213141516171819202122232425262728293031323335363738394041424344454647[[#This Row],[Total]]*-1,0)</f>
        <v>0</v>
      </c>
      <c r="J33" s="309"/>
      <c r="K33" s="313"/>
    </row>
    <row r="34" spans="1:11" x14ac:dyDescent="0.3">
      <c r="A34" s="9"/>
      <c r="B34" s="3" t="s">
        <v>547</v>
      </c>
      <c r="C34" s="6"/>
      <c r="D34" s="230"/>
      <c r="E34" s="230"/>
      <c r="F34" s="230"/>
      <c r="G34" s="230">
        <f t="shared" si="0"/>
        <v>0</v>
      </c>
      <c r="H34" s="233">
        <f t="shared" si="1"/>
        <v>175</v>
      </c>
      <c r="I34" s="309">
        <f>IF(T_T134111213141516171819202122232425262728293031323335363738394041424344454647[[#This Row],[Total]]&lt;0,T_T134111213141516171819202122232425262728293031323335363738394041424344454647[[#This Row],[Total]]*-1,0)</f>
        <v>0</v>
      </c>
      <c r="J34" s="309"/>
      <c r="K34" s="313"/>
    </row>
    <row r="35" spans="1:11" x14ac:dyDescent="0.3">
      <c r="A35" s="9">
        <v>45960</v>
      </c>
      <c r="B35" s="3" t="s">
        <v>548</v>
      </c>
      <c r="C35" s="229"/>
      <c r="D35" s="230"/>
      <c r="E35" s="230"/>
      <c r="F35" s="230"/>
      <c r="G35" s="230">
        <f t="shared" si="0"/>
        <v>0</v>
      </c>
      <c r="H35" s="233">
        <f t="shared" si="1"/>
        <v>175</v>
      </c>
      <c r="I35" s="309">
        <f>IF(T_T134111213141516171819202122232425262728293031323335363738394041424344454647[[#This Row],[Total]]&lt;0,T_T134111213141516171819202122232425262728293031323335363738394041424344454647[[#This Row],[Total]]*-1,0)</f>
        <v>0</v>
      </c>
      <c r="J35" s="309"/>
      <c r="K35" s="313"/>
    </row>
    <row r="36" spans="1:11" x14ac:dyDescent="0.3">
      <c r="A36" s="9"/>
      <c r="B36" s="3" t="s">
        <v>549</v>
      </c>
      <c r="C36" s="6"/>
      <c r="D36" s="230"/>
      <c r="E36" s="230"/>
      <c r="F36" s="230"/>
      <c r="G36" s="230">
        <f t="shared" si="0"/>
        <v>0</v>
      </c>
      <c r="H36" s="233">
        <f t="shared" si="1"/>
        <v>175</v>
      </c>
      <c r="I36" s="309">
        <f>IF(T_T134111213141516171819202122232425262728293031323335363738394041424344454647[[#This Row],[Total]]&lt;0,T_T134111213141516171819202122232425262728293031323335363738394041424344454647[[#This Row],[Total]]*-1,0)</f>
        <v>0</v>
      </c>
      <c r="J36" s="309"/>
      <c r="K36" s="313"/>
    </row>
    <row r="37" spans="1:11" x14ac:dyDescent="0.3">
      <c r="A37" s="9">
        <v>45991</v>
      </c>
      <c r="B37" s="3" t="s">
        <v>550</v>
      </c>
      <c r="C37" s="462"/>
      <c r="D37" s="463"/>
      <c r="E37" s="463"/>
      <c r="F37" s="463"/>
      <c r="G37" s="230">
        <f t="shared" si="0"/>
        <v>0</v>
      </c>
      <c r="H37" s="233">
        <f t="shared" si="1"/>
        <v>175</v>
      </c>
      <c r="I37" s="464">
        <f>IF(T_T134111213141516171819202122232425262728293031323335363738394041424344454647[[#This Row],[Total]]&lt;0,T_T134111213141516171819202122232425262728293031323335363738394041424344454647[[#This Row],[Total]]*-1,0)</f>
        <v>0</v>
      </c>
      <c r="J37" s="464"/>
      <c r="K37" s="460"/>
    </row>
    <row r="38" spans="1:11" x14ac:dyDescent="0.3">
      <c r="A38" s="17"/>
      <c r="B38" s="18" t="s">
        <v>551</v>
      </c>
      <c r="C38" s="6"/>
      <c r="D38" s="230"/>
      <c r="E38" s="463"/>
      <c r="F38" s="463"/>
      <c r="G38" s="230">
        <f t="shared" si="0"/>
        <v>0</v>
      </c>
      <c r="H38" s="233">
        <f t="shared" si="1"/>
        <v>175</v>
      </c>
      <c r="I38" s="464">
        <f>IF(T_T134111213141516171819202122232425262728293031323335363738394041424344454647[[#This Row],[Total]]&lt;0,T_T134111213141516171819202122232425262728293031323335363738394041424344454647[[#This Row],[Total]]*-1,0)</f>
        <v>0</v>
      </c>
      <c r="J38" s="464"/>
      <c r="K38" s="460"/>
    </row>
    <row r="39" spans="1:11" x14ac:dyDescent="0.3">
      <c r="A39" s="188">
        <v>46021</v>
      </c>
      <c r="B39" s="3" t="s">
        <v>552</v>
      </c>
      <c r="C39" s="229"/>
      <c r="D39" s="230"/>
      <c r="E39" s="230"/>
      <c r="F39" s="230"/>
      <c r="G39" s="230">
        <f t="shared" si="0"/>
        <v>0</v>
      </c>
      <c r="H39" s="233">
        <f t="shared" si="1"/>
        <v>175</v>
      </c>
      <c r="I39" s="309">
        <f>IF(T_T134111213141516171819202122232425262728293031323335363738394041424344454647[[#This Row],[Total]]&lt;0,T_T134111213141516171819202122232425262728293031323335363738394041424344454647[[#This Row],[Total]]*-1,0)</f>
        <v>0</v>
      </c>
      <c r="J39" s="309"/>
      <c r="K39" s="313"/>
    </row>
    <row r="40" spans="1:11" x14ac:dyDescent="0.3">
      <c r="A40" s="257"/>
      <c r="B40" s="110" t="s">
        <v>553</v>
      </c>
      <c r="C40" s="6"/>
      <c r="D40" s="230"/>
      <c r="E40" s="230"/>
      <c r="F40" s="230"/>
      <c r="G40" s="230">
        <f t="shared" si="0"/>
        <v>0</v>
      </c>
      <c r="H40" s="233">
        <f t="shared" si="1"/>
        <v>175</v>
      </c>
      <c r="I40" s="309">
        <f>IF(T_T134111213141516171819202122232425262728293031323335363738394041424344454647[[#This Row],[Total]]&lt;0,T_T134111213141516171819202122232425262728293031323335363738394041424344454647[[#This Row],[Total]]*-1,0)</f>
        <v>0</v>
      </c>
      <c r="J40" s="309"/>
      <c r="K40" s="313"/>
    </row>
    <row r="41" spans="1:11" x14ac:dyDescent="0.3">
      <c r="A41" s="107"/>
      <c r="B41" s="82"/>
      <c r="C41" s="229"/>
      <c r="D41" s="230"/>
      <c r="E41" s="230"/>
      <c r="F41" s="230"/>
      <c r="G41" s="230">
        <f t="shared" si="0"/>
        <v>0</v>
      </c>
      <c r="H41" s="233">
        <f t="shared" si="1"/>
        <v>175</v>
      </c>
      <c r="I41" s="311">
        <f>IF(T_T134111213141516171819202122232425262728293031323335363738394041424344454647[[#This Row],[Total]]&lt;0,T_T134111213141516171819202122232425262728293031323335363738394041424344454647[[#This Row],[Total]]*-1,0)</f>
        <v>0</v>
      </c>
      <c r="J41" s="311"/>
      <c r="K41" s="313"/>
    </row>
    <row r="42" spans="1:11" x14ac:dyDescent="0.3">
      <c r="A42" s="107"/>
      <c r="B42" s="82"/>
      <c r="C42" s="229"/>
      <c r="D42" s="230"/>
      <c r="E42" s="230"/>
      <c r="F42" s="230"/>
      <c r="G42" s="230">
        <f t="shared" si="0"/>
        <v>0</v>
      </c>
      <c r="H42" s="233">
        <f t="shared" si="1"/>
        <v>175</v>
      </c>
      <c r="I42" s="353">
        <f>IF(T_T134111213141516171819202122232425262728293031323335363738394041424344454647[[#This Row],[Total]]&lt;0,T_T134111213141516171819202122232425262728293031323335363738394041424344454647[[#This Row],[Total]]*-1,0)</f>
        <v>0</v>
      </c>
      <c r="J42" s="353"/>
      <c r="K42" s="354"/>
    </row>
    <row r="43" spans="1:11" x14ac:dyDescent="0.3">
      <c r="A43" s="170"/>
      <c r="B43" s="18"/>
      <c r="C43" s="229"/>
      <c r="D43" s="230"/>
      <c r="E43" s="230"/>
      <c r="F43" s="230"/>
      <c r="G43" s="230">
        <f>SUM(D43:F50)</f>
        <v>0</v>
      </c>
      <c r="H43" s="233">
        <f t="shared" si="1"/>
        <v>175</v>
      </c>
      <c r="I43" s="353">
        <f>IF(T_T134111213141516171819202122232425262728293031323335363738394041424344454647[[#This Row],[Total]]&lt;0,T_T134111213141516171819202122232425262728293031323335363738394041424344454647[[#This Row],[Total]]*-1,0)</f>
        <v>0</v>
      </c>
      <c r="J43" s="353"/>
      <c r="K43" s="354"/>
    </row>
    <row r="44" spans="1:11" x14ac:dyDescent="0.3">
      <c r="A44" s="107"/>
      <c r="B44" s="82"/>
      <c r="C44" s="229"/>
      <c r="D44" s="230"/>
      <c r="E44" s="230"/>
      <c r="F44" s="230"/>
      <c r="G44" s="230">
        <f>SUM(D44:F51)</f>
        <v>0</v>
      </c>
      <c r="H44" s="233">
        <f t="shared" si="1"/>
        <v>175</v>
      </c>
      <c r="I44" s="353">
        <f>IF(T_T134111213141516171819202122232425262728293031323335363738394041424344454647[[#This Row],[Total]]&lt;0,T_T134111213141516171819202122232425262728293031323335363738394041424344454647[[#This Row],[Total]]*-1,0)</f>
        <v>0</v>
      </c>
      <c r="J44" s="353"/>
      <c r="K44" s="354"/>
    </row>
  </sheetData>
  <hyperlinks>
    <hyperlink ref="B7" r:id="rId1" display="jose.orozco@outlook.com"/>
    <hyperlink ref="H7" location="Resumen!A1" display="Rsumen         "/>
  </hyperlinks>
  <pageMargins left="0.43" right="0.70866141732283472" top="0.74803149606299213" bottom="0.74803149606299213" header="0.31496062992125984" footer="0.31496062992125984"/>
  <pageSetup scale="85" orientation="portrait" verticalDpi="360" r:id="rId2"/>
  <drawing r:id="rId3"/>
  <tableParts count="1">
    <tablePart r:id="rId4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N46"/>
  <sheetViews>
    <sheetView showGridLines="0" topLeftCell="A11" zoomScale="98" zoomScaleNormal="98" workbookViewId="0">
      <selection activeCell="D24" sqref="D24"/>
    </sheetView>
  </sheetViews>
  <sheetFormatPr baseColWidth="10" defaultColWidth="9.109375" defaultRowHeight="14.4" x14ac:dyDescent="0.3"/>
  <cols>
    <col min="1" max="1" width="12.88671875" customWidth="1"/>
    <col min="2" max="2" width="35.44140625" bestFit="1" customWidth="1"/>
    <col min="3" max="3" width="12.6640625" style="4" customWidth="1"/>
    <col min="4" max="4" width="14.109375" style="1" customWidth="1"/>
    <col min="5" max="5" width="9.44140625" style="1" customWidth="1"/>
    <col min="6" max="6" width="8" style="1" customWidth="1"/>
    <col min="7" max="7" width="10.33203125" style="1" customWidth="1"/>
    <col min="8" max="8" width="12.44140625" style="1" customWidth="1"/>
    <col min="9" max="9" width="12.88671875" hidden="1" customWidth="1"/>
    <col min="14" max="14" width="10.6640625" bestFit="1" customWidth="1"/>
    <col min="15" max="15" width="15.44140625" customWidth="1"/>
  </cols>
  <sheetData>
    <row r="2" spans="1:14" ht="14.25" customHeight="1" x14ac:dyDescent="0.3">
      <c r="A2" s="27" t="s">
        <v>36</v>
      </c>
      <c r="B2" s="41" t="s">
        <v>96</v>
      </c>
    </row>
    <row r="3" spans="1:14" hidden="1" x14ac:dyDescent="0.3">
      <c r="A3" s="27" t="s">
        <v>31</v>
      </c>
      <c r="B3" s="28" t="e">
        <f>LOOKUP(B2,#REF!,#REF!)</f>
        <v>#REF!</v>
      </c>
    </row>
    <row r="4" spans="1:14" hidden="1" x14ac:dyDescent="0.3">
      <c r="A4" s="27" t="s">
        <v>32</v>
      </c>
      <c r="B4" s="28" t="e">
        <f>LOOKUP(B2,#REF!,#REF!)</f>
        <v>#REF!</v>
      </c>
    </row>
    <row r="5" spans="1:14" hidden="1" x14ac:dyDescent="0.3">
      <c r="A5" s="27" t="s">
        <v>33</v>
      </c>
      <c r="B5" s="28" t="e">
        <f>LOOKUP(B2,#REF!,#REF!)</f>
        <v>#REF!</v>
      </c>
    </row>
    <row r="6" spans="1:14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4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4" x14ac:dyDescent="0.3">
      <c r="A8" s="21"/>
      <c r="B8" s="21" t="s">
        <v>513</v>
      </c>
    </row>
    <row r="9" spans="1:14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96" t="s">
        <v>188</v>
      </c>
    </row>
    <row r="10" spans="1:14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/>
      <c r="J10" s="95"/>
      <c r="N10" s="178"/>
    </row>
    <row r="11" spans="1:14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IF(T_T13411121314151617181920212223242526272829303132333536373839404142434445464748[[#This Row],[Total]]&lt;0,T_T13411121314151617181920212223242526272829303132333536373839404142434445464748[[#This Row],[Total]]*-1,0)</f>
        <v>0</v>
      </c>
      <c r="J11" s="231"/>
    </row>
    <row r="12" spans="1:14" x14ac:dyDescent="0.3">
      <c r="A12" s="361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IF(T_T13411121314151617181920212223242526272829303132333536373839404142434445464748[[#This Row],[Total]]&lt;0,T_T13411121314151617181920212223242526272829303132333536373839404142434445464748[[#This Row],[Total]]*-1,0)</f>
        <v>0</v>
      </c>
      <c r="J12" s="427"/>
    </row>
    <row r="13" spans="1:14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IF(T_T13411121314151617181920212223242526272829303132333536373839404142434445464748[[#This Row],[Total]]&lt;0,T_T13411121314151617181920212223242526272829303132333536373839404142434445464748[[#This Row],[Total]]*-1,0)</f>
        <v>0</v>
      </c>
      <c r="J13" s="231"/>
    </row>
    <row r="14" spans="1:14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IF(T_T13411121314151617181920212223242526272829303132333536373839404142434445464748[[#This Row],[Total]]&lt;0,T_T13411121314151617181920212223242526272829303132333536373839404142434445464748[[#This Row],[Total]]*-1,0)</f>
        <v>0</v>
      </c>
      <c r="J14" s="476"/>
    </row>
    <row r="15" spans="1:14" x14ac:dyDescent="0.3">
      <c r="A15" s="17">
        <v>45687</v>
      </c>
      <c r="B15" s="18" t="s">
        <v>530</v>
      </c>
      <c r="C15" s="6"/>
      <c r="D15" s="2">
        <v>142</v>
      </c>
      <c r="E15" s="2">
        <v>2</v>
      </c>
      <c r="F15" s="20"/>
      <c r="G15" s="20">
        <f>SUM(D15:F15)</f>
        <v>144</v>
      </c>
      <c r="H15" s="233">
        <f>+H13+T_T13411121314151617181920212223242526272829303132333536373839404142434445464748[[#This Row],[Total]]</f>
        <v>144</v>
      </c>
      <c r="I15" s="240">
        <f>IF(T_T13411121314151617181920212223242526272829303132333536373839404142434445464748[[#This Row],[Total]]&lt;0,T_T13411121314151617181920212223242526272829303132333536373839404142434445464748[[#This Row],[Total]]*-1,0)</f>
        <v>0</v>
      </c>
      <c r="J15" s="231"/>
      <c r="L15" t="s">
        <v>567</v>
      </c>
    </row>
    <row r="16" spans="1:14" x14ac:dyDescent="0.3">
      <c r="A16" s="17"/>
      <c r="B16" s="18" t="s">
        <v>531</v>
      </c>
      <c r="C16" s="6"/>
      <c r="D16" s="2"/>
      <c r="E16" s="2"/>
      <c r="F16" s="230"/>
      <c r="G16" s="230">
        <f t="shared" ref="G16:G38" si="0">SUM(D16:F16)</f>
        <v>0</v>
      </c>
      <c r="H16" s="233">
        <f t="shared" ref="H16:H40" si="1">H15+G16</f>
        <v>144</v>
      </c>
      <c r="I16" s="240">
        <f>IF(T_T13411121314151617181920212223242526272829303132333536373839404142434445464748[[#This Row],[Total]]&lt;0,T_T13411121314151617181920212223242526272829303132333536373839404142434445464748[[#This Row],[Total]]*-1,0)</f>
        <v>0</v>
      </c>
      <c r="J16" s="231"/>
    </row>
    <row r="17" spans="1:10" x14ac:dyDescent="0.3">
      <c r="A17" s="164">
        <v>45715</v>
      </c>
      <c r="B17" s="161" t="s">
        <v>532</v>
      </c>
      <c r="C17" s="6"/>
      <c r="D17" s="2">
        <v>142</v>
      </c>
      <c r="E17" s="2">
        <v>5</v>
      </c>
      <c r="F17" s="230"/>
      <c r="G17" s="230">
        <f t="shared" si="0"/>
        <v>147</v>
      </c>
      <c r="H17" s="233">
        <f t="shared" si="1"/>
        <v>291</v>
      </c>
      <c r="I17" s="240">
        <f>IF(T_T13411121314151617181920212223242526272829303132333536373839404142434445464748[[#This Row],[Total]]&lt;0,T_T13411121314151617181920212223242526272829303132333536373839404142434445464748[[#This Row],[Total]]*-1,0)</f>
        <v>0</v>
      </c>
      <c r="J17" s="231"/>
    </row>
    <row r="18" spans="1:10" x14ac:dyDescent="0.3">
      <c r="A18" s="187"/>
      <c r="B18" s="18" t="s">
        <v>533</v>
      </c>
      <c r="C18" s="6"/>
      <c r="D18" s="2"/>
      <c r="E18" s="2"/>
      <c r="F18" s="230"/>
      <c r="G18" s="230">
        <f t="shared" si="0"/>
        <v>0</v>
      </c>
      <c r="H18" s="233">
        <f t="shared" si="1"/>
        <v>291</v>
      </c>
      <c r="I18" s="240">
        <f>IF(T_T13411121314151617181920212223242526272829303132333536373839404142434445464748[[#This Row],[Total]]&lt;0,T_T13411121314151617181920212223242526272829303132333536373839404142434445464748[[#This Row],[Total]]*-1,0)</f>
        <v>0</v>
      </c>
      <c r="J18" s="231"/>
    </row>
    <row r="19" spans="1:10" x14ac:dyDescent="0.3">
      <c r="A19" s="188">
        <v>45747</v>
      </c>
      <c r="B19" s="3" t="s">
        <v>534</v>
      </c>
      <c r="C19" s="6"/>
      <c r="D19" s="2">
        <v>170</v>
      </c>
      <c r="E19" s="2"/>
      <c r="F19" s="230"/>
      <c r="G19" s="230">
        <f t="shared" si="0"/>
        <v>170</v>
      </c>
      <c r="H19" s="233">
        <f t="shared" si="1"/>
        <v>461</v>
      </c>
      <c r="I19" s="240">
        <f>IF(T_T13411121314151617181920212223242526272829303132333536373839404142434445464748[[#This Row],[Total]]&lt;0,T_T13411121314151617181920212223242526272829303132333536373839404142434445464748[[#This Row],[Total]]*-1,0)</f>
        <v>0</v>
      </c>
      <c r="J19" s="231"/>
    </row>
    <row r="20" spans="1:10" x14ac:dyDescent="0.3">
      <c r="A20" s="188"/>
      <c r="B20" s="82" t="s">
        <v>535</v>
      </c>
      <c r="C20" s="6"/>
      <c r="D20" s="2"/>
      <c r="E20" s="2"/>
      <c r="F20" s="230"/>
      <c r="G20" s="230">
        <f t="shared" si="0"/>
        <v>0</v>
      </c>
      <c r="H20" s="233">
        <f t="shared" si="1"/>
        <v>461</v>
      </c>
      <c r="I20" s="240">
        <f>IF(T_T13411121314151617181920212223242526272829303132333536373839404142434445464748[[#This Row],[Total]]&lt;0,T_T13411121314151617181920212223242526272829303132333536373839404142434445464748[[#This Row],[Total]]*-1,0)</f>
        <v>0</v>
      </c>
      <c r="J20" s="231"/>
    </row>
    <row r="21" spans="1:10" x14ac:dyDescent="0.3">
      <c r="A21" s="188">
        <v>45777</v>
      </c>
      <c r="B21" s="3" t="s">
        <v>536</v>
      </c>
      <c r="C21" s="6"/>
      <c r="D21" s="2">
        <v>170</v>
      </c>
      <c r="E21" s="2"/>
      <c r="F21" s="230"/>
      <c r="G21" s="230">
        <f t="shared" si="0"/>
        <v>170</v>
      </c>
      <c r="H21" s="233">
        <f t="shared" si="1"/>
        <v>631</v>
      </c>
      <c r="I21" s="309">
        <f>IF(T_T13411121314151617181920212223242526272829303132333536373839404142434445464748[[#This Row],[Total]]&lt;0,T_T13411121314151617181920212223242526272829303132333536373839404142434445464748[[#This Row],[Total]]*-1,0)</f>
        <v>0</v>
      </c>
      <c r="J21" s="320"/>
    </row>
    <row r="22" spans="1:10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631</v>
      </c>
      <c r="I22" s="309">
        <f>IF(T_T13411121314151617181920212223242526272829303132333536373839404142434445464748[[#This Row],[Total]]&lt;0,T_T13411121314151617181920212223242526272829303132333536373839404142434445464748[[#This Row],[Total]]*-1,0)</f>
        <v>0</v>
      </c>
      <c r="J22" s="320"/>
    </row>
    <row r="23" spans="1:10" x14ac:dyDescent="0.3">
      <c r="A23" s="40">
        <v>45807</v>
      </c>
      <c r="B23" s="3" t="s">
        <v>538</v>
      </c>
      <c r="C23" s="229"/>
      <c r="D23" s="230">
        <v>170</v>
      </c>
      <c r="E23" s="230">
        <v>1</v>
      </c>
      <c r="F23" s="230"/>
      <c r="G23" s="230">
        <f t="shared" si="0"/>
        <v>171</v>
      </c>
      <c r="H23" s="233">
        <f t="shared" si="1"/>
        <v>802</v>
      </c>
      <c r="I23" s="309">
        <f>IF(T_T13411121314151617181920212223242526272829303132333536373839404142434445464748[[#This Row],[Total]]&lt;0,T_T13411121314151617181920212223242526272829303132333536373839404142434445464748[[#This Row],[Total]]*-1,0)</f>
        <v>0</v>
      </c>
      <c r="J23" s="320"/>
    </row>
    <row r="24" spans="1:10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802</v>
      </c>
      <c r="I24" s="309">
        <f>IF(T_T13411121314151617181920212223242526272829303132333536373839404142434445464748[[#This Row],[Total]]&lt;0,T_T13411121314151617181920212223242526272829303132333536373839404142434445464748[[#This Row],[Total]]*-1,0)</f>
        <v>0</v>
      </c>
      <c r="J24" s="320"/>
    </row>
    <row r="25" spans="1:10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802</v>
      </c>
      <c r="I25" s="309">
        <f>IF(T_T13411121314151617181920212223242526272829303132333536373839404142434445464748[[#This Row],[Total]]&lt;0,T_T13411121314151617181920212223242526272829303132333536373839404142434445464748[[#This Row],[Total]]*-1,0)</f>
        <v>0</v>
      </c>
      <c r="J25" s="320"/>
    </row>
    <row r="26" spans="1:10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802</v>
      </c>
      <c r="I26" s="309">
        <f>IF(T_T13411121314151617181920212223242526272829303132333536373839404142434445464748[[#This Row],[Total]]&lt;0,T_T13411121314151617181920212223242526272829303132333536373839404142434445464748[[#This Row],[Total]]*-1,0)</f>
        <v>0</v>
      </c>
      <c r="J26" s="320"/>
    </row>
    <row r="27" spans="1:10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802</v>
      </c>
      <c r="I27" s="309">
        <f>IF(T_T13411121314151617181920212223242526272829303132333536373839404142434445464748[[#This Row],[Total]]&lt;0,T_T13411121314151617181920212223242526272829303132333536373839404142434445464748[[#This Row],[Total]]*-1,0)</f>
        <v>0</v>
      </c>
      <c r="J27" s="320"/>
    </row>
    <row r="28" spans="1:10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802</v>
      </c>
      <c r="I28" s="309">
        <f>IF(T_T13411121314151617181920212223242526272829303132333536373839404142434445464748[[#This Row],[Total]]&lt;0,T_T13411121314151617181920212223242526272829303132333536373839404142434445464748[[#This Row],[Total]]*-1,0)</f>
        <v>0</v>
      </c>
      <c r="J28" s="320"/>
    </row>
    <row r="29" spans="1:10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802</v>
      </c>
      <c r="I29" s="309">
        <f>IF(T_T13411121314151617181920212223242526272829303132333536373839404142434445464748[[#This Row],[Total]]&lt;0,T_T13411121314151617181920212223242526272829303132333536373839404142434445464748[[#This Row],[Total]]*-1,0)</f>
        <v>0</v>
      </c>
      <c r="J29" s="320"/>
    </row>
    <row r="30" spans="1:10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802</v>
      </c>
      <c r="I30" s="309">
        <f>IF(T_T13411121314151617181920212223242526272829303132333536373839404142434445464748[[#This Row],[Total]]&lt;0,T_T13411121314151617181920212223242526272829303132333536373839404142434445464748[[#This Row],[Total]]*-1,0)</f>
        <v>0</v>
      </c>
      <c r="J30" s="320"/>
    </row>
    <row r="31" spans="1:10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802</v>
      </c>
      <c r="I31" s="309">
        <f>IF(T_T13411121314151617181920212223242526272829303132333536373839404142434445464748[[#This Row],[Total]]&lt;0,T_T13411121314151617181920212223242526272829303132333536373839404142434445464748[[#This Row],[Total]]*-1,0)</f>
        <v>0</v>
      </c>
      <c r="J31" s="320"/>
    </row>
    <row r="32" spans="1:10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802</v>
      </c>
      <c r="I32" s="309">
        <f>IF(T_T13411121314151617181920212223242526272829303132333536373839404142434445464748[[#This Row],[Total]]&lt;0,T_T13411121314151617181920212223242526272829303132333536373839404142434445464748[[#This Row],[Total]]*-1,0)</f>
        <v>0</v>
      </c>
      <c r="J32" s="320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802</v>
      </c>
      <c r="I33" s="309">
        <f>IF(T_T13411121314151617181920212223242526272829303132333536373839404142434445464748[[#This Row],[Total]]&lt;0,T_T13411121314151617181920212223242526272829303132333536373839404142434445464748[[#This Row],[Total]]*-1,0)</f>
        <v>0</v>
      </c>
      <c r="J33" s="320"/>
    </row>
    <row r="34" spans="1:10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802</v>
      </c>
      <c r="I34" s="309">
        <f>IF(T_T13411121314151617181920212223242526272829303132333536373839404142434445464748[[#This Row],[Total]]&lt;0,T_T13411121314151617181920212223242526272829303132333536373839404142434445464748[[#This Row],[Total]]*-1,0)</f>
        <v>0</v>
      </c>
      <c r="J34" s="320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802</v>
      </c>
      <c r="I35" s="309">
        <f>IF(T_T13411121314151617181920212223242526272829303132333536373839404142434445464748[[#This Row],[Total]]&lt;0,T_T13411121314151617181920212223242526272829303132333536373839404142434445464748[[#This Row],[Total]]*-1,0)</f>
        <v>0</v>
      </c>
      <c r="J35" s="320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802</v>
      </c>
      <c r="I36" s="309">
        <f>IF(T_T13411121314151617181920212223242526272829303132333536373839404142434445464748[[#This Row],[Total]]&lt;0,T_T13411121314151617181920212223242526272829303132333536373839404142434445464748[[#This Row],[Total]]*-1,0)</f>
        <v>0</v>
      </c>
      <c r="J36" s="320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802</v>
      </c>
      <c r="I37" s="309">
        <f>IF(T_T13411121314151617181920212223242526272829303132333536373839404142434445464748[[#This Row],[Total]]&lt;0,T_T13411121314151617181920212223242526272829303132333536373839404142434445464748[[#This Row],[Total]]*-1,0)</f>
        <v>0</v>
      </c>
      <c r="J37" s="320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802</v>
      </c>
      <c r="I38" s="353">
        <f>IF(T_T13411121314151617181920212223242526272829303132333536373839404142434445464748[[#This Row],[Total]]&lt;0,T_T13411121314151617181920212223242526272829303132333536373839404142434445464748[[#This Row],[Total]]*-1,0)</f>
        <v>0</v>
      </c>
      <c r="J38" s="355"/>
    </row>
    <row r="39" spans="1:10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802</v>
      </c>
      <c r="I39" s="353">
        <f>IF(T_T13411121314151617181920212223242526272829303132333536373839404142434445464748[[#This Row],[Total]]&lt;0,T_T13411121314151617181920212223242526272829303132333536373839404142434445464748[[#This Row],[Total]]*-1,0)</f>
        <v>0</v>
      </c>
      <c r="J39" s="355"/>
    </row>
    <row r="40" spans="1:10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802</v>
      </c>
      <c r="I40" s="353">
        <f>IF(T_T13411121314151617181920212223242526272829303132333536373839404142434445464748[[#This Row],[Total]]&lt;0,T_T13411121314151617181920212223242526272829303132333536373839404142434445464748[[#This Row],[Total]]*-1,0)</f>
        <v>0</v>
      </c>
      <c r="J40" s="355"/>
    </row>
    <row r="41" spans="1:10" x14ac:dyDescent="0.3">
      <c r="A41" s="492"/>
      <c r="B41" s="493"/>
      <c r="C41" s="466"/>
      <c r="D41" s="467"/>
      <c r="E41" s="467"/>
      <c r="F41" s="467"/>
      <c r="G41" s="467"/>
      <c r="H41" s="474"/>
      <c r="I41" s="475"/>
      <c r="J41" s="480"/>
    </row>
    <row r="42" spans="1:10" x14ac:dyDescent="0.3">
      <c r="A42" s="3"/>
      <c r="B42" s="3"/>
      <c r="C42" s="6"/>
      <c r="D42" s="2"/>
      <c r="E42" s="2"/>
      <c r="F42" s="2"/>
      <c r="G42" s="2"/>
      <c r="H42" s="2"/>
      <c r="I42" s="3"/>
      <c r="J42" s="3"/>
    </row>
    <row r="43" spans="1:10" x14ac:dyDescent="0.3">
      <c r="A43" s="3"/>
      <c r="B43" s="3"/>
      <c r="C43" s="6"/>
      <c r="D43" s="2"/>
      <c r="E43" s="2"/>
      <c r="F43" s="2"/>
      <c r="G43" s="2"/>
      <c r="H43" s="2"/>
      <c r="I43" s="3"/>
      <c r="J43" s="3"/>
    </row>
    <row r="44" spans="1:10" x14ac:dyDescent="0.3">
      <c r="A44" s="3"/>
      <c r="B44" s="3"/>
      <c r="C44" s="6"/>
      <c r="D44" s="2"/>
      <c r="E44" s="2"/>
      <c r="F44" s="2"/>
      <c r="G44" s="2"/>
      <c r="H44" s="2"/>
      <c r="I44" s="3"/>
      <c r="J44" s="3"/>
    </row>
    <row r="45" spans="1:10" x14ac:dyDescent="0.3">
      <c r="A45" s="3"/>
      <c r="B45" s="3"/>
      <c r="C45" s="6"/>
      <c r="D45" s="2"/>
      <c r="E45" s="2"/>
      <c r="F45" s="2"/>
      <c r="G45" s="2"/>
      <c r="H45" s="2"/>
      <c r="I45" s="3"/>
      <c r="J45" s="3"/>
    </row>
    <row r="46" spans="1:10" x14ac:dyDescent="0.3">
      <c r="A46" s="3"/>
      <c r="B46" s="3"/>
      <c r="C46" s="6"/>
      <c r="D46" s="2"/>
      <c r="E46" s="2"/>
      <c r="F46" s="2"/>
      <c r="G46" s="2"/>
      <c r="H46" s="2"/>
      <c r="I46" s="3"/>
      <c r="J46" s="3"/>
    </row>
  </sheetData>
  <hyperlinks>
    <hyperlink ref="B7" r:id="rId1" display="jose.orozco@outlook.com"/>
    <hyperlink ref="H7" location="Resumen!A1" display="Rsumen         "/>
  </hyperlinks>
  <pageMargins left="0.95" right="0.27559055118110237" top="0.27559055118110237" bottom="0.27559055118110237" header="0.31496062992125984" footer="0.31496062992125984"/>
  <pageSetup scale="60" orientation="portrait" verticalDpi="360" r:id="rId2"/>
  <drawing r:id="rId3"/>
  <tableParts count="1">
    <tablePart r:id="rId4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M43"/>
  <sheetViews>
    <sheetView showGridLines="0" zoomScale="98" zoomScaleNormal="98" workbookViewId="0">
      <selection activeCell="D20" sqref="D20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9.5546875" customWidth="1"/>
    <col min="11" max="11" width="10.6640625" bestFit="1" customWidth="1"/>
    <col min="12" max="12" width="13.88671875" customWidth="1"/>
    <col min="13" max="13" width="12.5546875" customWidth="1"/>
  </cols>
  <sheetData>
    <row r="2" spans="1:13" ht="15.6" x14ac:dyDescent="0.3">
      <c r="A2" s="27" t="s">
        <v>36</v>
      </c>
      <c r="B2" s="41" t="s">
        <v>97</v>
      </c>
    </row>
    <row r="3" spans="1:13" x14ac:dyDescent="0.3">
      <c r="A3" s="27" t="s">
        <v>31</v>
      </c>
      <c r="B3" s="28" t="s">
        <v>238</v>
      </c>
    </row>
    <row r="4" spans="1:13" hidden="1" x14ac:dyDescent="0.3">
      <c r="A4" s="27" t="s">
        <v>32</v>
      </c>
      <c r="B4" s="28" t="e">
        <f>LOOKUP(B2,#REF!,#REF!)</f>
        <v>#REF!</v>
      </c>
    </row>
    <row r="5" spans="1:13" hidden="1" x14ac:dyDescent="0.3">
      <c r="A5" s="27" t="s">
        <v>33</v>
      </c>
      <c r="B5" s="28" t="e">
        <f>LOOKUP(B2,#REF!,#REF!)</f>
        <v>#REF!</v>
      </c>
    </row>
    <row r="6" spans="1:13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3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3" x14ac:dyDescent="0.3">
      <c r="A8" s="21"/>
      <c r="B8" s="21"/>
    </row>
    <row r="9" spans="1:13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374" t="s">
        <v>188</v>
      </c>
      <c r="K9" s="551" t="s">
        <v>191</v>
      </c>
    </row>
    <row r="10" spans="1:13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IF(T_T1341112131415161718192021222324252627282930313233353637383940414243444546474849[[#This Row],[Total]]&lt;0,T_T1341112131415161718192021222324252627282930313233353637383940414243444546474849[[#This Row],[Total]]*-1,0)</f>
        <v>0</v>
      </c>
      <c r="J10" s="382"/>
      <c r="K10" s="550"/>
      <c r="M10" s="178"/>
    </row>
    <row r="11" spans="1:13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IF(T_T1341112131415161718192021222324252627282930313233353637383940414243444546474849[[#This Row],[Total]]&lt;0,T_T1341112131415161718192021222324252627282930313233353637383940414243444546474849[[#This Row],[Total]]*-1,0)</f>
        <v>0</v>
      </c>
      <c r="J11" s="355"/>
      <c r="K11" s="550"/>
    </row>
    <row r="12" spans="1:13" x14ac:dyDescent="0.3">
      <c r="A12" s="361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IF(T_T1341112131415161718192021222324252627282930313233353637383940414243444546474849[[#This Row],[Total]]&lt;0,T_T1341112131415161718192021222324252627282930313233353637383940414243444546474849[[#This Row],[Total]]*-1,0)</f>
        <v>0</v>
      </c>
      <c r="J12" s="427"/>
      <c r="K12" s="550"/>
    </row>
    <row r="13" spans="1:13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IF(T_T1341112131415161718192021222324252627282930313233353637383940414243444546474849[[#This Row],[Total]]&lt;0,T_T1341112131415161718192021222324252627282930313233353637383940414243444546474849[[#This Row],[Total]]*-1,0)</f>
        <v>0</v>
      </c>
      <c r="J13" s="355"/>
      <c r="K13" s="550"/>
    </row>
    <row r="14" spans="1:13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IF(T_T1341112131415161718192021222324252627282930313233353637383940414243444546474849[[#This Row],[Total]]&lt;0,T_T1341112131415161718192021222324252627282930313233353637383940414243444546474849[[#This Row],[Total]]*-1,0)</f>
        <v>0</v>
      </c>
      <c r="J14" s="476"/>
      <c r="K14" s="550"/>
    </row>
    <row r="15" spans="1:13" x14ac:dyDescent="0.3">
      <c r="A15" s="17">
        <v>45687</v>
      </c>
      <c r="B15" s="18" t="s">
        <v>530</v>
      </c>
      <c r="C15" s="6"/>
      <c r="D15" s="2">
        <v>185</v>
      </c>
      <c r="E15" s="2">
        <v>7</v>
      </c>
      <c r="F15" s="20"/>
      <c r="G15" s="20">
        <f>SUM(D15:F15)</f>
        <v>192</v>
      </c>
      <c r="H15" s="233">
        <f>+H13+T_T1341112131415161718192021222324252627282930313233353637383940414243444546474849[[#This Row],[Total]]</f>
        <v>192</v>
      </c>
      <c r="I15" s="240">
        <f>IF(T_T1341112131415161718192021222324252627282930313233353637383940414243444546474849[[#This Row],[Total]]&lt;0,T_T1341112131415161718192021222324252627282930313233353637383940414243444546474849[[#This Row],[Total]]*-1,0)</f>
        <v>0</v>
      </c>
      <c r="J15" s="355"/>
      <c r="K15" s="550"/>
      <c r="L15" t="s">
        <v>494</v>
      </c>
    </row>
    <row r="16" spans="1:13" x14ac:dyDescent="0.3">
      <c r="A16" s="17"/>
      <c r="B16" s="18" t="s">
        <v>531</v>
      </c>
      <c r="C16" s="6">
        <v>8721</v>
      </c>
      <c r="D16" s="2">
        <v>-185</v>
      </c>
      <c r="E16" s="2">
        <v>-7</v>
      </c>
      <c r="F16" s="230"/>
      <c r="G16" s="230">
        <f t="shared" ref="G16:G41" si="0">SUM(D16:F16)</f>
        <v>-192</v>
      </c>
      <c r="H16" s="233">
        <f t="shared" ref="H16:H42" si="1">H15+G16</f>
        <v>0</v>
      </c>
      <c r="I16" s="240">
        <f>IF(T_T1341112131415161718192021222324252627282930313233353637383940414243444546474849[[#This Row],[Total]]&lt;0,T_T1341112131415161718192021222324252627282930313233353637383940414243444546474849[[#This Row],[Total]]*-1,0)</f>
        <v>192</v>
      </c>
      <c r="J16" s="355"/>
      <c r="K16" s="550"/>
    </row>
    <row r="17" spans="1:11" x14ac:dyDescent="0.3">
      <c r="A17" s="164">
        <v>45715</v>
      </c>
      <c r="B17" s="161" t="s">
        <v>532</v>
      </c>
      <c r="C17" s="6"/>
      <c r="D17" s="2">
        <v>185</v>
      </c>
      <c r="E17" s="2">
        <v>9</v>
      </c>
      <c r="F17" s="230"/>
      <c r="G17" s="230">
        <f t="shared" si="0"/>
        <v>194</v>
      </c>
      <c r="H17" s="233">
        <f t="shared" si="1"/>
        <v>194</v>
      </c>
      <c r="I17" s="240">
        <f>IF(T_T1341112131415161718192021222324252627282930313233353637383940414243444546474849[[#This Row],[Total]]&lt;0,T_T1341112131415161718192021222324252627282930313233353637383940414243444546474849[[#This Row],[Total]]*-1,0)</f>
        <v>0</v>
      </c>
      <c r="J17" s="355"/>
      <c r="K17" s="550"/>
    </row>
    <row r="18" spans="1:11" x14ac:dyDescent="0.3">
      <c r="A18" s="187"/>
      <c r="B18" s="18" t="s">
        <v>533</v>
      </c>
      <c r="C18" s="6">
        <v>8721</v>
      </c>
      <c r="D18" s="2">
        <v>-185</v>
      </c>
      <c r="E18" s="2">
        <v>-9</v>
      </c>
      <c r="F18" s="230"/>
      <c r="G18" s="230">
        <f t="shared" si="0"/>
        <v>-194</v>
      </c>
      <c r="H18" s="233">
        <f t="shared" si="1"/>
        <v>0</v>
      </c>
      <c r="I18" s="240">
        <f>IF(T_T1341112131415161718192021222324252627282930313233353637383940414243444546474849[[#This Row],[Total]]&lt;0,T_T1341112131415161718192021222324252627282930313233353637383940414243444546474849[[#This Row],[Total]]*-1,0)</f>
        <v>194</v>
      </c>
      <c r="J18" s="355"/>
      <c r="K18" s="550"/>
    </row>
    <row r="19" spans="1:11" x14ac:dyDescent="0.3">
      <c r="A19" s="188">
        <v>45747</v>
      </c>
      <c r="B19" s="3" t="s">
        <v>534</v>
      </c>
      <c r="C19" s="6"/>
      <c r="D19" s="2">
        <v>222</v>
      </c>
      <c r="E19" s="2">
        <v>7</v>
      </c>
      <c r="F19" s="230"/>
      <c r="G19" s="230">
        <f t="shared" si="0"/>
        <v>229</v>
      </c>
      <c r="H19" s="233">
        <f t="shared" si="1"/>
        <v>229</v>
      </c>
      <c r="I19" s="240">
        <f>IF(T_T1341112131415161718192021222324252627282930313233353637383940414243444546474849[[#This Row],[Total]]&lt;0,T_T1341112131415161718192021222324252627282930313233353637383940414243444546474849[[#This Row],[Total]]*-1,0)</f>
        <v>0</v>
      </c>
      <c r="J19" s="355"/>
      <c r="K19" s="550"/>
    </row>
    <row r="20" spans="1:11" x14ac:dyDescent="0.3">
      <c r="A20" s="188"/>
      <c r="B20" s="82" t="s">
        <v>535</v>
      </c>
      <c r="C20" s="6" t="s">
        <v>628</v>
      </c>
      <c r="D20" s="2">
        <v>-185</v>
      </c>
      <c r="E20" s="2">
        <v>-7</v>
      </c>
      <c r="F20" s="230"/>
      <c r="G20" s="230">
        <f t="shared" si="0"/>
        <v>-192</v>
      </c>
      <c r="H20" s="233">
        <f t="shared" si="1"/>
        <v>37</v>
      </c>
      <c r="I20" s="240">
        <f>IF(T_T1341112131415161718192021222324252627282930313233353637383940414243444546474849[[#This Row],[Total]]&lt;0,T_T1341112131415161718192021222324252627282930313233353637383940414243444546474849[[#This Row],[Total]]*-1,0)</f>
        <v>192</v>
      </c>
      <c r="J20" s="355"/>
      <c r="K20" s="550" t="s">
        <v>625</v>
      </c>
    </row>
    <row r="21" spans="1:11" x14ac:dyDescent="0.3">
      <c r="A21" s="188">
        <v>45777</v>
      </c>
      <c r="B21" s="3" t="s">
        <v>536</v>
      </c>
      <c r="C21" s="6"/>
      <c r="D21" s="2">
        <v>222</v>
      </c>
      <c r="E21" s="2">
        <v>7</v>
      </c>
      <c r="F21" s="230"/>
      <c r="G21" s="230">
        <f t="shared" si="0"/>
        <v>229</v>
      </c>
      <c r="H21" s="233">
        <f t="shared" si="1"/>
        <v>266</v>
      </c>
      <c r="I21" s="309">
        <f>IF(T_T1341112131415161718192021222324252627282930313233353637383940414243444546474849[[#This Row],[Total]]&lt;0,T_T1341112131415161718192021222324252627282930313233353637383940414243444546474849[[#This Row],[Total]]*-1,0)</f>
        <v>0</v>
      </c>
      <c r="J21" s="355"/>
      <c r="K21" s="550"/>
    </row>
    <row r="22" spans="1:11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266</v>
      </c>
      <c r="I22" s="309">
        <f>IF(T_T1341112131415161718192021222324252627282930313233353637383940414243444546474849[[#This Row],[Total]]&lt;0,T_T1341112131415161718192021222324252627282930313233353637383940414243444546474849[[#This Row],[Total]]*-1,0)</f>
        <v>0</v>
      </c>
      <c r="J22" s="355"/>
      <c r="K22" s="550"/>
    </row>
    <row r="23" spans="1:11" x14ac:dyDescent="0.3">
      <c r="A23" s="40">
        <v>45807</v>
      </c>
      <c r="B23" s="3" t="s">
        <v>538</v>
      </c>
      <c r="C23" s="229"/>
      <c r="D23" s="230">
        <v>222</v>
      </c>
      <c r="E23" s="230">
        <v>5</v>
      </c>
      <c r="F23" s="230"/>
      <c r="G23" s="230">
        <f t="shared" si="0"/>
        <v>227</v>
      </c>
      <c r="H23" s="233">
        <f t="shared" si="1"/>
        <v>493</v>
      </c>
      <c r="I23" s="309">
        <f>IF(T_T1341112131415161718192021222324252627282930313233353637383940414243444546474849[[#This Row],[Total]]&lt;0,T_T1341112131415161718192021222324252627282930313233353637383940414243444546474849[[#This Row],[Total]]*-1,0)</f>
        <v>0</v>
      </c>
      <c r="J23" s="355"/>
      <c r="K23" s="550"/>
    </row>
    <row r="24" spans="1:11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493</v>
      </c>
      <c r="I24" s="309">
        <f>IF(T_T1341112131415161718192021222324252627282930313233353637383940414243444546474849[[#This Row],[Total]]&lt;0,T_T1341112131415161718192021222324252627282930313233353637383940414243444546474849[[#This Row],[Total]]*-1,0)</f>
        <v>0</v>
      </c>
      <c r="J24" s="355"/>
      <c r="K24" s="550"/>
    </row>
    <row r="25" spans="1:11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493</v>
      </c>
      <c r="I25" s="309">
        <f>IF(T_T1341112131415161718192021222324252627282930313233353637383940414243444546474849[[#This Row],[Total]]&lt;0,T_T1341112131415161718192021222324252627282930313233353637383940414243444546474849[[#This Row],[Total]]*-1,0)</f>
        <v>0</v>
      </c>
      <c r="J25" s="355"/>
      <c r="K25" s="550"/>
    </row>
    <row r="26" spans="1:11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493</v>
      </c>
      <c r="I26" s="309">
        <f>IF(T_T1341112131415161718192021222324252627282930313233353637383940414243444546474849[[#This Row],[Total]]&lt;0,T_T1341112131415161718192021222324252627282930313233353637383940414243444546474849[[#This Row],[Total]]*-1,0)</f>
        <v>0</v>
      </c>
      <c r="J26" s="355"/>
      <c r="K26" s="550"/>
    </row>
    <row r="27" spans="1:11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493</v>
      </c>
      <c r="I27" s="309">
        <f>IF(T_T1341112131415161718192021222324252627282930313233353637383940414243444546474849[[#This Row],[Total]]&lt;0,T_T1341112131415161718192021222324252627282930313233353637383940414243444546474849[[#This Row],[Total]]*-1,0)</f>
        <v>0</v>
      </c>
      <c r="J27" s="355"/>
      <c r="K27" s="550"/>
    </row>
    <row r="28" spans="1:11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493</v>
      </c>
      <c r="I28" s="309">
        <f>IF(T_T1341112131415161718192021222324252627282930313233353637383940414243444546474849[[#This Row],[Total]]&lt;0,T_T1341112131415161718192021222324252627282930313233353637383940414243444546474849[[#This Row],[Total]]*-1,0)</f>
        <v>0</v>
      </c>
      <c r="J28" s="355"/>
      <c r="K28" s="550"/>
    </row>
    <row r="29" spans="1:11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493</v>
      </c>
      <c r="I29" s="309">
        <f>IF(T_T1341112131415161718192021222324252627282930313233353637383940414243444546474849[[#This Row],[Total]]&lt;0,T_T1341112131415161718192021222324252627282930313233353637383940414243444546474849[[#This Row],[Total]]*-1,0)</f>
        <v>0</v>
      </c>
      <c r="J29" s="355"/>
      <c r="K29" s="550"/>
    </row>
    <row r="30" spans="1:11" x14ac:dyDescent="0.3">
      <c r="A30" s="107"/>
      <c r="B30" s="82" t="s">
        <v>545</v>
      </c>
      <c r="C30" s="6"/>
      <c r="D30" s="230"/>
      <c r="E30" s="7"/>
      <c r="F30" s="230"/>
      <c r="G30" s="230">
        <f t="shared" si="0"/>
        <v>0</v>
      </c>
      <c r="H30" s="233">
        <f t="shared" si="1"/>
        <v>493</v>
      </c>
      <c r="I30" s="309">
        <f>IF(T_T1341112131415161718192021222324252627282930313233353637383940414243444546474849[[#This Row],[Total]]&lt;0,T_T1341112131415161718192021222324252627282930313233353637383940414243444546474849[[#This Row],[Total]]*-1,0)</f>
        <v>0</v>
      </c>
      <c r="J30" s="355"/>
      <c r="K30" s="550"/>
    </row>
    <row r="31" spans="1:11" x14ac:dyDescent="0.3">
      <c r="A31" s="9">
        <v>45930</v>
      </c>
      <c r="B31" s="3" t="s">
        <v>546</v>
      </c>
      <c r="C31" s="376"/>
      <c r="D31" s="377"/>
      <c r="E31" s="377"/>
      <c r="F31" s="377"/>
      <c r="G31" s="230">
        <f t="shared" si="0"/>
        <v>0</v>
      </c>
      <c r="H31" s="233">
        <f t="shared" si="1"/>
        <v>493</v>
      </c>
      <c r="I31" s="353">
        <f>IF(T_T1341112131415161718192021222324252627282930313233353637383940414243444546474849[[#This Row],[Total]]&lt;0,T_T1341112131415161718192021222324252627282930313233353637383940414243444546474849[[#This Row],[Total]]*-1,0)</f>
        <v>0</v>
      </c>
      <c r="J31" s="355"/>
      <c r="K31" s="550"/>
    </row>
    <row r="32" spans="1:11" x14ac:dyDescent="0.3">
      <c r="A32" s="9"/>
      <c r="B32" s="3" t="s">
        <v>547</v>
      </c>
      <c r="C32" s="376"/>
      <c r="D32" s="377"/>
      <c r="E32" s="377"/>
      <c r="F32" s="377"/>
      <c r="G32" s="230">
        <f t="shared" si="0"/>
        <v>0</v>
      </c>
      <c r="H32" s="233">
        <f t="shared" si="1"/>
        <v>493</v>
      </c>
      <c r="I32" s="353">
        <f>IF(T_T1341112131415161718192021222324252627282930313233353637383940414243444546474849[[#This Row],[Total]]&lt;0,T_T1341112131415161718192021222324252627282930313233353637383940414243444546474849[[#This Row],[Total]]*-1,0)</f>
        <v>0</v>
      </c>
      <c r="J32" s="355"/>
      <c r="K32" s="550"/>
    </row>
    <row r="33" spans="1:11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493</v>
      </c>
      <c r="I33" s="353">
        <f>IF(T_T1341112131415161718192021222324252627282930313233353637383940414243444546474849[[#This Row],[Total]]&lt;0,T_T1341112131415161718192021222324252627282930313233353637383940414243444546474849[[#This Row],[Total]]*-1,0)</f>
        <v>0</v>
      </c>
      <c r="J33" s="355"/>
      <c r="K33" s="550"/>
    </row>
    <row r="34" spans="1:11" x14ac:dyDescent="0.3">
      <c r="A34" s="9"/>
      <c r="B34" s="3" t="s">
        <v>549</v>
      </c>
      <c r="C34" s="6"/>
      <c r="D34" s="230"/>
      <c r="E34" s="230"/>
      <c r="F34" s="230"/>
      <c r="G34" s="230">
        <f t="shared" si="0"/>
        <v>0</v>
      </c>
      <c r="H34" s="233">
        <f t="shared" si="1"/>
        <v>493</v>
      </c>
      <c r="I34" s="353">
        <f>IF(T_T1341112131415161718192021222324252627282930313233353637383940414243444546474849[[#This Row],[Total]]&lt;0,T_T1341112131415161718192021222324252627282930313233353637383940414243444546474849[[#This Row],[Total]]*-1,0)</f>
        <v>0</v>
      </c>
      <c r="J34" s="355"/>
      <c r="K34" s="550"/>
    </row>
    <row r="35" spans="1:11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493</v>
      </c>
      <c r="I35" s="353">
        <f>IF(T_T1341112131415161718192021222324252627282930313233353637383940414243444546474849[[#This Row],[Total]]&lt;0,T_T1341112131415161718192021222324252627282930313233353637383940414243444546474849[[#This Row],[Total]]*-1,0)</f>
        <v>0</v>
      </c>
      <c r="J35" s="355"/>
      <c r="K35" s="550"/>
    </row>
    <row r="36" spans="1:11" x14ac:dyDescent="0.3">
      <c r="A36" s="17"/>
      <c r="B36" s="18" t="s">
        <v>551</v>
      </c>
      <c r="C36" s="6"/>
      <c r="D36" s="230"/>
      <c r="E36" s="230"/>
      <c r="F36" s="230"/>
      <c r="G36" s="230">
        <f t="shared" si="0"/>
        <v>0</v>
      </c>
      <c r="H36" s="233">
        <f t="shared" si="1"/>
        <v>493</v>
      </c>
      <c r="I36" s="353">
        <f>IF(T_T1341112131415161718192021222324252627282930313233353637383940414243444546474849[[#This Row],[Total]]&lt;0,T_T1341112131415161718192021222324252627282930313233353637383940414243444546474849[[#This Row],[Total]]*-1,0)</f>
        <v>0</v>
      </c>
      <c r="J36" s="355"/>
      <c r="K36" s="550"/>
    </row>
    <row r="37" spans="1:11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493</v>
      </c>
      <c r="I37" s="353">
        <f>IF(T_T1341112131415161718192021222324252627282930313233353637383940414243444546474849[[#This Row],[Total]]&lt;0,T_T1341112131415161718192021222324252627282930313233353637383940414243444546474849[[#This Row],[Total]]*-1,0)</f>
        <v>0</v>
      </c>
      <c r="J37" s="355"/>
      <c r="K37" s="550"/>
    </row>
    <row r="38" spans="1:11" x14ac:dyDescent="0.3">
      <c r="A38" s="257"/>
      <c r="B38" s="110" t="s">
        <v>553</v>
      </c>
      <c r="C38" s="6"/>
      <c r="D38" s="230"/>
      <c r="E38" s="230"/>
      <c r="F38" s="230"/>
      <c r="G38" s="230">
        <f t="shared" si="0"/>
        <v>0</v>
      </c>
      <c r="H38" s="233">
        <f t="shared" si="1"/>
        <v>493</v>
      </c>
      <c r="I38" s="353">
        <f>IF(T_T1341112131415161718192021222324252627282930313233353637383940414243444546474849[[#This Row],[Total]]&lt;0,T_T1341112131415161718192021222324252627282930313233353637383940414243444546474849[[#This Row],[Total]]*-1,0)</f>
        <v>0</v>
      </c>
      <c r="J38" s="355"/>
      <c r="K38" s="550"/>
    </row>
    <row r="39" spans="1:11" x14ac:dyDescent="0.3">
      <c r="A39" s="107"/>
      <c r="B39" s="82"/>
      <c r="C39" s="229"/>
      <c r="D39" s="230"/>
      <c r="E39" s="230"/>
      <c r="F39" s="230"/>
      <c r="G39" s="230">
        <f t="shared" si="0"/>
        <v>0</v>
      </c>
      <c r="H39" s="233">
        <f t="shared" si="1"/>
        <v>493</v>
      </c>
      <c r="I39" s="353">
        <f>IF(T_T1341112131415161718192021222324252627282930313233353637383940414243444546474849[[#This Row],[Total]]&lt;0,T_T1341112131415161718192021222324252627282930313233353637383940414243444546474849[[#This Row],[Total]]*-1,0)</f>
        <v>0</v>
      </c>
      <c r="J39" s="355"/>
      <c r="K39" s="550"/>
    </row>
    <row r="40" spans="1:11" x14ac:dyDescent="0.3">
      <c r="A40" s="107"/>
      <c r="B40" s="82"/>
      <c r="C40" s="6"/>
      <c r="D40" s="230"/>
      <c r="E40" s="230"/>
      <c r="F40" s="230"/>
      <c r="G40" s="230">
        <f t="shared" si="0"/>
        <v>0</v>
      </c>
      <c r="H40" s="233">
        <f t="shared" si="1"/>
        <v>493</v>
      </c>
      <c r="I40" s="353">
        <f>IF(T_T1341112131415161718192021222324252627282930313233353637383940414243444546474849[[#This Row],[Total]]&lt;0,T_T1341112131415161718192021222324252627282930313233353637383940414243444546474849[[#This Row],[Total]]*-1,0)</f>
        <v>0</v>
      </c>
      <c r="J40" s="355"/>
      <c r="K40" s="550"/>
    </row>
    <row r="41" spans="1:11" x14ac:dyDescent="0.3">
      <c r="A41" s="170"/>
      <c r="B41" s="18"/>
      <c r="C41" s="229"/>
      <c r="D41" s="230"/>
      <c r="E41" s="230"/>
      <c r="F41" s="230"/>
      <c r="G41" s="230">
        <f t="shared" si="0"/>
        <v>0</v>
      </c>
      <c r="H41" s="233">
        <f t="shared" si="1"/>
        <v>493</v>
      </c>
      <c r="I41" s="353">
        <f>IF(T_T1341112131415161718192021222324252627282930313233353637383940414243444546474849[[#This Row],[Total]]&lt;0,T_T1341112131415161718192021222324252627282930313233353637383940414243444546474849[[#This Row],[Total]]*-1,0)</f>
        <v>0</v>
      </c>
      <c r="J41" s="355"/>
      <c r="K41" s="550"/>
    </row>
    <row r="42" spans="1:11" x14ac:dyDescent="0.3">
      <c r="A42" s="107"/>
      <c r="B42" s="82"/>
      <c r="C42" s="229"/>
      <c r="D42" s="230"/>
      <c r="E42" s="230"/>
      <c r="F42" s="230"/>
      <c r="G42" s="230">
        <f>SUM(D42:F49)</f>
        <v>0</v>
      </c>
      <c r="H42" s="233">
        <f t="shared" si="1"/>
        <v>493</v>
      </c>
      <c r="I42" s="353">
        <f>IF(T_T1341112131415161718192021222324252627282930313233353637383940414243444546474849[[#This Row],[Total]]&lt;0,T_T1341112131415161718192021222324252627282930313233353637383940414243444546474849[[#This Row],[Total]]*-1,0)</f>
        <v>0</v>
      </c>
      <c r="J42" s="383"/>
      <c r="K42" s="550"/>
    </row>
    <row r="43" spans="1:11" x14ac:dyDescent="0.3">
      <c r="A43" s="17"/>
      <c r="B43" s="18"/>
      <c r="C43" s="595"/>
      <c r="D43" s="596"/>
      <c r="E43" s="596"/>
      <c r="F43" s="596"/>
      <c r="G43" s="596"/>
      <c r="H43" s="597"/>
      <c r="I43" s="598"/>
      <c r="J43" s="599"/>
      <c r="K43" s="76"/>
    </row>
  </sheetData>
  <hyperlinks>
    <hyperlink ref="B7" r:id="rId1" display="jose.orozco@outlook.com"/>
    <hyperlink ref="H7" location="Resumen!A1" display="Rsumen         "/>
  </hyperlinks>
  <pageMargins left="0.70866141732283472" right="0.70866141732283472" top="0.74803149606299213" bottom="0.74803149606299213" header="0.31496062992125984" footer="0.31496062992125984"/>
  <pageSetup scale="55" orientation="portrait" horizontalDpi="4294967293" verticalDpi="360" r:id="rId2"/>
  <drawing r:id="rId3"/>
  <tableParts count="1">
    <tablePart r:id="rId4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N41"/>
  <sheetViews>
    <sheetView showGridLines="0" zoomScale="98" zoomScaleNormal="98" workbookViewId="0">
      <selection activeCell="H23" sqref="H23"/>
    </sheetView>
  </sheetViews>
  <sheetFormatPr baseColWidth="10" defaultColWidth="9.109375" defaultRowHeight="14.4" x14ac:dyDescent="0.3"/>
  <cols>
    <col min="1" max="1" width="14.6640625" customWidth="1"/>
    <col min="2" max="2" width="34" customWidth="1"/>
    <col min="3" max="3" width="9" style="4" customWidth="1"/>
    <col min="4" max="4" width="10.109375" style="1" customWidth="1"/>
    <col min="5" max="5" width="8" style="1" customWidth="1"/>
    <col min="6" max="6" width="4.33203125" style="1" customWidth="1"/>
    <col min="7" max="7" width="11.88671875" style="1" customWidth="1"/>
    <col min="8" max="8" width="12.44140625" style="1" customWidth="1"/>
    <col min="9" max="9" width="12.88671875" hidden="1" customWidth="1"/>
    <col min="14" max="14" width="10.6640625" bestFit="1" customWidth="1"/>
    <col min="15" max="15" width="18.109375" customWidth="1"/>
  </cols>
  <sheetData>
    <row r="2" spans="1:14" ht="15.6" x14ac:dyDescent="0.3">
      <c r="A2" s="27" t="s">
        <v>36</v>
      </c>
      <c r="B2" s="41" t="s">
        <v>98</v>
      </c>
    </row>
    <row r="3" spans="1:14" x14ac:dyDescent="0.3">
      <c r="A3" s="21"/>
      <c r="B3" s="21" t="s">
        <v>239</v>
      </c>
    </row>
    <row r="4" spans="1:14" hidden="1" x14ac:dyDescent="0.3">
      <c r="A4" s="21"/>
      <c r="B4" s="21"/>
    </row>
    <row r="5" spans="1:14" hidden="1" x14ac:dyDescent="0.3">
      <c r="A5" s="21"/>
      <c r="B5" s="21"/>
    </row>
    <row r="6" spans="1:14" hidden="1" x14ac:dyDescent="0.3">
      <c r="A6" s="21"/>
      <c r="B6" s="21"/>
    </row>
    <row r="7" spans="1:14" hidden="1" x14ac:dyDescent="0.3">
      <c r="A7" s="21"/>
      <c r="B7" s="21"/>
    </row>
    <row r="8" spans="1:14" x14ac:dyDescent="0.3">
      <c r="A8" s="21"/>
      <c r="B8" s="21"/>
    </row>
    <row r="9" spans="1:14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96" t="s">
        <v>188</v>
      </c>
    </row>
    <row r="10" spans="1:14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IF(T_T134111213141516171819202122232425262728293031323335363738394041424344454647484950[[#This Row],[Total]]&lt;0,T_T134111213141516171819202122232425262728293031323335363738394041424344454647484950[[#This Row],[Total]]*-1,0)</f>
        <v>0</v>
      </c>
      <c r="J10" s="95"/>
      <c r="N10" s="178"/>
    </row>
    <row r="11" spans="1:14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IF(T_T134111213141516171819202122232425262728293031323335363738394041424344454647484950[[#This Row],[Total]]&lt;0,T_T134111213141516171819202122232425262728293031323335363738394041424344454647484950[[#This Row],[Total]]*-1,0)</f>
        <v>0</v>
      </c>
      <c r="J11" s="231"/>
    </row>
    <row r="12" spans="1:14" x14ac:dyDescent="0.3">
      <c r="A12" s="361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IF(T_T134111213141516171819202122232425262728293031323335363738394041424344454647484950[[#This Row],[Total]]&lt;0,T_T134111213141516171819202122232425262728293031323335363738394041424344454647484950[[#This Row],[Total]]*-1,0)</f>
        <v>0</v>
      </c>
      <c r="J12" s="427"/>
    </row>
    <row r="13" spans="1:14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IF(T_T134111213141516171819202122232425262728293031323335363738394041424344454647484950[[#This Row],[Total]]&lt;0,T_T134111213141516171819202122232425262728293031323335363738394041424344454647484950[[#This Row],[Total]]*-1,0)</f>
        <v>0</v>
      </c>
      <c r="J13" s="231"/>
    </row>
    <row r="14" spans="1:14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IF(T_T134111213141516171819202122232425262728293031323335363738394041424344454647484950[[#This Row],[Total]]&lt;0,T_T134111213141516171819202122232425262728293031323335363738394041424344454647484950[[#This Row],[Total]]*-1,0)</f>
        <v>0</v>
      </c>
      <c r="J14" s="476"/>
    </row>
    <row r="15" spans="1:14" x14ac:dyDescent="0.3">
      <c r="A15" s="17">
        <v>45687</v>
      </c>
      <c r="B15" s="18" t="s">
        <v>530</v>
      </c>
      <c r="C15" s="6"/>
      <c r="D15" s="2">
        <v>210</v>
      </c>
      <c r="E15" s="2">
        <v>12</v>
      </c>
      <c r="F15" s="20"/>
      <c r="G15" s="20">
        <f>SUM(D15:F15)</f>
        <v>222</v>
      </c>
      <c r="H15" s="233">
        <f>+H13+T_T134111213141516171819202122232425262728293031323335363738394041424344454647484950[[#This Row],[Total]]</f>
        <v>222</v>
      </c>
      <c r="I15" s="240">
        <f>IF(T_T134111213141516171819202122232425262728293031323335363738394041424344454647484950[[#This Row],[Total]]&lt;0,T_T134111213141516171819202122232425262728293031323335363738394041424344454647484950[[#This Row],[Total]]*-1,0)</f>
        <v>0</v>
      </c>
      <c r="J15" s="231"/>
    </row>
    <row r="16" spans="1:14" x14ac:dyDescent="0.3">
      <c r="A16" s="17"/>
      <c r="B16" s="18" t="s">
        <v>531</v>
      </c>
      <c r="C16" s="6">
        <v>8750</v>
      </c>
      <c r="D16" s="2">
        <v>-26</v>
      </c>
      <c r="E16" s="2"/>
      <c r="F16" s="230"/>
      <c r="G16" s="230">
        <f t="shared" ref="G16:G38" si="0">SUM(D16:F16)</f>
        <v>-26</v>
      </c>
      <c r="H16" s="233">
        <f t="shared" ref="H16:H40" si="1">H15+G16</f>
        <v>196</v>
      </c>
      <c r="I16" s="240">
        <f>IF(T_T134111213141516171819202122232425262728293031323335363738394041424344454647484950[[#This Row],[Total]]&lt;0,T_T134111213141516171819202122232425262728293031323335363738394041424344454647484950[[#This Row],[Total]]*-1,0)</f>
        <v>26</v>
      </c>
      <c r="J16" s="231"/>
    </row>
    <row r="17" spans="1:12" x14ac:dyDescent="0.3">
      <c r="A17" s="164">
        <v>45715</v>
      </c>
      <c r="B17" s="161" t="s">
        <v>532</v>
      </c>
      <c r="C17" s="6"/>
      <c r="D17" s="2">
        <v>210</v>
      </c>
      <c r="E17" s="2">
        <v>21</v>
      </c>
      <c r="F17" s="230"/>
      <c r="G17" s="230">
        <f t="shared" si="0"/>
        <v>231</v>
      </c>
      <c r="H17" s="233">
        <f t="shared" si="1"/>
        <v>427</v>
      </c>
      <c r="I17" s="240">
        <f>IF(T_T134111213141516171819202122232425262728293031323335363738394041424344454647484950[[#This Row],[Total]]&lt;0,T_T134111213141516171819202122232425262728293031323335363738394041424344454647484950[[#This Row],[Total]]*-1,0)</f>
        <v>0</v>
      </c>
      <c r="J17" s="231"/>
    </row>
    <row r="18" spans="1:12" x14ac:dyDescent="0.3">
      <c r="A18" s="187"/>
      <c r="B18" s="18" t="s">
        <v>533</v>
      </c>
      <c r="C18" s="6">
        <v>8750</v>
      </c>
      <c r="D18" s="2">
        <v>-26</v>
      </c>
      <c r="E18" s="2"/>
      <c r="F18" s="230"/>
      <c r="G18" s="230">
        <f t="shared" si="0"/>
        <v>-26</v>
      </c>
      <c r="H18" s="233">
        <f t="shared" si="1"/>
        <v>401</v>
      </c>
      <c r="I18" s="240">
        <f>IF(T_T134111213141516171819202122232425262728293031323335363738394041424344454647484950[[#This Row],[Total]]&lt;0,T_T134111213141516171819202122232425262728293031323335363738394041424344454647484950[[#This Row],[Total]]*-1,0)</f>
        <v>26</v>
      </c>
      <c r="J18" s="231"/>
    </row>
    <row r="19" spans="1:12" x14ac:dyDescent="0.3">
      <c r="A19" s="188">
        <v>45747</v>
      </c>
      <c r="B19" s="3" t="s">
        <v>534</v>
      </c>
      <c r="C19" s="6"/>
      <c r="D19" s="2">
        <v>250</v>
      </c>
      <c r="E19" s="2">
        <v>10</v>
      </c>
      <c r="F19" s="230"/>
      <c r="G19" s="230">
        <f t="shared" si="0"/>
        <v>260</v>
      </c>
      <c r="H19" s="233">
        <f t="shared" si="1"/>
        <v>661</v>
      </c>
      <c r="I19" s="240">
        <f>IF(T_T134111213141516171819202122232425262728293031323335363738394041424344454647484950[[#This Row],[Total]]&lt;0,T_T134111213141516171819202122232425262728293031323335363738394041424344454647484950[[#This Row],[Total]]*-1,0)</f>
        <v>0</v>
      </c>
      <c r="J19" s="231"/>
    </row>
    <row r="20" spans="1:12" x14ac:dyDescent="0.3">
      <c r="A20" s="188"/>
      <c r="B20" s="82" t="s">
        <v>535</v>
      </c>
      <c r="C20" s="6">
        <v>8829</v>
      </c>
      <c r="D20" s="2">
        <v>-30</v>
      </c>
      <c r="E20" s="2"/>
      <c r="F20" s="230"/>
      <c r="G20" s="230">
        <f t="shared" si="0"/>
        <v>-30</v>
      </c>
      <c r="H20" s="233">
        <f t="shared" si="1"/>
        <v>631</v>
      </c>
      <c r="I20" s="240">
        <f>IF(T_T134111213141516171819202122232425262728293031323335363738394041424344454647484950[[#This Row],[Total]]&lt;0,T_T134111213141516171819202122232425262728293031323335363738394041424344454647484950[[#This Row],[Total]]*-1,0)</f>
        <v>30</v>
      </c>
      <c r="J20" s="231"/>
    </row>
    <row r="21" spans="1:12" x14ac:dyDescent="0.3">
      <c r="A21" s="188">
        <v>45777</v>
      </c>
      <c r="B21" s="3" t="s">
        <v>536</v>
      </c>
      <c r="C21" s="6"/>
      <c r="D21" s="2">
        <v>250</v>
      </c>
      <c r="E21" s="2">
        <v>12</v>
      </c>
      <c r="F21" s="230"/>
      <c r="G21" s="230">
        <f t="shared" si="0"/>
        <v>262</v>
      </c>
      <c r="H21" s="233">
        <f t="shared" si="1"/>
        <v>893</v>
      </c>
      <c r="I21" s="309">
        <f>IF(T_T134111213141516171819202122232425262728293031323335363738394041424344454647484950[[#This Row],[Total]]&lt;0,T_T134111213141516171819202122232425262728293031323335363738394041424344454647484950[[#This Row],[Total]]*-1,0)</f>
        <v>0</v>
      </c>
      <c r="J21" s="320"/>
    </row>
    <row r="22" spans="1:12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893</v>
      </c>
      <c r="I22" s="309">
        <f>IF(T_T134111213141516171819202122232425262728293031323335363738394041424344454647484950[[#This Row],[Total]]&lt;0,T_T134111213141516171819202122232425262728293031323335363738394041424344454647484950[[#This Row],[Total]]*-1,0)</f>
        <v>0</v>
      </c>
      <c r="J22" s="320"/>
    </row>
    <row r="23" spans="1:12" x14ac:dyDescent="0.3">
      <c r="A23" s="40">
        <v>45807</v>
      </c>
      <c r="B23" s="3" t="s">
        <v>538</v>
      </c>
      <c r="C23" s="229"/>
      <c r="D23" s="230">
        <v>250</v>
      </c>
      <c r="E23" s="230">
        <v>7</v>
      </c>
      <c r="F23" s="230"/>
      <c r="G23" s="230">
        <f t="shared" si="0"/>
        <v>257</v>
      </c>
      <c r="H23" s="233">
        <f t="shared" si="1"/>
        <v>1150</v>
      </c>
      <c r="I23" s="309">
        <f>IF(T_T134111213141516171819202122232425262728293031323335363738394041424344454647484950[[#This Row],[Total]]&lt;0,T_T134111213141516171819202122232425262728293031323335363738394041424344454647484950[[#This Row],[Total]]*-1,0)</f>
        <v>0</v>
      </c>
      <c r="J23" s="320"/>
      <c r="L23" t="s">
        <v>563</v>
      </c>
    </row>
    <row r="24" spans="1:12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1150</v>
      </c>
      <c r="I24" s="309">
        <f>IF(T_T134111213141516171819202122232425262728293031323335363738394041424344454647484950[[#This Row],[Total]]&lt;0,T_T134111213141516171819202122232425262728293031323335363738394041424344454647484950[[#This Row],[Total]]*-1,0)</f>
        <v>0</v>
      </c>
      <c r="J24" s="320"/>
    </row>
    <row r="25" spans="1:12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1150</v>
      </c>
      <c r="I25" s="309">
        <f>IF(T_T134111213141516171819202122232425262728293031323335363738394041424344454647484950[[#This Row],[Total]]&lt;0,T_T134111213141516171819202122232425262728293031323335363738394041424344454647484950[[#This Row],[Total]]*-1,0)</f>
        <v>0</v>
      </c>
      <c r="J25" s="320"/>
    </row>
    <row r="26" spans="1:12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1150</v>
      </c>
      <c r="I26" s="309">
        <f>IF(T_T134111213141516171819202122232425262728293031323335363738394041424344454647484950[[#This Row],[Total]]&lt;0,T_T134111213141516171819202122232425262728293031323335363738394041424344454647484950[[#This Row],[Total]]*-1,0)</f>
        <v>0</v>
      </c>
      <c r="J26" s="320"/>
    </row>
    <row r="27" spans="1:12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1150</v>
      </c>
      <c r="I27" s="309">
        <f>IF(T_T134111213141516171819202122232425262728293031323335363738394041424344454647484950[[#This Row],[Total]]&lt;0,T_T134111213141516171819202122232425262728293031323335363738394041424344454647484950[[#This Row],[Total]]*-1,0)</f>
        <v>0</v>
      </c>
      <c r="J27" s="320"/>
    </row>
    <row r="28" spans="1:12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1150</v>
      </c>
      <c r="I28" s="309">
        <f>IF(T_T134111213141516171819202122232425262728293031323335363738394041424344454647484950[[#This Row],[Total]]&lt;0,T_T134111213141516171819202122232425262728293031323335363738394041424344454647484950[[#This Row],[Total]]*-1,0)</f>
        <v>0</v>
      </c>
      <c r="J28" s="320"/>
    </row>
    <row r="29" spans="1:12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1150</v>
      </c>
      <c r="I29" s="309">
        <f>IF(T_T134111213141516171819202122232425262728293031323335363738394041424344454647484950[[#This Row],[Total]]&lt;0,T_T134111213141516171819202122232425262728293031323335363738394041424344454647484950[[#This Row],[Total]]*-1,0)</f>
        <v>0</v>
      </c>
      <c r="J29" s="320"/>
    </row>
    <row r="30" spans="1:12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1150</v>
      </c>
      <c r="I30" s="309">
        <f>IF(T_T134111213141516171819202122232425262728293031323335363738394041424344454647484950[[#This Row],[Total]]&lt;0,T_T134111213141516171819202122232425262728293031323335363738394041424344454647484950[[#This Row],[Total]]*-1,0)</f>
        <v>0</v>
      </c>
      <c r="J30" s="320"/>
    </row>
    <row r="31" spans="1:12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1150</v>
      </c>
      <c r="I31" s="309">
        <f>IF(T_T134111213141516171819202122232425262728293031323335363738394041424344454647484950[[#This Row],[Total]]&lt;0,T_T134111213141516171819202122232425262728293031323335363738394041424344454647484950[[#This Row],[Total]]*-1,0)</f>
        <v>0</v>
      </c>
      <c r="J31" s="320"/>
    </row>
    <row r="32" spans="1:12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1150</v>
      </c>
      <c r="I32" s="309">
        <f>IF(T_T134111213141516171819202122232425262728293031323335363738394041424344454647484950[[#This Row],[Total]]&lt;0,T_T134111213141516171819202122232425262728293031323335363738394041424344454647484950[[#This Row],[Total]]*-1,0)</f>
        <v>0</v>
      </c>
      <c r="J32" s="320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1150</v>
      </c>
      <c r="I33" s="309">
        <f>IF(T_T134111213141516171819202122232425262728293031323335363738394041424344454647484950[[#This Row],[Total]]&lt;0,T_T134111213141516171819202122232425262728293031323335363738394041424344454647484950[[#This Row],[Total]]*-1,0)</f>
        <v>0</v>
      </c>
      <c r="J33" s="320"/>
    </row>
    <row r="34" spans="1:10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1150</v>
      </c>
      <c r="I34" s="309">
        <f>IF(T_T134111213141516171819202122232425262728293031323335363738394041424344454647484950[[#This Row],[Total]]&lt;0,T_T134111213141516171819202122232425262728293031323335363738394041424344454647484950[[#This Row],[Total]]*-1,0)</f>
        <v>0</v>
      </c>
      <c r="J34" s="320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1150</v>
      </c>
      <c r="I35" s="309">
        <f>IF(T_T134111213141516171819202122232425262728293031323335363738394041424344454647484950[[#This Row],[Total]]&lt;0,T_T134111213141516171819202122232425262728293031323335363738394041424344454647484950[[#This Row],[Total]]*-1,0)</f>
        <v>0</v>
      </c>
      <c r="J35" s="320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1150</v>
      </c>
      <c r="I36" s="309">
        <f>IF(T_T134111213141516171819202122232425262728293031323335363738394041424344454647484950[[#This Row],[Total]]&lt;0,T_T134111213141516171819202122232425262728293031323335363738394041424344454647484950[[#This Row],[Total]]*-1,0)</f>
        <v>0</v>
      </c>
      <c r="J36" s="320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1150</v>
      </c>
      <c r="I37" s="309">
        <f>IF(T_T134111213141516171819202122232425262728293031323335363738394041424344454647484950[[#This Row],[Total]]&lt;0,T_T134111213141516171819202122232425262728293031323335363738394041424344454647484950[[#This Row],[Total]]*-1,0)</f>
        <v>0</v>
      </c>
      <c r="J37" s="320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1150</v>
      </c>
      <c r="I38" s="353">
        <f>IF(T_T134111213141516171819202122232425262728293031323335363738394041424344454647484950[[#This Row],[Total]]&lt;0,T_T134111213141516171819202122232425262728293031323335363738394041424344454647484950[[#This Row],[Total]]*-1,0)</f>
        <v>0</v>
      </c>
      <c r="J38" s="355"/>
    </row>
    <row r="39" spans="1:10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1150</v>
      </c>
      <c r="I39" s="353">
        <f>IF(T_T134111213141516171819202122232425262728293031323335363738394041424344454647484950[[#This Row],[Total]]&lt;0,T_T134111213141516171819202122232425262728293031323335363738394041424344454647484950[[#This Row],[Total]]*-1,0)</f>
        <v>0</v>
      </c>
      <c r="J39" s="355"/>
    </row>
    <row r="40" spans="1:10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1150</v>
      </c>
      <c r="I40" s="353">
        <f>IF(T_T134111213141516171819202122232425262728293031323335363738394041424344454647484950[[#This Row],[Total]]&lt;0,T_T134111213141516171819202122232425262728293031323335363738394041424344454647484950[[#This Row],[Total]]*-1,0)</f>
        <v>0</v>
      </c>
      <c r="J40" s="355"/>
    </row>
    <row r="41" spans="1:10" x14ac:dyDescent="0.3">
      <c r="A41" s="615"/>
      <c r="B41" s="18"/>
      <c r="C41" s="121"/>
      <c r="D41" s="70"/>
      <c r="E41" s="70"/>
      <c r="F41" s="70"/>
      <c r="G41" s="70"/>
      <c r="H41" s="612"/>
      <c r="I41" s="613"/>
      <c r="J41" s="228"/>
    </row>
  </sheetData>
  <pageMargins left="0.39" right="0.70866141732283472" top="0.35" bottom="0.3" header="0.31496062992125984" footer="0.31496062992125984"/>
  <pageSetup scale="70" orientation="portrait" verticalDpi="360" r:id="rId1"/>
  <tableParts count="1">
    <tablePart r:id="rId2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M42"/>
  <sheetViews>
    <sheetView showGridLines="0" zoomScale="86" zoomScaleNormal="86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6" style="1" customWidth="1"/>
    <col min="5" max="5" width="11.88671875" style="1" customWidth="1"/>
    <col min="6" max="6" width="11.33203125" style="1" customWidth="1"/>
    <col min="7" max="7" width="11.88671875" style="1" customWidth="1"/>
    <col min="8" max="8" width="12.33203125" style="1" customWidth="1"/>
    <col min="9" max="9" width="0.33203125" style="214" hidden="1" customWidth="1"/>
    <col min="13" max="13" width="10.6640625" bestFit="1" customWidth="1"/>
    <col min="14" max="14" width="19.44140625" customWidth="1"/>
  </cols>
  <sheetData>
    <row r="2" spans="1:13" ht="15.6" x14ac:dyDescent="0.3">
      <c r="A2" s="27" t="s">
        <v>36</v>
      </c>
      <c r="B2" s="41" t="s">
        <v>99</v>
      </c>
    </row>
    <row r="3" spans="1:13" x14ac:dyDescent="0.3">
      <c r="A3" s="27" t="s">
        <v>31</v>
      </c>
      <c r="B3" s="28" t="s">
        <v>240</v>
      </c>
    </row>
    <row r="4" spans="1:13" hidden="1" x14ac:dyDescent="0.3">
      <c r="A4" s="27"/>
      <c r="B4" s="28"/>
    </row>
    <row r="5" spans="1:13" hidden="1" x14ac:dyDescent="0.3">
      <c r="A5" s="27"/>
      <c r="B5" s="28"/>
    </row>
    <row r="6" spans="1:13" hidden="1" x14ac:dyDescent="0.3">
      <c r="A6" s="27"/>
      <c r="B6" s="28"/>
    </row>
    <row r="7" spans="1:13" hidden="1" x14ac:dyDescent="0.3">
      <c r="A7" s="27"/>
      <c r="B7" s="28"/>
    </row>
    <row r="8" spans="1:13" x14ac:dyDescent="0.3">
      <c r="A8" s="21"/>
      <c r="B8" s="21"/>
    </row>
    <row r="9" spans="1:13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215" t="s">
        <v>49</v>
      </c>
    </row>
    <row r="10" spans="1:13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203">
        <f>IF(T_T13411121314151617181920212223242526272829303132333536373839404142434445464748495051[[#This Row],[Total]]&lt;0,T_T13411121314151617181920212223242526272829303132333536373839404142434445464748495051[[#This Row],[Total]]*-1,0)</f>
        <v>0</v>
      </c>
      <c r="L10">
        <v>300</v>
      </c>
      <c r="M10" s="178"/>
    </row>
    <row r="11" spans="1:13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61">
        <f>IF(T_T13411121314151617181920212223242526272829303132333536373839404142434445464748495051[[#This Row],[Total]]&lt;0,T_T13411121314151617181920212223242526272829303132333536373839404142434445464748495051[[#This Row],[Total]]*-1,0)</f>
        <v>0</v>
      </c>
      <c r="L11">
        <v>79</v>
      </c>
    </row>
    <row r="12" spans="1:13" x14ac:dyDescent="0.3">
      <c r="A12" s="117"/>
      <c r="B12" s="118" t="s">
        <v>467</v>
      </c>
      <c r="C12" s="424"/>
      <c r="D12" s="425"/>
      <c r="E12" s="425"/>
      <c r="F12" s="425"/>
      <c r="G12" s="425"/>
      <c r="H12" s="426">
        <v>0</v>
      </c>
      <c r="I12" s="437">
        <f>IF(T_T13411121314151617181920212223242526272829303132333536373839404142434445464748495051[[#This Row],[Total]]&lt;0,T_T13411121314151617181920212223242526272829303132333536373839404142434445464748495051[[#This Row],[Total]]*-1,0)</f>
        <v>0</v>
      </c>
    </row>
    <row r="13" spans="1:13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61">
        <f>IF(T_T13411121314151617181920212223242526272829303132333536373839404142434445464748495051[[#This Row],[Total]]&lt;0,T_T13411121314151617181920212223242526272829303132333536373839404142434445464748495051[[#This Row],[Total]]*-1,0)</f>
        <v>0</v>
      </c>
    </row>
    <row r="14" spans="1:13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91">
        <f>IF(T_T13411121314151617181920212223242526272829303132333536373839404142434445464748495051[[#This Row],[Total]]&lt;0,T_T13411121314151617181920212223242526272829303132333536373839404142434445464748495051[[#This Row],[Total]]*-1,0)</f>
        <v>0</v>
      </c>
    </row>
    <row r="15" spans="1:13" x14ac:dyDescent="0.3">
      <c r="A15" s="17">
        <v>45687</v>
      </c>
      <c r="B15" s="18" t="s">
        <v>530</v>
      </c>
      <c r="C15" s="6"/>
      <c r="D15" s="2">
        <v>157</v>
      </c>
      <c r="E15" s="2">
        <v>22</v>
      </c>
      <c r="F15" s="20"/>
      <c r="G15" s="20">
        <f>SUM(D15:F15)</f>
        <v>179</v>
      </c>
      <c r="H15" s="233">
        <f>+H13+T_T13411121314151617181920212223242526272829303132333536373839404142434445464748495051[[#This Row],[Total]]+H12+H11+H10</f>
        <v>179</v>
      </c>
      <c r="I15" s="261">
        <f>IF(T_T13411121314151617181920212223242526272829303132333536373839404142434445464748495051[[#This Row],[Total]]&lt;0,T_T13411121314151617181920212223242526272829303132333536373839404142434445464748495051[[#This Row],[Total]]*-1,0)</f>
        <v>0</v>
      </c>
    </row>
    <row r="16" spans="1:13" x14ac:dyDescent="0.3">
      <c r="A16" s="17"/>
      <c r="B16" s="18" t="s">
        <v>531</v>
      </c>
      <c r="C16" s="6">
        <v>8642</v>
      </c>
      <c r="D16" s="2">
        <v>-157</v>
      </c>
      <c r="E16" s="2">
        <v>-22</v>
      </c>
      <c r="F16" s="230"/>
      <c r="G16" s="230">
        <f t="shared" ref="G16:G38" si="0">SUM(D16:F16)</f>
        <v>-179</v>
      </c>
      <c r="H16" s="233">
        <f t="shared" ref="H16:H39" si="1">H15+G16</f>
        <v>0</v>
      </c>
      <c r="I16" s="261">
        <f>IF(T_T13411121314151617181920212223242526272829303132333536373839404142434445464748495051[[#This Row],[Total]]&lt;0,T_T13411121314151617181920212223242526272829303132333536373839404142434445464748495051[[#This Row],[Total]]*-1,0)</f>
        <v>179</v>
      </c>
    </row>
    <row r="17" spans="1:9" x14ac:dyDescent="0.3">
      <c r="A17" s="164">
        <v>45715</v>
      </c>
      <c r="B17" s="161" t="s">
        <v>532</v>
      </c>
      <c r="C17" s="6"/>
      <c r="D17" s="2">
        <v>157</v>
      </c>
      <c r="E17" s="2">
        <v>15</v>
      </c>
      <c r="F17" s="230"/>
      <c r="G17" s="230">
        <f t="shared" si="0"/>
        <v>172</v>
      </c>
      <c r="H17" s="233">
        <f t="shared" si="1"/>
        <v>172</v>
      </c>
      <c r="I17" s="261">
        <f>IF(T_T13411121314151617181920212223242526272829303132333536373839404142434445464748495051[[#This Row],[Total]]&lt;0,T_T13411121314151617181920212223242526272829303132333536373839404142434445464748495051[[#This Row],[Total]]*-1,0)</f>
        <v>0</v>
      </c>
    </row>
    <row r="18" spans="1:9" x14ac:dyDescent="0.3">
      <c r="A18" s="187"/>
      <c r="B18" s="18" t="s">
        <v>533</v>
      </c>
      <c r="C18" s="6">
        <v>8758</v>
      </c>
      <c r="D18" s="2">
        <v>-157</v>
      </c>
      <c r="E18" s="2">
        <v>-15</v>
      </c>
      <c r="F18" s="230"/>
      <c r="G18" s="230">
        <f t="shared" si="0"/>
        <v>-172</v>
      </c>
      <c r="H18" s="233">
        <f t="shared" si="1"/>
        <v>0</v>
      </c>
      <c r="I18" s="261">
        <f>IF(T_T13411121314151617181920212223242526272829303132333536373839404142434445464748495051[[#This Row],[Total]]&lt;0,T_T13411121314151617181920212223242526272829303132333536373839404142434445464748495051[[#This Row],[Total]]*-1,0)</f>
        <v>172</v>
      </c>
    </row>
    <row r="19" spans="1:9" x14ac:dyDescent="0.3">
      <c r="A19" s="188">
        <v>45747</v>
      </c>
      <c r="B19" s="3" t="s">
        <v>534</v>
      </c>
      <c r="C19" s="6"/>
      <c r="D19" s="2">
        <v>189</v>
      </c>
      <c r="E19" s="2">
        <v>21</v>
      </c>
      <c r="F19" s="230"/>
      <c r="G19" s="230">
        <f t="shared" si="0"/>
        <v>210</v>
      </c>
      <c r="H19" s="233">
        <f t="shared" si="1"/>
        <v>210</v>
      </c>
      <c r="I19" s="261">
        <f>IF(T_T13411121314151617181920212223242526272829303132333536373839404142434445464748495051[[#This Row],[Total]]&lt;0,T_T13411121314151617181920212223242526272829303132333536373839404142434445464748495051[[#This Row],[Total]]*-1,0)</f>
        <v>0</v>
      </c>
    </row>
    <row r="20" spans="1:9" x14ac:dyDescent="0.3">
      <c r="A20" s="188"/>
      <c r="B20" s="82" t="s">
        <v>535</v>
      </c>
      <c r="C20" s="6"/>
      <c r="D20" s="2"/>
      <c r="E20" s="2"/>
      <c r="F20" s="230"/>
      <c r="G20" s="230">
        <f t="shared" si="0"/>
        <v>0</v>
      </c>
      <c r="H20" s="233">
        <f t="shared" si="1"/>
        <v>210</v>
      </c>
      <c r="I20" s="261">
        <f>IF(T_T13411121314151617181920212223242526272829303132333536373839404142434445464748495051[[#This Row],[Total]]&lt;0,T_T13411121314151617181920212223242526272829303132333536373839404142434445464748495051[[#This Row],[Total]]*-1,0)</f>
        <v>0</v>
      </c>
    </row>
    <row r="21" spans="1:9" x14ac:dyDescent="0.3">
      <c r="A21" s="188">
        <v>45777</v>
      </c>
      <c r="B21" s="3" t="s">
        <v>536</v>
      </c>
      <c r="C21" s="6"/>
      <c r="D21" s="2">
        <v>189</v>
      </c>
      <c r="E21" s="2">
        <v>17</v>
      </c>
      <c r="F21" s="230"/>
      <c r="G21" s="230">
        <f t="shared" si="0"/>
        <v>206</v>
      </c>
      <c r="H21" s="233">
        <f t="shared" si="1"/>
        <v>416</v>
      </c>
      <c r="I21" s="327">
        <f>IF(T_T13411121314151617181920212223242526272829303132333536373839404142434445464748495051[[#This Row],[Total]]&lt;0,T_T13411121314151617181920212223242526272829303132333536373839404142434445464748495051[[#This Row],[Total]]*-1,0)</f>
        <v>0</v>
      </c>
    </row>
    <row r="22" spans="1:9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416</v>
      </c>
      <c r="I22" s="327">
        <f>IF(T_T13411121314151617181920212223242526272829303132333536373839404142434445464748495051[[#This Row],[Total]]&lt;0,T_T13411121314151617181920212223242526272829303132333536373839404142434445464748495051[[#This Row],[Total]]*-1,0)</f>
        <v>0</v>
      </c>
    </row>
    <row r="23" spans="1:9" x14ac:dyDescent="0.3">
      <c r="A23" s="40">
        <v>45807</v>
      </c>
      <c r="B23" s="3" t="s">
        <v>538</v>
      </c>
      <c r="C23" s="229"/>
      <c r="D23" s="230">
        <v>189</v>
      </c>
      <c r="E23" s="230">
        <v>17</v>
      </c>
      <c r="F23" s="230"/>
      <c r="G23" s="230">
        <f t="shared" si="0"/>
        <v>206</v>
      </c>
      <c r="H23" s="233">
        <f t="shared" si="1"/>
        <v>622</v>
      </c>
      <c r="I23" s="327">
        <f>IF(T_T13411121314151617181920212223242526272829303132333536373839404142434445464748495051[[#This Row],[Total]]&lt;0,T_T13411121314151617181920212223242526272829303132333536373839404142434445464748495051[[#This Row],[Total]]*-1,0)</f>
        <v>0</v>
      </c>
    </row>
    <row r="24" spans="1:9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622</v>
      </c>
      <c r="I24" s="327">
        <f>IF(T_T13411121314151617181920212223242526272829303132333536373839404142434445464748495051[[#This Row],[Total]]&lt;0,T_T13411121314151617181920212223242526272829303132333536373839404142434445464748495051[[#This Row],[Total]]*-1,0)</f>
        <v>0</v>
      </c>
    </row>
    <row r="25" spans="1:9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622</v>
      </c>
      <c r="I25" s="327">
        <f>IF(T_T13411121314151617181920212223242526272829303132333536373839404142434445464748495051[[#This Row],[Total]]&lt;0,T_T13411121314151617181920212223242526272829303132333536373839404142434445464748495051[[#This Row],[Total]]*-1,0)</f>
        <v>0</v>
      </c>
    </row>
    <row r="26" spans="1:9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622</v>
      </c>
      <c r="I26" s="327">
        <f>IF(T_T13411121314151617181920212223242526272829303132333536373839404142434445464748495051[[#This Row],[Total]]&lt;0,T_T13411121314151617181920212223242526272829303132333536373839404142434445464748495051[[#This Row],[Total]]*-1,0)</f>
        <v>0</v>
      </c>
    </row>
    <row r="27" spans="1:9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622</v>
      </c>
      <c r="I27" s="327">
        <f>IF(T_T13411121314151617181920212223242526272829303132333536373839404142434445464748495051[[#This Row],[Total]]&lt;0,T_T13411121314151617181920212223242526272829303132333536373839404142434445464748495051[[#This Row],[Total]]*-1,0)</f>
        <v>0</v>
      </c>
    </row>
    <row r="28" spans="1:9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622</v>
      </c>
      <c r="I28" s="327">
        <f>IF(T_T13411121314151617181920212223242526272829303132333536373839404142434445464748495051[[#This Row],[Total]]&lt;0,T_T13411121314151617181920212223242526272829303132333536373839404142434445464748495051[[#This Row],[Total]]*-1,0)</f>
        <v>0</v>
      </c>
    </row>
    <row r="29" spans="1:9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622</v>
      </c>
      <c r="I29" s="327">
        <f>IF(T_T13411121314151617181920212223242526272829303132333536373839404142434445464748495051[[#This Row],[Total]]&lt;0,T_T13411121314151617181920212223242526272829303132333536373839404142434445464748495051[[#This Row],[Total]]*-1,0)</f>
        <v>0</v>
      </c>
    </row>
    <row r="30" spans="1:9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622</v>
      </c>
      <c r="I30" s="327">
        <f>IF(T_T13411121314151617181920212223242526272829303132333536373839404142434445464748495051[[#This Row],[Total]]&lt;0,T_T13411121314151617181920212223242526272829303132333536373839404142434445464748495051[[#This Row],[Total]]*-1,0)</f>
        <v>0</v>
      </c>
    </row>
    <row r="31" spans="1:9" x14ac:dyDescent="0.3">
      <c r="A31" s="9">
        <v>45930</v>
      </c>
      <c r="B31" s="3" t="s">
        <v>546</v>
      </c>
      <c r="C31" s="229"/>
      <c r="D31" s="230"/>
      <c r="E31" s="7"/>
      <c r="F31" s="230"/>
      <c r="G31" s="230">
        <f t="shared" si="0"/>
        <v>0</v>
      </c>
      <c r="H31" s="233">
        <f t="shared" si="1"/>
        <v>622</v>
      </c>
      <c r="I31" s="327">
        <f>IF(T_T13411121314151617181920212223242526272829303132333536373839404142434445464748495051[[#This Row],[Total]]&lt;0,T_T13411121314151617181920212223242526272829303132333536373839404142434445464748495051[[#This Row],[Total]]*-1,0)</f>
        <v>0</v>
      </c>
    </row>
    <row r="32" spans="1:9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622</v>
      </c>
      <c r="I32" s="327">
        <f>IF(T_T13411121314151617181920212223242526272829303132333536373839404142434445464748495051[[#This Row],[Total]]&lt;0,T_T13411121314151617181920212223242526272829303132333536373839404142434445464748495051[[#This Row],[Total]]*-1,0)</f>
        <v>0</v>
      </c>
    </row>
    <row r="33" spans="1:9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622</v>
      </c>
      <c r="I33" s="327">
        <f>IF(T_T13411121314151617181920212223242526272829303132333536373839404142434445464748495051[[#This Row],[Total]]&lt;0,T_T13411121314151617181920212223242526272829303132333536373839404142434445464748495051[[#This Row],[Total]]*-1,0)</f>
        <v>0</v>
      </c>
    </row>
    <row r="34" spans="1:9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622</v>
      </c>
      <c r="I34" s="327">
        <f>IF(T_T13411121314151617181920212223242526272829303132333536373839404142434445464748495051[[#This Row],[Total]]&lt;0,T_T13411121314151617181920212223242526272829303132333536373839404142434445464748495051[[#This Row],[Total]]*-1,0)</f>
        <v>0</v>
      </c>
    </row>
    <row r="35" spans="1:9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622</v>
      </c>
      <c r="I35" s="327">
        <f>IF(T_T13411121314151617181920212223242526272829303132333536373839404142434445464748495051[[#This Row],[Total]]&lt;0,T_T13411121314151617181920212223242526272829303132333536373839404142434445464748495051[[#This Row],[Total]]*-1,0)</f>
        <v>0</v>
      </c>
    </row>
    <row r="36" spans="1:9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622</v>
      </c>
      <c r="I36" s="327">
        <f>IF(T_T13411121314151617181920212223242526272829303132333536373839404142434445464748495051[[#This Row],[Total]]&lt;0,T_T13411121314151617181920212223242526272829303132333536373839404142434445464748495051[[#This Row],[Total]]*-1,0)</f>
        <v>0</v>
      </c>
    </row>
    <row r="37" spans="1:9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622</v>
      </c>
      <c r="I37" s="327">
        <f>IF(T_T13411121314151617181920212223242526272829303132333536373839404142434445464748495051[[#This Row],[Total]]&lt;0,T_T13411121314151617181920212223242526272829303132333536373839404142434445464748495051[[#This Row],[Total]]*-1,0)</f>
        <v>0</v>
      </c>
    </row>
    <row r="38" spans="1:9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622</v>
      </c>
      <c r="I38" s="327">
        <f>IF(T_T13411121314151617181920212223242526272829303132333536373839404142434445464748495051[[#This Row],[Total]]&lt;0,T_T13411121314151617181920212223242526272829303132333536373839404142434445464748495051[[#This Row],[Total]]*-1,0)</f>
        <v>0</v>
      </c>
    </row>
    <row r="39" spans="1:9" x14ac:dyDescent="0.3">
      <c r="A39" s="107"/>
      <c r="B39" s="82"/>
      <c r="C39" s="229"/>
      <c r="D39" s="230"/>
      <c r="E39" s="230"/>
      <c r="F39" s="230"/>
      <c r="G39" s="230">
        <f>SUM(D39:F48)</f>
        <v>0</v>
      </c>
      <c r="H39" s="233">
        <f t="shared" si="1"/>
        <v>622</v>
      </c>
      <c r="I39" s="327">
        <f>IF(T_T13411121314151617181920212223242526272829303132333536373839404142434445464748495051[[#This Row],[Total]]&lt;0,T_T13411121314151617181920212223242526272829303132333536373839404142434445464748495051[[#This Row],[Total]]*-1,0)</f>
        <v>0</v>
      </c>
    </row>
    <row r="40" spans="1:9" x14ac:dyDescent="0.3">
      <c r="A40" s="107"/>
      <c r="B40" s="82"/>
      <c r="C40" s="471"/>
      <c r="D40" s="472"/>
      <c r="E40" s="472"/>
      <c r="F40" s="472"/>
      <c r="G40" s="472"/>
      <c r="H40" s="483"/>
      <c r="I40" s="491">
        <f>IF(T_T13411121314151617181920212223242526272829303132333536373839404142434445464748495051[[#This Row],[Total]]&lt;0,T_T13411121314151617181920212223242526272829303132333536373839404142434445464748495051[[#This Row],[Total]]*-1,0)</f>
        <v>0</v>
      </c>
    </row>
    <row r="41" spans="1:9" x14ac:dyDescent="0.3">
      <c r="A41" s="170"/>
      <c r="B41" s="18"/>
      <c r="C41" s="471"/>
      <c r="D41" s="472"/>
      <c r="E41" s="472"/>
      <c r="F41" s="472"/>
      <c r="G41" s="472"/>
      <c r="H41" s="483"/>
      <c r="I41" s="491">
        <f>IF(T_T13411121314151617181920212223242526272829303132333536373839404142434445464748495051[[#This Row],[Total]]&lt;0,T_T13411121314151617181920212223242526272829303132333536373839404142434445464748495051[[#This Row],[Total]]*-1,0)</f>
        <v>0</v>
      </c>
    </row>
    <row r="42" spans="1:9" x14ac:dyDescent="0.3">
      <c r="A42" s="494"/>
      <c r="B42" s="495"/>
      <c r="C42" s="496"/>
      <c r="D42" s="497"/>
      <c r="E42" s="497"/>
      <c r="F42" s="497"/>
      <c r="G42" s="497">
        <f>SUM(D41:F49)</f>
        <v>0</v>
      </c>
      <c r="H42" s="486">
        <f>H39+G42</f>
        <v>622</v>
      </c>
      <c r="I42" s="498"/>
    </row>
  </sheetData>
  <pageMargins left="0.70866141732283472" right="0.70866141732283472" top="0.31496062992125984" bottom="0.31496062992125984" header="0.31496062992125984" footer="0.31496062992125984"/>
  <pageSetup scale="60" orientation="portrait" verticalDpi="360" r:id="rId1"/>
  <tableParts count="1">
    <tablePart r:id="rId2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M43"/>
  <sheetViews>
    <sheetView showGridLines="0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0.6640625" bestFit="1" customWidth="1"/>
    <col min="14" max="14" width="16.5546875" customWidth="1"/>
  </cols>
  <sheetData>
    <row r="2" spans="1:13" ht="15.6" x14ac:dyDescent="0.3">
      <c r="A2" s="27" t="s">
        <v>36</v>
      </c>
      <c r="B2" s="41" t="s">
        <v>100</v>
      </c>
    </row>
    <row r="3" spans="1:13" x14ac:dyDescent="0.3">
      <c r="A3" s="27" t="s">
        <v>31</v>
      </c>
      <c r="B3" s="28" t="s">
        <v>242</v>
      </c>
    </row>
    <row r="4" spans="1:13" x14ac:dyDescent="0.3">
      <c r="A4" s="27" t="s">
        <v>32</v>
      </c>
      <c r="B4" s="28" t="e">
        <f>LOOKUP(B2,#REF!,#REF!)</f>
        <v>#REF!</v>
      </c>
    </row>
    <row r="5" spans="1:13" x14ac:dyDescent="0.3">
      <c r="A5" s="27" t="s">
        <v>33</v>
      </c>
      <c r="B5" s="28" t="e">
        <f>LOOKUP(B2,#REF!,#REF!)</f>
        <v>#REF!</v>
      </c>
    </row>
    <row r="6" spans="1:13" x14ac:dyDescent="0.3">
      <c r="A6" s="27" t="s">
        <v>34</v>
      </c>
      <c r="B6" s="28" t="e">
        <f>LOOKUP(B2,#REF!,#REF!)</f>
        <v>#REF!</v>
      </c>
      <c r="G6" s="25"/>
      <c r="H6" s="25"/>
    </row>
    <row r="7" spans="1:13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3" x14ac:dyDescent="0.3">
      <c r="A8" s="21"/>
      <c r="B8" s="21"/>
    </row>
    <row r="9" spans="1:13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13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IF(T_T1341112131415161718192021222324252627282930313233353637383940414243444546474849505152[[#This Row],[Total]]&lt;0,T_T1341112131415161718192021222324252627282930313233353637383940414243444546474849505152[[#This Row],[Total]]*-1,0)</f>
        <v>0</v>
      </c>
      <c r="M10" s="178"/>
    </row>
    <row r="11" spans="1:13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IF(T_T1341112131415161718192021222324252627282930313233353637383940414243444546474849505152[[#This Row],[Total]]&lt;0,T_T1341112131415161718192021222324252627282930313233353637383940414243444546474849505152[[#This Row],[Total]]*-1,0)</f>
        <v>0</v>
      </c>
    </row>
    <row r="12" spans="1:13" x14ac:dyDescent="0.3">
      <c r="A12" s="361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IF(T_T1341112131415161718192021222324252627282930313233353637383940414243444546474849505152[[#This Row],[Total]]&lt;0,T_T1341112131415161718192021222324252627282930313233353637383940414243444546474849505152[[#This Row],[Total]]*-1,0)</f>
        <v>0</v>
      </c>
    </row>
    <row r="13" spans="1:13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IF(T_T1341112131415161718192021222324252627282930313233353637383940414243444546474849505152[[#This Row],[Total]]&lt;0,T_T1341112131415161718192021222324252627282930313233353637383940414243444546474849505152[[#This Row],[Total]]*-1,0)</f>
        <v>0</v>
      </c>
    </row>
    <row r="14" spans="1:13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IF(T_T1341112131415161718192021222324252627282930313233353637383940414243444546474849505152[[#This Row],[Total]]&lt;0,T_T1341112131415161718192021222324252627282930313233353637383940414243444546474849505152[[#This Row],[Total]]*-1,0)</f>
        <v>0</v>
      </c>
    </row>
    <row r="15" spans="1:13" x14ac:dyDescent="0.3">
      <c r="A15" s="17">
        <v>45687</v>
      </c>
      <c r="B15" s="18" t="s">
        <v>530</v>
      </c>
      <c r="C15" s="6"/>
      <c r="D15" s="2">
        <v>237</v>
      </c>
      <c r="E15" s="2">
        <v>15</v>
      </c>
      <c r="F15" s="20"/>
      <c r="G15" s="20">
        <f>SUM(D15:F15)</f>
        <v>252</v>
      </c>
      <c r="H15" s="233">
        <f>+H13+T_T1341112131415161718192021222324252627282930313233353637383940414243444546474849505152[[#This Row],[Total]]</f>
        <v>252</v>
      </c>
      <c r="I15" s="240">
        <f>IF(T_T1341112131415161718192021222324252627282930313233353637383940414243444546474849505152[[#This Row],[Total]]&lt;0,T_T1341112131415161718192021222324252627282930313233353637383940414243444546474849505152[[#This Row],[Total]]*-1,0)</f>
        <v>0</v>
      </c>
    </row>
    <row r="16" spans="1:13" x14ac:dyDescent="0.3">
      <c r="A16" s="17"/>
      <c r="B16" s="18" t="s">
        <v>531</v>
      </c>
      <c r="C16" s="6">
        <v>8635</v>
      </c>
      <c r="D16" s="2">
        <v>-237</v>
      </c>
      <c r="E16" s="2">
        <v>-15</v>
      </c>
      <c r="F16" s="230"/>
      <c r="G16" s="230">
        <f t="shared" ref="G16:G40" si="0">SUM(D16:F16)</f>
        <v>-252</v>
      </c>
      <c r="H16" s="233">
        <f t="shared" ref="H16:H42" si="1">H15+G16</f>
        <v>0</v>
      </c>
      <c r="I16" s="240">
        <f>IF(T_T1341112131415161718192021222324252627282930313233353637383940414243444546474849505152[[#This Row],[Total]]&lt;0,T_T1341112131415161718192021222324252627282930313233353637383940414243444546474849505152[[#This Row],[Total]]*-1,0)</f>
        <v>252</v>
      </c>
    </row>
    <row r="17" spans="1:9" x14ac:dyDescent="0.3">
      <c r="A17" s="164">
        <v>45715</v>
      </c>
      <c r="B17" s="161" t="s">
        <v>532</v>
      </c>
      <c r="C17" s="6"/>
      <c r="D17" s="2">
        <v>237</v>
      </c>
      <c r="E17" s="2">
        <v>11</v>
      </c>
      <c r="F17" s="230"/>
      <c r="G17" s="230">
        <f t="shared" si="0"/>
        <v>248</v>
      </c>
      <c r="H17" s="233">
        <f t="shared" si="1"/>
        <v>248</v>
      </c>
      <c r="I17" s="240">
        <f>IF(T_T1341112131415161718192021222324252627282930313233353637383940414243444546474849505152[[#This Row],[Total]]&lt;0,T_T1341112131415161718192021222324252627282930313233353637383940414243444546474849505152[[#This Row],[Total]]*-1,0)</f>
        <v>0</v>
      </c>
    </row>
    <row r="18" spans="1:9" x14ac:dyDescent="0.3">
      <c r="A18" s="187"/>
      <c r="B18" s="18" t="s">
        <v>533</v>
      </c>
      <c r="C18" s="6">
        <v>8885</v>
      </c>
      <c r="D18" s="2">
        <v>-237</v>
      </c>
      <c r="E18" s="2">
        <v>-11</v>
      </c>
      <c r="F18" s="230"/>
      <c r="G18" s="230">
        <f t="shared" si="0"/>
        <v>-248</v>
      </c>
      <c r="H18" s="233">
        <f t="shared" si="1"/>
        <v>0</v>
      </c>
      <c r="I18" s="240">
        <f>IF(T_T1341112131415161718192021222324252627282930313233353637383940414243444546474849505152[[#This Row],[Total]]&lt;0,T_T1341112131415161718192021222324252627282930313233353637383940414243444546474849505152[[#This Row],[Total]]*-1,0)</f>
        <v>248</v>
      </c>
    </row>
    <row r="19" spans="1:9" x14ac:dyDescent="0.3">
      <c r="A19" s="188">
        <v>45747</v>
      </c>
      <c r="B19" s="3" t="s">
        <v>534</v>
      </c>
      <c r="C19" s="6"/>
      <c r="D19" s="2">
        <v>281</v>
      </c>
      <c r="E19" s="2">
        <v>7</v>
      </c>
      <c r="F19" s="230"/>
      <c r="G19" s="230">
        <f t="shared" si="0"/>
        <v>288</v>
      </c>
      <c r="H19" s="233">
        <f t="shared" si="1"/>
        <v>288</v>
      </c>
      <c r="I19" s="240">
        <f>IF(T_T1341112131415161718192021222324252627282930313233353637383940414243444546474849505152[[#This Row],[Total]]&lt;0,T_T1341112131415161718192021222324252627282930313233353637383940414243444546474849505152[[#This Row],[Total]]*-1,0)</f>
        <v>0</v>
      </c>
    </row>
    <row r="20" spans="1:9" x14ac:dyDescent="0.3">
      <c r="A20" s="188"/>
      <c r="B20" s="82" t="s">
        <v>535</v>
      </c>
      <c r="C20" s="6"/>
      <c r="D20" s="2"/>
      <c r="E20" s="2"/>
      <c r="F20" s="230"/>
      <c r="G20" s="230">
        <f t="shared" si="0"/>
        <v>0</v>
      </c>
      <c r="H20" s="233">
        <f t="shared" si="1"/>
        <v>288</v>
      </c>
      <c r="I20" s="240">
        <f>IF(T_T1341112131415161718192021222324252627282930313233353637383940414243444546474849505152[[#This Row],[Total]]&lt;0,T_T1341112131415161718192021222324252627282930313233353637383940414243444546474849505152[[#This Row],[Total]]*-1,0)</f>
        <v>0</v>
      </c>
    </row>
    <row r="21" spans="1:9" x14ac:dyDescent="0.3">
      <c r="A21" s="188">
        <v>45777</v>
      </c>
      <c r="B21" s="3" t="s">
        <v>536</v>
      </c>
      <c r="C21" s="6"/>
      <c r="D21" s="2">
        <v>281</v>
      </c>
      <c r="E21" s="2">
        <v>7</v>
      </c>
      <c r="F21" s="230"/>
      <c r="G21" s="230">
        <f t="shared" si="0"/>
        <v>288</v>
      </c>
      <c r="H21" s="233">
        <f t="shared" si="1"/>
        <v>576</v>
      </c>
      <c r="I21" s="309">
        <f>IF(T_T1341112131415161718192021222324252627282930313233353637383940414243444546474849505152[[#This Row],[Total]]&lt;0,T_T1341112131415161718192021222324252627282930313233353637383940414243444546474849505152[[#This Row],[Total]]*-1,0)</f>
        <v>0</v>
      </c>
    </row>
    <row r="22" spans="1:9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576</v>
      </c>
      <c r="I22" s="309">
        <f>IF(T_T1341112131415161718192021222324252627282930313233353637383940414243444546474849505152[[#This Row],[Total]]&lt;0,T_T1341112131415161718192021222324252627282930313233353637383940414243444546474849505152[[#This Row],[Total]]*-1,0)</f>
        <v>0</v>
      </c>
    </row>
    <row r="23" spans="1:9" x14ac:dyDescent="0.3">
      <c r="A23" s="40">
        <v>45807</v>
      </c>
      <c r="B23" s="3" t="s">
        <v>538</v>
      </c>
      <c r="C23" s="229"/>
      <c r="D23" s="230">
        <v>281</v>
      </c>
      <c r="E23" s="230">
        <v>10</v>
      </c>
      <c r="F23" s="230"/>
      <c r="G23" s="230">
        <f t="shared" si="0"/>
        <v>291</v>
      </c>
      <c r="H23" s="233">
        <f t="shared" si="1"/>
        <v>867</v>
      </c>
      <c r="I23" s="309">
        <f>IF(T_T1341112131415161718192021222324252627282930313233353637383940414243444546474849505152[[#This Row],[Total]]&lt;0,T_T1341112131415161718192021222324252627282930313233353637383940414243444546474849505152[[#This Row],[Total]]*-1,0)</f>
        <v>0</v>
      </c>
    </row>
    <row r="24" spans="1:9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867</v>
      </c>
      <c r="I24" s="309">
        <f>IF(T_T1341112131415161718192021222324252627282930313233353637383940414243444546474849505152[[#This Row],[Total]]&lt;0,T_T1341112131415161718192021222324252627282930313233353637383940414243444546474849505152[[#This Row],[Total]]*-1,0)</f>
        <v>0</v>
      </c>
    </row>
    <row r="25" spans="1:9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867</v>
      </c>
      <c r="I25" s="309">
        <f>IF(T_T1341112131415161718192021222324252627282930313233353637383940414243444546474849505152[[#This Row],[Total]]&lt;0,T_T1341112131415161718192021222324252627282930313233353637383940414243444546474849505152[[#This Row],[Total]]*-1,0)</f>
        <v>0</v>
      </c>
    </row>
    <row r="26" spans="1:9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867</v>
      </c>
      <c r="I26" s="309">
        <f>IF(T_T1341112131415161718192021222324252627282930313233353637383940414243444546474849505152[[#This Row],[Total]]&lt;0,T_T1341112131415161718192021222324252627282930313233353637383940414243444546474849505152[[#This Row],[Total]]*-1,0)</f>
        <v>0</v>
      </c>
    </row>
    <row r="27" spans="1:9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867</v>
      </c>
      <c r="I27" s="309">
        <f>IF(T_T1341112131415161718192021222324252627282930313233353637383940414243444546474849505152[[#This Row],[Total]]&lt;0,T_T1341112131415161718192021222324252627282930313233353637383940414243444546474849505152[[#This Row],[Total]]*-1,0)</f>
        <v>0</v>
      </c>
    </row>
    <row r="28" spans="1:9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867</v>
      </c>
      <c r="I28" s="309">
        <f>IF(T_T1341112131415161718192021222324252627282930313233353637383940414243444546474849505152[[#This Row],[Total]]&lt;0,T_T1341112131415161718192021222324252627282930313233353637383940414243444546474849505152[[#This Row],[Total]]*-1,0)</f>
        <v>0</v>
      </c>
    </row>
    <row r="29" spans="1:9" x14ac:dyDescent="0.3">
      <c r="A29" s="107">
        <v>45899</v>
      </c>
      <c r="B29" s="82" t="s">
        <v>544</v>
      </c>
      <c r="C29" s="443"/>
      <c r="D29" s="444"/>
      <c r="E29" s="444"/>
      <c r="F29" s="444"/>
      <c r="G29" s="230">
        <f t="shared" si="0"/>
        <v>0</v>
      </c>
      <c r="H29" s="233">
        <f t="shared" si="1"/>
        <v>867</v>
      </c>
      <c r="I29" s="430">
        <f>IF(T_T1341112131415161718192021222324252627282930313233353637383940414243444546474849505152[[#This Row],[Total]]&lt;0,T_T1341112131415161718192021222324252627282930313233353637383940414243444546474849505152[[#This Row],[Total]]*-1,0)</f>
        <v>0</v>
      </c>
    </row>
    <row r="30" spans="1:9" x14ac:dyDescent="0.3">
      <c r="A30" s="107"/>
      <c r="B30" s="82" t="s">
        <v>545</v>
      </c>
      <c r="C30" s="443"/>
      <c r="D30" s="444"/>
      <c r="E30" s="444"/>
      <c r="F30" s="444"/>
      <c r="G30" s="230">
        <f t="shared" si="0"/>
        <v>0</v>
      </c>
      <c r="H30" s="233">
        <f t="shared" si="1"/>
        <v>867</v>
      </c>
      <c r="I30" s="430">
        <f>IF(T_T1341112131415161718192021222324252627282930313233353637383940414243444546474849505152[[#This Row],[Total]]&lt;0,T_T1341112131415161718192021222324252627282930313233353637383940414243444546474849505152[[#This Row],[Total]]*-1,0)</f>
        <v>0</v>
      </c>
    </row>
    <row r="31" spans="1:9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867</v>
      </c>
      <c r="I31" s="309">
        <f>IF(T_T1341112131415161718192021222324252627282930313233353637383940414243444546474849505152[[#This Row],[Total]]&lt;0,T_T1341112131415161718192021222324252627282930313233353637383940414243444546474849505152[[#This Row],[Total]]*-1,0)</f>
        <v>0</v>
      </c>
    </row>
    <row r="32" spans="1:9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867</v>
      </c>
      <c r="I32" s="309">
        <f>IF(T_T1341112131415161718192021222324252627282930313233353637383940414243444546474849505152[[#This Row],[Total]]&lt;0,T_T1341112131415161718192021222324252627282930313233353637383940414243444546474849505152[[#This Row],[Total]]*-1,0)</f>
        <v>0</v>
      </c>
    </row>
    <row r="33" spans="1:9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867</v>
      </c>
      <c r="I33" s="309">
        <f>IF(T_T1341112131415161718192021222324252627282930313233353637383940414243444546474849505152[[#This Row],[Total]]&lt;0,T_T1341112131415161718192021222324252627282930313233353637383940414243444546474849505152[[#This Row],[Total]]*-1,0)</f>
        <v>0</v>
      </c>
    </row>
    <row r="34" spans="1:9" x14ac:dyDescent="0.3">
      <c r="A34" s="9"/>
      <c r="B34" s="3" t="s">
        <v>549</v>
      </c>
      <c r="C34" s="6"/>
      <c r="D34" s="230"/>
      <c r="E34" s="230"/>
      <c r="F34" s="230"/>
      <c r="G34" s="230">
        <f t="shared" si="0"/>
        <v>0</v>
      </c>
      <c r="H34" s="233">
        <f t="shared" si="1"/>
        <v>867</v>
      </c>
      <c r="I34" s="309">
        <f>IF(T_T1341112131415161718192021222324252627282930313233353637383940414243444546474849505152[[#This Row],[Total]]&lt;0,T_T1341112131415161718192021222324252627282930313233353637383940414243444546474849505152[[#This Row],[Total]]*-1,0)</f>
        <v>0</v>
      </c>
    </row>
    <row r="35" spans="1:9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867</v>
      </c>
      <c r="I35" s="309">
        <f>IF(T_T1341112131415161718192021222324252627282930313233353637383940414243444546474849505152[[#This Row],[Total]]&lt;0,T_T1341112131415161718192021222324252627282930313233353637383940414243444546474849505152[[#This Row],[Total]]*-1,0)</f>
        <v>0</v>
      </c>
    </row>
    <row r="36" spans="1:9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867</v>
      </c>
      <c r="I36" s="309">
        <f>IF(T_T1341112131415161718192021222324252627282930313233353637383940414243444546474849505152[[#This Row],[Total]]&lt;0,T_T1341112131415161718192021222324252627282930313233353637383940414243444546474849505152[[#This Row],[Total]]*-1,0)</f>
        <v>0</v>
      </c>
    </row>
    <row r="37" spans="1:9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867</v>
      </c>
      <c r="I37" s="309">
        <f>IF(T_T1341112131415161718192021222324252627282930313233353637383940414243444546474849505152[[#This Row],[Total]]&lt;0,T_T1341112131415161718192021222324252627282930313233353637383940414243444546474849505152[[#This Row],[Total]]*-1,0)</f>
        <v>0</v>
      </c>
    </row>
    <row r="38" spans="1:9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867</v>
      </c>
      <c r="I38" s="309">
        <f>IF(T_T1341112131415161718192021222324252627282930313233353637383940414243444546474849505152[[#This Row],[Total]]&lt;0,T_T1341112131415161718192021222324252627282930313233353637383940414243444546474849505152[[#This Row],[Total]]*-1,0)</f>
        <v>0</v>
      </c>
    </row>
    <row r="39" spans="1:9" x14ac:dyDescent="0.3">
      <c r="A39" s="107"/>
      <c r="B39" s="82"/>
      <c r="C39" s="229"/>
      <c r="D39" s="230"/>
      <c r="E39" s="230"/>
      <c r="F39" s="230"/>
      <c r="G39" s="230">
        <f t="shared" si="0"/>
        <v>0</v>
      </c>
      <c r="H39" s="233">
        <f t="shared" si="1"/>
        <v>867</v>
      </c>
      <c r="I39" s="309">
        <f>IF(T_T1341112131415161718192021222324252627282930313233353637383940414243444546474849505152[[#This Row],[Total]]&lt;0,T_T1341112131415161718192021222324252627282930313233353637383940414243444546474849505152[[#This Row],[Total]]*-1,0)</f>
        <v>0</v>
      </c>
    </row>
    <row r="40" spans="1:9" x14ac:dyDescent="0.3">
      <c r="A40" s="107"/>
      <c r="B40" s="82"/>
      <c r="C40" s="229"/>
      <c r="D40" s="230"/>
      <c r="E40" s="230"/>
      <c r="F40" s="230"/>
      <c r="G40" s="230">
        <f t="shared" si="0"/>
        <v>0</v>
      </c>
      <c r="H40" s="233">
        <f t="shared" si="1"/>
        <v>867</v>
      </c>
      <c r="I40" s="353">
        <f>IF(T_T1341112131415161718192021222324252627282930313233353637383940414243444546474849505152[[#This Row],[Total]]&lt;0,T_T1341112131415161718192021222324252627282930313233353637383940414243444546474849505152[[#This Row],[Total]]*-1,0)</f>
        <v>0</v>
      </c>
    </row>
    <row r="41" spans="1:9" x14ac:dyDescent="0.3">
      <c r="A41" s="170"/>
      <c r="B41" s="18"/>
      <c r="C41" s="229"/>
      <c r="D41" s="230"/>
      <c r="E41" s="230"/>
      <c r="F41" s="230"/>
      <c r="G41" s="230">
        <f>SUM(D41:F48)</f>
        <v>0</v>
      </c>
      <c r="H41" s="233">
        <f t="shared" si="1"/>
        <v>867</v>
      </c>
      <c r="I41" s="353">
        <f>IF(T_T1341112131415161718192021222324252627282930313233353637383940414243444546474849505152[[#This Row],[Total]]&lt;0,T_T1341112131415161718192021222324252627282930313233353637383940414243444546474849505152[[#This Row],[Total]]*-1,0)</f>
        <v>0</v>
      </c>
    </row>
    <row r="42" spans="1:9" x14ac:dyDescent="0.3">
      <c r="A42" s="107"/>
      <c r="B42" s="82"/>
      <c r="C42" s="229"/>
      <c r="D42" s="230"/>
      <c r="E42" s="230"/>
      <c r="F42" s="230"/>
      <c r="G42" s="230">
        <f>SUM(D42:F49)</f>
        <v>0</v>
      </c>
      <c r="H42" s="233">
        <f t="shared" si="1"/>
        <v>867</v>
      </c>
      <c r="I42" s="353">
        <f>IF(T_T1341112131415161718192021222324252627282930313233353637383940414243444546474849505152[[#This Row],[Total]]&lt;0,T_T1341112131415161718192021222324252627282930313233353637383940414243444546474849505152[[#This Row],[Total]]*-1,0)</f>
        <v>0</v>
      </c>
    </row>
    <row r="43" spans="1:9" x14ac:dyDescent="0.3">
      <c r="A43" s="17"/>
      <c r="B43" s="18"/>
      <c r="C43" s="466"/>
      <c r="D43" s="467"/>
      <c r="E43" s="467"/>
      <c r="F43" s="467"/>
      <c r="G43" s="467"/>
      <c r="H43" s="474"/>
      <c r="I43" s="475"/>
    </row>
  </sheetData>
  <hyperlinks>
    <hyperlink ref="B7" r:id="rId1" display="jose.orozco@outlook.com"/>
    <hyperlink ref="H7" location="Resumen!A1" display="Rsumen         "/>
  </hyperlinks>
  <pageMargins left="0.70866141732283472" right="0.70866141732283472" top="0.74803149606299213" bottom="0.74803149606299213" header="0.31496062992125984" footer="0.31496062992125984"/>
  <pageSetup scale="65" orientation="portrait" verticalDpi="360" r:id="rId2"/>
  <drawing r:id="rId3"/>
  <tableParts count="1">
    <tablePart r:id="rId4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2:M41"/>
  <sheetViews>
    <sheetView showGridLines="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0.6640625" bestFit="1" customWidth="1"/>
    <col min="14" max="14" width="17.44140625" customWidth="1"/>
  </cols>
  <sheetData>
    <row r="2" spans="1:13" ht="15.6" x14ac:dyDescent="0.3">
      <c r="A2" s="27" t="s">
        <v>36</v>
      </c>
      <c r="B2" s="41" t="s">
        <v>101</v>
      </c>
    </row>
    <row r="3" spans="1:13" x14ac:dyDescent="0.3">
      <c r="A3" s="27" t="s">
        <v>31</v>
      </c>
      <c r="B3" s="21" t="s">
        <v>265</v>
      </c>
    </row>
    <row r="4" spans="1:13" x14ac:dyDescent="0.3">
      <c r="A4" s="27"/>
      <c r="B4" s="21"/>
    </row>
    <row r="5" spans="1:13" hidden="1" x14ac:dyDescent="0.3">
      <c r="A5" s="27"/>
      <c r="B5" s="21"/>
    </row>
    <row r="6" spans="1:13" hidden="1" x14ac:dyDescent="0.3">
      <c r="A6" s="27"/>
      <c r="B6" s="21"/>
    </row>
    <row r="7" spans="1:13" hidden="1" x14ac:dyDescent="0.3">
      <c r="A7" s="27"/>
      <c r="B7" s="21"/>
    </row>
    <row r="8" spans="1:13" x14ac:dyDescent="0.3">
      <c r="A8" s="21"/>
    </row>
    <row r="9" spans="1:13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13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IF(T_T134111213141516171819202122232425262728293031323335363738394041424344454647484950515253[[#This Row],[Total]]&lt;0,T_T134111213141516171819202122232425262728293031323335363738394041424344454647484950515253[[#This Row],[Total]]*-1,0)</f>
        <v>0</v>
      </c>
      <c r="M10" s="178"/>
    </row>
    <row r="11" spans="1:13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IF(T_T134111213141516171819202122232425262728293031323335363738394041424344454647484950515253[[#This Row],[Total]]&lt;0,T_T134111213141516171819202122232425262728293031323335363738394041424344454647484950515253[[#This Row],[Total]]*-1,0)</f>
        <v>0</v>
      </c>
    </row>
    <row r="12" spans="1:13" x14ac:dyDescent="0.3">
      <c r="A12" s="361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IF(T_T134111213141516171819202122232425262728293031323335363738394041424344454647484950515253[[#This Row],[Total]]&lt;0,T_T134111213141516171819202122232425262728293031323335363738394041424344454647484950515253[[#This Row],[Total]]*-1,0)</f>
        <v>0</v>
      </c>
    </row>
    <row r="13" spans="1:13" x14ac:dyDescent="0.3">
      <c r="A13" s="288"/>
      <c r="B13" s="118" t="s">
        <v>502</v>
      </c>
      <c r="C13" s="454"/>
      <c r="D13" s="454"/>
      <c r="E13" s="454"/>
      <c r="F13" s="454"/>
      <c r="G13" s="454"/>
      <c r="H13" s="455">
        <v>0</v>
      </c>
      <c r="I13" s="240">
        <f>IF(T_T134111213141516171819202122232425262728293031323335363738394041424344454647484950515253[[#This Row],[Total]]&lt;0,T_T134111213141516171819202122232425262728293031323335363738394041424344454647484950515253[[#This Row],[Total]]*-1,0)</f>
        <v>0</v>
      </c>
    </row>
    <row r="14" spans="1:13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IF(T_T134111213141516171819202122232425262728293031323335363738394041424344454647484950515253[[#This Row],[Total]]&lt;0,T_T134111213141516171819202122232425262728293031323335363738394041424344454647484950515253[[#This Row],[Total]]*-1,0)</f>
        <v>0</v>
      </c>
    </row>
    <row r="15" spans="1:13" x14ac:dyDescent="0.3">
      <c r="A15" s="17">
        <v>45687</v>
      </c>
      <c r="B15" s="18" t="s">
        <v>590</v>
      </c>
      <c r="C15" s="451"/>
      <c r="D15" s="451">
        <v>181</v>
      </c>
      <c r="E15" s="451">
        <v>3</v>
      </c>
      <c r="F15" s="452"/>
      <c r="G15" s="452">
        <f>SUM(D15:F15)</f>
        <v>184</v>
      </c>
      <c r="H15" s="456">
        <f>+H13+T_T134111213141516171819202122232425262728293031323335363738394041424344454647484950515253[[#This Row],[Total]]</f>
        <v>184</v>
      </c>
      <c r="I15" s="240">
        <f>IF(T_T134111213141516171819202122232425262728293031323335363738394041424344454647484950515253[[#This Row],[Total]]&lt;0,T_T134111213141516171819202122232425262728293031323335363738394041424344454647484950515253[[#This Row],[Total]]*-1,0)</f>
        <v>0</v>
      </c>
    </row>
    <row r="16" spans="1:13" x14ac:dyDescent="0.3">
      <c r="A16" s="17"/>
      <c r="B16" s="18" t="s">
        <v>591</v>
      </c>
      <c r="C16" s="457">
        <v>8605</v>
      </c>
      <c r="D16" s="451">
        <v>-181</v>
      </c>
      <c r="E16" s="451">
        <v>-3</v>
      </c>
      <c r="F16" s="453"/>
      <c r="G16" s="453">
        <f t="shared" ref="G16:G38" si="0">SUM(D16:F16)</f>
        <v>-184</v>
      </c>
      <c r="H16" s="456">
        <f t="shared" ref="H16:H40" si="1">H15+G16</f>
        <v>0</v>
      </c>
      <c r="I16" s="240">
        <f>IF(T_T134111213141516171819202122232425262728293031323335363738394041424344454647484950515253[[#This Row],[Total]]&lt;0,T_T134111213141516171819202122232425262728293031323335363738394041424344454647484950515253[[#This Row],[Total]]*-1,0)</f>
        <v>184</v>
      </c>
    </row>
    <row r="17" spans="1:9" x14ac:dyDescent="0.3">
      <c r="A17" s="164">
        <v>45715</v>
      </c>
      <c r="B17" s="161" t="s">
        <v>532</v>
      </c>
      <c r="C17" s="457"/>
      <c r="D17" s="451">
        <v>181</v>
      </c>
      <c r="E17" s="451">
        <v>10</v>
      </c>
      <c r="F17" s="453"/>
      <c r="G17" s="453">
        <f t="shared" si="0"/>
        <v>191</v>
      </c>
      <c r="H17" s="456">
        <f t="shared" si="1"/>
        <v>191</v>
      </c>
      <c r="I17" s="240">
        <f>IF(T_T134111213141516171819202122232425262728293031323335363738394041424344454647484950515253[[#This Row],[Total]]&lt;0,T_T134111213141516171819202122232425262728293031323335363738394041424344454647484950515253[[#This Row],[Total]]*-1,0)</f>
        <v>0</v>
      </c>
    </row>
    <row r="18" spans="1:9" x14ac:dyDescent="0.3">
      <c r="A18" s="187"/>
      <c r="B18" s="18" t="s">
        <v>533</v>
      </c>
      <c r="C18" s="457">
        <v>8716</v>
      </c>
      <c r="D18" s="451">
        <v>-181</v>
      </c>
      <c r="E18" s="451">
        <v>-10</v>
      </c>
      <c r="F18" s="453"/>
      <c r="G18" s="453">
        <f t="shared" si="0"/>
        <v>-191</v>
      </c>
      <c r="H18" s="456">
        <f t="shared" si="1"/>
        <v>0</v>
      </c>
      <c r="I18" s="240">
        <f>IF(T_T134111213141516171819202122232425262728293031323335363738394041424344454647484950515253[[#This Row],[Total]]&lt;0,T_T134111213141516171819202122232425262728293031323335363738394041424344454647484950515253[[#This Row],[Total]]*-1,0)</f>
        <v>191</v>
      </c>
    </row>
    <row r="19" spans="1:9" x14ac:dyDescent="0.3">
      <c r="A19" s="188">
        <v>45747</v>
      </c>
      <c r="B19" s="3" t="s">
        <v>534</v>
      </c>
      <c r="C19" s="457"/>
      <c r="D19" s="451">
        <v>217</v>
      </c>
      <c r="E19" s="451">
        <v>10</v>
      </c>
      <c r="F19" s="453"/>
      <c r="G19" s="453">
        <f t="shared" si="0"/>
        <v>227</v>
      </c>
      <c r="H19" s="456">
        <f t="shared" si="1"/>
        <v>227</v>
      </c>
      <c r="I19" s="240">
        <f>IF(T_T134111213141516171819202122232425262728293031323335363738394041424344454647484950515253[[#This Row],[Total]]&lt;0,T_T134111213141516171819202122232425262728293031323335363738394041424344454647484950515253[[#This Row],[Total]]*-1,0)</f>
        <v>0</v>
      </c>
    </row>
    <row r="20" spans="1:9" x14ac:dyDescent="0.3">
      <c r="A20" s="188"/>
      <c r="B20" s="82" t="s">
        <v>535</v>
      </c>
      <c r="C20" s="457">
        <v>8837</v>
      </c>
      <c r="D20" s="451">
        <v>-217</v>
      </c>
      <c r="E20" s="451">
        <v>-10</v>
      </c>
      <c r="F20" s="453"/>
      <c r="G20" s="453">
        <f t="shared" si="0"/>
        <v>-227</v>
      </c>
      <c r="H20" s="456">
        <f t="shared" si="1"/>
        <v>0</v>
      </c>
      <c r="I20" s="240">
        <f>IF(T_T134111213141516171819202122232425262728293031323335363738394041424344454647484950515253[[#This Row],[Total]]&lt;0,T_T134111213141516171819202122232425262728293031323335363738394041424344454647484950515253[[#This Row],[Total]]*-1,0)</f>
        <v>227</v>
      </c>
    </row>
    <row r="21" spans="1:9" x14ac:dyDescent="0.3">
      <c r="A21" s="188">
        <v>45777</v>
      </c>
      <c r="B21" s="3" t="s">
        <v>536</v>
      </c>
      <c r="C21" s="457"/>
      <c r="D21" s="451">
        <v>217</v>
      </c>
      <c r="E21" s="451">
        <v>49</v>
      </c>
      <c r="F21" s="453"/>
      <c r="G21" s="453">
        <f t="shared" si="0"/>
        <v>266</v>
      </c>
      <c r="H21" s="456">
        <f t="shared" si="1"/>
        <v>266</v>
      </c>
      <c r="I21" s="309">
        <f>IF(T_T134111213141516171819202122232425262728293031323335363738394041424344454647484950515253[[#This Row],[Total]]&lt;0,T_T134111213141516171819202122232425262728293031323335363738394041424344454647484950515253[[#This Row],[Total]]*-1,0)</f>
        <v>0</v>
      </c>
    </row>
    <row r="22" spans="1:9" x14ac:dyDescent="0.3">
      <c r="A22" s="83"/>
      <c r="B22" s="82" t="s">
        <v>537</v>
      </c>
      <c r="C22" s="457">
        <v>8906</v>
      </c>
      <c r="D22" s="451">
        <v>-217</v>
      </c>
      <c r="E22" s="451">
        <v>-49</v>
      </c>
      <c r="F22" s="453"/>
      <c r="G22" s="453">
        <f t="shared" si="0"/>
        <v>-266</v>
      </c>
      <c r="H22" s="456">
        <f t="shared" si="1"/>
        <v>0</v>
      </c>
      <c r="I22" s="309">
        <f>IF(T_T134111213141516171819202122232425262728293031323335363738394041424344454647484950515253[[#This Row],[Total]]&lt;0,T_T134111213141516171819202122232425262728293031323335363738394041424344454647484950515253[[#This Row],[Total]]*-1,0)</f>
        <v>266</v>
      </c>
    </row>
    <row r="23" spans="1:9" x14ac:dyDescent="0.3">
      <c r="A23" s="40">
        <v>45807</v>
      </c>
      <c r="B23" s="3" t="s">
        <v>538</v>
      </c>
      <c r="C23" s="458"/>
      <c r="D23" s="453">
        <v>217</v>
      </c>
      <c r="E23" s="453">
        <v>6</v>
      </c>
      <c r="F23" s="453"/>
      <c r="G23" s="453">
        <f t="shared" si="0"/>
        <v>223</v>
      </c>
      <c r="H23" s="456">
        <f t="shared" si="1"/>
        <v>223</v>
      </c>
      <c r="I23" s="309">
        <f>IF(T_T134111213141516171819202122232425262728293031323335363738394041424344454647484950515253[[#This Row],[Total]]&lt;0,T_T134111213141516171819202122232425262728293031323335363738394041424344454647484950515253[[#This Row],[Total]]*-1,0)</f>
        <v>0</v>
      </c>
    </row>
    <row r="24" spans="1:9" x14ac:dyDescent="0.3">
      <c r="A24" s="9"/>
      <c r="B24" s="18" t="s">
        <v>539</v>
      </c>
      <c r="C24" s="457"/>
      <c r="D24" s="453"/>
      <c r="E24" s="453"/>
      <c r="F24" s="453"/>
      <c r="G24" s="453">
        <f t="shared" si="0"/>
        <v>0</v>
      </c>
      <c r="H24" s="456">
        <f t="shared" si="1"/>
        <v>223</v>
      </c>
      <c r="I24" s="309">
        <f>IF(T_T134111213141516171819202122232425262728293031323335363738394041424344454647484950515253[[#This Row],[Total]]&lt;0,T_T134111213141516171819202122232425262728293031323335363738394041424344454647484950515253[[#This Row],[Total]]*-1,0)</f>
        <v>0</v>
      </c>
    </row>
    <row r="25" spans="1:9" x14ac:dyDescent="0.3">
      <c r="A25" s="9">
        <v>45838</v>
      </c>
      <c r="B25" s="3" t="s">
        <v>540</v>
      </c>
      <c r="C25" s="458"/>
      <c r="D25" s="453"/>
      <c r="E25" s="453"/>
      <c r="F25" s="453"/>
      <c r="G25" s="453">
        <f t="shared" si="0"/>
        <v>0</v>
      </c>
      <c r="H25" s="456">
        <f t="shared" si="1"/>
        <v>223</v>
      </c>
      <c r="I25" s="309">
        <f>IF(T_T134111213141516171819202122232425262728293031323335363738394041424344454647484950515253[[#This Row],[Total]]&lt;0,T_T134111213141516171819202122232425262728293031323335363738394041424344454647484950515253[[#This Row],[Total]]*-1,0)</f>
        <v>0</v>
      </c>
    </row>
    <row r="26" spans="1:9" x14ac:dyDescent="0.3">
      <c r="A26" s="9"/>
      <c r="B26" s="18" t="s">
        <v>541</v>
      </c>
      <c r="C26" s="457"/>
      <c r="D26" s="453"/>
      <c r="E26" s="453"/>
      <c r="F26" s="453"/>
      <c r="G26" s="453">
        <f t="shared" si="0"/>
        <v>0</v>
      </c>
      <c r="H26" s="456">
        <f t="shared" si="1"/>
        <v>223</v>
      </c>
      <c r="I26" s="309">
        <f>IF(T_T134111213141516171819202122232425262728293031323335363738394041424344454647484950515253[[#This Row],[Total]]&lt;0,T_T134111213141516171819202122232425262728293031323335363738394041424344454647484950515253[[#This Row],[Total]]*-1,0)</f>
        <v>0</v>
      </c>
    </row>
    <row r="27" spans="1:9" x14ac:dyDescent="0.3">
      <c r="A27" s="107">
        <v>45868</v>
      </c>
      <c r="B27" s="82" t="s">
        <v>542</v>
      </c>
      <c r="C27" s="458"/>
      <c r="D27" s="453"/>
      <c r="E27" s="453"/>
      <c r="F27" s="453"/>
      <c r="G27" s="453">
        <f t="shared" si="0"/>
        <v>0</v>
      </c>
      <c r="H27" s="456">
        <f t="shared" si="1"/>
        <v>223</v>
      </c>
      <c r="I27" s="309">
        <f>IF(T_T134111213141516171819202122232425262728293031323335363738394041424344454647484950515253[[#This Row],[Total]]&lt;0,T_T134111213141516171819202122232425262728293031323335363738394041424344454647484950515253[[#This Row],[Total]]*-1,0)</f>
        <v>0</v>
      </c>
    </row>
    <row r="28" spans="1:9" x14ac:dyDescent="0.3">
      <c r="A28" s="107"/>
      <c r="B28" s="82" t="s">
        <v>543</v>
      </c>
      <c r="C28" s="457"/>
      <c r="D28" s="453"/>
      <c r="E28" s="453"/>
      <c r="F28" s="453"/>
      <c r="G28" s="453">
        <f t="shared" si="0"/>
        <v>0</v>
      </c>
      <c r="H28" s="456">
        <f t="shared" si="1"/>
        <v>223</v>
      </c>
      <c r="I28" s="309">
        <f>IF(T_T134111213141516171819202122232425262728293031323335363738394041424344454647484950515253[[#This Row],[Total]]&lt;0,T_T134111213141516171819202122232425262728293031323335363738394041424344454647484950515253[[#This Row],[Total]]*-1,0)</f>
        <v>0</v>
      </c>
    </row>
    <row r="29" spans="1:9" x14ac:dyDescent="0.3">
      <c r="A29" s="107">
        <v>45899</v>
      </c>
      <c r="B29" s="82" t="s">
        <v>544</v>
      </c>
      <c r="C29" s="458"/>
      <c r="D29" s="453"/>
      <c r="E29" s="451"/>
      <c r="F29" s="453"/>
      <c r="G29" s="453">
        <f t="shared" si="0"/>
        <v>0</v>
      </c>
      <c r="H29" s="456">
        <f t="shared" si="1"/>
        <v>223</v>
      </c>
      <c r="I29" s="309">
        <f>IF(T_T134111213141516171819202122232425262728293031323335363738394041424344454647484950515253[[#This Row],[Total]]&lt;0,T_T134111213141516171819202122232425262728293031323335363738394041424344454647484950515253[[#This Row],[Total]]*-1,0)</f>
        <v>0</v>
      </c>
    </row>
    <row r="30" spans="1:9" x14ac:dyDescent="0.3">
      <c r="A30" s="107"/>
      <c r="B30" s="82" t="s">
        <v>545</v>
      </c>
      <c r="C30" s="457"/>
      <c r="D30" s="453"/>
      <c r="E30" s="451"/>
      <c r="F30" s="453"/>
      <c r="G30" s="453">
        <f t="shared" si="0"/>
        <v>0</v>
      </c>
      <c r="H30" s="456">
        <f t="shared" si="1"/>
        <v>223</v>
      </c>
      <c r="I30" s="309">
        <f>IF(T_T134111213141516171819202122232425262728293031323335363738394041424344454647484950515253[[#This Row],[Total]]&lt;0,T_T134111213141516171819202122232425262728293031323335363738394041424344454647484950515253[[#This Row],[Total]]*-1,0)</f>
        <v>0</v>
      </c>
    </row>
    <row r="31" spans="1:9" x14ac:dyDescent="0.3">
      <c r="A31" s="9">
        <v>45930</v>
      </c>
      <c r="B31" s="3" t="s">
        <v>546</v>
      </c>
      <c r="C31" s="458"/>
      <c r="D31" s="453"/>
      <c r="E31" s="451"/>
      <c r="F31" s="453"/>
      <c r="G31" s="453">
        <f t="shared" si="0"/>
        <v>0</v>
      </c>
      <c r="H31" s="456">
        <f t="shared" si="1"/>
        <v>223</v>
      </c>
      <c r="I31" s="309">
        <f>IF(T_T134111213141516171819202122232425262728293031323335363738394041424344454647484950515253[[#This Row],[Total]]&lt;0,T_T134111213141516171819202122232425262728293031323335363738394041424344454647484950515253[[#This Row],[Total]]*-1,0)</f>
        <v>0</v>
      </c>
    </row>
    <row r="32" spans="1:9" x14ac:dyDescent="0.3">
      <c r="A32" s="9"/>
      <c r="B32" s="3" t="s">
        <v>547</v>
      </c>
      <c r="C32" s="457"/>
      <c r="D32" s="453"/>
      <c r="E32" s="453"/>
      <c r="F32" s="453"/>
      <c r="G32" s="453">
        <f t="shared" si="0"/>
        <v>0</v>
      </c>
      <c r="H32" s="456">
        <f t="shared" si="1"/>
        <v>223</v>
      </c>
      <c r="I32" s="309">
        <f>IF(T_T134111213141516171819202122232425262728293031323335363738394041424344454647484950515253[[#This Row],[Total]]&lt;0,T_T134111213141516171819202122232425262728293031323335363738394041424344454647484950515253[[#This Row],[Total]]*-1,0)</f>
        <v>0</v>
      </c>
    </row>
    <row r="33" spans="1:9" x14ac:dyDescent="0.3">
      <c r="A33" s="9">
        <v>45960</v>
      </c>
      <c r="B33" s="3" t="s">
        <v>548</v>
      </c>
      <c r="C33" s="458"/>
      <c r="D33" s="453"/>
      <c r="E33" s="453"/>
      <c r="F33" s="453"/>
      <c r="G33" s="453">
        <f t="shared" si="0"/>
        <v>0</v>
      </c>
      <c r="H33" s="456">
        <f t="shared" si="1"/>
        <v>223</v>
      </c>
      <c r="I33" s="309">
        <f>IF(T_T134111213141516171819202122232425262728293031323335363738394041424344454647484950515253[[#This Row],[Total]]&lt;0,T_T134111213141516171819202122232425262728293031323335363738394041424344454647484950515253[[#This Row],[Total]]*-1,0)</f>
        <v>0</v>
      </c>
    </row>
    <row r="34" spans="1:9" x14ac:dyDescent="0.3">
      <c r="A34" s="9"/>
      <c r="B34" s="3" t="s">
        <v>549</v>
      </c>
      <c r="C34" s="458"/>
      <c r="D34" s="453"/>
      <c r="E34" s="453"/>
      <c r="F34" s="453"/>
      <c r="G34" s="453">
        <f t="shared" si="0"/>
        <v>0</v>
      </c>
      <c r="H34" s="456">
        <f t="shared" si="1"/>
        <v>223</v>
      </c>
      <c r="I34" s="309">
        <f>IF(T_T134111213141516171819202122232425262728293031323335363738394041424344454647484950515253[[#This Row],[Total]]&lt;0,T_T134111213141516171819202122232425262728293031323335363738394041424344454647484950515253[[#This Row],[Total]]*-1,0)</f>
        <v>0</v>
      </c>
    </row>
    <row r="35" spans="1:9" x14ac:dyDescent="0.3">
      <c r="A35" s="9">
        <v>45991</v>
      </c>
      <c r="B35" s="3" t="s">
        <v>550</v>
      </c>
      <c r="C35" s="458"/>
      <c r="D35" s="453"/>
      <c r="E35" s="453"/>
      <c r="F35" s="453"/>
      <c r="G35" s="453">
        <f t="shared" si="0"/>
        <v>0</v>
      </c>
      <c r="H35" s="456">
        <f t="shared" si="1"/>
        <v>223</v>
      </c>
      <c r="I35" s="309">
        <f>IF(T_T134111213141516171819202122232425262728293031323335363738394041424344454647484950515253[[#This Row],[Total]]&lt;0,T_T134111213141516171819202122232425262728293031323335363738394041424344454647484950515253[[#This Row],[Total]]*-1,0)</f>
        <v>0</v>
      </c>
    </row>
    <row r="36" spans="1:9" x14ac:dyDescent="0.3">
      <c r="A36" s="17"/>
      <c r="B36" s="18" t="s">
        <v>551</v>
      </c>
      <c r="C36" s="458"/>
      <c r="D36" s="453"/>
      <c r="E36" s="453"/>
      <c r="F36" s="453"/>
      <c r="G36" s="453">
        <f t="shared" si="0"/>
        <v>0</v>
      </c>
      <c r="H36" s="456">
        <f t="shared" si="1"/>
        <v>223</v>
      </c>
      <c r="I36" s="309">
        <f>IF(T_T134111213141516171819202122232425262728293031323335363738394041424344454647484950515253[[#This Row],[Total]]&lt;0,T_T134111213141516171819202122232425262728293031323335363738394041424344454647484950515253[[#This Row],[Total]]*-1,0)</f>
        <v>0</v>
      </c>
    </row>
    <row r="37" spans="1:9" x14ac:dyDescent="0.3">
      <c r="A37" s="188">
        <v>46021</v>
      </c>
      <c r="B37" s="3" t="s">
        <v>552</v>
      </c>
      <c r="C37" s="458"/>
      <c r="D37" s="453"/>
      <c r="E37" s="453"/>
      <c r="F37" s="453"/>
      <c r="G37" s="453">
        <f t="shared" si="0"/>
        <v>0</v>
      </c>
      <c r="H37" s="456">
        <f t="shared" si="1"/>
        <v>223</v>
      </c>
      <c r="I37" s="309">
        <f>IF(T_T134111213141516171819202122232425262728293031323335363738394041424344454647484950515253[[#This Row],[Total]]&lt;0,T_T134111213141516171819202122232425262728293031323335363738394041424344454647484950515253[[#This Row],[Total]]*-1,0)</f>
        <v>0</v>
      </c>
    </row>
    <row r="38" spans="1:9" x14ac:dyDescent="0.3">
      <c r="A38" s="257"/>
      <c r="B38" s="110" t="s">
        <v>553</v>
      </c>
      <c r="C38" s="458"/>
      <c r="D38" s="453"/>
      <c r="E38" s="453"/>
      <c r="F38" s="453"/>
      <c r="G38" s="453">
        <f t="shared" si="0"/>
        <v>0</v>
      </c>
      <c r="H38" s="456">
        <f t="shared" si="1"/>
        <v>223</v>
      </c>
      <c r="I38" s="353">
        <f>IF(T_T134111213141516171819202122232425262728293031323335363738394041424344454647484950515253[[#This Row],[Total]]&lt;0,T_T134111213141516171819202122232425262728293031323335363738394041424344454647484950515253[[#This Row],[Total]]*-1,0)</f>
        <v>0</v>
      </c>
    </row>
    <row r="39" spans="1:9" x14ac:dyDescent="0.3">
      <c r="A39" s="107"/>
      <c r="B39" s="82"/>
      <c r="C39" s="458"/>
      <c r="D39" s="453"/>
      <c r="E39" s="453"/>
      <c r="F39" s="453"/>
      <c r="G39" s="453">
        <f>SUM(D39:F46)</f>
        <v>0</v>
      </c>
      <c r="H39" s="456">
        <f t="shared" si="1"/>
        <v>223</v>
      </c>
      <c r="I39" s="353">
        <f>IF(T_T134111213141516171819202122232425262728293031323335363738394041424344454647484950515253[[#This Row],[Total]]&lt;0,T_T134111213141516171819202122232425262728293031323335363738394041424344454647484950515253[[#This Row],[Total]]*-1,0)</f>
        <v>0</v>
      </c>
    </row>
    <row r="40" spans="1:9" x14ac:dyDescent="0.3">
      <c r="A40" s="107"/>
      <c r="B40" s="82"/>
      <c r="C40" s="453"/>
      <c r="D40" s="453"/>
      <c r="E40" s="453"/>
      <c r="F40" s="453"/>
      <c r="G40" s="453">
        <f>SUM(D40:F47)</f>
        <v>0</v>
      </c>
      <c r="H40" s="456">
        <f t="shared" si="1"/>
        <v>223</v>
      </c>
      <c r="I40" s="353">
        <f>IF(T_T134111213141516171819202122232425262728293031323335363738394041424344454647484950515253[[#This Row],[Total]]&lt;0,T_T134111213141516171819202122232425262728293031323335363738394041424344454647484950515253[[#This Row],[Total]]*-1,0)</f>
        <v>0</v>
      </c>
    </row>
    <row r="41" spans="1:9" x14ac:dyDescent="0.3">
      <c r="A41" s="492"/>
      <c r="B41" s="493"/>
      <c r="C41" s="499"/>
      <c r="D41" s="499"/>
      <c r="E41" s="499"/>
      <c r="F41" s="499"/>
      <c r="G41" s="499"/>
      <c r="H41" s="500"/>
      <c r="I41" s="475"/>
    </row>
  </sheetData>
  <pageMargins left="0.7" right="0.7" top="0.75" bottom="0.75" header="0.3" footer="0.3"/>
  <pageSetup orientation="portrait" verticalDpi="360" r:id="rId1"/>
  <tableParts count="1">
    <tablePart r:id="rId2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P41"/>
  <sheetViews>
    <sheetView showGridLines="0" zoomScale="82" zoomScaleNormal="82" workbookViewId="0">
      <selection activeCell="D22" sqref="D22"/>
    </sheetView>
  </sheetViews>
  <sheetFormatPr baseColWidth="10" defaultColWidth="9.109375" defaultRowHeight="14.4" x14ac:dyDescent="0.3"/>
  <cols>
    <col min="1" max="1" width="13.6640625" customWidth="1"/>
    <col min="2" max="2" width="39.88671875" customWidth="1"/>
    <col min="3" max="3" width="15.88671875" style="4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3.88671875" style="1" customWidth="1"/>
    <col min="9" max="9" width="12.88671875" hidden="1" customWidth="1"/>
    <col min="13" max="13" width="11.33203125" bestFit="1" customWidth="1"/>
    <col min="14" max="14" width="19.6640625" customWidth="1"/>
    <col min="15" max="15" width="12.5546875" customWidth="1"/>
  </cols>
  <sheetData>
    <row r="2" spans="1:16" ht="15.6" x14ac:dyDescent="0.3">
      <c r="A2" s="27" t="s">
        <v>36</v>
      </c>
      <c r="B2" s="41" t="s">
        <v>102</v>
      </c>
    </row>
    <row r="3" spans="1:16" x14ac:dyDescent="0.3">
      <c r="A3" s="27" t="s">
        <v>31</v>
      </c>
      <c r="B3" s="28" t="s">
        <v>243</v>
      </c>
    </row>
    <row r="4" spans="1:16" hidden="1" x14ac:dyDescent="0.3">
      <c r="A4" s="27"/>
      <c r="B4" s="28"/>
    </row>
    <row r="5" spans="1:16" hidden="1" x14ac:dyDescent="0.3">
      <c r="A5" s="27"/>
      <c r="B5" s="28"/>
    </row>
    <row r="6" spans="1:16" hidden="1" x14ac:dyDescent="0.3">
      <c r="A6" s="27"/>
      <c r="B6" s="28"/>
    </row>
    <row r="7" spans="1:16" hidden="1" x14ac:dyDescent="0.3">
      <c r="A7" s="27"/>
      <c r="B7" s="28"/>
    </row>
    <row r="8" spans="1:16" x14ac:dyDescent="0.3">
      <c r="A8" s="21"/>
      <c r="B8" s="21"/>
    </row>
    <row r="9" spans="1:16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N9" s="256"/>
    </row>
    <row r="10" spans="1:16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IF(T_T13411121314151617181920212223242526272829303132333536373839404142434445464748495051525354[[#This Row],[Total]]&lt;0,T_T13411121314151617181920212223242526272829303132333536373839404142434445464748495051525354[[#This Row],[Total]]*-1,0)</f>
        <v>0</v>
      </c>
      <c r="O10" s="178"/>
    </row>
    <row r="11" spans="1:16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IF(T_T13411121314151617181920212223242526272829303132333536373839404142434445464748495051525354[[#This Row],[Total]]&lt;0,T_T13411121314151617181920212223242526272829303132333536373839404142434445464748495051525354[[#This Row],[Total]]*-1,0)</f>
        <v>0</v>
      </c>
    </row>
    <row r="12" spans="1:16" x14ac:dyDescent="0.3">
      <c r="A12" s="361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IF(T_T13411121314151617181920212223242526272829303132333536373839404142434445464748495051525354[[#This Row],[Total]]&lt;0,T_T13411121314151617181920212223242526272829303132333536373839404142434445464748495051525354[[#This Row],[Total]]*-1,0)</f>
        <v>0</v>
      </c>
    </row>
    <row r="13" spans="1:16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IF(T_T13411121314151617181920212223242526272829303132333536373839404142434445464748495051525354[[#This Row],[Total]]&lt;0,T_T13411121314151617181920212223242526272829303132333536373839404142434445464748495051525354[[#This Row],[Total]]*-1,0)</f>
        <v>0</v>
      </c>
      <c r="N13" s="63"/>
      <c r="O13" s="63"/>
      <c r="P13" s="63"/>
    </row>
    <row r="14" spans="1:16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IF(T_T13411121314151617181920212223242526272829303132333536373839404142434445464748495051525354[[#This Row],[Total]]&lt;0,T_T13411121314151617181920212223242526272829303132333536373839404142434445464748495051525354[[#This Row],[Total]]*-1,0)</f>
        <v>0</v>
      </c>
      <c r="N14" s="63"/>
      <c r="O14" s="63"/>
      <c r="P14" s="63"/>
    </row>
    <row r="15" spans="1:16" x14ac:dyDescent="0.3">
      <c r="A15" s="17">
        <v>46052</v>
      </c>
      <c r="B15" s="18" t="s">
        <v>590</v>
      </c>
      <c r="C15" s="6"/>
      <c r="D15" s="2">
        <v>168</v>
      </c>
      <c r="E15" s="2">
        <v>5</v>
      </c>
      <c r="F15" s="20"/>
      <c r="G15" s="20">
        <f>SUM(D15:F15)</f>
        <v>173</v>
      </c>
      <c r="H15" s="233">
        <f>+H13+T_T13411121314151617181920212223242526272829303132333536373839404142434445464748495051525354[[#This Row],[Total]]</f>
        <v>173</v>
      </c>
      <c r="I15" s="240">
        <f>IF(T_T13411121314151617181920212223242526272829303132333536373839404142434445464748495051525354[[#This Row],[Total]]&lt;0,T_T13411121314151617181920212223242526272829303132333536373839404142434445464748495051525354[[#This Row],[Total]]*-1,0)</f>
        <v>0</v>
      </c>
      <c r="N15" s="555"/>
      <c r="O15" s="556"/>
      <c r="P15" s="557"/>
    </row>
    <row r="16" spans="1:16" x14ac:dyDescent="0.3">
      <c r="A16" s="17"/>
      <c r="B16" s="18" t="s">
        <v>591</v>
      </c>
      <c r="C16" s="6" t="s">
        <v>650</v>
      </c>
      <c r="D16" s="2">
        <f>-142-26</f>
        <v>-168</v>
      </c>
      <c r="E16" s="2">
        <v>-5</v>
      </c>
      <c r="F16" s="230"/>
      <c r="G16" s="230">
        <f t="shared" ref="G16:G38" si="0">SUM(D16:F16)</f>
        <v>-173</v>
      </c>
      <c r="H16" s="233">
        <f t="shared" ref="H16:H40" si="1">H15+G16</f>
        <v>0</v>
      </c>
      <c r="I16" s="240">
        <f>IF(T_T13411121314151617181920212223242526272829303132333536373839404142434445464748495051525354[[#This Row],[Total]]&lt;0,T_T13411121314151617181920212223242526272829303132333536373839404142434445464748495051525354[[#This Row],[Total]]*-1,0)</f>
        <v>173</v>
      </c>
      <c r="N16" s="558"/>
      <c r="O16" s="559"/>
      <c r="P16" s="560"/>
    </row>
    <row r="17" spans="1:16" x14ac:dyDescent="0.3">
      <c r="A17" s="164">
        <v>45715</v>
      </c>
      <c r="B17" s="161" t="s">
        <v>532</v>
      </c>
      <c r="C17" s="6"/>
      <c r="D17" s="2">
        <v>168</v>
      </c>
      <c r="E17" s="2">
        <v>4</v>
      </c>
      <c r="F17" s="230"/>
      <c r="G17" s="230">
        <f t="shared" si="0"/>
        <v>172</v>
      </c>
      <c r="H17" s="233">
        <f t="shared" si="1"/>
        <v>172</v>
      </c>
      <c r="I17" s="240">
        <f>IF(T_T13411121314151617181920212223242526272829303132333536373839404142434445464748495051525354[[#This Row],[Total]]&lt;0,T_T13411121314151617181920212223242526272829303132333536373839404142434445464748495051525354[[#This Row],[Total]]*-1,0)</f>
        <v>0</v>
      </c>
      <c r="N17" s="63"/>
      <c r="O17" s="63"/>
      <c r="P17" s="63"/>
    </row>
    <row r="18" spans="1:16" x14ac:dyDescent="0.3">
      <c r="A18" s="187"/>
      <c r="B18" s="18" t="s">
        <v>533</v>
      </c>
      <c r="C18" s="6" t="s">
        <v>643</v>
      </c>
      <c r="D18" s="2">
        <f>-142-26</f>
        <v>-168</v>
      </c>
      <c r="E18" s="2">
        <v>-4</v>
      </c>
      <c r="F18" s="230"/>
      <c r="G18" s="230">
        <f t="shared" si="0"/>
        <v>-172</v>
      </c>
      <c r="H18" s="233">
        <f t="shared" si="1"/>
        <v>0</v>
      </c>
      <c r="I18" s="240">
        <f>IF(T_T13411121314151617181920212223242526272829303132333536373839404142434445464748495051525354[[#This Row],[Total]]&lt;0,T_T13411121314151617181920212223242526272829303132333536373839404142434445464748495051525354[[#This Row],[Total]]*-1,0)</f>
        <v>172</v>
      </c>
      <c r="N18" s="63"/>
      <c r="O18" s="63"/>
      <c r="P18" s="63"/>
    </row>
    <row r="19" spans="1:16" x14ac:dyDescent="0.3">
      <c r="A19" s="188">
        <v>45747</v>
      </c>
      <c r="B19" s="3" t="s">
        <v>534</v>
      </c>
      <c r="C19" s="6"/>
      <c r="D19" s="2">
        <v>200</v>
      </c>
      <c r="E19" s="2">
        <v>2</v>
      </c>
      <c r="F19" s="230"/>
      <c r="G19" s="230">
        <f t="shared" si="0"/>
        <v>202</v>
      </c>
      <c r="H19" s="233">
        <f t="shared" si="1"/>
        <v>202</v>
      </c>
      <c r="I19" s="240">
        <f>IF(T_T13411121314151617181920212223242526272829303132333536373839404142434445464748495051525354[[#This Row],[Total]]&lt;0,T_T13411121314151617181920212223242526272829303132333536373839404142434445464748495051525354[[#This Row],[Total]]*-1,0)</f>
        <v>0</v>
      </c>
      <c r="N19" s="63"/>
      <c r="O19" s="63"/>
      <c r="P19" s="63"/>
    </row>
    <row r="20" spans="1:16" x14ac:dyDescent="0.3">
      <c r="A20" s="188"/>
      <c r="B20" s="82" t="s">
        <v>535</v>
      </c>
      <c r="C20" s="6">
        <v>8846</v>
      </c>
      <c r="D20" s="2">
        <v>-200</v>
      </c>
      <c r="E20" s="2">
        <v>-2</v>
      </c>
      <c r="F20" s="230"/>
      <c r="G20" s="230">
        <f t="shared" si="0"/>
        <v>-202</v>
      </c>
      <c r="H20" s="233">
        <f t="shared" si="1"/>
        <v>0</v>
      </c>
      <c r="I20" s="240">
        <f>IF(T_T13411121314151617181920212223242526272829303132333536373839404142434445464748495051525354[[#This Row],[Total]]&lt;0,T_T13411121314151617181920212223242526272829303132333536373839404142434445464748495051525354[[#This Row],[Total]]*-1,0)</f>
        <v>202</v>
      </c>
      <c r="K20" t="s">
        <v>639</v>
      </c>
      <c r="N20" s="63"/>
      <c r="O20" s="63"/>
      <c r="P20" s="63"/>
    </row>
    <row r="21" spans="1:16" x14ac:dyDescent="0.3">
      <c r="A21" s="188">
        <v>45777</v>
      </c>
      <c r="B21" s="3" t="s">
        <v>536</v>
      </c>
      <c r="C21" s="6"/>
      <c r="D21" s="2">
        <v>200</v>
      </c>
      <c r="E21" s="2">
        <v>1</v>
      </c>
      <c r="F21" s="230"/>
      <c r="G21" s="230">
        <f t="shared" si="0"/>
        <v>201</v>
      </c>
      <c r="H21" s="233">
        <f t="shared" si="1"/>
        <v>201</v>
      </c>
      <c r="I21" s="309">
        <f>IF(T_T13411121314151617181920212223242526272829303132333536373839404142434445464748495051525354[[#This Row],[Total]]&lt;0,T_T13411121314151617181920212223242526272829303132333536373839404142434445464748495051525354[[#This Row],[Total]]*-1,0)</f>
        <v>0</v>
      </c>
    </row>
    <row r="22" spans="1:16" x14ac:dyDescent="0.3">
      <c r="A22" s="83"/>
      <c r="B22" s="82" t="s">
        <v>537</v>
      </c>
      <c r="C22" s="6" t="s">
        <v>654</v>
      </c>
      <c r="D22" s="2">
        <f>-170-22</f>
        <v>-192</v>
      </c>
      <c r="E22" s="2">
        <v>-1</v>
      </c>
      <c r="F22" s="230"/>
      <c r="G22" s="230">
        <f t="shared" si="0"/>
        <v>-193</v>
      </c>
      <c r="H22" s="233">
        <f t="shared" si="1"/>
        <v>8</v>
      </c>
      <c r="I22" s="309">
        <f>IF(T_T13411121314151617181920212223242526272829303132333536373839404142434445464748495051525354[[#This Row],[Total]]&lt;0,T_T13411121314151617181920212223242526272829303132333536373839404142434445464748495051525354[[#This Row],[Total]]*-1,0)</f>
        <v>193</v>
      </c>
    </row>
    <row r="23" spans="1:16" x14ac:dyDescent="0.3">
      <c r="A23" s="40">
        <v>45807</v>
      </c>
      <c r="B23" s="3" t="s">
        <v>538</v>
      </c>
      <c r="C23" s="229"/>
      <c r="D23" s="230">
        <v>200</v>
      </c>
      <c r="E23" s="230">
        <v>3</v>
      </c>
      <c r="F23" s="230"/>
      <c r="G23" s="230">
        <f t="shared" si="0"/>
        <v>203</v>
      </c>
      <c r="H23" s="233">
        <f t="shared" si="1"/>
        <v>211</v>
      </c>
      <c r="I23" s="309">
        <f>IF(T_T13411121314151617181920212223242526272829303132333536373839404142434445464748495051525354[[#This Row],[Total]]&lt;0,T_T13411121314151617181920212223242526272829303132333536373839404142434445464748495051525354[[#This Row],[Total]]*-1,0)</f>
        <v>0</v>
      </c>
    </row>
    <row r="24" spans="1:16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211</v>
      </c>
      <c r="I24" s="309">
        <f>IF(T_T13411121314151617181920212223242526272829303132333536373839404142434445464748495051525354[[#This Row],[Total]]&lt;0,T_T13411121314151617181920212223242526272829303132333536373839404142434445464748495051525354[[#This Row],[Total]]*-1,0)</f>
        <v>0</v>
      </c>
    </row>
    <row r="25" spans="1:16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211</v>
      </c>
      <c r="I25" s="309">
        <f>IF(T_T13411121314151617181920212223242526272829303132333536373839404142434445464748495051525354[[#This Row],[Total]]&lt;0,T_T13411121314151617181920212223242526272829303132333536373839404142434445464748495051525354[[#This Row],[Total]]*-1,0)</f>
        <v>0</v>
      </c>
    </row>
    <row r="26" spans="1:16" x14ac:dyDescent="0.3">
      <c r="A26" s="9"/>
      <c r="B26" s="18" t="s">
        <v>541</v>
      </c>
      <c r="C26" s="6"/>
      <c r="D26" s="7"/>
      <c r="E26" s="230"/>
      <c r="F26" s="230"/>
      <c r="G26" s="230">
        <f t="shared" si="0"/>
        <v>0</v>
      </c>
      <c r="H26" s="233">
        <f t="shared" si="1"/>
        <v>211</v>
      </c>
      <c r="I26" s="309">
        <f>IF(T_T13411121314151617181920212223242526272829303132333536373839404142434445464748495051525354[[#This Row],[Total]]&lt;0,T_T13411121314151617181920212223242526272829303132333536373839404142434445464748495051525354[[#This Row],[Total]]*-1,0)</f>
        <v>0</v>
      </c>
    </row>
    <row r="27" spans="1:16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211</v>
      </c>
      <c r="I27" s="309">
        <f>IF(T_T13411121314151617181920212223242526272829303132333536373839404142434445464748495051525354[[#This Row],[Total]]&lt;0,T_T13411121314151617181920212223242526272829303132333536373839404142434445464748495051525354[[#This Row],[Total]]*-1,0)</f>
        <v>0</v>
      </c>
    </row>
    <row r="28" spans="1:16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211</v>
      </c>
      <c r="I28" s="309">
        <f>IF(T_T13411121314151617181920212223242526272829303132333536373839404142434445464748495051525354[[#This Row],[Total]]&lt;0,T_T13411121314151617181920212223242526272829303132333536373839404142434445464748495051525354[[#This Row],[Total]]*-1,0)</f>
        <v>0</v>
      </c>
    </row>
    <row r="29" spans="1:16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211</v>
      </c>
      <c r="I29" s="309">
        <f>IF(T_T13411121314151617181920212223242526272829303132333536373839404142434445464748495051525354[[#This Row],[Total]]&lt;0,T_T13411121314151617181920212223242526272829303132333536373839404142434445464748495051525354[[#This Row],[Total]]*-1,0)</f>
        <v>0</v>
      </c>
    </row>
    <row r="30" spans="1:16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211</v>
      </c>
      <c r="I30" s="309">
        <f>IF(T_T13411121314151617181920212223242526272829303132333536373839404142434445464748495051525354[[#This Row],[Total]]&lt;0,T_T13411121314151617181920212223242526272829303132333536373839404142434445464748495051525354[[#This Row],[Total]]*-1,0)</f>
        <v>0</v>
      </c>
    </row>
    <row r="31" spans="1:16" x14ac:dyDescent="0.3">
      <c r="A31" s="9">
        <v>45930</v>
      </c>
      <c r="B31" s="3" t="s">
        <v>546</v>
      </c>
      <c r="C31" s="6"/>
      <c r="D31" s="230"/>
      <c r="E31" s="230"/>
      <c r="F31" s="230"/>
      <c r="G31" s="230">
        <f t="shared" si="0"/>
        <v>0</v>
      </c>
      <c r="H31" s="233">
        <f t="shared" si="1"/>
        <v>211</v>
      </c>
      <c r="I31" s="309">
        <f>IF(T_T13411121314151617181920212223242526272829303132333536373839404142434445464748495051525354[[#This Row],[Total]]&lt;0,T_T13411121314151617181920212223242526272829303132333536373839404142434445464748495051525354[[#This Row],[Total]]*-1,0)</f>
        <v>0</v>
      </c>
    </row>
    <row r="32" spans="1:16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211</v>
      </c>
      <c r="I32" s="309">
        <f>IF(T_T13411121314151617181920212223242526272829303132333536373839404142434445464748495051525354[[#This Row],[Total]]&lt;0,T_T13411121314151617181920212223242526272829303132333536373839404142434445464748495051525354[[#This Row],[Total]]*-1,0)</f>
        <v>0</v>
      </c>
    </row>
    <row r="33" spans="1:9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211</v>
      </c>
      <c r="I33" s="309">
        <f>IF(T_T13411121314151617181920212223242526272829303132333536373839404142434445464748495051525354[[#This Row],[Total]]&lt;0,T_T13411121314151617181920212223242526272829303132333536373839404142434445464748495051525354[[#This Row],[Total]]*-1,0)</f>
        <v>0</v>
      </c>
    </row>
    <row r="34" spans="1:9" x14ac:dyDescent="0.3">
      <c r="A34" s="9"/>
      <c r="B34" s="3" t="s">
        <v>549</v>
      </c>
      <c r="C34" s="6"/>
      <c r="D34" s="230"/>
      <c r="E34" s="230"/>
      <c r="F34" s="230"/>
      <c r="G34" s="230">
        <f t="shared" si="0"/>
        <v>0</v>
      </c>
      <c r="H34" s="233">
        <f t="shared" si="1"/>
        <v>211</v>
      </c>
      <c r="I34" s="309">
        <f>IF(T_T13411121314151617181920212223242526272829303132333536373839404142434445464748495051525354[[#This Row],[Total]]&lt;0,T_T13411121314151617181920212223242526272829303132333536373839404142434445464748495051525354[[#This Row],[Total]]*-1,0)</f>
        <v>0</v>
      </c>
    </row>
    <row r="35" spans="1:9" x14ac:dyDescent="0.3">
      <c r="A35" s="9">
        <v>45991</v>
      </c>
      <c r="B35" s="3" t="s">
        <v>550</v>
      </c>
      <c r="C35" s="229"/>
      <c r="D35" s="230"/>
      <c r="E35" s="7"/>
      <c r="F35" s="230"/>
      <c r="G35" s="230">
        <f t="shared" si="0"/>
        <v>0</v>
      </c>
      <c r="H35" s="233">
        <f t="shared" si="1"/>
        <v>211</v>
      </c>
      <c r="I35" s="309">
        <f>IF(T_T13411121314151617181920212223242526272829303132333536373839404142434445464748495051525354[[#This Row],[Total]]&lt;0,T_T13411121314151617181920212223242526272829303132333536373839404142434445464748495051525354[[#This Row],[Total]]*-1,0)</f>
        <v>0</v>
      </c>
    </row>
    <row r="36" spans="1:9" x14ac:dyDescent="0.3">
      <c r="A36" s="17"/>
      <c r="B36" s="18" t="s">
        <v>551</v>
      </c>
      <c r="C36" s="6"/>
      <c r="D36" s="230"/>
      <c r="E36" s="230"/>
      <c r="F36" s="230"/>
      <c r="G36" s="230">
        <f t="shared" si="0"/>
        <v>0</v>
      </c>
      <c r="H36" s="233">
        <f t="shared" si="1"/>
        <v>211</v>
      </c>
      <c r="I36" s="309">
        <f>IF(T_T13411121314151617181920212223242526272829303132333536373839404142434445464748495051525354[[#This Row],[Total]]&lt;0,T_T13411121314151617181920212223242526272829303132333536373839404142434445464748495051525354[[#This Row],[Total]]*-1,0)</f>
        <v>0</v>
      </c>
    </row>
    <row r="37" spans="1:9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211</v>
      </c>
      <c r="I37" s="309">
        <f>IF(T_T13411121314151617181920212223242526272829303132333536373839404142434445464748495051525354[[#This Row],[Total]]&lt;0,T_T13411121314151617181920212223242526272829303132333536373839404142434445464748495051525354[[#This Row],[Total]]*-1,0)</f>
        <v>0</v>
      </c>
    </row>
    <row r="38" spans="1:9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211</v>
      </c>
      <c r="I38" s="353">
        <f>IF(T_T13411121314151617181920212223242526272829303132333536373839404142434445464748495051525354[[#This Row],[Total]]&lt;0,T_T13411121314151617181920212223242526272829303132333536373839404142434445464748495051525354[[#This Row],[Total]]*-1,0)</f>
        <v>0</v>
      </c>
    </row>
    <row r="39" spans="1:9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211</v>
      </c>
      <c r="I39" s="353">
        <f>IF(T_T13411121314151617181920212223242526272829303132333536373839404142434445464748495051525354[[#This Row],[Total]]&lt;0,T_T13411121314151617181920212223242526272829303132333536373839404142434445464748495051525354[[#This Row],[Total]]*-1,0)</f>
        <v>0</v>
      </c>
    </row>
    <row r="40" spans="1:9" x14ac:dyDescent="0.3">
      <c r="A40" s="107"/>
      <c r="B40" s="82" t="s">
        <v>589</v>
      </c>
      <c r="C40" s="229"/>
      <c r="D40" s="230"/>
      <c r="E40" s="230"/>
      <c r="F40" s="230"/>
      <c r="G40" s="230">
        <f>SUM(D40:F47)</f>
        <v>0</v>
      </c>
      <c r="H40" s="233">
        <f t="shared" si="1"/>
        <v>211</v>
      </c>
      <c r="I40" s="353">
        <f>IF(T_T13411121314151617181920212223242526272829303132333536373839404142434445464748495051525354[[#This Row],[Total]]&lt;0,T_T13411121314151617181920212223242526272829303132333536373839404142434445464748495051525354[[#This Row],[Total]]*-1,0)</f>
        <v>0</v>
      </c>
    </row>
    <row r="41" spans="1:9" x14ac:dyDescent="0.3">
      <c r="A41" s="492"/>
      <c r="B41" s="537" t="s">
        <v>588</v>
      </c>
      <c r="C41" s="466"/>
      <c r="D41" s="467"/>
      <c r="E41" s="467"/>
      <c r="F41" s="467"/>
      <c r="G41" s="467"/>
      <c r="H41" s="467"/>
      <c r="I41" s="475"/>
    </row>
  </sheetData>
  <pageMargins left="0.34" right="0.25" top="0.31496062992125984" bottom="0.31496062992125984" header="0.31496062992125984" footer="0.31496062992125984"/>
  <pageSetup scale="70" orientation="portrait" verticalDpi="360" r:id="rId1"/>
  <tableParts count="1">
    <tablePart r:id="rId2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K46"/>
  <sheetViews>
    <sheetView showGridLines="0" topLeftCell="A9" zoomScale="98" zoomScaleNormal="98" workbookViewId="0">
      <selection activeCell="H25" sqref="H25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</cols>
  <sheetData>
    <row r="2" spans="1:9" ht="15.6" x14ac:dyDescent="0.3">
      <c r="A2" s="27" t="s">
        <v>36</v>
      </c>
      <c r="B2" s="41" t="s">
        <v>103</v>
      </c>
    </row>
    <row r="3" spans="1:9" x14ac:dyDescent="0.3">
      <c r="A3" s="27" t="s">
        <v>31</v>
      </c>
      <c r="B3" s="28" t="s">
        <v>679</v>
      </c>
    </row>
    <row r="4" spans="1:9" x14ac:dyDescent="0.3">
      <c r="A4" s="27" t="s">
        <v>32</v>
      </c>
      <c r="B4" s="28"/>
    </row>
    <row r="5" spans="1:9" x14ac:dyDescent="0.3">
      <c r="A5" s="27" t="s">
        <v>33</v>
      </c>
      <c r="B5" s="28" t="e">
        <f>LOOKUP(B2,#REF!,#REF!)</f>
        <v>#REF!</v>
      </c>
    </row>
    <row r="6" spans="1:9" x14ac:dyDescent="0.3">
      <c r="A6" s="27" t="s">
        <v>34</v>
      </c>
      <c r="B6" s="28" t="e">
        <f>LOOKUP(B2,#REF!,#REF!)</f>
        <v>#REF!</v>
      </c>
      <c r="G6" s="25"/>
      <c r="H6" s="25"/>
    </row>
    <row r="7" spans="1:9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9" x14ac:dyDescent="0.3">
      <c r="A8" s="21"/>
      <c r="B8" s="21"/>
    </row>
    <row r="9" spans="1:9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9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IF(T_T1341112131415161718192021222324252627282930313233353637383940414243444546474849505152535455[[#This Row],[Total]]&lt;0,T_T1341112131415161718192021222324252627282930313233353637383940414243444546474849505152535455[[#This Row],[Total]]*-1,0)</f>
        <v>0</v>
      </c>
    </row>
    <row r="11" spans="1:9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IF(T_T1341112131415161718192021222324252627282930313233353637383940414243444546474849505152535455[[#This Row],[Total]]&lt;0,T_T1341112131415161718192021222324252627282930313233353637383940414243444546474849505152535455[[#This Row],[Total]]*-1,0)</f>
        <v>0</v>
      </c>
    </row>
    <row r="12" spans="1:9" x14ac:dyDescent="0.3">
      <c r="A12" s="432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IF(T_T1341112131415161718192021222324252627282930313233353637383940414243444546474849505152535455[[#This Row],[Total]]&lt;0,T_T1341112131415161718192021222324252627282930313233353637383940414243444546474849505152535455[[#This Row],[Total]]*-1,0)</f>
        <v>0</v>
      </c>
    </row>
    <row r="13" spans="1:9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IF(T_T1341112131415161718192021222324252627282930313233353637383940414243444546474849505152535455[[#This Row],[Total]]&lt;0,T_T1341112131415161718192021222324252627282930313233353637383940414243444546474849505152535455[[#This Row],[Total]]*-1,0)</f>
        <v>0</v>
      </c>
    </row>
    <row r="14" spans="1:9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IF(T_T1341112131415161718192021222324252627282930313233353637383940414243444546474849505152535455[[#This Row],[Total]]&lt;0,T_T1341112131415161718192021222324252627282930313233353637383940414243444546474849505152535455[[#This Row],[Total]]*-1,0)</f>
        <v>0</v>
      </c>
    </row>
    <row r="15" spans="1:9" x14ac:dyDescent="0.3">
      <c r="A15" s="17">
        <v>45687</v>
      </c>
      <c r="B15" s="18" t="s">
        <v>590</v>
      </c>
      <c r="C15" s="6"/>
      <c r="D15" s="2">
        <v>142</v>
      </c>
      <c r="E15" s="2">
        <v>31</v>
      </c>
      <c r="F15" s="20"/>
      <c r="G15" s="20">
        <f>SUM(D15:F15)</f>
        <v>173</v>
      </c>
      <c r="H15" s="233">
        <f>+H13+T_T1341112131415161718192021222324252627282930313233353637383940414243444546474849505152535455[[#This Row],[Total]]</f>
        <v>173</v>
      </c>
      <c r="I15" s="240">
        <f>IF(T_T1341112131415161718192021222324252627282930313233353637383940414243444546474849505152535455[[#This Row],[Total]]&lt;0,T_T1341112131415161718192021222324252627282930313233353637383940414243444546474849505152535455[[#This Row],[Total]]*-1,0)</f>
        <v>0</v>
      </c>
    </row>
    <row r="16" spans="1:9" x14ac:dyDescent="0.3">
      <c r="A16" s="17"/>
      <c r="B16" s="18" t="s">
        <v>591</v>
      </c>
      <c r="C16" s="6">
        <v>8671</v>
      </c>
      <c r="D16" s="2">
        <v>-142</v>
      </c>
      <c r="E16" s="2">
        <v>-31</v>
      </c>
      <c r="F16" s="230"/>
      <c r="G16" s="230">
        <f t="shared" ref="G16:G44" si="0">SUM(D16:F16)</f>
        <v>-173</v>
      </c>
      <c r="H16" s="233">
        <f t="shared" ref="H16:H46" si="1">H15+G16</f>
        <v>0</v>
      </c>
      <c r="I16" s="239">
        <f>IF(T_T1341112131415161718192021222324252627282930313233353637383940414243444546474849505152535455[[#This Row],[Total]]&lt;0,T_T1341112131415161718192021222324252627282930313233353637383940414243444546474849505152535455[[#This Row],[Total]]*-1,0)</f>
        <v>173</v>
      </c>
    </row>
    <row r="17" spans="1:11" x14ac:dyDescent="0.3">
      <c r="A17" s="164">
        <v>45715</v>
      </c>
      <c r="B17" s="161" t="s">
        <v>592</v>
      </c>
      <c r="C17" s="6"/>
      <c r="D17" s="2">
        <v>142</v>
      </c>
      <c r="E17" s="2">
        <v>27</v>
      </c>
      <c r="F17" s="230"/>
      <c r="G17" s="230">
        <f t="shared" si="0"/>
        <v>169</v>
      </c>
      <c r="H17" s="233">
        <f t="shared" si="1"/>
        <v>169</v>
      </c>
      <c r="I17" s="240">
        <f>IF(T_T1341112131415161718192021222324252627282930313233353637383940414243444546474849505152535455[[#This Row],[Total]]&lt;0,T_T1341112131415161718192021222324252627282930313233353637383940414243444546474849505152535455[[#This Row],[Total]]*-1,0)</f>
        <v>0</v>
      </c>
    </row>
    <row r="18" spans="1:11" x14ac:dyDescent="0.3">
      <c r="A18" s="187"/>
      <c r="B18" s="18" t="s">
        <v>593</v>
      </c>
      <c r="C18" s="6">
        <v>8671</v>
      </c>
      <c r="D18" s="2">
        <v>-142</v>
      </c>
      <c r="E18" s="2">
        <v>-27</v>
      </c>
      <c r="F18" s="230"/>
      <c r="G18" s="230">
        <f t="shared" si="0"/>
        <v>-169</v>
      </c>
      <c r="H18" s="233">
        <f t="shared" si="1"/>
        <v>0</v>
      </c>
      <c r="I18" s="240">
        <f>IF(T_T1341112131415161718192021222324252627282930313233353637383940414243444546474849505152535455[[#This Row],[Total]]&lt;0,T_T1341112131415161718192021222324252627282930313233353637383940414243444546474849505152535455[[#This Row],[Total]]*-1,0)</f>
        <v>169</v>
      </c>
    </row>
    <row r="19" spans="1:11" x14ac:dyDescent="0.3">
      <c r="A19" s="188">
        <v>45747</v>
      </c>
      <c r="B19" s="82" t="s">
        <v>560</v>
      </c>
      <c r="C19" s="462"/>
      <c r="D19" s="463">
        <v>100</v>
      </c>
      <c r="E19" s="463"/>
      <c r="F19" s="463"/>
      <c r="G19" s="230">
        <f t="shared" si="0"/>
        <v>100</v>
      </c>
      <c r="H19" s="233">
        <f t="shared" si="1"/>
        <v>100</v>
      </c>
      <c r="I19" s="464">
        <f>IF(T_T1341112131415161718192021222324252627282930313233353637383940414243444546474849505152535455[[#This Row],[Total]]&lt;0,T_T1341112131415161718192021222324252627282930313233353637383940414243444546474849505152535455[[#This Row],[Total]]*-1,0)</f>
        <v>0</v>
      </c>
    </row>
    <row r="20" spans="1:11" x14ac:dyDescent="0.3">
      <c r="A20" s="188"/>
      <c r="B20" s="82" t="s">
        <v>560</v>
      </c>
      <c r="C20" s="462">
        <v>8691</v>
      </c>
      <c r="D20" s="463">
        <v>-100</v>
      </c>
      <c r="E20" s="463"/>
      <c r="F20" s="463"/>
      <c r="G20" s="230">
        <f t="shared" si="0"/>
        <v>-100</v>
      </c>
      <c r="H20" s="233">
        <f t="shared" si="1"/>
        <v>0</v>
      </c>
      <c r="I20" s="464">
        <f>IF(T_T1341112131415161718192021222324252627282930313233353637383940414243444546474849505152535455[[#This Row],[Total]]&lt;0,T_T1341112131415161718192021222324252627282930313233353637383940414243444546474849505152535455[[#This Row],[Total]]*-1,0)</f>
        <v>100</v>
      </c>
    </row>
    <row r="21" spans="1:11" x14ac:dyDescent="0.3">
      <c r="A21" s="509"/>
      <c r="B21" s="82" t="s">
        <v>560</v>
      </c>
      <c r="C21" s="471"/>
      <c r="D21" s="472">
        <v>200</v>
      </c>
      <c r="E21" s="472"/>
      <c r="F21" s="472"/>
      <c r="G21" s="230">
        <f t="shared" si="0"/>
        <v>200</v>
      </c>
      <c r="H21" s="233">
        <f t="shared" si="1"/>
        <v>200</v>
      </c>
      <c r="I21" s="473">
        <f>IF(T_T1341112131415161718192021222324252627282930313233353637383940414243444546474849505152535455[[#This Row],[Total]]&lt;0,T_T1341112131415161718192021222324252627282930313233353637383940414243444546474849505152535455[[#This Row],[Total]]*-1,0)</f>
        <v>0</v>
      </c>
      <c r="K21" t="s">
        <v>564</v>
      </c>
    </row>
    <row r="22" spans="1:11" x14ac:dyDescent="0.3">
      <c r="A22" s="510"/>
      <c r="B22" s="137" t="s">
        <v>561</v>
      </c>
      <c r="C22" s="471">
        <v>8569</v>
      </c>
      <c r="D22" s="472">
        <v>-200</v>
      </c>
      <c r="E22" s="472"/>
      <c r="F22" s="472"/>
      <c r="G22" s="230">
        <f t="shared" si="0"/>
        <v>-200</v>
      </c>
      <c r="H22" s="233">
        <f t="shared" si="1"/>
        <v>0</v>
      </c>
      <c r="I22" s="473">
        <f>IF(T_T1341112131415161718192021222324252627282930313233353637383940414243444546474849505152535455[[#This Row],[Total]]&lt;0,T_T1341112131415161718192021222324252627282930313233353637383940414243444546474849505152535455[[#This Row],[Total]]*-1,0)</f>
        <v>200</v>
      </c>
    </row>
    <row r="23" spans="1:11" x14ac:dyDescent="0.3">
      <c r="A23" s="188">
        <v>45777</v>
      </c>
      <c r="B23" s="3" t="s">
        <v>594</v>
      </c>
      <c r="C23" s="6"/>
      <c r="D23" s="2">
        <v>170</v>
      </c>
      <c r="E23" s="2">
        <v>11</v>
      </c>
      <c r="F23" s="230"/>
      <c r="G23" s="230">
        <f>SUM(D23:F23)</f>
        <v>181</v>
      </c>
      <c r="H23" s="233">
        <f t="shared" si="1"/>
        <v>181</v>
      </c>
      <c r="I23" s="607">
        <f>IF(T_T1341112131415161718192021222324252627282930313233353637383940414243444546474849505152535455[[#This Row],[Total]]&lt;0,T_T1341112131415161718192021222324252627282930313233353637383940414243444546474849505152535455[[#This Row],[Total]]*-1,0)</f>
        <v>0</v>
      </c>
    </row>
    <row r="24" spans="1:11" x14ac:dyDescent="0.3">
      <c r="A24" s="83"/>
      <c r="B24" s="82" t="s">
        <v>648</v>
      </c>
      <c r="C24" s="6"/>
      <c r="D24" s="2"/>
      <c r="E24" s="2"/>
      <c r="F24" s="230"/>
      <c r="G24" s="230">
        <f>SUM(D24:F24)</f>
        <v>0</v>
      </c>
      <c r="H24" s="233">
        <f t="shared" si="1"/>
        <v>181</v>
      </c>
      <c r="I24" s="607">
        <f>IF(T_T1341112131415161718192021222324252627282930313233353637383940414243444546474849505152535455[[#This Row],[Total]]&lt;0,T_T1341112131415161718192021222324252627282930313233353637383940414243444546474849505152535455[[#This Row],[Total]]*-1,0)</f>
        <v>0</v>
      </c>
    </row>
    <row r="25" spans="1:11" x14ac:dyDescent="0.3">
      <c r="A25" s="188">
        <v>45777</v>
      </c>
      <c r="B25" s="3" t="s">
        <v>596</v>
      </c>
      <c r="C25" s="6"/>
      <c r="D25" s="2">
        <v>170</v>
      </c>
      <c r="E25" s="2">
        <v>18</v>
      </c>
      <c r="F25" s="230"/>
      <c r="G25" s="230">
        <f t="shared" si="0"/>
        <v>188</v>
      </c>
      <c r="H25" s="233">
        <f t="shared" si="1"/>
        <v>369</v>
      </c>
      <c r="I25" s="240">
        <f>IF(T_T1341112131415161718192021222324252627282930313233353637383940414243444546474849505152535455[[#This Row],[Total]]&lt;0,T_T1341112131415161718192021222324252627282930313233353637383940414243444546474849505152535455[[#This Row],[Total]]*-1,0)</f>
        <v>0</v>
      </c>
    </row>
    <row r="26" spans="1:11" x14ac:dyDescent="0.3">
      <c r="A26" s="83"/>
      <c r="B26" s="82" t="s">
        <v>597</v>
      </c>
      <c r="C26" s="6"/>
      <c r="D26" s="2"/>
      <c r="E26" s="2"/>
      <c r="F26" s="230"/>
      <c r="G26" s="230">
        <f t="shared" si="0"/>
        <v>0</v>
      </c>
      <c r="H26" s="233">
        <f t="shared" si="1"/>
        <v>369</v>
      </c>
      <c r="I26" s="239">
        <f>IF(T_T1341112131415161718192021222324252627282930313233353637383940414243444546474849505152535455[[#This Row],[Total]]&lt;0,T_T1341112131415161718192021222324252627282930313233353637383940414243444546474849505152535455[[#This Row],[Total]]*-1,0)</f>
        <v>0</v>
      </c>
    </row>
    <row r="27" spans="1:11" x14ac:dyDescent="0.3">
      <c r="A27" s="40">
        <v>45807</v>
      </c>
      <c r="B27" s="3" t="s">
        <v>538</v>
      </c>
      <c r="C27" s="6"/>
      <c r="D27" s="2">
        <v>170</v>
      </c>
      <c r="E27" s="2">
        <v>29</v>
      </c>
      <c r="F27" s="230"/>
      <c r="G27" s="230">
        <f t="shared" si="0"/>
        <v>199</v>
      </c>
      <c r="H27" s="233">
        <f t="shared" si="1"/>
        <v>568</v>
      </c>
      <c r="I27" s="309">
        <f>IF(T_T1341112131415161718192021222324252627282930313233353637383940414243444546474849505152535455[[#This Row],[Total]]&lt;0,T_T1341112131415161718192021222324252627282930313233353637383940414243444546474849505152535455[[#This Row],[Total]]*-1,0)</f>
        <v>0</v>
      </c>
    </row>
    <row r="28" spans="1:11" x14ac:dyDescent="0.3">
      <c r="A28" s="9"/>
      <c r="B28" s="18" t="s">
        <v>539</v>
      </c>
      <c r="C28" s="6"/>
      <c r="D28" s="2"/>
      <c r="E28" s="2"/>
      <c r="F28" s="230"/>
      <c r="G28" s="230">
        <f t="shared" si="0"/>
        <v>0</v>
      </c>
      <c r="H28" s="233">
        <f t="shared" si="1"/>
        <v>568</v>
      </c>
      <c r="I28" s="309">
        <f>IF(T_T1341112131415161718192021222324252627282930313233353637383940414243444546474849505152535455[[#This Row],[Total]]&lt;0,T_T1341112131415161718192021222324252627282930313233353637383940414243444546474849505152535455[[#This Row],[Total]]*-1,0)</f>
        <v>0</v>
      </c>
    </row>
    <row r="29" spans="1:11" x14ac:dyDescent="0.3">
      <c r="A29" s="9">
        <v>45838</v>
      </c>
      <c r="B29" s="3" t="s">
        <v>540</v>
      </c>
      <c r="C29" s="229"/>
      <c r="D29" s="230"/>
      <c r="E29" s="230"/>
      <c r="F29" s="230"/>
      <c r="G29" s="230">
        <f t="shared" si="0"/>
        <v>0</v>
      </c>
      <c r="H29" s="233">
        <f t="shared" si="1"/>
        <v>568</v>
      </c>
      <c r="I29" s="309">
        <f>IF(T_T1341112131415161718192021222324252627282930313233353637383940414243444546474849505152535455[[#This Row],[Total]]&lt;0,T_T1341112131415161718192021222324252627282930313233353637383940414243444546474849505152535455[[#This Row],[Total]]*-1,0)</f>
        <v>0</v>
      </c>
    </row>
    <row r="30" spans="1:11" x14ac:dyDescent="0.3">
      <c r="A30" s="9"/>
      <c r="B30" s="18" t="s">
        <v>541</v>
      </c>
      <c r="C30" s="6"/>
      <c r="D30" s="230"/>
      <c r="E30" s="230"/>
      <c r="F30" s="230"/>
      <c r="G30" s="230">
        <f t="shared" si="0"/>
        <v>0</v>
      </c>
      <c r="H30" s="233">
        <f t="shared" si="1"/>
        <v>568</v>
      </c>
      <c r="I30" s="311">
        <f>IF(T_T1341112131415161718192021222324252627282930313233353637383940414243444546474849505152535455[[#This Row],[Total]]&lt;0,T_T1341112131415161718192021222324252627282930313233353637383940414243444546474849505152535455[[#This Row],[Total]]*-1,0)</f>
        <v>0</v>
      </c>
    </row>
    <row r="31" spans="1:11" x14ac:dyDescent="0.3">
      <c r="A31" s="107">
        <v>45868</v>
      </c>
      <c r="B31" s="82" t="s">
        <v>542</v>
      </c>
      <c r="C31" s="229"/>
      <c r="D31" s="230"/>
      <c r="E31" s="230"/>
      <c r="F31" s="230"/>
      <c r="G31" s="230">
        <f t="shared" si="0"/>
        <v>0</v>
      </c>
      <c r="H31" s="233">
        <f t="shared" si="1"/>
        <v>568</v>
      </c>
      <c r="I31" s="309">
        <f>IF(T_T1341112131415161718192021222324252627282930313233353637383940414243444546474849505152535455[[#This Row],[Total]]&lt;0,T_T1341112131415161718192021222324252627282930313233353637383940414243444546474849505152535455[[#This Row],[Total]]*-1,0)</f>
        <v>0</v>
      </c>
    </row>
    <row r="32" spans="1:11" x14ac:dyDescent="0.3">
      <c r="A32" s="107"/>
      <c r="B32" s="82" t="s">
        <v>543</v>
      </c>
      <c r="C32" s="6"/>
      <c r="D32" s="230"/>
      <c r="E32" s="230"/>
      <c r="F32" s="230"/>
      <c r="G32" s="230">
        <f t="shared" si="0"/>
        <v>0</v>
      </c>
      <c r="H32" s="233">
        <f t="shared" si="1"/>
        <v>568</v>
      </c>
      <c r="I32" s="309">
        <f>IF(T_T1341112131415161718192021222324252627282930313233353637383940414243444546474849505152535455[[#This Row],[Total]]&lt;0,T_T1341112131415161718192021222324252627282930313233353637383940414243444546474849505152535455[[#This Row],[Total]]*-1,0)</f>
        <v>0</v>
      </c>
    </row>
    <row r="33" spans="1:11" x14ac:dyDescent="0.3">
      <c r="A33" s="107">
        <v>45899</v>
      </c>
      <c r="B33" s="82" t="s">
        <v>544</v>
      </c>
      <c r="C33" s="229"/>
      <c r="D33" s="230"/>
      <c r="E33" s="230"/>
      <c r="F33" s="230"/>
      <c r="G33" s="230">
        <f t="shared" si="0"/>
        <v>0</v>
      </c>
      <c r="H33" s="233">
        <f t="shared" si="1"/>
        <v>568</v>
      </c>
      <c r="I33" s="309">
        <f>IF(T_T1341112131415161718192021222324252627282930313233353637383940414243444546474849505152535455[[#This Row],[Total]]&lt;0,T_T1341112131415161718192021222324252627282930313233353637383940414243444546474849505152535455[[#This Row],[Total]]*-1,0)</f>
        <v>0</v>
      </c>
    </row>
    <row r="34" spans="1:11" x14ac:dyDescent="0.3">
      <c r="A34" s="107"/>
      <c r="B34" s="82" t="s">
        <v>545</v>
      </c>
      <c r="C34" s="6"/>
      <c r="D34" s="230"/>
      <c r="E34" s="230"/>
      <c r="F34" s="230"/>
      <c r="G34" s="230">
        <f t="shared" si="0"/>
        <v>0</v>
      </c>
      <c r="H34" s="233">
        <f t="shared" si="1"/>
        <v>568</v>
      </c>
      <c r="I34" s="311">
        <f>IF(T_T1341112131415161718192021222324252627282930313233353637383940414243444546474849505152535455[[#This Row],[Total]]&lt;0,T_T1341112131415161718192021222324252627282930313233353637383940414243444546474849505152535455[[#This Row],[Total]]*-1,0)</f>
        <v>0</v>
      </c>
    </row>
    <row r="35" spans="1:11" x14ac:dyDescent="0.3">
      <c r="A35" s="9">
        <v>45930</v>
      </c>
      <c r="B35" s="3" t="s">
        <v>546</v>
      </c>
      <c r="C35" s="6"/>
      <c r="D35" s="230"/>
      <c r="E35" s="230"/>
      <c r="F35" s="230"/>
      <c r="G35" s="230">
        <f t="shared" si="0"/>
        <v>0</v>
      </c>
      <c r="H35" s="233">
        <f t="shared" si="1"/>
        <v>568</v>
      </c>
      <c r="I35" s="309">
        <f>IF(T_T1341112131415161718192021222324252627282930313233353637383940414243444546474849505152535455[[#This Row],[Total]]&lt;0,T_T1341112131415161718192021222324252627282930313233353637383940414243444546474849505152535455[[#This Row],[Total]]*-1,0)</f>
        <v>0</v>
      </c>
    </row>
    <row r="36" spans="1:11" x14ac:dyDescent="0.3">
      <c r="A36" s="9"/>
      <c r="B36" s="3" t="s">
        <v>547</v>
      </c>
      <c r="C36" s="6"/>
      <c r="D36" s="230"/>
      <c r="E36" s="230"/>
      <c r="F36" s="230"/>
      <c r="G36" s="230">
        <f t="shared" si="0"/>
        <v>0</v>
      </c>
      <c r="H36" s="233">
        <f t="shared" si="1"/>
        <v>568</v>
      </c>
      <c r="I36" s="309">
        <f>IF(T_T1341112131415161718192021222324252627282930313233353637383940414243444546474849505152535455[[#This Row],[Total]]&lt;0,T_T1341112131415161718192021222324252627282930313233353637383940414243444546474849505152535455[[#This Row],[Total]]*-1,0)</f>
        <v>0</v>
      </c>
    </row>
    <row r="37" spans="1:11" x14ac:dyDescent="0.3">
      <c r="A37" s="9">
        <v>45960</v>
      </c>
      <c r="B37" s="3" t="s">
        <v>548</v>
      </c>
      <c r="C37" s="229"/>
      <c r="D37" s="230"/>
      <c r="E37" s="230"/>
      <c r="F37" s="230"/>
      <c r="G37" s="230">
        <f t="shared" si="0"/>
        <v>0</v>
      </c>
      <c r="H37" s="233">
        <f t="shared" si="1"/>
        <v>568</v>
      </c>
      <c r="I37" s="309">
        <f>IF(T_T1341112131415161718192021222324252627282930313233353637383940414243444546474849505152535455[[#This Row],[Total]]&lt;0,T_T1341112131415161718192021222324252627282930313233353637383940414243444546474849505152535455[[#This Row],[Total]]*-1,0)</f>
        <v>0</v>
      </c>
    </row>
    <row r="38" spans="1:11" x14ac:dyDescent="0.3">
      <c r="A38" s="9"/>
      <c r="B38" s="3" t="s">
        <v>549</v>
      </c>
      <c r="C38" s="6"/>
      <c r="D38" s="230"/>
      <c r="E38" s="230"/>
      <c r="F38" s="230"/>
      <c r="G38" s="230">
        <f t="shared" si="0"/>
        <v>0</v>
      </c>
      <c r="H38" s="233">
        <f t="shared" si="1"/>
        <v>568</v>
      </c>
      <c r="I38" s="309">
        <f>IF(T_T1341112131415161718192021222324252627282930313233353637383940414243444546474849505152535455[[#This Row],[Total]]&lt;0,T_T1341112131415161718192021222324252627282930313233353637383940414243444546474849505152535455[[#This Row],[Total]]*-1,0)</f>
        <v>0</v>
      </c>
    </row>
    <row r="39" spans="1:11" x14ac:dyDescent="0.3">
      <c r="A39" s="9">
        <v>45991</v>
      </c>
      <c r="B39" s="3" t="s">
        <v>550</v>
      </c>
      <c r="C39" s="229"/>
      <c r="D39" s="230"/>
      <c r="E39" s="230"/>
      <c r="F39" s="230"/>
      <c r="G39" s="230">
        <f t="shared" si="0"/>
        <v>0</v>
      </c>
      <c r="H39" s="233">
        <f t="shared" si="1"/>
        <v>568</v>
      </c>
      <c r="I39" s="309">
        <f>IF(T_T1341112131415161718192021222324252627282930313233353637383940414243444546474849505152535455[[#This Row],[Total]]&lt;0,T_T1341112131415161718192021222324252627282930313233353637383940414243444546474849505152535455[[#This Row],[Total]]*-1,0)</f>
        <v>0</v>
      </c>
      <c r="K39" t="s">
        <v>499</v>
      </c>
    </row>
    <row r="40" spans="1:11" x14ac:dyDescent="0.3">
      <c r="A40" s="17"/>
      <c r="B40" s="18" t="s">
        <v>551</v>
      </c>
      <c r="C40" s="229"/>
      <c r="D40" s="230"/>
      <c r="E40" s="230"/>
      <c r="F40" s="230"/>
      <c r="G40" s="230">
        <f t="shared" si="0"/>
        <v>0</v>
      </c>
      <c r="H40" s="233">
        <f t="shared" si="1"/>
        <v>568</v>
      </c>
      <c r="I40" s="309">
        <f>IF(T_T1341112131415161718192021222324252627282930313233353637383940414243444546474849505152535455[[#This Row],[Total]]&lt;0,T_T1341112131415161718192021222324252627282930313233353637383940414243444546474849505152535455[[#This Row],[Total]]*-1,0)</f>
        <v>0</v>
      </c>
    </row>
    <row r="41" spans="1:11" x14ac:dyDescent="0.3">
      <c r="A41" s="188">
        <v>46021</v>
      </c>
      <c r="B41" s="3" t="s">
        <v>552</v>
      </c>
      <c r="C41" s="229"/>
      <c r="D41" s="230"/>
      <c r="E41" s="230"/>
      <c r="F41" s="230"/>
      <c r="G41" s="230">
        <f t="shared" si="0"/>
        <v>0</v>
      </c>
      <c r="H41" s="233">
        <f t="shared" si="1"/>
        <v>568</v>
      </c>
      <c r="I41" s="309">
        <f>IF(T_T1341112131415161718192021222324252627282930313233353637383940414243444546474849505152535455[[#This Row],[Total]]&lt;0,T_T1341112131415161718192021222324252627282930313233353637383940414243444546474849505152535455[[#This Row],[Total]]*-1,0)</f>
        <v>0</v>
      </c>
    </row>
    <row r="42" spans="1:11" x14ac:dyDescent="0.3">
      <c r="A42" s="257"/>
      <c r="B42" s="110" t="s">
        <v>553</v>
      </c>
      <c r="C42" s="6"/>
      <c r="D42" s="230"/>
      <c r="E42" s="230"/>
      <c r="F42" s="230"/>
      <c r="G42" s="230">
        <f t="shared" si="0"/>
        <v>0</v>
      </c>
      <c r="H42" s="233">
        <f t="shared" si="1"/>
        <v>568</v>
      </c>
      <c r="I42" s="309">
        <f>IF(T_T1341112131415161718192021222324252627282930313233353637383940414243444546474849505152535455[[#This Row],[Total]]&lt;0,T_T1341112131415161718192021222324252627282930313233353637383940414243444546474849505152535455[[#This Row],[Total]]*-1,0)</f>
        <v>0</v>
      </c>
    </row>
    <row r="43" spans="1:11" x14ac:dyDescent="0.3">
      <c r="A43" s="107"/>
      <c r="B43" s="82"/>
      <c r="C43" s="229"/>
      <c r="D43" s="230"/>
      <c r="E43" s="230"/>
      <c r="F43" s="230"/>
      <c r="G43" s="230">
        <f t="shared" si="0"/>
        <v>0</v>
      </c>
      <c r="H43" s="233">
        <f t="shared" si="1"/>
        <v>568</v>
      </c>
      <c r="I43" s="311">
        <f>IF(T_T1341112131415161718192021222324252627282930313233353637383940414243444546474849505152535455[[#This Row],[Total]]&lt;0,T_T1341112131415161718192021222324252627282930313233353637383940414243444546474849505152535455[[#This Row],[Total]]*-1,0)</f>
        <v>0</v>
      </c>
    </row>
    <row r="44" spans="1:11" x14ac:dyDescent="0.3">
      <c r="A44" s="107"/>
      <c r="B44" s="82"/>
      <c r="C44" s="229"/>
      <c r="D44" s="230"/>
      <c r="E44" s="230"/>
      <c r="F44" s="230"/>
      <c r="G44" s="230">
        <f t="shared" si="0"/>
        <v>0</v>
      </c>
      <c r="H44" s="233">
        <f t="shared" si="1"/>
        <v>568</v>
      </c>
      <c r="I44" s="353">
        <f>IF(T_T1341112131415161718192021222324252627282930313233353637383940414243444546474849505152535455[[#This Row],[Total]]&lt;0,T_T1341112131415161718192021222324252627282930313233353637383940414243444546474849505152535455[[#This Row],[Total]]*-1,0)</f>
        <v>0</v>
      </c>
    </row>
    <row r="45" spans="1:11" x14ac:dyDescent="0.3">
      <c r="A45" s="170"/>
      <c r="B45" s="18"/>
      <c r="C45" s="229"/>
      <c r="D45" s="230"/>
      <c r="E45" s="230"/>
      <c r="F45" s="230"/>
      <c r="G45" s="230">
        <f>SUM(D45:F52)</f>
        <v>0</v>
      </c>
      <c r="H45" s="233">
        <f t="shared" si="1"/>
        <v>568</v>
      </c>
      <c r="I45" s="353">
        <f>IF(T_T1341112131415161718192021222324252627282930313233353637383940414243444546474849505152535455[[#This Row],[Total]]&lt;0,T_T1341112131415161718192021222324252627282930313233353637383940414243444546474849505152535455[[#This Row],[Total]]*-1,0)</f>
        <v>0</v>
      </c>
    </row>
    <row r="46" spans="1:11" x14ac:dyDescent="0.3">
      <c r="A46" s="107"/>
      <c r="B46" s="82"/>
      <c r="C46" s="229"/>
      <c r="D46" s="230"/>
      <c r="E46" s="230"/>
      <c r="F46" s="230"/>
      <c r="G46" s="230">
        <f>SUM(D46:F53)</f>
        <v>0</v>
      </c>
      <c r="H46" s="233">
        <f t="shared" si="1"/>
        <v>568</v>
      </c>
      <c r="I46" s="353">
        <f>IF(T_T1341112131415161718192021222324252627282930313233353637383940414243444546474849505152535455[[#This Row],[Total]]&lt;0,T_T1341112131415161718192021222324252627282930313233353637383940414243444546474849505152535455[[#This Row],[Total]]*-1,0)</f>
        <v>0</v>
      </c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scale="70" orientation="portrait" verticalDpi="360" r:id="rId2"/>
  <drawing r:id="rId3"/>
  <tableParts count="1">
    <tablePart r:id="rId4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I42"/>
  <sheetViews>
    <sheetView showGridLines="0" topLeftCell="A2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2" max="13" width="10.6640625" bestFit="1" customWidth="1"/>
    <col min="14" max="14" width="19" customWidth="1"/>
  </cols>
  <sheetData>
    <row r="2" spans="1:9" ht="15.6" x14ac:dyDescent="0.3">
      <c r="A2" s="27" t="s">
        <v>36</v>
      </c>
      <c r="B2" s="41" t="s">
        <v>104</v>
      </c>
    </row>
    <row r="3" spans="1:9" x14ac:dyDescent="0.3">
      <c r="A3" s="27" t="s">
        <v>31</v>
      </c>
      <c r="B3" s="28" t="s">
        <v>244</v>
      </c>
    </row>
    <row r="4" spans="1:9" hidden="1" x14ac:dyDescent="0.3">
      <c r="A4" s="27" t="s">
        <v>32</v>
      </c>
      <c r="B4" s="28" t="e">
        <f>LOOKUP(B2,#REF!,#REF!)</f>
        <v>#REF!</v>
      </c>
    </row>
    <row r="5" spans="1:9" hidden="1" x14ac:dyDescent="0.3">
      <c r="A5" s="27" t="s">
        <v>33</v>
      </c>
      <c r="B5" s="28" t="e">
        <f>LOOKUP(B2,#REF!,#REF!)</f>
        <v>#REF!</v>
      </c>
    </row>
    <row r="6" spans="1:9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9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9" x14ac:dyDescent="0.3">
      <c r="A8" s="21"/>
      <c r="B8" s="21"/>
    </row>
    <row r="9" spans="1:9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9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286">
        <f>IF(T_T134111213141516171819202122232425262728293031323335363738394041424344454647484950515253545556[[#This Row],[Total]]&lt;0,T_T134111213141516171819202122232425262728293031323335363738394041424344454647484950515253545556[[#This Row],[Total]]*-1,0)</f>
        <v>0</v>
      </c>
    </row>
    <row r="11" spans="1:9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IF(T_T134111213141516171819202122232425262728293031323335363738394041424344454647484950515253545556[[#This Row],[Total]]&lt;0,T_T134111213141516171819202122232425262728293031323335363738394041424344454647484950515253545556[[#This Row],[Total]]*-1,0)</f>
        <v>0</v>
      </c>
    </row>
    <row r="12" spans="1:9" x14ac:dyDescent="0.3">
      <c r="A12" s="361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IF(T_T134111213141516171819202122232425262728293031323335363738394041424344454647484950515253545556[[#This Row],[Total]]&lt;0,T_T134111213141516171819202122232425262728293031323335363738394041424344454647484950515253545556[[#This Row],[Total]]*-1,0)</f>
        <v>0</v>
      </c>
    </row>
    <row r="13" spans="1:9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IF(T_T134111213141516171819202122232425262728293031323335363738394041424344454647484950515253545556[[#This Row],[Total]]&lt;0,T_T134111213141516171819202122232425262728293031323335363738394041424344454647484950515253545556[[#This Row],[Total]]*-1,0)</f>
        <v>0</v>
      </c>
    </row>
    <row r="14" spans="1:9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IF(T_T134111213141516171819202122232425262728293031323335363738394041424344454647484950515253545556[[#This Row],[Total]]&lt;0,T_T134111213141516171819202122232425262728293031323335363738394041424344454647484950515253545556[[#This Row],[Total]]*-1,0)</f>
        <v>0</v>
      </c>
    </row>
    <row r="15" spans="1:9" x14ac:dyDescent="0.3">
      <c r="A15" s="17">
        <v>46052</v>
      </c>
      <c r="B15" s="18" t="s">
        <v>590</v>
      </c>
      <c r="C15" s="6"/>
      <c r="D15" s="2">
        <v>185</v>
      </c>
      <c r="E15" s="2">
        <v>23</v>
      </c>
      <c r="F15" s="20"/>
      <c r="G15" s="20">
        <f>SUM(D15:F15)</f>
        <v>208</v>
      </c>
      <c r="H15" s="233">
        <f>+H13+T_T134111213141516171819202122232425262728293031323335363738394041424344454647484950515253545556[[#This Row],[Total]]</f>
        <v>208</v>
      </c>
      <c r="I15" s="240">
        <f>IF(T_T134111213141516171819202122232425262728293031323335363738394041424344454647484950515253545556[[#This Row],[Total]]&lt;0,T_T134111213141516171819202122232425262728293031323335363738394041424344454647484950515253545556[[#This Row],[Total]]*-1,0)</f>
        <v>0</v>
      </c>
    </row>
    <row r="16" spans="1:9" x14ac:dyDescent="0.3">
      <c r="A16" s="17"/>
      <c r="B16" s="18" t="s">
        <v>591</v>
      </c>
      <c r="C16" s="6">
        <v>8543</v>
      </c>
      <c r="D16" s="2">
        <v>-185</v>
      </c>
      <c r="E16" s="2">
        <v>-23</v>
      </c>
      <c r="F16" s="230"/>
      <c r="G16" s="230">
        <f t="shared" ref="G16:G38" si="0">SUM(D16:F16)</f>
        <v>-208</v>
      </c>
      <c r="H16" s="233">
        <f t="shared" ref="H16:H40" si="1">H15+G16</f>
        <v>0</v>
      </c>
      <c r="I16" s="240">
        <f>IF(T_T134111213141516171819202122232425262728293031323335363738394041424344454647484950515253545556[[#This Row],[Total]]&lt;0,T_T134111213141516171819202122232425262728293031323335363738394041424344454647484950515253545556[[#This Row],[Total]]*-1,0)</f>
        <v>208</v>
      </c>
    </row>
    <row r="17" spans="1:9" x14ac:dyDescent="0.3">
      <c r="A17" s="164">
        <v>45715</v>
      </c>
      <c r="B17" s="161" t="s">
        <v>532</v>
      </c>
      <c r="C17" s="6"/>
      <c r="D17" s="2">
        <v>185</v>
      </c>
      <c r="E17" s="2">
        <v>20</v>
      </c>
      <c r="F17" s="230"/>
      <c r="G17" s="230">
        <f t="shared" si="0"/>
        <v>205</v>
      </c>
      <c r="H17" s="233">
        <f t="shared" si="1"/>
        <v>205</v>
      </c>
      <c r="I17" s="240">
        <f>IF(T_T134111213141516171819202122232425262728293031323335363738394041424344454647484950515253545556[[#This Row],[Total]]&lt;0,T_T134111213141516171819202122232425262728293031323335363738394041424344454647484950515253545556[[#This Row],[Total]]*-1,0)</f>
        <v>0</v>
      </c>
    </row>
    <row r="18" spans="1:9" x14ac:dyDescent="0.3">
      <c r="A18" s="187"/>
      <c r="B18" s="18" t="s">
        <v>533</v>
      </c>
      <c r="C18" s="6">
        <v>8664</v>
      </c>
      <c r="D18" s="2">
        <v>-185</v>
      </c>
      <c r="E18" s="2">
        <v>-20</v>
      </c>
      <c r="F18" s="230"/>
      <c r="G18" s="230">
        <f t="shared" si="0"/>
        <v>-205</v>
      </c>
      <c r="H18" s="233">
        <f t="shared" si="1"/>
        <v>0</v>
      </c>
      <c r="I18" s="240">
        <f>IF(T_T134111213141516171819202122232425262728293031323335363738394041424344454647484950515253545556[[#This Row],[Total]]&lt;0,T_T134111213141516171819202122232425262728293031323335363738394041424344454647484950515253545556[[#This Row],[Total]]*-1,0)</f>
        <v>205</v>
      </c>
    </row>
    <row r="19" spans="1:9" x14ac:dyDescent="0.3">
      <c r="A19" s="188">
        <v>45747</v>
      </c>
      <c r="B19" s="3" t="s">
        <v>534</v>
      </c>
      <c r="C19" s="6"/>
      <c r="D19" s="2">
        <f>222</f>
        <v>222</v>
      </c>
      <c r="E19" s="2">
        <v>18</v>
      </c>
      <c r="F19" s="230"/>
      <c r="G19" s="230">
        <f t="shared" si="0"/>
        <v>240</v>
      </c>
      <c r="H19" s="233">
        <f t="shared" si="1"/>
        <v>240</v>
      </c>
      <c r="I19" s="240">
        <f>IF(T_T134111213141516171819202122232425262728293031323335363738394041424344454647484950515253545556[[#This Row],[Total]]&lt;0,T_T134111213141516171819202122232425262728293031323335363738394041424344454647484950515253545556[[#This Row],[Total]]*-1,0)</f>
        <v>0</v>
      </c>
    </row>
    <row r="20" spans="1:9" x14ac:dyDescent="0.3">
      <c r="A20" s="188"/>
      <c r="B20" s="82" t="s">
        <v>535</v>
      </c>
      <c r="C20" s="6">
        <v>8796</v>
      </c>
      <c r="D20" s="2">
        <v>-222</v>
      </c>
      <c r="E20" s="2">
        <v>-18</v>
      </c>
      <c r="F20" s="230"/>
      <c r="G20" s="230">
        <f t="shared" si="0"/>
        <v>-240</v>
      </c>
      <c r="H20" s="233">
        <f t="shared" si="1"/>
        <v>0</v>
      </c>
      <c r="I20" s="240">
        <f>IF(T_T134111213141516171819202122232425262728293031323335363738394041424344454647484950515253545556[[#This Row],[Total]]&lt;0,T_T134111213141516171819202122232425262728293031323335363738394041424344454647484950515253545556[[#This Row],[Total]]*-1,0)</f>
        <v>240</v>
      </c>
    </row>
    <row r="21" spans="1:9" x14ac:dyDescent="0.3">
      <c r="A21" s="188">
        <v>45777</v>
      </c>
      <c r="B21" s="3" t="s">
        <v>536</v>
      </c>
      <c r="C21" s="6"/>
      <c r="D21" s="2">
        <v>222</v>
      </c>
      <c r="E21" s="2">
        <v>17</v>
      </c>
      <c r="F21" s="230"/>
      <c r="G21" s="230">
        <f t="shared" si="0"/>
        <v>239</v>
      </c>
      <c r="H21" s="233">
        <f t="shared" si="1"/>
        <v>239</v>
      </c>
      <c r="I21" s="309">
        <f>IF(T_T134111213141516171819202122232425262728293031323335363738394041424344454647484950515253545556[[#This Row],[Total]]&lt;0,T_T134111213141516171819202122232425262728293031323335363738394041424344454647484950515253545556[[#This Row],[Total]]*-1,0)</f>
        <v>0</v>
      </c>
    </row>
    <row r="22" spans="1:9" x14ac:dyDescent="0.3">
      <c r="A22" s="83"/>
      <c r="B22" s="82" t="s">
        <v>537</v>
      </c>
      <c r="C22" s="6">
        <v>8937</v>
      </c>
      <c r="D22" s="2">
        <v>-222</v>
      </c>
      <c r="E22" s="2">
        <v>-17</v>
      </c>
      <c r="F22" s="230"/>
      <c r="G22" s="230">
        <f t="shared" si="0"/>
        <v>-239</v>
      </c>
      <c r="H22" s="233">
        <f t="shared" si="1"/>
        <v>0</v>
      </c>
      <c r="I22" s="309">
        <f>IF(T_T134111213141516171819202122232425262728293031323335363738394041424344454647484950515253545556[[#This Row],[Total]]&lt;0,T_T134111213141516171819202122232425262728293031323335363738394041424344454647484950515253545556[[#This Row],[Total]]*-1,0)</f>
        <v>239</v>
      </c>
    </row>
    <row r="23" spans="1:9" x14ac:dyDescent="0.3">
      <c r="A23" s="40">
        <v>45807</v>
      </c>
      <c r="B23" s="3" t="s">
        <v>538</v>
      </c>
      <c r="C23" s="229"/>
      <c r="D23" s="230">
        <v>222</v>
      </c>
      <c r="E23" s="230">
        <v>20</v>
      </c>
      <c r="F23" s="230"/>
      <c r="G23" s="230">
        <f t="shared" si="0"/>
        <v>242</v>
      </c>
      <c r="H23" s="233">
        <f t="shared" si="1"/>
        <v>242</v>
      </c>
      <c r="I23" s="309">
        <f>IF(T_T134111213141516171819202122232425262728293031323335363738394041424344454647484950515253545556[[#This Row],[Total]]&lt;0,T_T134111213141516171819202122232425262728293031323335363738394041424344454647484950515253545556[[#This Row],[Total]]*-1,0)</f>
        <v>0</v>
      </c>
    </row>
    <row r="24" spans="1:9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242</v>
      </c>
      <c r="I24" s="309">
        <f>IF(T_T134111213141516171819202122232425262728293031323335363738394041424344454647484950515253545556[[#This Row],[Total]]&lt;0,T_T134111213141516171819202122232425262728293031323335363738394041424344454647484950515253545556[[#This Row],[Total]]*-1,0)</f>
        <v>0</v>
      </c>
    </row>
    <row r="25" spans="1:9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242</v>
      </c>
      <c r="I25" s="309">
        <f>IF(T_T134111213141516171819202122232425262728293031323335363738394041424344454647484950515253545556[[#This Row],[Total]]&lt;0,T_T134111213141516171819202122232425262728293031323335363738394041424344454647484950515253545556[[#This Row],[Total]]*-1,0)</f>
        <v>0</v>
      </c>
    </row>
    <row r="26" spans="1:9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242</v>
      </c>
      <c r="I26" s="309">
        <f>IF(T_T134111213141516171819202122232425262728293031323335363738394041424344454647484950515253545556[[#This Row],[Total]]&lt;0,T_T134111213141516171819202122232425262728293031323335363738394041424344454647484950515253545556[[#This Row],[Total]]*-1,0)</f>
        <v>0</v>
      </c>
    </row>
    <row r="27" spans="1:9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242</v>
      </c>
      <c r="I27" s="309">
        <f>IF(T_T134111213141516171819202122232425262728293031323335363738394041424344454647484950515253545556[[#This Row],[Total]]&lt;0,T_T134111213141516171819202122232425262728293031323335363738394041424344454647484950515253545556[[#This Row],[Total]]*-1,0)</f>
        <v>0</v>
      </c>
    </row>
    <row r="28" spans="1:9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242</v>
      </c>
      <c r="I28" s="309">
        <f>IF(T_T134111213141516171819202122232425262728293031323335363738394041424344454647484950515253545556[[#This Row],[Total]]&lt;0,T_T134111213141516171819202122232425262728293031323335363738394041424344454647484950515253545556[[#This Row],[Total]]*-1,0)</f>
        <v>0</v>
      </c>
    </row>
    <row r="29" spans="1:9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242</v>
      </c>
      <c r="I29" s="309">
        <f>IF(T_T134111213141516171819202122232425262728293031323335363738394041424344454647484950515253545556[[#This Row],[Total]]&lt;0,T_T134111213141516171819202122232425262728293031323335363738394041424344454647484950515253545556[[#This Row],[Total]]*-1,0)</f>
        <v>0</v>
      </c>
    </row>
    <row r="30" spans="1:9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242</v>
      </c>
      <c r="I30" s="309">
        <f>IF(T_T134111213141516171819202122232425262728293031323335363738394041424344454647484950515253545556[[#This Row],[Total]]&lt;0,T_T134111213141516171819202122232425262728293031323335363738394041424344454647484950515253545556[[#This Row],[Total]]*-1,0)</f>
        <v>0</v>
      </c>
    </row>
    <row r="31" spans="1:9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242</v>
      </c>
      <c r="I31" s="309">
        <f>IF(T_T134111213141516171819202122232425262728293031323335363738394041424344454647484950515253545556[[#This Row],[Total]]&lt;0,T_T134111213141516171819202122232425262728293031323335363738394041424344454647484950515253545556[[#This Row],[Total]]*-1,0)</f>
        <v>0</v>
      </c>
    </row>
    <row r="32" spans="1:9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242</v>
      </c>
      <c r="I32" s="309">
        <f>IF(T_T134111213141516171819202122232425262728293031323335363738394041424344454647484950515253545556[[#This Row],[Total]]&lt;0,T_T134111213141516171819202122232425262728293031323335363738394041424344454647484950515253545556[[#This Row],[Total]]*-1,0)</f>
        <v>0</v>
      </c>
    </row>
    <row r="33" spans="1:9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242</v>
      </c>
      <c r="I33" s="309">
        <f>IF(T_T134111213141516171819202122232425262728293031323335363738394041424344454647484950515253545556[[#This Row],[Total]]&lt;0,T_T134111213141516171819202122232425262728293031323335363738394041424344454647484950515253545556[[#This Row],[Total]]*-1,0)</f>
        <v>0</v>
      </c>
    </row>
    <row r="34" spans="1:9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242</v>
      </c>
      <c r="I34" s="309">
        <f>IF(T_T134111213141516171819202122232425262728293031323335363738394041424344454647484950515253545556[[#This Row],[Total]]&lt;0,T_T134111213141516171819202122232425262728293031323335363738394041424344454647484950515253545556[[#This Row],[Total]]*-1,0)</f>
        <v>0</v>
      </c>
    </row>
    <row r="35" spans="1:9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242</v>
      </c>
      <c r="I35" s="309">
        <f>IF(T_T134111213141516171819202122232425262728293031323335363738394041424344454647484950515253545556[[#This Row],[Total]]&lt;0,T_T134111213141516171819202122232425262728293031323335363738394041424344454647484950515253545556[[#This Row],[Total]]*-1,0)</f>
        <v>0</v>
      </c>
    </row>
    <row r="36" spans="1:9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242</v>
      </c>
      <c r="I36" s="309">
        <f>IF(T_T134111213141516171819202122232425262728293031323335363738394041424344454647484950515253545556[[#This Row],[Total]]&lt;0,T_T134111213141516171819202122232425262728293031323335363738394041424344454647484950515253545556[[#This Row],[Total]]*-1,0)</f>
        <v>0</v>
      </c>
    </row>
    <row r="37" spans="1:9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242</v>
      </c>
      <c r="I37" s="309">
        <f>IF(T_T134111213141516171819202122232425262728293031323335363738394041424344454647484950515253545556[[#This Row],[Total]]&lt;0,T_T134111213141516171819202122232425262728293031323335363738394041424344454647484950515253545556[[#This Row],[Total]]*-1,0)</f>
        <v>0</v>
      </c>
    </row>
    <row r="38" spans="1:9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242</v>
      </c>
      <c r="I38" s="353">
        <f>IF(T_T134111213141516171819202122232425262728293031323335363738394041424344454647484950515253545556[[#This Row],[Total]]&lt;0,T_T134111213141516171819202122232425262728293031323335363738394041424344454647484950515253545556[[#This Row],[Total]]*-1,0)</f>
        <v>0</v>
      </c>
    </row>
    <row r="39" spans="1:9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242</v>
      </c>
      <c r="I39" s="353">
        <f>IF(T_T134111213141516171819202122232425262728293031323335363738394041424344454647484950515253545556[[#This Row],[Total]]&lt;0,T_T134111213141516171819202122232425262728293031323335363738394041424344454647484950515253545556[[#This Row],[Total]]*-1,0)</f>
        <v>0</v>
      </c>
    </row>
    <row r="40" spans="1:9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242</v>
      </c>
      <c r="I40" s="353">
        <f>IF(T_T134111213141516171819202122232425262728293031323335363738394041424344454647484950515253545556[[#This Row],[Total]]&lt;0,T_T134111213141516171819202122232425262728293031323335363738394041424344454647484950515253545556[[#This Row],[Total]]*-1,0)</f>
        <v>0</v>
      </c>
    </row>
    <row r="41" spans="1:9" x14ac:dyDescent="0.3">
      <c r="A41" s="492"/>
      <c r="B41" s="493"/>
      <c r="C41" s="466"/>
      <c r="D41" s="467"/>
      <c r="E41" s="467"/>
      <c r="F41" s="467"/>
      <c r="G41" s="467"/>
      <c r="H41" s="474"/>
      <c r="I41" s="475"/>
    </row>
    <row r="42" spans="1:9" x14ac:dyDescent="0.3">
      <c r="C42" s="4" t="s">
        <v>465</v>
      </c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orientation="portrait" verticalDpi="360" r:id="rId2"/>
  <drawing r:id="rId3"/>
  <tableParts count="1">
    <tablePart r:id="rId4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J136"/>
  <sheetViews>
    <sheetView showGridLines="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</cols>
  <sheetData>
    <row r="2" spans="1:10" ht="15" customHeight="1" x14ac:dyDescent="0.3">
      <c r="A2" s="27" t="s">
        <v>36</v>
      </c>
      <c r="B2" s="41" t="s">
        <v>105</v>
      </c>
    </row>
    <row r="3" spans="1:10" x14ac:dyDescent="0.3">
      <c r="A3" s="27" t="s">
        <v>31</v>
      </c>
      <c r="B3" s="29" t="s">
        <v>441</v>
      </c>
    </row>
    <row r="4" spans="1:10" hidden="1" x14ac:dyDescent="0.3">
      <c r="A4" s="27" t="s">
        <v>32</v>
      </c>
      <c r="B4" s="28" t="e">
        <f>LOOKUP(B2,#REF!,#REF!)</f>
        <v>#REF!</v>
      </c>
    </row>
    <row r="5" spans="1:10" hidden="1" x14ac:dyDescent="0.3">
      <c r="A5" s="27" t="s">
        <v>33</v>
      </c>
      <c r="B5" s="28" t="e">
        <f>LOOKUP(B2,#REF!,#REF!)</f>
        <v>#REF!</v>
      </c>
    </row>
    <row r="6" spans="1:10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0" x14ac:dyDescent="0.3">
      <c r="A7" s="27" t="s">
        <v>35</v>
      </c>
      <c r="B7" s="29"/>
      <c r="C7" s="5"/>
      <c r="G7" s="25"/>
      <c r="H7" s="26" t="s">
        <v>30</v>
      </c>
      <c r="I7" s="24"/>
    </row>
    <row r="8" spans="1:10" x14ac:dyDescent="0.3">
      <c r="A8" s="27" t="s">
        <v>31</v>
      </c>
      <c r="C8" s="5"/>
      <c r="G8" s="25"/>
      <c r="H8" s="26"/>
      <c r="I8" s="24"/>
    </row>
    <row r="9" spans="1:10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392" t="s">
        <v>188</v>
      </c>
    </row>
    <row r="10" spans="1:10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IF(T_T13411121314151617181920212223242526272829303132333536373839404142434445464748495051525354555657[[#This Row],[Total]]&lt;0,T_T13411121314151617181920212223242526272829303132333536373839404142434445464748495051525354555657[[#This Row],[Total]]*-1,0)</f>
        <v>0</v>
      </c>
      <c r="J10" s="395"/>
    </row>
    <row r="11" spans="1:10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94"/>
      <c r="J11" s="394"/>
    </row>
    <row r="12" spans="1:10" x14ac:dyDescent="0.3">
      <c r="A12" s="117"/>
      <c r="B12" s="118" t="s">
        <v>467</v>
      </c>
      <c r="C12" s="424"/>
      <c r="D12" s="425"/>
      <c r="E12" s="425"/>
      <c r="F12" s="425"/>
      <c r="G12" s="425">
        <f>SUM(D12:F12)</f>
        <v>0</v>
      </c>
      <c r="H12" s="426">
        <v>0</v>
      </c>
      <c r="I12" s="427">
        <f>IF(T_T13411121314151617181920212223242526272829303132333536373839404142434445464748495051525354555657[[#This Row],[Total]]&lt;0,T_T13411121314151617181920212223242526272829303132333536373839404142434445464748495051525354555657[[#This Row],[Total]]*-1,0)</f>
        <v>0</v>
      </c>
      <c r="J12" s="430"/>
    </row>
    <row r="13" spans="1:10" x14ac:dyDescent="0.3">
      <c r="A13" s="288" t="s">
        <v>486</v>
      </c>
      <c r="B13" s="118" t="s">
        <v>502</v>
      </c>
      <c r="C13" s="289"/>
      <c r="D13" s="290"/>
      <c r="E13" s="290"/>
      <c r="F13" s="290"/>
      <c r="G13" s="290"/>
      <c r="H13" s="291">
        <v>0</v>
      </c>
      <c r="I13" s="94"/>
      <c r="J13" s="394"/>
    </row>
    <row r="14" spans="1:10" x14ac:dyDescent="0.3">
      <c r="A14" s="288"/>
      <c r="B14" s="118" t="s">
        <v>529</v>
      </c>
      <c r="C14" s="481"/>
      <c r="D14" s="482"/>
      <c r="E14" s="482"/>
      <c r="F14" s="482"/>
      <c r="G14" s="482">
        <f>SUM(D14:F14)</f>
        <v>0</v>
      </c>
      <c r="H14" s="484">
        <f>H13+G14</f>
        <v>0</v>
      </c>
      <c r="I14" s="476">
        <f>IF(T_T13411121314151617181920212223242526272829303132333536373839404142434445464748495051525354555657[[#This Row],[Total]]&lt;0,T_T13411121314151617181920212223242526272829303132333536373839404142434445464748495051525354555657[[#This Row],[Total]]*-1,0)</f>
        <v>0</v>
      </c>
      <c r="J14" s="473"/>
    </row>
    <row r="15" spans="1:10" x14ac:dyDescent="0.3">
      <c r="A15" s="17">
        <v>46052</v>
      </c>
      <c r="B15" s="18" t="s">
        <v>590</v>
      </c>
      <c r="C15" s="6"/>
      <c r="D15" s="2">
        <v>184</v>
      </c>
      <c r="E15" s="2">
        <v>2</v>
      </c>
      <c r="F15" s="20"/>
      <c r="G15" s="20">
        <f>SUM(D15:F15)</f>
        <v>186</v>
      </c>
      <c r="H15" s="233">
        <f>+H13+T_T13411121314151617181920212223242526272829303132333536373839404142434445464748495051525354555657[[#This Row],[Total]]</f>
        <v>186</v>
      </c>
      <c r="I15" s="94"/>
      <c r="J15" s="394"/>
    </row>
    <row r="16" spans="1:10" x14ac:dyDescent="0.3">
      <c r="A16" s="17"/>
      <c r="B16" s="18" t="s">
        <v>591</v>
      </c>
      <c r="C16" s="6">
        <v>7493</v>
      </c>
      <c r="D16" s="2">
        <v>-184</v>
      </c>
      <c r="E16" s="2">
        <v>-2</v>
      </c>
      <c r="F16" s="230"/>
      <c r="G16" s="230">
        <f t="shared" ref="G16:G38" si="0">SUM(D16:F16)</f>
        <v>-186</v>
      </c>
      <c r="H16" s="233">
        <f t="shared" ref="H16:H40" si="1">H15+G16</f>
        <v>0</v>
      </c>
      <c r="I16" s="94"/>
      <c r="J16" s="394"/>
    </row>
    <row r="17" spans="1:10" x14ac:dyDescent="0.3">
      <c r="A17" s="164">
        <v>45715</v>
      </c>
      <c r="B17" s="161" t="s">
        <v>532</v>
      </c>
      <c r="C17" s="6"/>
      <c r="D17" s="2">
        <v>184</v>
      </c>
      <c r="E17" s="2">
        <v>1</v>
      </c>
      <c r="F17" s="230"/>
      <c r="G17" s="230">
        <f t="shared" si="0"/>
        <v>185</v>
      </c>
      <c r="H17" s="233">
        <f t="shared" si="1"/>
        <v>185</v>
      </c>
      <c r="I17" s="6"/>
      <c r="J17" s="394"/>
    </row>
    <row r="18" spans="1:10" x14ac:dyDescent="0.3">
      <c r="A18" s="187"/>
      <c r="B18" s="18" t="s">
        <v>533</v>
      </c>
      <c r="C18" s="6">
        <v>8743</v>
      </c>
      <c r="D18" s="2">
        <v>-184</v>
      </c>
      <c r="E18" s="2">
        <v>-1</v>
      </c>
      <c r="F18" s="230"/>
      <c r="G18" s="230">
        <f t="shared" si="0"/>
        <v>-185</v>
      </c>
      <c r="H18" s="233">
        <f t="shared" si="1"/>
        <v>0</v>
      </c>
      <c r="I18" s="6"/>
      <c r="J18" s="394"/>
    </row>
    <row r="19" spans="1:10" x14ac:dyDescent="0.3">
      <c r="A19" s="188">
        <v>45747</v>
      </c>
      <c r="B19" s="3" t="s">
        <v>534</v>
      </c>
      <c r="C19" s="6"/>
      <c r="D19" s="2">
        <v>220</v>
      </c>
      <c r="E19" s="2"/>
      <c r="F19" s="230"/>
      <c r="G19" s="230">
        <f t="shared" si="0"/>
        <v>220</v>
      </c>
      <c r="H19" s="233">
        <f t="shared" si="1"/>
        <v>220</v>
      </c>
      <c r="I19" s="6"/>
      <c r="J19" s="394"/>
    </row>
    <row r="20" spans="1:10" x14ac:dyDescent="0.3">
      <c r="A20" s="188"/>
      <c r="B20" s="82" t="s">
        <v>535</v>
      </c>
      <c r="C20" s="6" t="s">
        <v>638</v>
      </c>
      <c r="D20" s="2">
        <v>-220</v>
      </c>
      <c r="E20" s="2"/>
      <c r="F20" s="230"/>
      <c r="G20" s="230">
        <f t="shared" si="0"/>
        <v>-220</v>
      </c>
      <c r="H20" s="233">
        <f t="shared" si="1"/>
        <v>0</v>
      </c>
      <c r="I20" s="6"/>
      <c r="J20" s="394"/>
    </row>
    <row r="21" spans="1:10" x14ac:dyDescent="0.3">
      <c r="A21" s="188">
        <v>45777</v>
      </c>
      <c r="B21" s="3" t="s">
        <v>536</v>
      </c>
      <c r="C21" s="6"/>
      <c r="D21" s="2">
        <v>220</v>
      </c>
      <c r="E21" s="2"/>
      <c r="F21" s="230"/>
      <c r="G21" s="230">
        <f t="shared" si="0"/>
        <v>220</v>
      </c>
      <c r="H21" s="233">
        <f t="shared" si="1"/>
        <v>220</v>
      </c>
      <c r="I21" s="6"/>
      <c r="J21" s="394"/>
    </row>
    <row r="22" spans="1:10" x14ac:dyDescent="0.3">
      <c r="A22" s="83"/>
      <c r="B22" s="82" t="s">
        <v>537</v>
      </c>
      <c r="C22" s="6">
        <v>8905</v>
      </c>
      <c r="D22" s="2">
        <v>-220</v>
      </c>
      <c r="E22" s="2"/>
      <c r="F22" s="230"/>
      <c r="G22" s="230">
        <f t="shared" si="0"/>
        <v>-220</v>
      </c>
      <c r="H22" s="233">
        <f t="shared" si="1"/>
        <v>0</v>
      </c>
      <c r="I22" s="6"/>
      <c r="J22" s="394"/>
    </row>
    <row r="23" spans="1:10" x14ac:dyDescent="0.3">
      <c r="A23" s="40">
        <v>45807</v>
      </c>
      <c r="B23" s="3" t="s">
        <v>538</v>
      </c>
      <c r="C23" s="229"/>
      <c r="D23" s="230">
        <v>220</v>
      </c>
      <c r="E23" s="230">
        <v>2</v>
      </c>
      <c r="F23" s="230"/>
      <c r="G23" s="230">
        <f t="shared" si="0"/>
        <v>222</v>
      </c>
      <c r="H23" s="233">
        <f t="shared" si="1"/>
        <v>222</v>
      </c>
      <c r="I23" s="6"/>
      <c r="J23" s="394"/>
    </row>
    <row r="24" spans="1:10" ht="15.75" customHeight="1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222</v>
      </c>
      <c r="I24" s="6"/>
      <c r="J24" s="394"/>
    </row>
    <row r="25" spans="1:10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222</v>
      </c>
      <c r="I25" s="6"/>
      <c r="J25" s="394"/>
    </row>
    <row r="26" spans="1:10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222</v>
      </c>
      <c r="I26" s="6"/>
      <c r="J26" s="394"/>
    </row>
    <row r="27" spans="1:10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222</v>
      </c>
      <c r="I27" s="6"/>
      <c r="J27" s="394"/>
    </row>
    <row r="28" spans="1:10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222</v>
      </c>
      <c r="I28" s="6"/>
      <c r="J28" s="394"/>
    </row>
    <row r="29" spans="1:10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222</v>
      </c>
      <c r="I29" s="6"/>
      <c r="J29" s="394"/>
    </row>
    <row r="30" spans="1:10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222</v>
      </c>
      <c r="I30" s="6"/>
      <c r="J30" s="394"/>
    </row>
    <row r="31" spans="1:10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222</v>
      </c>
      <c r="I31" s="6"/>
      <c r="J31" s="394"/>
    </row>
    <row r="32" spans="1:10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222</v>
      </c>
      <c r="I32" s="6"/>
      <c r="J32" s="394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222</v>
      </c>
      <c r="I33" s="6"/>
      <c r="J33" s="394"/>
    </row>
    <row r="34" spans="1:10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222</v>
      </c>
      <c r="I34" s="6"/>
      <c r="J34" s="394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222</v>
      </c>
      <c r="I35" s="6"/>
      <c r="J35" s="394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222</v>
      </c>
      <c r="I36" s="6"/>
      <c r="J36" s="394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222</v>
      </c>
      <c r="I37" s="6"/>
      <c r="J37" s="394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222</v>
      </c>
      <c r="I38" s="6"/>
      <c r="J38" s="394"/>
    </row>
    <row r="39" spans="1:10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222</v>
      </c>
      <c r="I39" s="6"/>
      <c r="J39" s="394"/>
    </row>
    <row r="40" spans="1:10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222</v>
      </c>
      <c r="I40" s="6"/>
      <c r="J40" s="394"/>
    </row>
    <row r="41" spans="1:10" x14ac:dyDescent="0.3">
      <c r="A41" s="170"/>
      <c r="B41" s="18"/>
      <c r="C41" s="35"/>
      <c r="D41" s="31"/>
      <c r="E41" s="31"/>
      <c r="F41" s="7"/>
      <c r="G41" s="31"/>
      <c r="H41" s="10"/>
      <c r="I41" s="6"/>
      <c r="J41" s="394"/>
    </row>
    <row r="42" spans="1:10" x14ac:dyDescent="0.3">
      <c r="A42" s="40"/>
      <c r="B42" s="3"/>
      <c r="C42" s="32"/>
      <c r="D42" s="33"/>
      <c r="E42" s="33"/>
      <c r="F42" s="7"/>
      <c r="G42" s="33"/>
      <c r="H42" s="10"/>
      <c r="I42" s="6"/>
      <c r="J42" s="394"/>
    </row>
    <row r="43" spans="1:10" x14ac:dyDescent="0.3">
      <c r="A43" s="40"/>
      <c r="B43" s="3"/>
      <c r="C43" s="30"/>
      <c r="D43" s="31"/>
      <c r="E43" s="31"/>
      <c r="F43" s="7"/>
      <c r="G43" s="31"/>
      <c r="H43" s="10"/>
      <c r="I43" s="6"/>
      <c r="J43" s="394"/>
    </row>
    <row r="44" spans="1:10" x14ac:dyDescent="0.3">
      <c r="A44" s="9"/>
      <c r="B44" s="3"/>
      <c r="C44" s="32"/>
      <c r="D44" s="33"/>
      <c r="E44" s="33"/>
      <c r="F44" s="7"/>
      <c r="G44" s="33"/>
      <c r="H44" s="10"/>
      <c r="I44" s="6"/>
      <c r="J44" s="394"/>
    </row>
    <row r="45" spans="1:10" x14ac:dyDescent="0.3">
      <c r="A45" s="9"/>
      <c r="B45" s="3"/>
      <c r="C45" s="30"/>
      <c r="D45" s="31"/>
      <c r="E45" s="31"/>
      <c r="F45" s="7"/>
      <c r="G45" s="31"/>
      <c r="H45" s="10"/>
      <c r="I45" s="6"/>
      <c r="J45" s="394"/>
    </row>
    <row r="46" spans="1:10" x14ac:dyDescent="0.3">
      <c r="A46" s="9"/>
      <c r="B46" s="3"/>
      <c r="C46" s="32"/>
      <c r="D46" s="33"/>
      <c r="E46" s="33"/>
      <c r="F46" s="7"/>
      <c r="G46" s="33"/>
      <c r="H46" s="10"/>
      <c r="I46" s="6"/>
      <c r="J46" s="394"/>
    </row>
    <row r="47" spans="1:10" x14ac:dyDescent="0.3">
      <c r="A47" s="17"/>
      <c r="B47" s="3"/>
      <c r="C47" s="32"/>
      <c r="D47" s="33"/>
      <c r="E47" s="33"/>
      <c r="F47" s="7"/>
      <c r="G47" s="33"/>
      <c r="H47" s="10"/>
      <c r="I47" s="6"/>
      <c r="J47" s="394"/>
    </row>
    <row r="48" spans="1:10" x14ac:dyDescent="0.3">
      <c r="A48" s="9"/>
      <c r="B48" s="3"/>
      <c r="C48" s="36"/>
      <c r="D48" s="37"/>
      <c r="E48" s="37"/>
      <c r="F48" s="37"/>
      <c r="G48" s="37"/>
      <c r="H48" s="10"/>
      <c r="I48" s="6"/>
      <c r="J48" s="394"/>
    </row>
    <row r="49" spans="1:10" x14ac:dyDescent="0.3">
      <c r="A49" s="40"/>
      <c r="B49" s="18"/>
      <c r="C49" s="36"/>
      <c r="D49" s="37"/>
      <c r="E49" s="37"/>
      <c r="F49" s="37"/>
      <c r="G49" s="37"/>
      <c r="H49" s="10"/>
      <c r="I49" s="6"/>
      <c r="J49" s="394"/>
    </row>
    <row r="50" spans="1:10" x14ac:dyDescent="0.3">
      <c r="A50" s="17"/>
      <c r="B50" s="3"/>
      <c r="C50" s="36"/>
      <c r="D50" s="37"/>
      <c r="E50" s="37"/>
      <c r="F50" s="37"/>
      <c r="G50" s="37"/>
      <c r="H50" s="10"/>
      <c r="I50" s="6"/>
      <c r="J50" s="394"/>
    </row>
    <row r="51" spans="1:10" x14ac:dyDescent="0.3">
      <c r="A51" s="9"/>
      <c r="B51" s="18"/>
      <c r="C51" s="38"/>
      <c r="D51" s="39"/>
      <c r="E51" s="39"/>
      <c r="F51" s="39"/>
      <c r="G51" s="39"/>
      <c r="H51" s="10"/>
      <c r="I51" s="6"/>
      <c r="J51" s="394"/>
    </row>
    <row r="52" spans="1:10" x14ac:dyDescent="0.3">
      <c r="A52" s="17"/>
      <c r="B52" s="3"/>
      <c r="C52" s="6"/>
      <c r="D52" s="7"/>
      <c r="E52" s="7"/>
      <c r="F52" s="7"/>
      <c r="G52" s="7"/>
      <c r="H52" s="10"/>
      <c r="I52" s="6"/>
      <c r="J52" s="394"/>
    </row>
    <row r="53" spans="1:10" x14ac:dyDescent="0.3">
      <c r="A53" s="9"/>
      <c r="B53" s="18"/>
      <c r="C53" s="6"/>
      <c r="D53" s="7"/>
      <c r="E53" s="7"/>
      <c r="F53" s="7"/>
      <c r="G53" s="7"/>
      <c r="H53" s="10"/>
      <c r="I53" s="6"/>
      <c r="J53" s="394"/>
    </row>
    <row r="54" spans="1:10" x14ac:dyDescent="0.3">
      <c r="A54" s="17"/>
      <c r="B54" s="3"/>
      <c r="C54" s="6"/>
      <c r="D54" s="7"/>
      <c r="E54" s="7"/>
      <c r="F54" s="7"/>
      <c r="G54" s="7"/>
      <c r="H54" s="10"/>
      <c r="I54" s="6"/>
      <c r="J54" s="394"/>
    </row>
    <row r="55" spans="1:10" x14ac:dyDescent="0.3">
      <c r="A55" s="9"/>
      <c r="B55" s="18"/>
      <c r="C55" s="19"/>
      <c r="D55" s="20"/>
      <c r="E55" s="20"/>
      <c r="F55" s="20"/>
      <c r="G55" s="20"/>
      <c r="H55" s="10"/>
      <c r="I55" s="6"/>
      <c r="J55" s="394"/>
    </row>
    <row r="56" spans="1:10" x14ac:dyDescent="0.3">
      <c r="A56" s="17"/>
      <c r="B56" s="3"/>
      <c r="C56" s="6"/>
      <c r="D56" s="7"/>
      <c r="E56" s="7"/>
      <c r="F56" s="7"/>
      <c r="G56" s="7"/>
      <c r="H56" s="10"/>
      <c r="I56" s="6"/>
      <c r="J56" s="394"/>
    </row>
    <row r="57" spans="1:10" x14ac:dyDescent="0.3">
      <c r="A57" s="17"/>
      <c r="B57" s="18"/>
      <c r="C57" s="19"/>
      <c r="D57" s="20"/>
      <c r="E57" s="20"/>
      <c r="F57" s="20"/>
      <c r="G57" s="20"/>
      <c r="H57" s="64"/>
      <c r="I57" s="6"/>
      <c r="J57" s="394"/>
    </row>
    <row r="58" spans="1:10" x14ac:dyDescent="0.3">
      <c r="A58" s="105"/>
      <c r="B58" s="82"/>
      <c r="C58" s="90"/>
      <c r="D58" s="91"/>
      <c r="E58" s="91"/>
      <c r="F58" s="91"/>
      <c r="G58" s="91"/>
      <c r="H58" s="92"/>
      <c r="I58" s="93"/>
      <c r="J58" s="394"/>
    </row>
    <row r="59" spans="1:10" x14ac:dyDescent="0.3">
      <c r="A59" s="17"/>
      <c r="B59" s="18"/>
      <c r="C59" s="98"/>
      <c r="D59" s="99"/>
      <c r="E59" s="99"/>
      <c r="F59" s="99"/>
      <c r="G59" s="99"/>
      <c r="H59" s="92"/>
      <c r="I59" s="89"/>
      <c r="J59" s="394"/>
    </row>
    <row r="60" spans="1:10" x14ac:dyDescent="0.3">
      <c r="A60" s="9"/>
      <c r="B60" s="3"/>
      <c r="C60" s="220"/>
      <c r="D60" s="221"/>
      <c r="E60" s="221"/>
      <c r="F60" s="221"/>
      <c r="G60" s="221"/>
      <c r="H60" s="92"/>
      <c r="I60" s="222"/>
      <c r="J60" s="394"/>
    </row>
    <row r="61" spans="1:10" x14ac:dyDescent="0.3">
      <c r="A61" s="9"/>
      <c r="B61" s="3"/>
      <c r="C61" s="220"/>
      <c r="D61" s="221"/>
      <c r="E61" s="221"/>
      <c r="F61" s="221"/>
      <c r="G61" s="221"/>
      <c r="H61" s="92"/>
      <c r="I61" s="222"/>
      <c r="J61" s="394"/>
    </row>
    <row r="62" spans="1:10" x14ac:dyDescent="0.3">
      <c r="A62" s="188"/>
      <c r="B62" s="3"/>
      <c r="C62" s="169"/>
      <c r="D62" s="141"/>
      <c r="E62" s="141"/>
      <c r="F62" s="141"/>
      <c r="G62" s="2"/>
      <c r="H62" s="2"/>
      <c r="I62" s="222"/>
      <c r="J62" s="394"/>
    </row>
    <row r="63" spans="1:10" x14ac:dyDescent="0.3">
      <c r="A63" s="257"/>
      <c r="B63" s="110"/>
      <c r="C63" s="219"/>
      <c r="D63" s="111"/>
      <c r="E63" s="111"/>
      <c r="F63" s="111"/>
      <c r="G63" s="2"/>
      <c r="H63" s="2"/>
      <c r="I63" s="222"/>
      <c r="J63" s="394"/>
    </row>
    <row r="64" spans="1:10" x14ac:dyDescent="0.3">
      <c r="A64" s="17"/>
      <c r="B64" s="18"/>
      <c r="C64" s="6"/>
      <c r="D64" s="2"/>
      <c r="E64" s="2"/>
      <c r="F64" s="2"/>
      <c r="G64" s="177"/>
      <c r="H64" s="282"/>
      <c r="I64" s="222"/>
      <c r="J64" s="394"/>
    </row>
    <row r="65" spans="1:10" x14ac:dyDescent="0.3">
      <c r="A65" s="17"/>
      <c r="B65" s="18"/>
      <c r="C65" s="6"/>
      <c r="D65" s="2"/>
      <c r="E65" s="2"/>
      <c r="F65" s="2"/>
      <c r="G65" s="177"/>
      <c r="H65" s="282"/>
      <c r="I65" s="222"/>
      <c r="J65" s="394"/>
    </row>
    <row r="66" spans="1:10" x14ac:dyDescent="0.3">
      <c r="A66" s="164"/>
      <c r="B66" s="161"/>
      <c r="C66" s="6"/>
      <c r="D66" s="2"/>
      <c r="E66" s="2"/>
      <c r="F66" s="2"/>
      <c r="G66" s="177"/>
      <c r="H66" s="282"/>
      <c r="I66" s="222"/>
      <c r="J66" s="394"/>
    </row>
    <row r="67" spans="1:10" x14ac:dyDescent="0.3">
      <c r="A67" s="185"/>
      <c r="B67" s="3"/>
      <c r="C67" s="6"/>
      <c r="D67" s="2"/>
      <c r="E67" s="2"/>
      <c r="F67" s="2"/>
      <c r="G67" s="177"/>
      <c r="H67" s="282"/>
      <c r="I67" s="222"/>
      <c r="J67" s="394"/>
    </row>
    <row r="68" spans="1:10" x14ac:dyDescent="0.3">
      <c r="A68" s="188"/>
      <c r="B68" s="3"/>
      <c r="C68" s="229"/>
      <c r="D68" s="221"/>
      <c r="E68" s="221"/>
      <c r="F68" s="221"/>
      <c r="G68" s="221"/>
      <c r="H68" s="92"/>
      <c r="I68" s="222"/>
      <c r="J68" s="394"/>
    </row>
    <row r="69" spans="1:10" x14ac:dyDescent="0.3">
      <c r="A69" s="188"/>
      <c r="B69" s="82"/>
      <c r="C69" s="253"/>
      <c r="D69" s="221"/>
      <c r="E69" s="221"/>
      <c r="F69" s="221"/>
      <c r="G69" s="221"/>
      <c r="H69" s="92"/>
      <c r="I69" s="222"/>
      <c r="J69" s="394"/>
    </row>
    <row r="70" spans="1:10" x14ac:dyDescent="0.3">
      <c r="A70" s="188"/>
      <c r="B70" s="3"/>
      <c r="C70" s="253"/>
      <c r="D70" s="221"/>
      <c r="E70" s="221"/>
      <c r="F70" s="221"/>
      <c r="G70" s="221"/>
      <c r="H70" s="92"/>
      <c r="I70" s="222"/>
      <c r="J70" s="394"/>
    </row>
    <row r="71" spans="1:10" x14ac:dyDescent="0.3">
      <c r="A71" s="83"/>
      <c r="B71" s="82"/>
      <c r="C71" s="253"/>
      <c r="D71" s="221"/>
      <c r="E71" s="221"/>
      <c r="F71" s="221"/>
      <c r="G71" s="221"/>
      <c r="H71" s="92"/>
      <c r="I71" s="222"/>
      <c r="J71" s="394"/>
    </row>
    <row r="72" spans="1:10" x14ac:dyDescent="0.3">
      <c r="A72" s="9"/>
      <c r="B72" s="3"/>
      <c r="C72" s="220"/>
      <c r="D72" s="221"/>
      <c r="E72" s="221"/>
      <c r="F72" s="221"/>
      <c r="G72" s="221"/>
      <c r="H72" s="92"/>
      <c r="I72" s="222"/>
      <c r="J72" s="394"/>
    </row>
    <row r="73" spans="1:10" x14ac:dyDescent="0.3">
      <c r="A73" s="9"/>
      <c r="B73" s="3"/>
      <c r="C73" s="220"/>
      <c r="D73" s="221"/>
      <c r="E73" s="221"/>
      <c r="F73" s="221"/>
      <c r="G73" s="221"/>
      <c r="H73" s="92"/>
      <c r="I73" s="222"/>
      <c r="J73" s="394"/>
    </row>
    <row r="74" spans="1:10" x14ac:dyDescent="0.3">
      <c r="A74" s="9"/>
      <c r="B74" s="3"/>
      <c r="C74" s="220"/>
      <c r="D74" s="221"/>
      <c r="E74" s="221"/>
      <c r="F74" s="221"/>
      <c r="G74" s="221"/>
      <c r="H74" s="92"/>
      <c r="I74" s="222"/>
      <c r="J74" s="394"/>
    </row>
    <row r="75" spans="1:10" x14ac:dyDescent="0.3">
      <c r="A75" s="9"/>
      <c r="B75" s="3"/>
      <c r="C75" s="220"/>
      <c r="D75" s="221"/>
      <c r="E75" s="221"/>
      <c r="F75" s="221"/>
      <c r="G75" s="221"/>
      <c r="H75" s="92"/>
      <c r="I75" s="222"/>
      <c r="J75" s="394"/>
    </row>
    <row r="76" spans="1:10" x14ac:dyDescent="0.3">
      <c r="A76" s="9"/>
      <c r="B76" s="3"/>
      <c r="C76" s="220"/>
      <c r="D76" s="221"/>
      <c r="E76" s="221"/>
      <c r="F76" s="221"/>
      <c r="G76" s="221"/>
      <c r="H76" s="92"/>
      <c r="I76" s="222"/>
      <c r="J76" s="394"/>
    </row>
    <row r="77" spans="1:10" x14ac:dyDescent="0.3">
      <c r="A77" s="9"/>
      <c r="B77" s="3"/>
      <c r="C77" s="220"/>
      <c r="D77" s="221"/>
      <c r="E77" s="221"/>
      <c r="F77" s="221"/>
      <c r="G77" s="221"/>
      <c r="H77" s="92"/>
      <c r="I77" s="222"/>
      <c r="J77" s="394"/>
    </row>
    <row r="78" spans="1:10" x14ac:dyDescent="0.3">
      <c r="A78" s="9"/>
      <c r="B78" s="3"/>
      <c r="C78" s="220"/>
      <c r="D78" s="221"/>
      <c r="E78" s="221"/>
      <c r="F78" s="221"/>
      <c r="G78" s="221"/>
      <c r="H78" s="92"/>
      <c r="I78" s="222"/>
      <c r="J78" s="394"/>
    </row>
    <row r="79" spans="1:10" x14ac:dyDescent="0.3">
      <c r="A79" s="9"/>
      <c r="B79" s="3"/>
      <c r="C79" s="220"/>
      <c r="D79" s="221"/>
      <c r="E79" s="221"/>
      <c r="F79" s="221"/>
      <c r="G79" s="221"/>
      <c r="H79" s="92"/>
      <c r="I79" s="222"/>
      <c r="J79" s="394"/>
    </row>
    <row r="80" spans="1:10" x14ac:dyDescent="0.3">
      <c r="A80" s="9"/>
      <c r="B80" s="3"/>
      <c r="C80" s="220"/>
      <c r="D80" s="221"/>
      <c r="E80" s="221"/>
      <c r="F80" s="221"/>
      <c r="G80" s="221"/>
      <c r="H80" s="92"/>
      <c r="I80" s="222"/>
      <c r="J80" s="394"/>
    </row>
    <row r="81" spans="1:10" x14ac:dyDescent="0.3">
      <c r="A81" s="9"/>
      <c r="B81" s="3"/>
      <c r="C81" s="220"/>
      <c r="D81" s="221"/>
      <c r="E81" s="221"/>
      <c r="F81" s="221"/>
      <c r="G81" s="221"/>
      <c r="H81" s="92"/>
      <c r="I81" s="222"/>
      <c r="J81" s="394"/>
    </row>
    <row r="82" spans="1:10" x14ac:dyDescent="0.3">
      <c r="A82" s="9"/>
      <c r="B82" s="3"/>
      <c r="C82" s="220"/>
      <c r="D82" s="221"/>
      <c r="E82" s="221"/>
      <c r="F82" s="221"/>
      <c r="G82" s="221"/>
      <c r="H82" s="92"/>
      <c r="I82" s="222"/>
      <c r="J82" s="394"/>
    </row>
    <row r="83" spans="1:10" x14ac:dyDescent="0.3">
      <c r="A83" s="9"/>
      <c r="B83" s="3"/>
      <c r="C83" s="220"/>
      <c r="D83" s="221"/>
      <c r="E83" s="221"/>
      <c r="F83" s="221"/>
      <c r="G83" s="221"/>
      <c r="H83" s="92"/>
      <c r="I83" s="222"/>
      <c r="J83" s="394"/>
    </row>
    <row r="84" spans="1:10" x14ac:dyDescent="0.3">
      <c r="A84" s="9"/>
      <c r="B84" s="3"/>
      <c r="C84" s="220"/>
      <c r="D84" s="221"/>
      <c r="E84" s="221"/>
      <c r="F84" s="221"/>
      <c r="G84" s="221"/>
      <c r="H84" s="92"/>
      <c r="I84" s="222"/>
      <c r="J84" s="394"/>
    </row>
    <row r="85" spans="1:10" x14ac:dyDescent="0.3">
      <c r="A85" s="9"/>
      <c r="B85" s="3"/>
      <c r="C85" s="220"/>
      <c r="D85" s="221"/>
      <c r="E85" s="221"/>
      <c r="F85" s="221"/>
      <c r="G85" s="221"/>
      <c r="H85" s="92"/>
      <c r="I85" s="222"/>
      <c r="J85" s="394"/>
    </row>
    <row r="86" spans="1:10" x14ac:dyDescent="0.3">
      <c r="A86" s="9"/>
      <c r="B86" s="3"/>
      <c r="C86" s="220"/>
      <c r="D86" s="221"/>
      <c r="E86" s="221"/>
      <c r="F86" s="221"/>
      <c r="G86" s="221"/>
      <c r="H86" s="92"/>
      <c r="I86" s="222"/>
      <c r="J86" s="394"/>
    </row>
    <row r="87" spans="1:10" x14ac:dyDescent="0.3">
      <c r="A87" s="9"/>
      <c r="B87" s="3"/>
      <c r="C87" s="220"/>
      <c r="D87" s="221"/>
      <c r="E87" s="221"/>
      <c r="F87" s="221"/>
      <c r="G87" s="221"/>
      <c r="H87" s="92"/>
      <c r="I87" s="222"/>
      <c r="J87" s="394"/>
    </row>
    <row r="88" spans="1:10" x14ac:dyDescent="0.3">
      <c r="A88" s="9"/>
      <c r="B88" s="3"/>
      <c r="C88" s="220"/>
      <c r="D88" s="221"/>
      <c r="E88" s="221"/>
      <c r="F88" s="221"/>
      <c r="G88" s="221"/>
      <c r="H88" s="92"/>
      <c r="I88" s="222"/>
      <c r="J88" s="394"/>
    </row>
    <row r="89" spans="1:10" x14ac:dyDescent="0.3">
      <c r="A89" s="9"/>
      <c r="B89" s="3"/>
      <c r="C89" s="220"/>
      <c r="D89" s="221"/>
      <c r="E89" s="221"/>
      <c r="F89" s="221"/>
      <c r="G89" s="221"/>
      <c r="H89" s="92"/>
      <c r="I89" s="222"/>
      <c r="J89" s="394"/>
    </row>
    <row r="90" spans="1:10" x14ac:dyDescent="0.3">
      <c r="A90" s="9"/>
      <c r="B90" s="3"/>
      <c r="C90" s="220"/>
      <c r="D90" s="221"/>
      <c r="E90" s="221"/>
      <c r="F90" s="221"/>
      <c r="G90" s="221"/>
      <c r="H90" s="92"/>
      <c r="I90" s="222"/>
      <c r="J90" s="394"/>
    </row>
    <row r="91" spans="1:10" x14ac:dyDescent="0.3">
      <c r="A91" s="9"/>
      <c r="B91" s="3"/>
      <c r="C91" s="220"/>
      <c r="D91" s="221"/>
      <c r="E91" s="221"/>
      <c r="F91" s="221"/>
      <c r="G91" s="221"/>
      <c r="H91" s="92"/>
      <c r="I91" s="222"/>
      <c r="J91" s="394"/>
    </row>
    <row r="92" spans="1:10" x14ac:dyDescent="0.3">
      <c r="A92" s="9"/>
      <c r="B92" s="3"/>
      <c r="C92" s="220"/>
      <c r="D92" s="221"/>
      <c r="E92" s="221"/>
      <c r="F92" s="221"/>
      <c r="G92" s="221"/>
      <c r="H92" s="92"/>
      <c r="I92" s="222"/>
      <c r="J92" s="394"/>
    </row>
    <row r="93" spans="1:10" x14ac:dyDescent="0.3">
      <c r="A93" s="9"/>
      <c r="B93" s="3"/>
      <c r="C93" s="220"/>
      <c r="D93" s="221"/>
      <c r="E93" s="221"/>
      <c r="F93" s="221"/>
      <c r="G93" s="221"/>
      <c r="H93" s="92"/>
      <c r="I93" s="222"/>
      <c r="J93" s="394"/>
    </row>
    <row r="94" spans="1:10" x14ac:dyDescent="0.3">
      <c r="A94" s="9"/>
      <c r="B94" s="3"/>
      <c r="C94" s="220"/>
      <c r="D94" s="221"/>
      <c r="E94" s="221"/>
      <c r="F94" s="221"/>
      <c r="G94" s="221"/>
      <c r="H94" s="92"/>
      <c r="I94" s="222"/>
      <c r="J94" s="394"/>
    </row>
    <row r="95" spans="1:10" x14ac:dyDescent="0.3">
      <c r="A95" s="9"/>
      <c r="B95" s="3"/>
      <c r="C95" s="220"/>
      <c r="D95" s="221"/>
      <c r="E95" s="221"/>
      <c r="F95" s="221"/>
      <c r="G95" s="221"/>
      <c r="H95" s="92"/>
      <c r="I95" s="222"/>
      <c r="J95" s="394"/>
    </row>
    <row r="96" spans="1:10" x14ac:dyDescent="0.3">
      <c r="A96" s="9"/>
      <c r="B96" s="3"/>
      <c r="C96" s="220"/>
      <c r="D96" s="221"/>
      <c r="E96" s="221"/>
      <c r="F96" s="221"/>
      <c r="G96" s="221"/>
      <c r="H96" s="92"/>
      <c r="I96" s="222"/>
      <c r="J96" s="394"/>
    </row>
    <row r="97" spans="1:10" x14ac:dyDescent="0.3">
      <c r="A97" s="9"/>
      <c r="B97" s="3"/>
      <c r="C97" s="220"/>
      <c r="D97" s="221"/>
      <c r="E97" s="221"/>
      <c r="F97" s="221"/>
      <c r="G97" s="221"/>
      <c r="H97" s="92"/>
      <c r="I97" s="222"/>
      <c r="J97" s="394"/>
    </row>
    <row r="98" spans="1:10" x14ac:dyDescent="0.3">
      <c r="A98" s="9"/>
      <c r="B98" s="3"/>
      <c r="C98" s="220"/>
      <c r="D98" s="221"/>
      <c r="E98" s="221"/>
      <c r="F98" s="221"/>
      <c r="G98" s="221"/>
      <c r="H98" s="92"/>
      <c r="I98" s="222"/>
      <c r="J98" s="394"/>
    </row>
    <row r="99" spans="1:10" x14ac:dyDescent="0.3">
      <c r="A99" s="9"/>
      <c r="B99" s="3"/>
      <c r="C99" s="220"/>
      <c r="D99" s="221"/>
      <c r="E99" s="221"/>
      <c r="F99" s="221"/>
      <c r="G99" s="221"/>
      <c r="H99" s="92"/>
      <c r="I99" s="222"/>
      <c r="J99" s="394"/>
    </row>
    <row r="100" spans="1:10" x14ac:dyDescent="0.3">
      <c r="A100" s="9"/>
      <c r="B100" s="3"/>
      <c r="C100" s="220"/>
      <c r="D100" s="221"/>
      <c r="E100" s="221"/>
      <c r="F100" s="221"/>
      <c r="G100" s="221"/>
      <c r="H100" s="92"/>
      <c r="I100" s="222"/>
      <c r="J100" s="394"/>
    </row>
    <row r="101" spans="1:10" x14ac:dyDescent="0.3">
      <c r="A101" s="9"/>
      <c r="B101" s="3"/>
      <c r="C101" s="220"/>
      <c r="D101" s="221"/>
      <c r="E101" s="221"/>
      <c r="F101" s="221"/>
      <c r="G101" s="221"/>
      <c r="H101" s="92"/>
      <c r="I101" s="222"/>
      <c r="J101" s="394"/>
    </row>
    <row r="102" spans="1:10" x14ac:dyDescent="0.3">
      <c r="A102" s="9"/>
      <c r="B102" s="3"/>
      <c r="C102" s="220"/>
      <c r="D102" s="221"/>
      <c r="E102" s="221"/>
      <c r="F102" s="221"/>
      <c r="G102" s="221"/>
      <c r="H102" s="92"/>
      <c r="I102" s="222"/>
      <c r="J102" s="394"/>
    </row>
    <row r="103" spans="1:10" x14ac:dyDescent="0.3">
      <c r="A103" s="9"/>
      <c r="B103" s="3"/>
      <c r="C103" s="220"/>
      <c r="D103" s="221"/>
      <c r="E103" s="221"/>
      <c r="F103" s="221"/>
      <c r="G103" s="221"/>
      <c r="H103" s="92"/>
      <c r="I103" s="222"/>
      <c r="J103" s="394"/>
    </row>
    <row r="104" spans="1:10" x14ac:dyDescent="0.3">
      <c r="A104" s="9"/>
      <c r="B104" s="3"/>
      <c r="C104" s="220"/>
      <c r="D104" s="221"/>
      <c r="E104" s="221"/>
      <c r="F104" s="221"/>
      <c r="G104" s="221"/>
      <c r="H104" s="92"/>
      <c r="I104" s="222"/>
      <c r="J104" s="394"/>
    </row>
    <row r="105" spans="1:10" x14ac:dyDescent="0.3">
      <c r="A105" s="9"/>
      <c r="B105" s="3"/>
      <c r="C105" s="220"/>
      <c r="D105" s="221"/>
      <c r="E105" s="221"/>
      <c r="F105" s="221"/>
      <c r="G105" s="221"/>
      <c r="H105" s="92"/>
      <c r="I105" s="222"/>
      <c r="J105" s="394"/>
    </row>
    <row r="106" spans="1:10" x14ac:dyDescent="0.3">
      <c r="A106" s="9"/>
      <c r="B106" s="3"/>
      <c r="C106" s="220"/>
      <c r="D106" s="221"/>
      <c r="E106" s="221"/>
      <c r="F106" s="221"/>
      <c r="G106" s="221"/>
      <c r="H106" s="92"/>
      <c r="I106" s="222"/>
      <c r="J106" s="394"/>
    </row>
    <row r="107" spans="1:10" x14ac:dyDescent="0.3">
      <c r="A107" s="9"/>
      <c r="B107" s="3"/>
      <c r="C107" s="220"/>
      <c r="D107" s="221"/>
      <c r="E107" s="221"/>
      <c r="F107" s="221"/>
      <c r="G107" s="221"/>
      <c r="H107" s="92"/>
      <c r="I107" s="222"/>
      <c r="J107" s="394"/>
    </row>
    <row r="108" spans="1:10" x14ac:dyDescent="0.3">
      <c r="A108" s="9"/>
      <c r="B108" s="3"/>
      <c r="C108" s="220"/>
      <c r="D108" s="221"/>
      <c r="E108" s="221"/>
      <c r="F108" s="221"/>
      <c r="G108" s="221"/>
      <c r="H108" s="92"/>
      <c r="I108" s="222"/>
      <c r="J108" s="394"/>
    </row>
    <row r="109" spans="1:10" x14ac:dyDescent="0.3">
      <c r="A109" s="9"/>
      <c r="B109" s="3"/>
      <c r="C109" s="220"/>
      <c r="D109" s="221"/>
      <c r="E109" s="221"/>
      <c r="F109" s="221"/>
      <c r="G109" s="221"/>
      <c r="H109" s="92"/>
      <c r="I109" s="222"/>
      <c r="J109" s="394"/>
    </row>
    <row r="110" spans="1:10" x14ac:dyDescent="0.3">
      <c r="A110" s="9"/>
      <c r="B110" s="3"/>
      <c r="C110" s="220"/>
      <c r="D110" s="221"/>
      <c r="E110" s="221"/>
      <c r="F110" s="221"/>
      <c r="G110" s="221"/>
      <c r="H110" s="92"/>
      <c r="I110" s="222"/>
      <c r="J110" s="393"/>
    </row>
    <row r="111" spans="1:10" x14ac:dyDescent="0.3">
      <c r="A111" s="101"/>
      <c r="B111" s="82"/>
      <c r="C111" s="6"/>
      <c r="D111" s="2"/>
      <c r="E111" s="2"/>
      <c r="F111" s="2"/>
      <c r="G111" s="2"/>
      <c r="H111" s="112"/>
    </row>
    <row r="112" spans="1:10" x14ac:dyDescent="0.3">
      <c r="A112" s="102"/>
      <c r="B112" s="103"/>
      <c r="C112" s="6"/>
      <c r="D112" s="2"/>
      <c r="E112" s="2"/>
      <c r="F112" s="2"/>
      <c r="G112" s="2"/>
      <c r="H112" s="112"/>
    </row>
    <row r="113" spans="1:8" x14ac:dyDescent="0.3">
      <c r="A113" s="3"/>
      <c r="B113" s="3"/>
      <c r="C113" s="6"/>
      <c r="D113" s="2"/>
      <c r="E113" s="2"/>
      <c r="F113" s="2"/>
      <c r="G113" s="2"/>
      <c r="H113" s="112"/>
    </row>
    <row r="114" spans="1:8" x14ac:dyDescent="0.3">
      <c r="A114" s="3"/>
      <c r="B114" s="127"/>
      <c r="C114" s="6"/>
      <c r="D114" s="2"/>
      <c r="E114" s="2"/>
      <c r="F114" s="2"/>
      <c r="G114" s="2"/>
      <c r="H114" s="112"/>
    </row>
    <row r="115" spans="1:8" x14ac:dyDescent="0.3">
      <c r="A115" s="17"/>
      <c r="B115" s="18"/>
      <c r="C115" s="98"/>
      <c r="D115" s="99"/>
      <c r="E115" s="99"/>
      <c r="F115" s="99"/>
      <c r="G115" s="99"/>
      <c r="H115" s="112"/>
    </row>
    <row r="116" spans="1:8" x14ac:dyDescent="0.3">
      <c r="A116" s="17"/>
      <c r="B116" s="18"/>
      <c r="C116" s="87"/>
      <c r="D116" s="88"/>
      <c r="E116" s="88"/>
      <c r="F116" s="88"/>
      <c r="G116" s="88"/>
      <c r="H116" s="112"/>
    </row>
    <row r="117" spans="1:8" x14ac:dyDescent="0.3">
      <c r="A117" s="164"/>
      <c r="B117" s="161"/>
      <c r="C117" s="162"/>
      <c r="D117" s="163"/>
      <c r="E117" s="163"/>
      <c r="F117" s="163"/>
      <c r="G117" s="163"/>
      <c r="H117" s="112"/>
    </row>
    <row r="118" spans="1:8" x14ac:dyDescent="0.3">
      <c r="A118" s="165"/>
      <c r="B118" s="103"/>
      <c r="C118" s="183"/>
      <c r="D118" s="184"/>
      <c r="E118" s="184"/>
      <c r="F118" s="184"/>
      <c r="G118" s="184"/>
      <c r="H118" s="112"/>
    </row>
    <row r="119" spans="1:8" x14ac:dyDescent="0.3">
      <c r="A119" s="188"/>
      <c r="B119" s="3"/>
      <c r="C119" s="6"/>
      <c r="D119" s="2"/>
      <c r="E119" s="2"/>
      <c r="F119" s="2"/>
      <c r="G119" s="2"/>
      <c r="H119" s="112"/>
    </row>
    <row r="120" spans="1:8" x14ac:dyDescent="0.3">
      <c r="A120" s="188"/>
      <c r="B120" s="82"/>
      <c r="C120" s="6"/>
      <c r="D120" s="2"/>
      <c r="E120" s="2"/>
      <c r="F120" s="2"/>
      <c r="G120" s="2"/>
      <c r="H120" s="112"/>
    </row>
    <row r="121" spans="1:8" x14ac:dyDescent="0.3">
      <c r="A121" s="188"/>
      <c r="B121" s="3"/>
      <c r="C121" s="6"/>
      <c r="D121" s="2"/>
      <c r="E121" s="2"/>
      <c r="F121" s="2"/>
      <c r="G121" s="2"/>
      <c r="H121" s="112"/>
    </row>
    <row r="122" spans="1:8" x14ac:dyDescent="0.3">
      <c r="A122" s="83"/>
      <c r="B122" s="82"/>
      <c r="C122" s="6"/>
      <c r="D122" s="2"/>
      <c r="E122" s="2"/>
      <c r="F122" s="2"/>
      <c r="G122" s="2"/>
      <c r="H122" s="112"/>
    </row>
    <row r="123" spans="1:8" x14ac:dyDescent="0.3">
      <c r="A123" s="188"/>
      <c r="B123" s="3"/>
      <c r="C123" s="6"/>
      <c r="D123" s="2"/>
      <c r="E123" s="2"/>
      <c r="F123" s="2"/>
      <c r="G123" s="2"/>
      <c r="H123" s="112"/>
    </row>
    <row r="124" spans="1:8" x14ac:dyDescent="0.3">
      <c r="A124" s="107"/>
      <c r="B124" s="127"/>
      <c r="C124" s="6"/>
      <c r="D124" s="2"/>
      <c r="E124" s="2"/>
      <c r="F124" s="2"/>
      <c r="G124" s="2"/>
      <c r="H124" s="112"/>
    </row>
    <row r="125" spans="1:8" x14ac:dyDescent="0.3">
      <c r="A125" s="164"/>
      <c r="B125" s="3"/>
      <c r="C125" s="6"/>
      <c r="D125" s="2"/>
      <c r="E125" s="2"/>
      <c r="F125" s="2"/>
      <c r="G125" s="2"/>
      <c r="H125" s="112"/>
    </row>
    <row r="126" spans="1:8" x14ac:dyDescent="0.3">
      <c r="A126" s="107"/>
      <c r="B126" s="127"/>
      <c r="C126" s="6"/>
      <c r="D126" s="2"/>
      <c r="E126" s="2"/>
      <c r="F126" s="2"/>
      <c r="G126" s="2"/>
      <c r="H126" s="112"/>
    </row>
    <row r="127" spans="1:8" x14ac:dyDescent="0.3">
      <c r="A127" s="107"/>
      <c r="B127" s="82"/>
      <c r="C127" s="176"/>
      <c r="D127" s="177"/>
      <c r="E127" s="177"/>
      <c r="F127" s="177"/>
      <c r="G127" s="177"/>
      <c r="H127" s="112"/>
    </row>
    <row r="128" spans="1:8" x14ac:dyDescent="0.3">
      <c r="A128" s="188"/>
      <c r="B128" s="3"/>
      <c r="C128" s="6"/>
      <c r="D128" s="7"/>
      <c r="E128" s="7"/>
      <c r="F128" s="7"/>
      <c r="G128" s="7"/>
      <c r="H128" s="217"/>
    </row>
    <row r="129" spans="1:8" x14ac:dyDescent="0.3">
      <c r="A129" s="107"/>
      <c r="B129" s="82"/>
      <c r="C129" s="176"/>
      <c r="D129" s="177"/>
      <c r="E129" s="177"/>
      <c r="F129" s="177"/>
      <c r="G129" s="177"/>
      <c r="H129" s="216"/>
    </row>
    <row r="130" spans="1:8" x14ac:dyDescent="0.3">
      <c r="A130" s="188"/>
      <c r="B130" s="3"/>
      <c r="C130" s="6"/>
      <c r="D130" s="7"/>
      <c r="E130" s="7"/>
      <c r="F130" s="7"/>
      <c r="G130" s="7"/>
      <c r="H130" s="217"/>
    </row>
    <row r="131" spans="1:8" x14ac:dyDescent="0.3">
      <c r="A131" s="107"/>
      <c r="B131" s="82"/>
      <c r="C131" s="176"/>
      <c r="D131" s="177"/>
      <c r="E131" s="177"/>
      <c r="F131" s="177"/>
      <c r="G131" s="177"/>
      <c r="H131" s="216"/>
    </row>
    <row r="132" spans="1:8" x14ac:dyDescent="0.3">
      <c r="A132" s="188"/>
      <c r="B132" s="3"/>
      <c r="C132" s="6"/>
      <c r="D132" s="7"/>
      <c r="E132" s="7"/>
      <c r="F132" s="7"/>
      <c r="G132" s="7"/>
      <c r="H132" s="217"/>
    </row>
    <row r="133" spans="1:8" x14ac:dyDescent="0.3">
      <c r="A133" s="107"/>
      <c r="B133" s="82"/>
      <c r="C133" s="176"/>
      <c r="D133" s="177"/>
      <c r="E133" s="177"/>
      <c r="F133" s="177"/>
      <c r="G133" s="177"/>
      <c r="H133" s="216"/>
    </row>
    <row r="134" spans="1:8" x14ac:dyDescent="0.3">
      <c r="A134" s="188"/>
      <c r="B134" s="3"/>
      <c r="C134" s="6"/>
      <c r="D134" s="7"/>
      <c r="E134" s="7"/>
      <c r="F134" s="7"/>
      <c r="G134" s="7"/>
      <c r="H134" s="217"/>
    </row>
    <row r="135" spans="1:8" x14ac:dyDescent="0.3">
      <c r="A135" s="107"/>
      <c r="B135" s="82"/>
      <c r="C135" s="176"/>
      <c r="D135" s="177"/>
      <c r="E135" s="177"/>
      <c r="F135" s="177"/>
      <c r="G135" s="177"/>
      <c r="H135" s="216"/>
    </row>
    <row r="136" spans="1:8" x14ac:dyDescent="0.3">
      <c r="A136" s="102"/>
      <c r="B136" s="103"/>
      <c r="C136" s="218"/>
      <c r="D136" s="113"/>
      <c r="E136" s="113"/>
      <c r="F136" s="113"/>
      <c r="G136" s="113"/>
      <c r="H136" s="80"/>
    </row>
  </sheetData>
  <hyperlinks>
    <hyperlink ref="H7" location="Resumen!A1" display="Rsumen         "/>
  </hyperlinks>
  <pageMargins left="0.7" right="0.7" top="0.75" bottom="0.75" header="0.3" footer="0.3"/>
  <pageSetup orientation="portrait" verticalDpi="360" r:id="rId1"/>
  <drawing r:id="rId2"/>
  <tableParts count="1">
    <tablePart r:id="rId3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I41"/>
  <sheetViews>
    <sheetView showGridLines="0" topLeftCell="B1" zoomScale="98" zoomScaleNormal="98" workbookViewId="0">
      <selection activeCell="D24" sqref="D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0.6640625" bestFit="1" customWidth="1"/>
  </cols>
  <sheetData>
    <row r="1" spans="1:9" ht="15.6" x14ac:dyDescent="0.3">
      <c r="A1" s="27" t="s">
        <v>36</v>
      </c>
      <c r="B1" s="41" t="s">
        <v>106</v>
      </c>
    </row>
    <row r="2" spans="1:9" x14ac:dyDescent="0.3">
      <c r="A2" s="27" t="s">
        <v>31</v>
      </c>
      <c r="B2" s="28" t="s">
        <v>629</v>
      </c>
    </row>
    <row r="3" spans="1:9" ht="0.75" customHeight="1" x14ac:dyDescent="0.3">
      <c r="A3" s="27" t="s">
        <v>32</v>
      </c>
      <c r="B3" s="28" t="s">
        <v>629</v>
      </c>
    </row>
    <row r="4" spans="1:9" x14ac:dyDescent="0.3">
      <c r="A4" s="27" t="s">
        <v>33</v>
      </c>
      <c r="B4" s="28" t="e">
        <f>LOOKUP(B1,#REF!,#REF!)</f>
        <v>#REF!</v>
      </c>
    </row>
    <row r="5" spans="1:9" x14ac:dyDescent="0.3">
      <c r="A5" s="27" t="s">
        <v>34</v>
      </c>
      <c r="B5" s="28" t="e">
        <f>LOOKUP(B1,#REF!,#REF!)</f>
        <v>#REF!</v>
      </c>
      <c r="G5" s="25"/>
      <c r="H5" s="25"/>
    </row>
    <row r="6" spans="1:9" x14ac:dyDescent="0.3">
      <c r="A6" s="27" t="s">
        <v>35</v>
      </c>
      <c r="B6" s="29" t="e">
        <f>LOOKUP(B1,#REF!,#REF!)</f>
        <v>#REF!</v>
      </c>
      <c r="C6" s="5"/>
      <c r="G6" s="25"/>
      <c r="H6" s="26" t="s">
        <v>30</v>
      </c>
      <c r="I6" s="24"/>
    </row>
    <row r="7" spans="1:9" x14ac:dyDescent="0.3">
      <c r="A7" s="27"/>
      <c r="B7" s="29"/>
      <c r="C7" s="5"/>
      <c r="G7" s="25"/>
      <c r="H7" s="26"/>
      <c r="I7" s="24"/>
    </row>
    <row r="8" spans="1:9" x14ac:dyDescent="0.3">
      <c r="A8" s="21"/>
      <c r="B8" s="21"/>
    </row>
    <row r="9" spans="1:9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9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/>
    </row>
    <row r="11" spans="1:9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IF(T_T1341112131415161718192021222324252627282930313233353637383940414243444546474849505152535455565758[[#This Row],[Total]]&lt;0,T_T1341112131415161718192021222324252627282930313233353637383940414243444546474849505152535455565758[[#This Row],[Total]]*-1,0)</f>
        <v>0</v>
      </c>
    </row>
    <row r="12" spans="1:9" x14ac:dyDescent="0.3">
      <c r="A12" s="361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IF(T_T1341112131415161718192021222324252627282930313233353637383940414243444546474849505152535455565758[[#This Row],[Total]]&lt;0,T_T1341112131415161718192021222324252627282930313233353637383940414243444546474849505152535455565758[[#This Row],[Total]]*-1,0)</f>
        <v>0</v>
      </c>
    </row>
    <row r="13" spans="1:9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IF(T_T1341112131415161718192021222324252627282930313233353637383940414243444546474849505152535455565758[[#This Row],[Total]]&lt;0,T_T1341112131415161718192021222324252627282930313233353637383940414243444546474849505152535455565758[[#This Row],[Total]]*-1,0)</f>
        <v>0</v>
      </c>
    </row>
    <row r="14" spans="1:9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IF(T_T1341112131415161718192021222324252627282930313233353637383940414243444546474849505152535455565758[[#This Row],[Total]]&lt;0,T_T1341112131415161718192021222324252627282930313233353637383940414243444546474849505152535455565758[[#This Row],[Total]]*-1,0)</f>
        <v>0</v>
      </c>
    </row>
    <row r="15" spans="1:9" x14ac:dyDescent="0.3">
      <c r="A15" s="17">
        <v>45687</v>
      </c>
      <c r="B15" s="18" t="s">
        <v>530</v>
      </c>
      <c r="C15" s="6"/>
      <c r="D15" s="2">
        <v>157</v>
      </c>
      <c r="E15" s="2">
        <v>8</v>
      </c>
      <c r="F15" s="20"/>
      <c r="G15" s="20">
        <f>SUM(D15:F15)</f>
        <v>165</v>
      </c>
      <c r="H15" s="233">
        <f>+H13+T_T1341112131415161718192021222324252627282930313233353637383940414243444546474849505152535455565758[[#This Row],[Total]]</f>
        <v>165</v>
      </c>
      <c r="I15" s="240">
        <f>IF(T_T1341112131415161718192021222324252627282930313233353637383940414243444546474849505152535455565758[[#This Row],[Total]]&lt;0,T_T1341112131415161718192021222324252627282930313233353637383940414243444546474849505152535455565758[[#This Row],[Total]]*-1,0)</f>
        <v>0</v>
      </c>
    </row>
    <row r="16" spans="1:9" x14ac:dyDescent="0.3">
      <c r="A16" s="17"/>
      <c r="B16" s="18" t="s">
        <v>531</v>
      </c>
      <c r="C16" s="6">
        <v>8566</v>
      </c>
      <c r="D16" s="2">
        <v>-157</v>
      </c>
      <c r="E16" s="2">
        <v>-8</v>
      </c>
      <c r="F16" s="230"/>
      <c r="G16" s="230">
        <f t="shared" ref="G16:G38" si="0">SUM(D16:F16)</f>
        <v>-165</v>
      </c>
      <c r="H16" s="233">
        <f t="shared" ref="H16:H40" si="1">H15+G16</f>
        <v>0</v>
      </c>
      <c r="I16" s="240">
        <f>IF(T_T1341112131415161718192021222324252627282930313233353637383940414243444546474849505152535455565758[[#This Row],[Total]]&lt;0,T_T1341112131415161718192021222324252627282930313233353637383940414243444546474849505152535455565758[[#This Row],[Total]]*-1,0)</f>
        <v>165</v>
      </c>
    </row>
    <row r="17" spans="1:9" x14ac:dyDescent="0.3">
      <c r="A17" s="164">
        <v>45715</v>
      </c>
      <c r="B17" s="161" t="s">
        <v>532</v>
      </c>
      <c r="C17" s="6"/>
      <c r="D17" s="2">
        <v>157</v>
      </c>
      <c r="E17" s="2">
        <v>7</v>
      </c>
      <c r="F17" s="230"/>
      <c r="G17" s="230">
        <f t="shared" si="0"/>
        <v>164</v>
      </c>
      <c r="H17" s="233">
        <f t="shared" si="1"/>
        <v>164</v>
      </c>
      <c r="I17" s="240">
        <f>IF(T_T1341112131415161718192021222324252627282930313233353637383940414243444546474849505152535455565758[[#This Row],[Total]]&lt;0,T_T1341112131415161718192021222324252627282930313233353637383940414243444546474849505152535455565758[[#This Row],[Total]]*-1,0)</f>
        <v>0</v>
      </c>
    </row>
    <row r="18" spans="1:9" x14ac:dyDescent="0.3">
      <c r="A18" s="187"/>
      <c r="B18" s="18" t="s">
        <v>533</v>
      </c>
      <c r="C18" s="6"/>
      <c r="D18" s="2"/>
      <c r="E18" s="2"/>
      <c r="F18" s="230"/>
      <c r="G18" s="230">
        <f t="shared" si="0"/>
        <v>0</v>
      </c>
      <c r="H18" s="233">
        <f t="shared" si="1"/>
        <v>164</v>
      </c>
      <c r="I18" s="240">
        <f>IF(T_T1341112131415161718192021222324252627282930313233353637383940414243444546474849505152535455565758[[#This Row],[Total]]&lt;0,T_T1341112131415161718192021222324252627282930313233353637383940414243444546474849505152535455565758[[#This Row],[Total]]*-1,0)</f>
        <v>0</v>
      </c>
    </row>
    <row r="19" spans="1:9" x14ac:dyDescent="0.3">
      <c r="A19" s="188">
        <v>45747</v>
      </c>
      <c r="B19" s="3" t="s">
        <v>534</v>
      </c>
      <c r="C19" s="6"/>
      <c r="D19" s="2">
        <v>189</v>
      </c>
      <c r="E19" s="2">
        <v>2</v>
      </c>
      <c r="F19" s="230"/>
      <c r="G19" s="230">
        <f t="shared" si="0"/>
        <v>191</v>
      </c>
      <c r="H19" s="233">
        <f t="shared" si="1"/>
        <v>355</v>
      </c>
      <c r="I19" s="240">
        <f>IF(T_T1341112131415161718192021222324252627282930313233353637383940414243444546474849505152535455565758[[#This Row],[Total]]&lt;0,T_T1341112131415161718192021222324252627282930313233353637383940414243444546474849505152535455565758[[#This Row],[Total]]*-1,0)</f>
        <v>0</v>
      </c>
    </row>
    <row r="20" spans="1:9" x14ac:dyDescent="0.3">
      <c r="A20" s="188"/>
      <c r="B20" s="82" t="s">
        <v>535</v>
      </c>
      <c r="C20" s="6"/>
      <c r="D20" s="2"/>
      <c r="E20" s="2"/>
      <c r="F20" s="230"/>
      <c r="G20" s="230">
        <f t="shared" si="0"/>
        <v>0</v>
      </c>
      <c r="H20" s="233">
        <f t="shared" si="1"/>
        <v>355</v>
      </c>
      <c r="I20" s="240">
        <f>IF(T_T1341112131415161718192021222324252627282930313233353637383940414243444546474849505152535455565758[[#This Row],[Total]]&lt;0,T_T1341112131415161718192021222324252627282930313233353637383940414243444546474849505152535455565758[[#This Row],[Total]]*-1,0)</f>
        <v>0</v>
      </c>
    </row>
    <row r="21" spans="1:9" x14ac:dyDescent="0.3">
      <c r="A21" s="188">
        <v>45777</v>
      </c>
      <c r="B21" s="3" t="s">
        <v>536</v>
      </c>
      <c r="C21" s="6"/>
      <c r="D21" s="2">
        <v>189</v>
      </c>
      <c r="E21" s="2"/>
      <c r="F21" s="230"/>
      <c r="G21" s="230">
        <f t="shared" si="0"/>
        <v>189</v>
      </c>
      <c r="H21" s="233">
        <f t="shared" si="1"/>
        <v>544</v>
      </c>
      <c r="I21" s="309">
        <f>IF(T_T1341112131415161718192021222324252627282930313233353637383940414243444546474849505152535455565758[[#This Row],[Total]]&lt;0,T_T1341112131415161718192021222324252627282930313233353637383940414243444546474849505152535455565758[[#This Row],[Total]]*-1,0)</f>
        <v>0</v>
      </c>
    </row>
    <row r="22" spans="1:9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544</v>
      </c>
      <c r="I22" s="309">
        <f>IF(T_T1341112131415161718192021222324252627282930313233353637383940414243444546474849505152535455565758[[#This Row],[Total]]&lt;0,T_T1341112131415161718192021222324252627282930313233353637383940414243444546474849505152535455565758[[#This Row],[Total]]*-1,0)</f>
        <v>0</v>
      </c>
    </row>
    <row r="23" spans="1:9" x14ac:dyDescent="0.3">
      <c r="A23" s="40">
        <v>45807</v>
      </c>
      <c r="B23" s="3" t="s">
        <v>538</v>
      </c>
      <c r="C23" s="229"/>
      <c r="D23" s="230">
        <v>189</v>
      </c>
      <c r="E23" s="230"/>
      <c r="F23" s="230"/>
      <c r="G23" s="230">
        <f t="shared" si="0"/>
        <v>189</v>
      </c>
      <c r="H23" s="233">
        <f t="shared" si="1"/>
        <v>733</v>
      </c>
      <c r="I23" s="309">
        <f>IF(T_T1341112131415161718192021222324252627282930313233353637383940414243444546474849505152535455565758[[#This Row],[Total]]&lt;0,T_T1341112131415161718192021222324252627282930313233353637383940414243444546474849505152535455565758[[#This Row],[Total]]*-1,0)</f>
        <v>0</v>
      </c>
    </row>
    <row r="24" spans="1:9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733</v>
      </c>
      <c r="I24" s="309">
        <f>IF(T_T1341112131415161718192021222324252627282930313233353637383940414243444546474849505152535455565758[[#This Row],[Total]]&lt;0,T_T1341112131415161718192021222324252627282930313233353637383940414243444546474849505152535455565758[[#This Row],[Total]]*-1,0)</f>
        <v>0</v>
      </c>
    </row>
    <row r="25" spans="1:9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733</v>
      </c>
      <c r="I25" s="309">
        <f>IF(T_T1341112131415161718192021222324252627282930313233353637383940414243444546474849505152535455565758[[#This Row],[Total]]&lt;0,T_T1341112131415161718192021222324252627282930313233353637383940414243444546474849505152535455565758[[#This Row],[Total]]*-1,0)</f>
        <v>0</v>
      </c>
    </row>
    <row r="26" spans="1:9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733</v>
      </c>
      <c r="I26" s="309">
        <f>IF(T_T1341112131415161718192021222324252627282930313233353637383940414243444546474849505152535455565758[[#This Row],[Total]]&lt;0,T_T1341112131415161718192021222324252627282930313233353637383940414243444546474849505152535455565758[[#This Row],[Total]]*-1,0)</f>
        <v>0</v>
      </c>
    </row>
    <row r="27" spans="1:9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733</v>
      </c>
      <c r="I27" s="309">
        <f>IF(T_T1341112131415161718192021222324252627282930313233353637383940414243444546474849505152535455565758[[#This Row],[Total]]&lt;0,T_T1341112131415161718192021222324252627282930313233353637383940414243444546474849505152535455565758[[#This Row],[Total]]*-1,0)</f>
        <v>0</v>
      </c>
    </row>
    <row r="28" spans="1:9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733</v>
      </c>
      <c r="I28" s="309">
        <f>IF(T_T1341112131415161718192021222324252627282930313233353637383940414243444546474849505152535455565758[[#This Row],[Total]]&lt;0,T_T1341112131415161718192021222324252627282930313233353637383940414243444546474849505152535455565758[[#This Row],[Total]]*-1,0)</f>
        <v>0</v>
      </c>
    </row>
    <row r="29" spans="1:9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733</v>
      </c>
      <c r="I29" s="309">
        <f>IF(T_T1341112131415161718192021222324252627282930313233353637383940414243444546474849505152535455565758[[#This Row],[Total]]&lt;0,T_T1341112131415161718192021222324252627282930313233353637383940414243444546474849505152535455565758[[#This Row],[Total]]*-1,0)</f>
        <v>0</v>
      </c>
    </row>
    <row r="30" spans="1:9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733</v>
      </c>
      <c r="I30" s="309">
        <f>IF(T_T1341112131415161718192021222324252627282930313233353637383940414243444546474849505152535455565758[[#This Row],[Total]]&lt;0,T_T1341112131415161718192021222324252627282930313233353637383940414243444546474849505152535455565758[[#This Row],[Total]]*-1,0)</f>
        <v>0</v>
      </c>
    </row>
    <row r="31" spans="1:9" x14ac:dyDescent="0.3">
      <c r="A31" s="9">
        <v>45930</v>
      </c>
      <c r="B31" s="3" t="s">
        <v>546</v>
      </c>
      <c r="C31" s="229"/>
      <c r="D31" s="230"/>
      <c r="E31" s="7"/>
      <c r="F31" s="230"/>
      <c r="G31" s="230">
        <f t="shared" si="0"/>
        <v>0</v>
      </c>
      <c r="H31" s="233">
        <f t="shared" si="1"/>
        <v>733</v>
      </c>
      <c r="I31" s="309">
        <f>IF(T_T1341112131415161718192021222324252627282930313233353637383940414243444546474849505152535455565758[[#This Row],[Total]]&lt;0,T_T1341112131415161718192021222324252627282930313233353637383940414243444546474849505152535455565758[[#This Row],[Total]]*-1,0)</f>
        <v>0</v>
      </c>
    </row>
    <row r="32" spans="1:9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733</v>
      </c>
      <c r="I32" s="309">
        <f>IF(T_T1341112131415161718192021222324252627282930313233353637383940414243444546474849505152535455565758[[#This Row],[Total]]&lt;0,T_T1341112131415161718192021222324252627282930313233353637383940414243444546474849505152535455565758[[#This Row],[Total]]*-1,0)</f>
        <v>0</v>
      </c>
    </row>
    <row r="33" spans="1:9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733</v>
      </c>
      <c r="I33" s="309">
        <f>IF(T_T1341112131415161718192021222324252627282930313233353637383940414243444546474849505152535455565758[[#This Row],[Total]]&lt;0,T_T1341112131415161718192021222324252627282930313233353637383940414243444546474849505152535455565758[[#This Row],[Total]]*-1,0)</f>
        <v>0</v>
      </c>
    </row>
    <row r="34" spans="1:9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733</v>
      </c>
      <c r="I34" s="309">
        <f>IF(T_T1341112131415161718192021222324252627282930313233353637383940414243444546474849505152535455565758[[#This Row],[Total]]&lt;0,T_T1341112131415161718192021222324252627282930313233353637383940414243444546474849505152535455565758[[#This Row],[Total]]*-1,0)</f>
        <v>0</v>
      </c>
    </row>
    <row r="35" spans="1:9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733</v>
      </c>
      <c r="I35" s="309">
        <f>IF(T_T1341112131415161718192021222324252627282930313233353637383940414243444546474849505152535455565758[[#This Row],[Total]]&lt;0,T_T1341112131415161718192021222324252627282930313233353637383940414243444546474849505152535455565758[[#This Row],[Total]]*-1,0)</f>
        <v>0</v>
      </c>
    </row>
    <row r="36" spans="1:9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733</v>
      </c>
      <c r="I36" s="309">
        <f>IF(T_T1341112131415161718192021222324252627282930313233353637383940414243444546474849505152535455565758[[#This Row],[Total]]&lt;0,T_T1341112131415161718192021222324252627282930313233353637383940414243444546474849505152535455565758[[#This Row],[Total]]*-1,0)</f>
        <v>0</v>
      </c>
    </row>
    <row r="37" spans="1:9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733</v>
      </c>
      <c r="I37" s="309">
        <f>IF(T_T1341112131415161718192021222324252627282930313233353637383940414243444546474849505152535455565758[[#This Row],[Total]]&lt;0,T_T1341112131415161718192021222324252627282930313233353637383940414243444546474849505152535455565758[[#This Row],[Total]]*-1,0)</f>
        <v>0</v>
      </c>
    </row>
    <row r="38" spans="1:9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733</v>
      </c>
      <c r="I38" s="353">
        <f>IF(T_T1341112131415161718192021222324252627282930313233353637383940414243444546474849505152535455565758[[#This Row],[Total]]&lt;0,T_T1341112131415161718192021222324252627282930313233353637383940414243444546474849505152535455565758[[#This Row],[Total]]*-1,0)</f>
        <v>0</v>
      </c>
    </row>
    <row r="39" spans="1:9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733</v>
      </c>
      <c r="I39" s="353">
        <f>IF(T_T1341112131415161718192021222324252627282930313233353637383940414243444546474849505152535455565758[[#This Row],[Total]]&lt;0,T_T1341112131415161718192021222324252627282930313233353637383940414243444546474849505152535455565758[[#This Row],[Total]]*-1,0)</f>
        <v>0</v>
      </c>
    </row>
    <row r="40" spans="1:9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733</v>
      </c>
      <c r="I40" s="353">
        <f>IF(T_T1341112131415161718192021222324252627282930313233353637383940414243444546474849505152535455565758[[#This Row],[Total]]&lt;0,T_T1341112131415161718192021222324252627282930313233353637383940414243444546474849505152535455565758[[#This Row],[Total]]*-1,0)</f>
        <v>0</v>
      </c>
    </row>
    <row r="41" spans="1:9" x14ac:dyDescent="0.3">
      <c r="A41" s="492"/>
      <c r="B41" s="493"/>
      <c r="C41" s="466"/>
      <c r="D41" s="467"/>
      <c r="E41" s="467"/>
      <c r="F41" s="467"/>
      <c r="G41" s="467"/>
      <c r="H41" s="474"/>
      <c r="I41" s="475"/>
    </row>
  </sheetData>
  <hyperlinks>
    <hyperlink ref="B6" r:id="rId1" display="jose.orozco@outlook.com"/>
    <hyperlink ref="H6" location="Resumen!A1" display="Rsumen         "/>
  </hyperlinks>
  <pageMargins left="0.51" right="0.70866141732283472" top="0.74803149606299213" bottom="0.35" header="0.31496062992125984" footer="0.31496062992125984"/>
  <pageSetup scale="60" orientation="portrait" verticalDpi="360" r:id="rId2"/>
  <drawing r:id="rId3"/>
  <tableParts count="1">
    <tablePart r:id="rId4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O42"/>
  <sheetViews>
    <sheetView showGridLines="0" topLeftCell="A8" zoomScale="115" zoomScaleNormal="115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9.5546875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1" max="11" width="4" customWidth="1"/>
    <col min="15" max="15" width="10.6640625" bestFit="1" customWidth="1"/>
    <col min="16" max="16" width="16.6640625" customWidth="1"/>
  </cols>
  <sheetData>
    <row r="2" spans="1:13" ht="15.6" x14ac:dyDescent="0.3">
      <c r="A2" s="27" t="s">
        <v>36</v>
      </c>
      <c r="B2" s="41" t="s">
        <v>107</v>
      </c>
    </row>
    <row r="3" spans="1:13" x14ac:dyDescent="0.3">
      <c r="A3" s="27" t="s">
        <v>31</v>
      </c>
      <c r="B3" s="28" t="s">
        <v>259</v>
      </c>
    </row>
    <row r="4" spans="1:13" x14ac:dyDescent="0.3">
      <c r="A4" s="27" t="s">
        <v>32</v>
      </c>
      <c r="B4" s="28"/>
    </row>
    <row r="5" spans="1:13" hidden="1" x14ac:dyDescent="0.3">
      <c r="A5" s="27" t="s">
        <v>33</v>
      </c>
      <c r="B5" s="28" t="e">
        <f>LOOKUP(B2,#REF!,#REF!)</f>
        <v>#REF!</v>
      </c>
    </row>
    <row r="6" spans="1:13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3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3" x14ac:dyDescent="0.3">
      <c r="A8" s="21"/>
      <c r="B8" s="21"/>
    </row>
    <row r="9" spans="1:13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69" t="s">
        <v>188</v>
      </c>
      <c r="K9" s="69" t="s">
        <v>191</v>
      </c>
      <c r="L9" s="75" t="s">
        <v>262</v>
      </c>
      <c r="M9" s="392" t="s">
        <v>383</v>
      </c>
    </row>
    <row r="10" spans="1:13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286">
        <f>IF(T_T134111213141516171819202122232425262728293031323335363738394041424344454647484950515253545556575859[[#This Row],[Total]]&lt;0,T_T134111213141516171819202122232425262728293031323335363738394041424344454647484950515253545556575859[[#This Row],[Total]]*-1,0)</f>
        <v>0</v>
      </c>
      <c r="J10" s="286"/>
      <c r="K10" s="299"/>
      <c r="L10" s="79"/>
      <c r="M10" s="391"/>
    </row>
    <row r="11" spans="1:13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IF(T_T134111213141516171819202122232425262728293031323335363738394041424344454647484950515253545556575859[[#This Row],[Total]]&lt;0,T_T134111213141516171819202122232425262728293031323335363738394041424344454647484950515253545556575859[[#This Row],[Total]]*-1,0)</f>
        <v>0</v>
      </c>
      <c r="J11" s="240"/>
      <c r="K11" s="232"/>
      <c r="L11" s="79"/>
      <c r="M11" s="391"/>
    </row>
    <row r="12" spans="1:13" x14ac:dyDescent="0.3">
      <c r="A12" s="117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IF(T_T134111213141516171819202122232425262728293031323335363738394041424344454647484950515253545556575859[[#This Row],[Total]]&lt;0,T_T134111213141516171819202122232425262728293031323335363738394041424344454647484950515253545556575859[[#This Row],[Total]]*-1,0)</f>
        <v>0</v>
      </c>
      <c r="J12" s="430"/>
      <c r="K12" s="419"/>
      <c r="L12" s="419"/>
      <c r="M12" s="419"/>
    </row>
    <row r="13" spans="1:13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IF(T_T134111213141516171819202122232425262728293031323335363738394041424344454647484950515253545556575859[[#This Row],[Total]]&lt;0,T_T134111213141516171819202122232425262728293031323335363738394041424344454647484950515253545556575859[[#This Row],[Total]]*-1,0)</f>
        <v>0</v>
      </c>
      <c r="J13" s="240"/>
      <c r="K13" s="232"/>
      <c r="L13" s="79"/>
      <c r="M13" s="391"/>
    </row>
    <row r="14" spans="1:13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IF(T_T134111213141516171819202122232425262728293031323335363738394041424344454647484950515253545556575859[[#This Row],[Total]]&lt;0,T_T134111213141516171819202122232425262728293031323335363738394041424344454647484950515253545556575859[[#This Row],[Total]]*-1,0)</f>
        <v>0</v>
      </c>
      <c r="J14" s="473"/>
      <c r="K14" s="485"/>
      <c r="L14" s="485"/>
      <c r="M14" s="485"/>
    </row>
    <row r="15" spans="1:13" x14ac:dyDescent="0.3">
      <c r="A15" s="17">
        <v>46052</v>
      </c>
      <c r="B15" s="18" t="s">
        <v>590</v>
      </c>
      <c r="C15" s="6"/>
      <c r="D15" s="2">
        <v>158</v>
      </c>
      <c r="E15" s="2">
        <v>8</v>
      </c>
      <c r="F15" s="20"/>
      <c r="G15" s="20">
        <f>SUM(D15:F15)</f>
        <v>166</v>
      </c>
      <c r="H15" s="233">
        <f>+H13+T_T134111213141516171819202122232425262728293031323335363738394041424344454647484950515253545556575859[[#This Row],[Total]]</f>
        <v>166</v>
      </c>
      <c r="I15" s="240">
        <f>IF(T_T134111213141516171819202122232425262728293031323335363738394041424344454647484950515253545556575859[[#This Row],[Total]]&lt;0,T_T134111213141516171819202122232425262728293031323335363738394041424344454647484950515253545556575859[[#This Row],[Total]]*-1,0)</f>
        <v>0</v>
      </c>
      <c r="J15" s="240"/>
      <c r="K15" s="232"/>
      <c r="L15" s="79"/>
      <c r="M15" s="391"/>
    </row>
    <row r="16" spans="1:13" x14ac:dyDescent="0.3">
      <c r="A16" s="17"/>
      <c r="B16" s="18" t="s">
        <v>591</v>
      </c>
      <c r="C16" s="6">
        <v>8557</v>
      </c>
      <c r="D16" s="2">
        <v>-158</v>
      </c>
      <c r="E16" s="2">
        <v>-8</v>
      </c>
      <c r="F16" s="230"/>
      <c r="G16" s="230">
        <f t="shared" ref="G16:G40" si="0">SUM(D16:F16)</f>
        <v>-166</v>
      </c>
      <c r="H16" s="233">
        <f t="shared" ref="H16:H42" si="1">H15+G16</f>
        <v>0</v>
      </c>
      <c r="I16" s="240">
        <f>IF(T_T134111213141516171819202122232425262728293031323335363738394041424344454647484950515253545556575859[[#This Row],[Total]]&lt;0,T_T134111213141516171819202122232425262728293031323335363738394041424344454647484950515253545556575859[[#This Row],[Total]]*-1,0)</f>
        <v>166</v>
      </c>
      <c r="J16" s="240"/>
      <c r="K16" s="232"/>
      <c r="L16" s="79"/>
      <c r="M16" s="391"/>
    </row>
    <row r="17" spans="1:13" x14ac:dyDescent="0.3">
      <c r="A17" s="164">
        <v>45715</v>
      </c>
      <c r="B17" s="161" t="s">
        <v>532</v>
      </c>
      <c r="C17" s="6"/>
      <c r="D17" s="2">
        <v>158</v>
      </c>
      <c r="E17" s="2">
        <v>8</v>
      </c>
      <c r="F17" s="230"/>
      <c r="G17" s="230">
        <f t="shared" si="0"/>
        <v>166</v>
      </c>
      <c r="H17" s="233">
        <f t="shared" si="1"/>
        <v>166</v>
      </c>
      <c r="I17" s="240">
        <f>IF(T_T134111213141516171819202122232425262728293031323335363738394041424344454647484950515253545556575859[[#This Row],[Total]]&lt;0,T_T134111213141516171819202122232425262728293031323335363738394041424344454647484950515253545556575859[[#This Row],[Total]]*-1,0)</f>
        <v>0</v>
      </c>
      <c r="J17" s="240"/>
      <c r="K17" s="232"/>
      <c r="L17" s="79"/>
      <c r="M17" s="391"/>
    </row>
    <row r="18" spans="1:13" x14ac:dyDescent="0.3">
      <c r="A18" s="187"/>
      <c r="B18" s="18" t="s">
        <v>533</v>
      </c>
      <c r="C18" s="6">
        <v>8771</v>
      </c>
      <c r="D18" s="2">
        <v>-158</v>
      </c>
      <c r="E18" s="2"/>
      <c r="F18" s="230"/>
      <c r="G18" s="230">
        <f t="shared" si="0"/>
        <v>-158</v>
      </c>
      <c r="H18" s="233">
        <f t="shared" si="1"/>
        <v>8</v>
      </c>
      <c r="I18" s="240">
        <f>IF(T_T134111213141516171819202122232425262728293031323335363738394041424344454647484950515253545556575859[[#This Row],[Total]]&lt;0,T_T134111213141516171819202122232425262728293031323335363738394041424344454647484950515253545556575859[[#This Row],[Total]]*-1,0)</f>
        <v>158</v>
      </c>
      <c r="J18" s="240"/>
      <c r="K18" s="232"/>
      <c r="L18" s="79"/>
      <c r="M18" s="391"/>
    </row>
    <row r="19" spans="1:13" x14ac:dyDescent="0.3">
      <c r="A19" s="188">
        <v>45747</v>
      </c>
      <c r="B19" s="3" t="s">
        <v>534</v>
      </c>
      <c r="C19" s="6"/>
      <c r="D19" s="2">
        <v>221</v>
      </c>
      <c r="E19" s="2">
        <v>10</v>
      </c>
      <c r="F19" s="230"/>
      <c r="G19" s="230">
        <f t="shared" si="0"/>
        <v>231</v>
      </c>
      <c r="H19" s="233">
        <f t="shared" si="1"/>
        <v>239</v>
      </c>
      <c r="I19" s="240">
        <f>IF(T_T134111213141516171819202122232425262728293031323335363738394041424344454647484950515253545556575859[[#This Row],[Total]]&lt;0,T_T134111213141516171819202122232425262728293031323335363738394041424344454647484950515253545556575859[[#This Row],[Total]]*-1,0)</f>
        <v>0</v>
      </c>
      <c r="J19" s="240"/>
      <c r="K19" s="232"/>
      <c r="L19" s="79"/>
      <c r="M19" s="391"/>
    </row>
    <row r="20" spans="1:13" x14ac:dyDescent="0.3">
      <c r="A20" s="188"/>
      <c r="B20" s="82" t="s">
        <v>535</v>
      </c>
      <c r="C20" s="6">
        <v>8772</v>
      </c>
      <c r="D20" s="2">
        <v>-221</v>
      </c>
      <c r="E20" s="2"/>
      <c r="F20" s="230"/>
      <c r="G20" s="230">
        <f t="shared" si="0"/>
        <v>-221</v>
      </c>
      <c r="H20" s="233">
        <f t="shared" si="1"/>
        <v>18</v>
      </c>
      <c r="I20" s="240">
        <f>IF(T_T134111213141516171819202122232425262728293031323335363738394041424344454647484950515253545556575859[[#This Row],[Total]]&lt;0,T_T134111213141516171819202122232425262728293031323335363738394041424344454647484950515253545556575859[[#This Row],[Total]]*-1,0)</f>
        <v>221</v>
      </c>
      <c r="J20" s="240"/>
      <c r="K20" s="232"/>
      <c r="L20" s="79"/>
      <c r="M20" s="391"/>
    </row>
    <row r="21" spans="1:13" x14ac:dyDescent="0.3">
      <c r="A21" s="188">
        <v>45777</v>
      </c>
      <c r="B21" s="3" t="s">
        <v>536</v>
      </c>
      <c r="C21" s="6"/>
      <c r="D21" s="2">
        <v>221</v>
      </c>
      <c r="E21" s="2">
        <v>12</v>
      </c>
      <c r="F21" s="230"/>
      <c r="G21" s="230">
        <f t="shared" si="0"/>
        <v>233</v>
      </c>
      <c r="H21" s="233">
        <f t="shared" si="1"/>
        <v>251</v>
      </c>
      <c r="I21" s="309">
        <f>IF(T_T134111213141516171819202122232425262728293031323335363738394041424344454647484950515253545556575859[[#This Row],[Total]]&lt;0,T_T134111213141516171819202122232425262728293031323335363738394041424344454647484950515253545556575859[[#This Row],[Total]]*-1,0)</f>
        <v>0</v>
      </c>
      <c r="J21" s="309"/>
      <c r="K21" s="313"/>
      <c r="L21" s="79"/>
      <c r="M21" s="391"/>
    </row>
    <row r="22" spans="1:13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251</v>
      </c>
      <c r="I22" s="309">
        <f>IF(T_T134111213141516171819202122232425262728293031323335363738394041424344454647484950515253545556575859[[#This Row],[Total]]&lt;0,T_T134111213141516171819202122232425262728293031323335363738394041424344454647484950515253545556575859[[#This Row],[Total]]*-1,0)</f>
        <v>0</v>
      </c>
      <c r="J22" s="309"/>
      <c r="K22" s="313"/>
      <c r="L22" s="79"/>
      <c r="M22" s="391"/>
    </row>
    <row r="23" spans="1:13" x14ac:dyDescent="0.3">
      <c r="A23" s="40">
        <v>45807</v>
      </c>
      <c r="B23" s="3" t="s">
        <v>538</v>
      </c>
      <c r="C23" s="6"/>
      <c r="D23" s="230">
        <v>221</v>
      </c>
      <c r="E23" s="230">
        <v>13</v>
      </c>
      <c r="F23" s="230"/>
      <c r="G23" s="230">
        <f t="shared" si="0"/>
        <v>234</v>
      </c>
      <c r="H23" s="233">
        <f t="shared" si="1"/>
        <v>485</v>
      </c>
      <c r="I23" s="309">
        <f>IF(T_T134111213141516171819202122232425262728293031323335363738394041424344454647484950515253545556575859[[#This Row],[Total]]&lt;0,T_T134111213141516171819202122232425262728293031323335363738394041424344454647484950515253545556575859[[#This Row],[Total]]*-1,0)</f>
        <v>0</v>
      </c>
      <c r="J23" s="309"/>
      <c r="K23" s="313"/>
      <c r="L23" s="79"/>
      <c r="M23" s="391"/>
    </row>
    <row r="24" spans="1:13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485</v>
      </c>
      <c r="I24" s="309">
        <f>IF(T_T134111213141516171819202122232425262728293031323335363738394041424344454647484950515253545556575859[[#This Row],[Total]]&lt;0,T_T134111213141516171819202122232425262728293031323335363738394041424344454647484950515253545556575859[[#This Row],[Total]]*-1,0)</f>
        <v>0</v>
      </c>
      <c r="J24" s="309"/>
      <c r="K24" s="313"/>
      <c r="L24" s="79"/>
      <c r="M24" s="391"/>
    </row>
    <row r="25" spans="1:13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485</v>
      </c>
      <c r="I25" s="309">
        <f>IF(T_T134111213141516171819202122232425262728293031323335363738394041424344454647484950515253545556575859[[#This Row],[Total]]&lt;0,T_T134111213141516171819202122232425262728293031323335363738394041424344454647484950515253545556575859[[#This Row],[Total]]*-1,0)</f>
        <v>0</v>
      </c>
      <c r="J25" s="309"/>
      <c r="K25" s="313"/>
      <c r="L25" s="79"/>
      <c r="M25" s="391"/>
    </row>
    <row r="26" spans="1:13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485</v>
      </c>
      <c r="I26" s="309">
        <f>IF(T_T134111213141516171819202122232425262728293031323335363738394041424344454647484950515253545556575859[[#This Row],[Total]]&lt;0,T_T134111213141516171819202122232425262728293031323335363738394041424344454647484950515253545556575859[[#This Row],[Total]]*-1,0)</f>
        <v>0</v>
      </c>
      <c r="J26" s="309"/>
      <c r="K26" s="313"/>
      <c r="L26" s="79"/>
      <c r="M26" s="391"/>
    </row>
    <row r="27" spans="1:13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485</v>
      </c>
      <c r="I27" s="309">
        <f>IF(T_T134111213141516171819202122232425262728293031323335363738394041424344454647484950515253545556575859[[#This Row],[Total]]&lt;0,T_T134111213141516171819202122232425262728293031323335363738394041424344454647484950515253545556575859[[#This Row],[Total]]*-1,0)</f>
        <v>0</v>
      </c>
      <c r="J27" s="309"/>
      <c r="K27" s="313"/>
      <c r="L27" s="79"/>
      <c r="M27" s="391"/>
    </row>
    <row r="28" spans="1:13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485</v>
      </c>
      <c r="I28" s="309">
        <f>IF(T_T134111213141516171819202122232425262728293031323335363738394041424344454647484950515253545556575859[[#This Row],[Total]]&lt;0,T_T134111213141516171819202122232425262728293031323335363738394041424344454647484950515253545556575859[[#This Row],[Total]]*-1,0)</f>
        <v>0</v>
      </c>
      <c r="J28" s="309"/>
      <c r="K28" s="313"/>
      <c r="L28" s="79"/>
      <c r="M28" s="391"/>
    </row>
    <row r="29" spans="1:13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485</v>
      </c>
      <c r="I29" s="309">
        <f>IF(T_T134111213141516171819202122232425262728293031323335363738394041424344454647484950515253545556575859[[#This Row],[Total]]&lt;0,T_T134111213141516171819202122232425262728293031323335363738394041424344454647484950515253545556575859[[#This Row],[Total]]*-1,0)</f>
        <v>0</v>
      </c>
      <c r="J29" s="309"/>
      <c r="K29" s="313"/>
      <c r="L29" s="79"/>
      <c r="M29" s="391"/>
    </row>
    <row r="30" spans="1:13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485</v>
      </c>
      <c r="I30" s="309">
        <f>IF(T_T134111213141516171819202122232425262728293031323335363738394041424344454647484950515253545556575859[[#This Row],[Total]]&lt;0,T_T134111213141516171819202122232425262728293031323335363738394041424344454647484950515253545556575859[[#This Row],[Total]]*-1,0)</f>
        <v>0</v>
      </c>
      <c r="J30" s="309"/>
      <c r="K30" s="313"/>
      <c r="L30" s="79"/>
      <c r="M30" s="391"/>
    </row>
    <row r="31" spans="1:13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485</v>
      </c>
      <c r="I31" s="309">
        <f>IF(T_T134111213141516171819202122232425262728293031323335363738394041424344454647484950515253545556575859[[#This Row],[Total]]&lt;0,T_T134111213141516171819202122232425262728293031323335363738394041424344454647484950515253545556575859[[#This Row],[Total]]*-1,0)</f>
        <v>0</v>
      </c>
      <c r="J31" s="309"/>
      <c r="K31" s="313"/>
      <c r="L31" s="79"/>
      <c r="M31" s="391"/>
    </row>
    <row r="32" spans="1:13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485</v>
      </c>
      <c r="I32" s="309">
        <f>IF(T_T134111213141516171819202122232425262728293031323335363738394041424344454647484950515253545556575859[[#This Row],[Total]]&lt;0,T_T134111213141516171819202122232425262728293031323335363738394041424344454647484950515253545556575859[[#This Row],[Total]]*-1,0)</f>
        <v>0</v>
      </c>
      <c r="J32" s="309"/>
      <c r="K32" s="313"/>
      <c r="L32" s="79"/>
      <c r="M32" s="391"/>
    </row>
    <row r="33" spans="1:15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485</v>
      </c>
      <c r="I33" s="309">
        <f>IF(T_T134111213141516171819202122232425262728293031323335363738394041424344454647484950515253545556575859[[#This Row],[Total]]&lt;0,T_T134111213141516171819202122232425262728293031323335363738394041424344454647484950515253545556575859[[#This Row],[Total]]*-1,0)</f>
        <v>0</v>
      </c>
      <c r="J33" s="309"/>
      <c r="K33" s="313"/>
      <c r="L33" s="79"/>
      <c r="M33" s="391"/>
    </row>
    <row r="34" spans="1:15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485</v>
      </c>
      <c r="I34" s="309">
        <f>IF(T_T134111213141516171819202122232425262728293031323335363738394041424344454647484950515253545556575859[[#This Row],[Total]]&lt;0,T_T134111213141516171819202122232425262728293031323335363738394041424344454647484950515253545556575859[[#This Row],[Total]]*-1,0)</f>
        <v>0</v>
      </c>
      <c r="J34" s="309"/>
      <c r="K34" s="313"/>
      <c r="L34" s="79"/>
      <c r="M34" s="391"/>
    </row>
    <row r="35" spans="1:15" x14ac:dyDescent="0.3">
      <c r="A35" s="9">
        <v>45991</v>
      </c>
      <c r="B35" s="3" t="s">
        <v>550</v>
      </c>
      <c r="C35" s="462"/>
      <c r="D35" s="463"/>
      <c r="E35" s="463"/>
      <c r="F35" s="463"/>
      <c r="G35" s="230">
        <f t="shared" si="0"/>
        <v>0</v>
      </c>
      <c r="H35" s="233">
        <f t="shared" si="1"/>
        <v>485</v>
      </c>
      <c r="I35" s="464">
        <f>IF(T_T134111213141516171819202122232425262728293031323335363738394041424344454647484950515253545556575859[[#This Row],[Total]]&lt;0,T_T134111213141516171819202122232425262728293031323335363738394041424344454647484950515253545556575859[[#This Row],[Total]]*-1,0)</f>
        <v>0</v>
      </c>
      <c r="J35" s="464"/>
      <c r="K35" s="460"/>
      <c r="L35" s="460"/>
      <c r="M35" s="460"/>
    </row>
    <row r="36" spans="1:15" x14ac:dyDescent="0.3">
      <c r="A36" s="17"/>
      <c r="B36" s="18" t="s">
        <v>551</v>
      </c>
      <c r="C36" s="462"/>
      <c r="D36" s="463"/>
      <c r="E36" s="463"/>
      <c r="F36" s="463"/>
      <c r="G36" s="230">
        <f t="shared" si="0"/>
        <v>0</v>
      </c>
      <c r="H36" s="233">
        <f t="shared" si="1"/>
        <v>485</v>
      </c>
      <c r="I36" s="464">
        <f>IF(T_T134111213141516171819202122232425262728293031323335363738394041424344454647484950515253545556575859[[#This Row],[Total]]&lt;0,T_T134111213141516171819202122232425262728293031323335363738394041424344454647484950515253545556575859[[#This Row],[Total]]*-1,0)</f>
        <v>0</v>
      </c>
      <c r="J36" s="464"/>
      <c r="K36" s="460"/>
      <c r="L36" s="460"/>
      <c r="M36" s="460"/>
    </row>
    <row r="37" spans="1:15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485</v>
      </c>
      <c r="I37" s="309">
        <f>IF(T_T134111213141516171819202122232425262728293031323335363738394041424344454647484950515253545556575859[[#This Row],[Total]]&lt;0,T_T134111213141516171819202122232425262728293031323335363738394041424344454647484950515253545556575859[[#This Row],[Total]]*-1,0)</f>
        <v>0</v>
      </c>
      <c r="J37" s="309"/>
      <c r="K37" s="313"/>
      <c r="L37" s="79"/>
      <c r="M37" s="391"/>
      <c r="O37" t="s">
        <v>500</v>
      </c>
    </row>
    <row r="38" spans="1:15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485</v>
      </c>
      <c r="I38" s="309">
        <f>IF(T_T134111213141516171819202122232425262728293031323335363738394041424344454647484950515253545556575859[[#This Row],[Total]]&lt;0,T_T134111213141516171819202122232425262728293031323335363738394041424344454647484950515253545556575859[[#This Row],[Total]]*-1,0)</f>
        <v>0</v>
      </c>
      <c r="J38" s="309"/>
      <c r="K38" s="313"/>
      <c r="L38" s="79"/>
      <c r="M38" s="391"/>
    </row>
    <row r="39" spans="1:15" x14ac:dyDescent="0.3">
      <c r="A39" s="107"/>
      <c r="B39" s="82" t="s">
        <v>260</v>
      </c>
      <c r="C39" s="229"/>
      <c r="D39" s="230"/>
      <c r="E39" s="230"/>
      <c r="F39" s="230"/>
      <c r="G39" s="230">
        <f t="shared" si="0"/>
        <v>0</v>
      </c>
      <c r="H39" s="233">
        <f t="shared" si="1"/>
        <v>485</v>
      </c>
      <c r="I39" s="309">
        <f>IF(T_T134111213141516171819202122232425262728293031323335363738394041424344454647484950515253545556575859[[#This Row],[Total]]&lt;0,T_T134111213141516171819202122232425262728293031323335363738394041424344454647484950515253545556575859[[#This Row],[Total]]*-1,0)</f>
        <v>0</v>
      </c>
      <c r="J39" s="309"/>
      <c r="K39" s="313"/>
      <c r="L39" s="79"/>
      <c r="M39" s="391"/>
    </row>
    <row r="40" spans="1:15" x14ac:dyDescent="0.3">
      <c r="A40" s="107"/>
      <c r="B40" s="82"/>
      <c r="C40" s="229"/>
      <c r="D40" s="230"/>
      <c r="E40" s="230"/>
      <c r="F40" s="230"/>
      <c r="G40" s="230">
        <f t="shared" si="0"/>
        <v>0</v>
      </c>
      <c r="H40" s="233">
        <f t="shared" si="1"/>
        <v>485</v>
      </c>
      <c r="I40" s="309">
        <f>IF(T_T134111213141516171819202122232425262728293031323335363738394041424344454647484950515253545556575859[[#This Row],[Total]]&lt;0,T_T134111213141516171819202122232425262728293031323335363738394041424344454647484950515253545556575859[[#This Row],[Total]]*-1,0)</f>
        <v>0</v>
      </c>
      <c r="J40" s="309"/>
      <c r="K40" s="313"/>
      <c r="L40" s="79"/>
      <c r="M40" s="391"/>
    </row>
    <row r="41" spans="1:15" x14ac:dyDescent="0.3">
      <c r="A41" s="170"/>
      <c r="B41" s="18"/>
      <c r="C41" s="229"/>
      <c r="D41" s="230"/>
      <c r="E41" s="230"/>
      <c r="F41" s="230"/>
      <c r="G41" s="230">
        <f>SUM(D41:F48)</f>
        <v>0</v>
      </c>
      <c r="H41" s="233">
        <f t="shared" si="1"/>
        <v>485</v>
      </c>
      <c r="I41" s="309">
        <f>IF(T_T134111213141516171819202122232425262728293031323335363738394041424344454647484950515253545556575859[[#This Row],[Total]]&lt;0,T_T134111213141516171819202122232425262728293031323335363738394041424344454647484950515253545556575859[[#This Row],[Total]]*-1,0)</f>
        <v>0</v>
      </c>
      <c r="J41" s="309"/>
      <c r="K41" s="313"/>
      <c r="L41" s="79"/>
      <c r="M41" s="391"/>
    </row>
    <row r="42" spans="1:15" x14ac:dyDescent="0.3">
      <c r="A42" s="494"/>
      <c r="B42" s="501"/>
      <c r="C42" s="496"/>
      <c r="D42" s="497"/>
      <c r="E42" s="497"/>
      <c r="F42" s="497"/>
      <c r="G42" s="497">
        <f>SUM(D42:F49)</f>
        <v>0</v>
      </c>
      <c r="H42" s="486">
        <f t="shared" si="1"/>
        <v>485</v>
      </c>
      <c r="I42" s="475"/>
      <c r="J42" s="475"/>
      <c r="K42" s="76"/>
      <c r="L42" s="76"/>
      <c r="M42" s="76"/>
    </row>
  </sheetData>
  <hyperlinks>
    <hyperlink ref="B7" r:id="rId1" display="jose.orozco@outlook.com"/>
    <hyperlink ref="H7" location="Resumen!A1" display="Rsumen         "/>
  </hyperlinks>
  <pageMargins left="0.53" right="0.70866141732283472" top="0.74803149606299213" bottom="0.74803149606299213" header="0.31496062992125984" footer="0.31496062992125984"/>
  <pageSetup scale="55" orientation="portrait" verticalDpi="360" r:id="rId2"/>
  <drawing r:id="rId3"/>
  <tableParts count="1">
    <tablePart r:id="rId4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J41"/>
  <sheetViews>
    <sheetView showGridLines="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0.6640625" bestFit="1" customWidth="1"/>
  </cols>
  <sheetData>
    <row r="2" spans="1:10" ht="15.6" x14ac:dyDescent="0.3">
      <c r="A2" s="27" t="s">
        <v>36</v>
      </c>
      <c r="B2" s="41" t="s">
        <v>108</v>
      </c>
    </row>
    <row r="3" spans="1:10" x14ac:dyDescent="0.3">
      <c r="A3" s="27" t="s">
        <v>31</v>
      </c>
      <c r="B3" s="28" t="s">
        <v>245</v>
      </c>
    </row>
    <row r="4" spans="1:10" x14ac:dyDescent="0.3">
      <c r="A4" s="27" t="s">
        <v>32</v>
      </c>
    </row>
    <row r="5" spans="1:10" hidden="1" x14ac:dyDescent="0.3">
      <c r="A5" s="27" t="s">
        <v>33</v>
      </c>
      <c r="B5" s="28" t="e">
        <f>LOOKUP(B2,#REF!,#REF!)</f>
        <v>#REF!</v>
      </c>
    </row>
    <row r="6" spans="1:10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0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0" x14ac:dyDescent="0.3">
      <c r="A8" s="21"/>
      <c r="B8" s="21"/>
    </row>
    <row r="9" spans="1:10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242" t="s">
        <v>188</v>
      </c>
    </row>
    <row r="10" spans="1:10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286">
        <f>IF(T_T13411121314151617181920212223242526272829303132333536373839404142434445464748495051525354555657585960[[#This Row],[Total]]&lt;0,T_T13411121314151617181920212223242526272829303132333536373839404142434445464748495051525354555657585960[[#This Row],[Total]]*-1,0)</f>
        <v>0</v>
      </c>
      <c r="J10" s="287"/>
    </row>
    <row r="11" spans="1:10" s="63" customFormat="1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306">
        <f>IF(T_T13411121314151617181920212223242526272829303132333536373839404142434445464748495051525354555657585960[[#This Row],[Total]]&lt;0,T_T13411121314151617181920212223242526272829303132333536373839404142434445464748495051525354555657585960[[#This Row],[Total]]*-1,0)</f>
        <v>0</v>
      </c>
      <c r="J11" s="307"/>
    </row>
    <row r="12" spans="1:10" s="63" customFormat="1" x14ac:dyDescent="0.3">
      <c r="A12" s="361"/>
      <c r="B12" s="118" t="s">
        <v>467</v>
      </c>
      <c r="C12" s="424"/>
      <c r="D12" s="425"/>
      <c r="E12" s="425"/>
      <c r="F12" s="425"/>
      <c r="G12" s="425"/>
      <c r="H12" s="426">
        <v>0</v>
      </c>
      <c r="I12" s="438">
        <f>IF(T_T13411121314151617181920212223242526272829303132333536373839404142434445464748495051525354555657585960[[#This Row],[Total]]&lt;0,T_T13411121314151617181920212223242526272829303132333536373839404142434445464748495051525354555657585960[[#This Row],[Total]]*-1,0)</f>
        <v>0</v>
      </c>
      <c r="J12" s="439"/>
    </row>
    <row r="13" spans="1:10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IF(T_T13411121314151617181920212223242526272829303132333536373839404142434445464748495051525354555657585960[[#This Row],[Total]]&lt;0,T_T13411121314151617181920212223242526272829303132333536373839404142434445464748495051525354555657585960[[#This Row],[Total]]*-1,0)</f>
        <v>0</v>
      </c>
      <c r="J13" s="231"/>
    </row>
    <row r="14" spans="1:10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IF(T_T13411121314151617181920212223242526272829303132333536373839404142434445464748495051525354555657585960[[#This Row],[Total]]&lt;0,T_T13411121314151617181920212223242526272829303132333536373839404142434445464748495051525354555657585960[[#This Row],[Total]]*-1,0)</f>
        <v>0</v>
      </c>
      <c r="J14" s="476"/>
    </row>
    <row r="15" spans="1:10" x14ac:dyDescent="0.3">
      <c r="A15" s="17">
        <v>46052</v>
      </c>
      <c r="B15" s="18" t="s">
        <v>590</v>
      </c>
      <c r="C15" s="6"/>
      <c r="D15" s="2">
        <v>181</v>
      </c>
      <c r="E15" s="2">
        <v>52</v>
      </c>
      <c r="F15" s="20"/>
      <c r="G15" s="20">
        <f>SUM(D15:F15)</f>
        <v>233</v>
      </c>
      <c r="H15" s="233">
        <f>+H13+T_T13411121314151617181920212223242526272829303132333536373839404142434445464748495051525354555657585960[[#This Row],[Total]]</f>
        <v>233</v>
      </c>
      <c r="I15" s="240">
        <f>IF(T_T13411121314151617181920212223242526272829303132333536373839404142434445464748495051525354555657585960[[#This Row],[Total]]&lt;0,T_T13411121314151617181920212223242526272829303132333536373839404142434445464748495051525354555657585960[[#This Row],[Total]]*-1,0)</f>
        <v>0</v>
      </c>
      <c r="J15" s="231"/>
    </row>
    <row r="16" spans="1:10" x14ac:dyDescent="0.3">
      <c r="A16" s="17"/>
      <c r="B16" s="18" t="s">
        <v>591</v>
      </c>
      <c r="C16" s="6">
        <v>8813</v>
      </c>
      <c r="D16" s="2">
        <v>-181</v>
      </c>
      <c r="E16" s="2">
        <v>-52</v>
      </c>
      <c r="F16" s="230"/>
      <c r="G16" s="230">
        <f t="shared" ref="G16:G38" si="0">SUM(D16:F16)</f>
        <v>-233</v>
      </c>
      <c r="H16" s="233">
        <f t="shared" ref="H16:H38" si="1">H15+G16</f>
        <v>0</v>
      </c>
      <c r="I16" s="240">
        <f>IF(T_T13411121314151617181920212223242526272829303132333536373839404142434445464748495051525354555657585960[[#This Row],[Total]]&lt;0,T_T13411121314151617181920212223242526272829303132333536373839404142434445464748495051525354555657585960[[#This Row],[Total]]*-1,0)</f>
        <v>233</v>
      </c>
      <c r="J16" s="231"/>
    </row>
    <row r="17" spans="1:10" x14ac:dyDescent="0.3">
      <c r="A17" s="164">
        <v>46080</v>
      </c>
      <c r="B17" s="161" t="s">
        <v>532</v>
      </c>
      <c r="C17" s="6"/>
      <c r="D17" s="2">
        <v>181</v>
      </c>
      <c r="E17" s="2">
        <v>35</v>
      </c>
      <c r="F17" s="230"/>
      <c r="G17" s="230">
        <f t="shared" si="0"/>
        <v>216</v>
      </c>
      <c r="H17" s="233">
        <f t="shared" si="1"/>
        <v>216</v>
      </c>
      <c r="I17" s="240">
        <f>IF(T_T13411121314151617181920212223242526272829303132333536373839404142434445464748495051525354555657585960[[#This Row],[Total]]&lt;0,T_T13411121314151617181920212223242526272829303132333536373839404142434445464748495051525354555657585960[[#This Row],[Total]]*-1,0)</f>
        <v>0</v>
      </c>
      <c r="J17" s="231"/>
    </row>
    <row r="18" spans="1:10" x14ac:dyDescent="0.3">
      <c r="A18" s="187"/>
      <c r="B18" s="18" t="s">
        <v>533</v>
      </c>
      <c r="C18" s="6">
        <v>8813</v>
      </c>
      <c r="D18" s="2">
        <v>-181</v>
      </c>
      <c r="E18" s="2">
        <v>-35</v>
      </c>
      <c r="F18" s="230"/>
      <c r="G18" s="230">
        <f t="shared" si="0"/>
        <v>-216</v>
      </c>
      <c r="H18" s="233">
        <f t="shared" si="1"/>
        <v>0</v>
      </c>
      <c r="I18" s="240">
        <f>IF(T_T13411121314151617181920212223242526272829303132333536373839404142434445464748495051525354555657585960[[#This Row],[Total]]&lt;0,T_T13411121314151617181920212223242526272829303132333536373839404142434445464748495051525354555657585960[[#This Row],[Total]]*-1,0)</f>
        <v>216</v>
      </c>
      <c r="J18" s="231"/>
    </row>
    <row r="19" spans="1:10" x14ac:dyDescent="0.3">
      <c r="A19" s="188">
        <v>45747</v>
      </c>
      <c r="B19" s="3" t="s">
        <v>534</v>
      </c>
      <c r="C19" s="6"/>
      <c r="D19" s="2">
        <v>217</v>
      </c>
      <c r="E19" s="2">
        <v>31</v>
      </c>
      <c r="F19" s="230"/>
      <c r="G19" s="230">
        <f t="shared" si="0"/>
        <v>248</v>
      </c>
      <c r="H19" s="233">
        <f t="shared" si="1"/>
        <v>248</v>
      </c>
      <c r="I19" s="240">
        <f>IF(T_T13411121314151617181920212223242526272829303132333536373839404142434445464748495051525354555657585960[[#This Row],[Total]]&lt;0,T_T13411121314151617181920212223242526272829303132333536373839404142434445464748495051525354555657585960[[#This Row],[Total]]*-1,0)</f>
        <v>0</v>
      </c>
      <c r="J19" s="231"/>
    </row>
    <row r="20" spans="1:10" x14ac:dyDescent="0.3">
      <c r="A20" s="188"/>
      <c r="B20" s="82" t="s">
        <v>535</v>
      </c>
      <c r="C20" s="6">
        <v>8813</v>
      </c>
      <c r="D20" s="2">
        <v>-217</v>
      </c>
      <c r="E20" s="2">
        <v>-31</v>
      </c>
      <c r="F20" s="230"/>
      <c r="G20" s="230">
        <f t="shared" si="0"/>
        <v>-248</v>
      </c>
      <c r="H20" s="233">
        <f t="shared" si="1"/>
        <v>0</v>
      </c>
      <c r="I20" s="240">
        <f>IF(T_T13411121314151617181920212223242526272829303132333536373839404142434445464748495051525354555657585960[[#This Row],[Total]]&lt;0,T_T13411121314151617181920212223242526272829303132333536373839404142434445464748495051525354555657585960[[#This Row],[Total]]*-1,0)</f>
        <v>248</v>
      </c>
      <c r="J20" s="231"/>
    </row>
    <row r="21" spans="1:10" x14ac:dyDescent="0.3">
      <c r="A21" s="188">
        <v>45777</v>
      </c>
      <c r="B21" s="3" t="s">
        <v>536</v>
      </c>
      <c r="C21" s="6"/>
      <c r="D21" s="2">
        <v>217</v>
      </c>
      <c r="E21" s="2">
        <v>38</v>
      </c>
      <c r="F21" s="230"/>
      <c r="G21" s="230">
        <f t="shared" si="0"/>
        <v>255</v>
      </c>
      <c r="H21" s="233">
        <f t="shared" si="1"/>
        <v>255</v>
      </c>
      <c r="I21" s="309">
        <f>IF(T_T13411121314151617181920212223242526272829303132333536373839404142434445464748495051525354555657585960[[#This Row],[Total]]&lt;0,T_T13411121314151617181920212223242526272829303132333536373839404142434445464748495051525354555657585960[[#This Row],[Total]]*-1,0)</f>
        <v>0</v>
      </c>
      <c r="J21" s="320"/>
    </row>
    <row r="22" spans="1:10" x14ac:dyDescent="0.3">
      <c r="A22" s="83"/>
      <c r="B22" s="82" t="s">
        <v>537</v>
      </c>
      <c r="C22" s="6">
        <v>8870</v>
      </c>
      <c r="D22" s="2">
        <v>-217</v>
      </c>
      <c r="E22" s="2">
        <v>-38</v>
      </c>
      <c r="F22" s="230"/>
      <c r="G22" s="230">
        <f t="shared" si="0"/>
        <v>-255</v>
      </c>
      <c r="H22" s="233">
        <f t="shared" si="1"/>
        <v>0</v>
      </c>
      <c r="I22" s="309">
        <f>IF(T_T13411121314151617181920212223242526272829303132333536373839404142434445464748495051525354555657585960[[#This Row],[Total]]&lt;0,T_T13411121314151617181920212223242526272829303132333536373839404142434445464748495051525354555657585960[[#This Row],[Total]]*-1,0)</f>
        <v>255</v>
      </c>
      <c r="J22" s="320"/>
    </row>
    <row r="23" spans="1:10" x14ac:dyDescent="0.3">
      <c r="A23" s="40">
        <v>45807</v>
      </c>
      <c r="B23" s="3" t="s">
        <v>538</v>
      </c>
      <c r="C23" s="229"/>
      <c r="D23" s="230">
        <v>217</v>
      </c>
      <c r="E23" s="230">
        <v>55</v>
      </c>
      <c r="F23" s="230"/>
      <c r="G23" s="230">
        <f t="shared" si="0"/>
        <v>272</v>
      </c>
      <c r="H23" s="233">
        <f t="shared" si="1"/>
        <v>272</v>
      </c>
      <c r="I23" s="309">
        <f>IF(T_T13411121314151617181920212223242526272829303132333536373839404142434445464748495051525354555657585960[[#This Row],[Total]]&lt;0,T_T13411121314151617181920212223242526272829303132333536373839404142434445464748495051525354555657585960[[#This Row],[Total]]*-1,0)</f>
        <v>0</v>
      </c>
      <c r="J23" s="320"/>
    </row>
    <row r="24" spans="1:10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272</v>
      </c>
      <c r="I24" s="309">
        <f>IF(T_T13411121314151617181920212223242526272829303132333536373839404142434445464748495051525354555657585960[[#This Row],[Total]]&lt;0,T_T13411121314151617181920212223242526272829303132333536373839404142434445464748495051525354555657585960[[#This Row],[Total]]*-1,0)</f>
        <v>0</v>
      </c>
      <c r="J24" s="320"/>
    </row>
    <row r="25" spans="1:10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272</v>
      </c>
      <c r="I25" s="309">
        <f>IF(T_T13411121314151617181920212223242526272829303132333536373839404142434445464748495051525354555657585960[[#This Row],[Total]]&lt;0,T_T13411121314151617181920212223242526272829303132333536373839404142434445464748495051525354555657585960[[#This Row],[Total]]*-1,0)</f>
        <v>0</v>
      </c>
      <c r="J25" s="320"/>
    </row>
    <row r="26" spans="1:10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272</v>
      </c>
      <c r="I26" s="309">
        <f>IF(T_T13411121314151617181920212223242526272829303132333536373839404142434445464748495051525354555657585960[[#This Row],[Total]]&lt;0,T_T13411121314151617181920212223242526272829303132333536373839404142434445464748495051525354555657585960[[#This Row],[Total]]*-1,0)</f>
        <v>0</v>
      </c>
      <c r="J26" s="320"/>
    </row>
    <row r="27" spans="1:10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272</v>
      </c>
      <c r="I27" s="309">
        <f>IF(T_T13411121314151617181920212223242526272829303132333536373839404142434445464748495051525354555657585960[[#This Row],[Total]]&lt;0,T_T13411121314151617181920212223242526272829303132333536373839404142434445464748495051525354555657585960[[#This Row],[Total]]*-1,0)</f>
        <v>0</v>
      </c>
      <c r="J27" s="320"/>
    </row>
    <row r="28" spans="1:10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272</v>
      </c>
      <c r="I28" s="309">
        <f>IF(T_T13411121314151617181920212223242526272829303132333536373839404142434445464748495051525354555657585960[[#This Row],[Total]]&lt;0,T_T13411121314151617181920212223242526272829303132333536373839404142434445464748495051525354555657585960[[#This Row],[Total]]*-1,0)</f>
        <v>0</v>
      </c>
      <c r="J28" s="320"/>
    </row>
    <row r="29" spans="1:10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272</v>
      </c>
      <c r="I29" s="309">
        <f>IF(T_T13411121314151617181920212223242526272829303132333536373839404142434445464748495051525354555657585960[[#This Row],[Total]]&lt;0,T_T13411121314151617181920212223242526272829303132333536373839404142434445464748495051525354555657585960[[#This Row],[Total]]*-1,0)</f>
        <v>0</v>
      </c>
      <c r="J29" s="320"/>
    </row>
    <row r="30" spans="1:10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272</v>
      </c>
      <c r="I30" s="309">
        <f>IF(T_T13411121314151617181920212223242526272829303132333536373839404142434445464748495051525354555657585960[[#This Row],[Total]]&lt;0,T_T13411121314151617181920212223242526272829303132333536373839404142434445464748495051525354555657585960[[#This Row],[Total]]*-1,0)</f>
        <v>0</v>
      </c>
      <c r="J30" s="320"/>
    </row>
    <row r="31" spans="1:10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272</v>
      </c>
      <c r="I31" s="309">
        <f>IF(T_T13411121314151617181920212223242526272829303132333536373839404142434445464748495051525354555657585960[[#This Row],[Total]]&lt;0,T_T13411121314151617181920212223242526272829303132333536373839404142434445464748495051525354555657585960[[#This Row],[Total]]*-1,0)</f>
        <v>0</v>
      </c>
      <c r="J31" s="320"/>
    </row>
    <row r="32" spans="1:10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272</v>
      </c>
      <c r="I32" s="309">
        <f>IF(T_T13411121314151617181920212223242526272829303132333536373839404142434445464748495051525354555657585960[[#This Row],[Total]]&lt;0,T_T13411121314151617181920212223242526272829303132333536373839404142434445464748495051525354555657585960[[#This Row],[Total]]*-1,0)</f>
        <v>0</v>
      </c>
      <c r="J32" s="320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272</v>
      </c>
      <c r="I33" s="309">
        <f>IF(T_T13411121314151617181920212223242526272829303132333536373839404142434445464748495051525354555657585960[[#This Row],[Total]]&lt;0,T_T13411121314151617181920212223242526272829303132333536373839404142434445464748495051525354555657585960[[#This Row],[Total]]*-1,0)</f>
        <v>0</v>
      </c>
      <c r="J33" s="320"/>
    </row>
    <row r="34" spans="1:10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272</v>
      </c>
      <c r="I34" s="309">
        <f>IF(T_T13411121314151617181920212223242526272829303132333536373839404142434445464748495051525354555657585960[[#This Row],[Total]]&lt;0,T_T13411121314151617181920212223242526272829303132333536373839404142434445464748495051525354555657585960[[#This Row],[Total]]*-1,0)</f>
        <v>0</v>
      </c>
      <c r="J34" s="320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272</v>
      </c>
      <c r="I35" s="309">
        <f>IF(T_T13411121314151617181920212223242526272829303132333536373839404142434445464748495051525354555657585960[[#This Row],[Total]]&lt;0,T_T13411121314151617181920212223242526272829303132333536373839404142434445464748495051525354555657585960[[#This Row],[Total]]*-1,0)</f>
        <v>0</v>
      </c>
      <c r="J35" s="320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272</v>
      </c>
      <c r="I36" s="309">
        <f>IF(T_T13411121314151617181920212223242526272829303132333536373839404142434445464748495051525354555657585960[[#This Row],[Total]]&lt;0,T_T13411121314151617181920212223242526272829303132333536373839404142434445464748495051525354555657585960[[#This Row],[Total]]*-1,0)</f>
        <v>0</v>
      </c>
      <c r="J36" s="320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272</v>
      </c>
      <c r="I37" s="309">
        <f>IF(T_T13411121314151617181920212223242526272829303132333536373839404142434445464748495051525354555657585960[[#This Row],[Total]]&lt;0,T_T13411121314151617181920212223242526272829303132333536373839404142434445464748495051525354555657585960[[#This Row],[Total]]*-1,0)</f>
        <v>0</v>
      </c>
      <c r="J37" s="320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272</v>
      </c>
      <c r="I38" s="353">
        <f>IF(T_T13411121314151617181920212223242526272829303132333536373839404142434445464748495051525354555657585960[[#This Row],[Total]]&lt;0,T_T13411121314151617181920212223242526272829303132333536373839404142434445464748495051525354555657585960[[#This Row],[Total]]*-1,0)</f>
        <v>0</v>
      </c>
      <c r="J38" s="355"/>
    </row>
    <row r="39" spans="1:10" x14ac:dyDescent="0.3">
      <c r="A39" s="107"/>
      <c r="B39" s="82"/>
      <c r="C39" s="229"/>
      <c r="D39" s="230"/>
      <c r="E39" s="230"/>
      <c r="F39" s="230"/>
      <c r="G39" s="230"/>
      <c r="H39" s="233"/>
      <c r="I39" s="353">
        <f>IF(T_T13411121314151617181920212223242526272829303132333536373839404142434445464748495051525354555657585960[[#This Row],[Total]]&lt;0,T_T13411121314151617181920212223242526272829303132333536373839404142434445464748495051525354555657585960[[#This Row],[Total]]*-1,0)</f>
        <v>0</v>
      </c>
      <c r="J39" s="355"/>
    </row>
    <row r="40" spans="1:10" x14ac:dyDescent="0.3">
      <c r="A40" s="107"/>
      <c r="B40" s="82"/>
      <c r="C40" s="229"/>
      <c r="D40" s="230"/>
      <c r="E40" s="230"/>
      <c r="F40" s="230"/>
      <c r="G40" s="230"/>
      <c r="H40" s="233"/>
      <c r="I40" s="353">
        <f>IF(T_T13411121314151617181920212223242526272829303132333536373839404142434445464748495051525354555657585960[[#This Row],[Total]]&lt;0,T_T13411121314151617181920212223242526272829303132333536373839404142434445464748495051525354555657585960[[#This Row],[Total]]*-1,0)</f>
        <v>0</v>
      </c>
      <c r="J40" s="355"/>
    </row>
    <row r="41" spans="1:10" x14ac:dyDescent="0.3">
      <c r="A41" s="492"/>
      <c r="B41" s="493"/>
      <c r="C41" s="466"/>
      <c r="D41" s="467"/>
      <c r="E41" s="467"/>
      <c r="F41" s="467"/>
      <c r="G41" s="467"/>
      <c r="H41" s="474"/>
      <c r="I41" s="475"/>
      <c r="J41" s="480"/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orientation="portrait" verticalDpi="360" r:id="rId2"/>
  <drawing r:id="rId3"/>
  <tableParts count="1">
    <tablePart r:id="rId4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K41"/>
  <sheetViews>
    <sheetView showGridLines="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0.6640625" bestFit="1" customWidth="1"/>
    <col min="14" max="14" width="13.33203125" customWidth="1"/>
  </cols>
  <sheetData>
    <row r="2" spans="1:9" ht="15.6" x14ac:dyDescent="0.3">
      <c r="A2" s="27" t="s">
        <v>36</v>
      </c>
      <c r="B2" s="41" t="s">
        <v>109</v>
      </c>
    </row>
    <row r="3" spans="1:9" x14ac:dyDescent="0.3">
      <c r="A3" s="27" t="s">
        <v>31</v>
      </c>
      <c r="B3" s="28" t="s">
        <v>436</v>
      </c>
    </row>
    <row r="4" spans="1:9" x14ac:dyDescent="0.3">
      <c r="A4" s="27" t="s">
        <v>32</v>
      </c>
    </row>
    <row r="5" spans="1:9" x14ac:dyDescent="0.3">
      <c r="A5" s="27"/>
      <c r="B5" s="28"/>
    </row>
    <row r="6" spans="1:9" x14ac:dyDescent="0.3">
      <c r="A6" s="27"/>
      <c r="B6" s="28"/>
    </row>
    <row r="7" spans="1:9" x14ac:dyDescent="0.3">
      <c r="A7" s="27"/>
      <c r="B7" s="28"/>
    </row>
    <row r="8" spans="1:9" x14ac:dyDescent="0.3">
      <c r="A8" s="21"/>
      <c r="B8" s="21"/>
    </row>
    <row r="9" spans="1:9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9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286">
        <f>IF(T_T1341112131415161718192021222324252627282930313233353637383940414243444546474849505152535455565758596061[[#This Row],[Total]]&lt;0,T_T1341112131415161718192021222324252627282930313233353637383940414243444546474849505152535455565758596061[[#This Row],[Total]]*-1,0)</f>
        <v>0</v>
      </c>
    </row>
    <row r="11" spans="1:9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IF(T_T1341112131415161718192021222324252627282930313233353637383940414243444546474849505152535455565758596061[[#This Row],[Total]]&lt;0,T_T1341112131415161718192021222324252627282930313233353637383940414243444546474849505152535455565758596061[[#This Row],[Total]]*-1,0)</f>
        <v>0</v>
      </c>
    </row>
    <row r="12" spans="1:9" x14ac:dyDescent="0.3">
      <c r="A12" s="361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IF(T_T1341112131415161718192021222324252627282930313233353637383940414243444546474849505152535455565758596061[[#This Row],[Total]]&lt;0,T_T1341112131415161718192021222324252627282930313233353637383940414243444546474849505152535455565758596061[[#This Row],[Total]]*-1,0)</f>
        <v>0</v>
      </c>
    </row>
    <row r="13" spans="1:9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IF(T_T1341112131415161718192021222324252627282930313233353637383940414243444546474849505152535455565758596061[[#This Row],[Total]]&lt;0,T_T1341112131415161718192021222324252627282930313233353637383940414243444546474849505152535455565758596061[[#This Row],[Total]]*-1,0)</f>
        <v>0</v>
      </c>
    </row>
    <row r="14" spans="1:9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IF(T_T1341112131415161718192021222324252627282930313233353637383940414243444546474849505152535455565758596061[[#This Row],[Total]]&lt;0,T_T1341112131415161718192021222324252627282930313233353637383940414243444546474849505152535455565758596061[[#This Row],[Total]]*-1,0)</f>
        <v>0</v>
      </c>
    </row>
    <row r="15" spans="1:9" x14ac:dyDescent="0.3">
      <c r="A15" s="17">
        <v>46052</v>
      </c>
      <c r="B15" s="18" t="s">
        <v>590</v>
      </c>
      <c r="C15" s="6"/>
      <c r="D15" s="2">
        <v>142</v>
      </c>
      <c r="E15" s="2"/>
      <c r="F15" s="20"/>
      <c r="G15" s="20">
        <f>SUM(D15:F15)</f>
        <v>142</v>
      </c>
      <c r="H15" s="233">
        <f>+H13+T_T1341112131415161718192021222324252627282930313233353637383940414243444546474849505152535455565758596061[[#This Row],[Total]]</f>
        <v>142</v>
      </c>
      <c r="I15" s="240">
        <f>IF(T_T1341112131415161718192021222324252627282930313233353637383940414243444546474849505152535455565758596061[[#This Row],[Total]]&lt;0,T_T1341112131415161718192021222324252627282930313233353637383940414243444546474849505152535455565758596061[[#This Row],[Total]]*-1,0)</f>
        <v>0</v>
      </c>
    </row>
    <row r="16" spans="1:9" x14ac:dyDescent="0.3">
      <c r="A16" s="17"/>
      <c r="B16" s="18" t="s">
        <v>591</v>
      </c>
      <c r="C16" s="6">
        <v>8577</v>
      </c>
      <c r="D16" s="2">
        <v>-142</v>
      </c>
      <c r="E16" s="2"/>
      <c r="F16" s="230"/>
      <c r="G16" s="230">
        <f t="shared" ref="G16:G38" si="0">SUM(D16:F16)</f>
        <v>-142</v>
      </c>
      <c r="H16" s="233">
        <f t="shared" ref="H16:H40" si="1">H15+G16</f>
        <v>0</v>
      </c>
      <c r="I16" s="240">
        <f>IF(T_T1341112131415161718192021222324252627282930313233353637383940414243444546474849505152535455565758596061[[#This Row],[Total]]&lt;0,T_T1341112131415161718192021222324252627282930313233353637383940414243444546474849505152535455565758596061[[#This Row],[Total]]*-1,0)</f>
        <v>142</v>
      </c>
    </row>
    <row r="17" spans="1:11" x14ac:dyDescent="0.3">
      <c r="A17" s="164">
        <v>46080</v>
      </c>
      <c r="B17" s="161" t="s">
        <v>592</v>
      </c>
      <c r="C17" s="6"/>
      <c r="D17" s="2">
        <v>142</v>
      </c>
      <c r="E17" s="2">
        <v>5</v>
      </c>
      <c r="F17" s="230"/>
      <c r="G17" s="230">
        <f t="shared" si="0"/>
        <v>147</v>
      </c>
      <c r="H17" s="233">
        <f t="shared" si="1"/>
        <v>147</v>
      </c>
      <c r="I17" s="240">
        <f>IF(T_T1341112131415161718192021222324252627282930313233353637383940414243444546474849505152535455565758596061[[#This Row],[Total]]&lt;0,T_T1341112131415161718192021222324252627282930313233353637383940414243444546474849505152535455565758596061[[#This Row],[Total]]*-1,0)</f>
        <v>0</v>
      </c>
    </row>
    <row r="18" spans="1:11" x14ac:dyDescent="0.3">
      <c r="A18" s="187"/>
      <c r="B18" s="18" t="s">
        <v>593</v>
      </c>
      <c r="C18" s="6">
        <v>8707</v>
      </c>
      <c r="D18" s="2">
        <v>-142</v>
      </c>
      <c r="E18" s="2">
        <v>-5</v>
      </c>
      <c r="F18" s="230"/>
      <c r="G18" s="230">
        <f t="shared" si="0"/>
        <v>-147</v>
      </c>
      <c r="H18" s="233">
        <f t="shared" si="1"/>
        <v>0</v>
      </c>
      <c r="I18" s="240">
        <f>IF(T_T1341112131415161718192021222324252627282930313233353637383940414243444546474849505152535455565758596061[[#This Row],[Total]]&lt;0,T_T1341112131415161718192021222324252627282930313233353637383940414243444546474849505152535455565758596061[[#This Row],[Total]]*-1,0)</f>
        <v>147</v>
      </c>
    </row>
    <row r="19" spans="1:11" x14ac:dyDescent="0.3">
      <c r="A19" s="188">
        <v>45747</v>
      </c>
      <c r="B19" s="3" t="s">
        <v>534</v>
      </c>
      <c r="C19" s="6"/>
      <c r="D19" s="2">
        <v>170</v>
      </c>
      <c r="E19" s="2">
        <v>9</v>
      </c>
      <c r="F19" s="230"/>
      <c r="G19" s="230">
        <f t="shared" si="0"/>
        <v>179</v>
      </c>
      <c r="H19" s="233">
        <f t="shared" si="1"/>
        <v>179</v>
      </c>
      <c r="I19" s="240">
        <f>IF(T_T1341112131415161718192021222324252627282930313233353637383940414243444546474849505152535455565758596061[[#This Row],[Total]]&lt;0,T_T1341112131415161718192021222324252627282930313233353637383940414243444546474849505152535455565758596061[[#This Row],[Total]]*-1,0)</f>
        <v>0</v>
      </c>
    </row>
    <row r="20" spans="1:11" x14ac:dyDescent="0.3">
      <c r="A20" s="188"/>
      <c r="B20" s="82" t="s">
        <v>535</v>
      </c>
      <c r="C20" s="6">
        <v>8794</v>
      </c>
      <c r="D20" s="2">
        <v>-170</v>
      </c>
      <c r="E20" s="2">
        <v>-9</v>
      </c>
      <c r="F20" s="230"/>
      <c r="G20" s="230">
        <f t="shared" si="0"/>
        <v>-179</v>
      </c>
      <c r="H20" s="233">
        <f t="shared" si="1"/>
        <v>0</v>
      </c>
      <c r="I20" s="240">
        <f>IF(T_T1341112131415161718192021222324252627282930313233353637383940414243444546474849505152535455565758596061[[#This Row],[Total]]&lt;0,T_T1341112131415161718192021222324252627282930313233353637383940414243444546474849505152535455565758596061[[#This Row],[Total]]*-1,0)</f>
        <v>179</v>
      </c>
    </row>
    <row r="21" spans="1:11" x14ac:dyDescent="0.3">
      <c r="A21" s="188">
        <v>45777</v>
      </c>
      <c r="B21" s="3" t="s">
        <v>536</v>
      </c>
      <c r="C21" s="6"/>
      <c r="D21" s="2">
        <v>170</v>
      </c>
      <c r="E21" s="2">
        <v>12</v>
      </c>
      <c r="F21" s="230"/>
      <c r="G21" s="230">
        <f t="shared" si="0"/>
        <v>182</v>
      </c>
      <c r="H21" s="233">
        <f t="shared" si="1"/>
        <v>182</v>
      </c>
      <c r="I21" s="309">
        <f>IF(T_T1341112131415161718192021222324252627282930313233353637383940414243444546474849505152535455565758596061[[#This Row],[Total]]&lt;0,T_T1341112131415161718192021222324252627282930313233353637383940414243444546474849505152535455565758596061[[#This Row],[Total]]*-1,0)</f>
        <v>0</v>
      </c>
    </row>
    <row r="22" spans="1:11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182</v>
      </c>
      <c r="I22" s="309">
        <f>IF(T_T1341112131415161718192021222324252627282930313233353637383940414243444546474849505152535455565758596061[[#This Row],[Total]]&lt;0,T_T1341112131415161718192021222324252627282930313233353637383940414243444546474849505152535455565758596061[[#This Row],[Total]]*-1,0)</f>
        <v>0</v>
      </c>
    </row>
    <row r="23" spans="1:11" x14ac:dyDescent="0.3">
      <c r="A23" s="40">
        <v>45807</v>
      </c>
      <c r="B23" s="3" t="s">
        <v>538</v>
      </c>
      <c r="C23" s="229"/>
      <c r="D23" s="230">
        <v>170</v>
      </c>
      <c r="E23" s="230">
        <v>15</v>
      </c>
      <c r="F23" s="230"/>
      <c r="G23" s="230">
        <f t="shared" si="0"/>
        <v>185</v>
      </c>
      <c r="H23" s="233">
        <f t="shared" si="1"/>
        <v>367</v>
      </c>
      <c r="I23" s="309">
        <f>IF(T_T1341112131415161718192021222324252627282930313233353637383940414243444546474849505152535455565758596061[[#This Row],[Total]]&lt;0,T_T1341112131415161718192021222324252627282930313233353637383940414243444546474849505152535455565758596061[[#This Row],[Total]]*-1,0)</f>
        <v>0</v>
      </c>
    </row>
    <row r="24" spans="1:11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367</v>
      </c>
      <c r="I24" s="309">
        <f>IF(T_T1341112131415161718192021222324252627282930313233353637383940414243444546474849505152535455565758596061[[#This Row],[Total]]&lt;0,T_T1341112131415161718192021222324252627282930313233353637383940414243444546474849505152535455565758596061[[#This Row],[Total]]*-1,0)</f>
        <v>0</v>
      </c>
    </row>
    <row r="25" spans="1:11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367</v>
      </c>
      <c r="I25" s="309">
        <f>IF(T_T1341112131415161718192021222324252627282930313233353637383940414243444546474849505152535455565758596061[[#This Row],[Total]]&lt;0,T_T1341112131415161718192021222324252627282930313233353637383940414243444546474849505152535455565758596061[[#This Row],[Total]]*-1,0)</f>
        <v>0</v>
      </c>
    </row>
    <row r="26" spans="1:11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367</v>
      </c>
      <c r="I26" s="309">
        <f>IF(T_T1341112131415161718192021222324252627282930313233353637383940414243444546474849505152535455565758596061[[#This Row],[Total]]&lt;0,T_T1341112131415161718192021222324252627282930313233353637383940414243444546474849505152535455565758596061[[#This Row],[Total]]*-1,0)</f>
        <v>0</v>
      </c>
    </row>
    <row r="27" spans="1:11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367</v>
      </c>
      <c r="I27" s="309">
        <f>IF(T_T1341112131415161718192021222324252627282930313233353637383940414243444546474849505152535455565758596061[[#This Row],[Total]]&lt;0,T_T1341112131415161718192021222324252627282930313233353637383940414243444546474849505152535455565758596061[[#This Row],[Total]]*-1,0)</f>
        <v>0</v>
      </c>
    </row>
    <row r="28" spans="1:11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367</v>
      </c>
      <c r="I28" s="309">
        <f>IF(T_T1341112131415161718192021222324252627282930313233353637383940414243444546474849505152535455565758596061[[#This Row],[Total]]&lt;0,T_T1341112131415161718192021222324252627282930313233353637383940414243444546474849505152535455565758596061[[#This Row],[Total]]*-1,0)</f>
        <v>0</v>
      </c>
    </row>
    <row r="29" spans="1:11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367</v>
      </c>
      <c r="I29" s="309">
        <f>IF(T_T1341112131415161718192021222324252627282930313233353637383940414243444546474849505152535455565758596061[[#This Row],[Total]]&lt;0,T_T1341112131415161718192021222324252627282930313233353637383940414243444546474849505152535455565758596061[[#This Row],[Total]]*-1,0)</f>
        <v>0</v>
      </c>
    </row>
    <row r="30" spans="1:11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367</v>
      </c>
      <c r="I30" s="309">
        <f>IF(T_T1341112131415161718192021222324252627282930313233353637383940414243444546474849505152535455565758596061[[#This Row],[Total]]&lt;0,T_T1341112131415161718192021222324252627282930313233353637383940414243444546474849505152535455565758596061[[#This Row],[Total]]*-1,0)</f>
        <v>0</v>
      </c>
    </row>
    <row r="31" spans="1:11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367</v>
      </c>
      <c r="I31" s="309">
        <f>IF(T_T1341112131415161718192021222324252627282930313233353637383940414243444546474849505152535455565758596061[[#This Row],[Total]]&lt;0,T_T1341112131415161718192021222324252627282930313233353637383940414243444546474849505152535455565758596061[[#This Row],[Total]]*-1,0)</f>
        <v>0</v>
      </c>
      <c r="K31" t="s">
        <v>580</v>
      </c>
    </row>
    <row r="32" spans="1:11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367</v>
      </c>
      <c r="I32" s="309">
        <f>IF(T_T1341112131415161718192021222324252627282930313233353637383940414243444546474849505152535455565758596061[[#This Row],[Total]]&lt;0,T_T1341112131415161718192021222324252627282930313233353637383940414243444546474849505152535455565758596061[[#This Row],[Total]]*-1,0)</f>
        <v>0</v>
      </c>
    </row>
    <row r="33" spans="1:9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367</v>
      </c>
      <c r="I33" s="309">
        <f>IF(T_T1341112131415161718192021222324252627282930313233353637383940414243444546474849505152535455565758596061[[#This Row],[Total]]&lt;0,T_T1341112131415161718192021222324252627282930313233353637383940414243444546474849505152535455565758596061[[#This Row],[Total]]*-1,0)</f>
        <v>0</v>
      </c>
    </row>
    <row r="34" spans="1:9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367</v>
      </c>
      <c r="I34" s="309">
        <f>IF(T_T1341112131415161718192021222324252627282930313233353637383940414243444546474849505152535455565758596061[[#This Row],[Total]]&lt;0,T_T1341112131415161718192021222324252627282930313233353637383940414243444546474849505152535455565758596061[[#This Row],[Total]]*-1,0)</f>
        <v>0</v>
      </c>
    </row>
    <row r="35" spans="1:9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367</v>
      </c>
      <c r="I35" s="309">
        <f>IF(T_T1341112131415161718192021222324252627282930313233353637383940414243444546474849505152535455565758596061[[#This Row],[Total]]&lt;0,T_T1341112131415161718192021222324252627282930313233353637383940414243444546474849505152535455565758596061[[#This Row],[Total]]*-1,0)</f>
        <v>0</v>
      </c>
    </row>
    <row r="36" spans="1:9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367</v>
      </c>
      <c r="I36" s="309">
        <f>IF(T_T1341112131415161718192021222324252627282930313233353637383940414243444546474849505152535455565758596061[[#This Row],[Total]]&lt;0,T_T1341112131415161718192021222324252627282930313233353637383940414243444546474849505152535455565758596061[[#This Row],[Total]]*-1,0)</f>
        <v>0</v>
      </c>
    </row>
    <row r="37" spans="1:9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367</v>
      </c>
      <c r="I37" s="309">
        <f>IF(T_T1341112131415161718192021222324252627282930313233353637383940414243444546474849505152535455565758596061[[#This Row],[Total]]&lt;0,T_T1341112131415161718192021222324252627282930313233353637383940414243444546474849505152535455565758596061[[#This Row],[Total]]*-1,0)</f>
        <v>0</v>
      </c>
    </row>
    <row r="38" spans="1:9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367</v>
      </c>
      <c r="I38" s="353">
        <f>IF(T_T1341112131415161718192021222324252627282930313233353637383940414243444546474849505152535455565758596061[[#This Row],[Total]]&lt;0,T_T1341112131415161718192021222324252627282930313233353637383940414243444546474849505152535455565758596061[[#This Row],[Total]]*-1,0)</f>
        <v>0</v>
      </c>
    </row>
    <row r="39" spans="1:9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367</v>
      </c>
      <c r="I39" s="353">
        <f>IF(T_T1341112131415161718192021222324252627282930313233353637383940414243444546474849505152535455565758596061[[#This Row],[Total]]&lt;0,T_T1341112131415161718192021222324252627282930313233353637383940414243444546474849505152535455565758596061[[#This Row],[Total]]*-1,0)</f>
        <v>0</v>
      </c>
    </row>
    <row r="40" spans="1:9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367</v>
      </c>
      <c r="I40" s="353">
        <f>IF(T_T1341112131415161718192021222324252627282930313233353637383940414243444546474849505152535455565758596061[[#This Row],[Total]]&lt;0,T_T1341112131415161718192021222324252627282930313233353637383940414243444546474849505152535455565758596061[[#This Row],[Total]]*-1,0)</f>
        <v>0</v>
      </c>
    </row>
    <row r="41" spans="1:9" x14ac:dyDescent="0.3">
      <c r="A41" s="492"/>
      <c r="B41" s="493"/>
      <c r="C41" s="466"/>
      <c r="D41" s="467"/>
      <c r="E41" s="467"/>
      <c r="F41" s="467"/>
      <c r="G41" s="467"/>
      <c r="H41" s="474"/>
      <c r="I41" s="475"/>
    </row>
  </sheetData>
  <pageMargins left="0.70866141732283472" right="0.70866141732283472" top="0.35433070866141736" bottom="0.31496062992125984" header="0.31496062992125984" footer="0.31496062992125984"/>
  <pageSetup scale="60" orientation="portrait" verticalDpi="360"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K41"/>
  <sheetViews>
    <sheetView showGridLines="0" topLeftCell="A9" zoomScale="98" zoomScaleNormal="98" workbookViewId="0">
      <selection activeCell="D24" sqref="D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0.6640625" bestFit="1" customWidth="1"/>
    <col min="14" max="14" width="17.44140625" customWidth="1"/>
  </cols>
  <sheetData>
    <row r="2" spans="1:9" ht="15.6" x14ac:dyDescent="0.3">
      <c r="A2" s="27" t="s">
        <v>36</v>
      </c>
      <c r="B2" s="41" t="s">
        <v>110</v>
      </c>
    </row>
    <row r="3" spans="1:9" ht="12" customHeight="1" x14ac:dyDescent="0.3">
      <c r="A3" s="27" t="s">
        <v>31</v>
      </c>
      <c r="B3" s="28" t="s">
        <v>345</v>
      </c>
    </row>
    <row r="4" spans="1:9" hidden="1" x14ac:dyDescent="0.3">
      <c r="A4" s="27" t="s">
        <v>32</v>
      </c>
      <c r="B4" s="28" t="e">
        <f>LOOKUP(B2,#REF!,#REF!)</f>
        <v>#REF!</v>
      </c>
    </row>
    <row r="5" spans="1:9" hidden="1" x14ac:dyDescent="0.3">
      <c r="A5" s="27" t="s">
        <v>33</v>
      </c>
      <c r="B5" s="28" t="e">
        <f>LOOKUP(B2,#REF!,#REF!)</f>
        <v>#REF!</v>
      </c>
    </row>
    <row r="6" spans="1:9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9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9" ht="7.5" customHeight="1" x14ac:dyDescent="0.3">
      <c r="A8" s="21"/>
      <c r="B8" s="21"/>
    </row>
    <row r="9" spans="1:9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9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286">
        <f>IF(T_T134111213141516171819202122232425262728293031323335363738394041424344454647484950515253545556575859606162[[#This Row],[Total]]&lt;0,T_T134111213141516171819202122232425262728293031323335363738394041424344454647484950515253545556575859606162[[#This Row],[Total]]*-1,0)</f>
        <v>0</v>
      </c>
    </row>
    <row r="11" spans="1:9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IF(T_T134111213141516171819202122232425262728293031323335363738394041424344454647484950515253545556575859606162[[#This Row],[Total]]&lt;0,T_T134111213141516171819202122232425262728293031323335363738394041424344454647484950515253545556575859606162[[#This Row],[Total]]*-1,0)</f>
        <v>0</v>
      </c>
    </row>
    <row r="12" spans="1:9" x14ac:dyDescent="0.3">
      <c r="A12" s="361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IF(T_T134111213141516171819202122232425262728293031323335363738394041424344454647484950515253545556575859606162[[#This Row],[Total]]&lt;0,T_T134111213141516171819202122232425262728293031323335363738394041424344454647484950515253545556575859606162[[#This Row],[Total]]*-1,0)</f>
        <v>0</v>
      </c>
    </row>
    <row r="13" spans="1:9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IF(T_T134111213141516171819202122232425262728293031323335363738394041424344454647484950515253545556575859606162[[#This Row],[Total]]&lt;0,T_T134111213141516171819202122232425262728293031323335363738394041424344454647484950515253545556575859606162[[#This Row],[Total]]*-1,0)</f>
        <v>0</v>
      </c>
    </row>
    <row r="14" spans="1:9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IF(T_T134111213141516171819202122232425262728293031323335363738394041424344454647484950515253545556575859606162[[#This Row],[Total]]&lt;0,T_T134111213141516171819202122232425262728293031323335363738394041424344454647484950515253545556575859606162[[#This Row],[Total]]*-1,0)</f>
        <v>0</v>
      </c>
    </row>
    <row r="15" spans="1:9" x14ac:dyDescent="0.3">
      <c r="A15" s="17">
        <v>46052</v>
      </c>
      <c r="B15" s="18" t="s">
        <v>590</v>
      </c>
      <c r="C15" s="6"/>
      <c r="D15" s="2">
        <v>142</v>
      </c>
      <c r="E15" s="2"/>
      <c r="F15" s="20"/>
      <c r="G15" s="20">
        <f>SUM(D15:F15)</f>
        <v>142</v>
      </c>
      <c r="H15" s="233">
        <f>+H13+T_T134111213141516171819202122232425262728293031323335363738394041424344454647484950515253545556575859606162[[#This Row],[Total]]</f>
        <v>142</v>
      </c>
      <c r="I15" s="240">
        <f>IF(T_T134111213141516171819202122232425262728293031323335363738394041424344454647484950515253545556575859606162[[#This Row],[Total]]&lt;0,T_T134111213141516171819202122232425262728293031323335363738394041424344454647484950515253545556575859606162[[#This Row],[Total]]*-1,0)</f>
        <v>0</v>
      </c>
    </row>
    <row r="16" spans="1:9" x14ac:dyDescent="0.3">
      <c r="A16" s="17"/>
      <c r="B16" s="18" t="s">
        <v>591</v>
      </c>
      <c r="C16" s="6">
        <v>8611</v>
      </c>
      <c r="D16" s="2">
        <v>-142</v>
      </c>
      <c r="E16" s="2"/>
      <c r="F16" s="230"/>
      <c r="G16" s="230">
        <f t="shared" ref="G16:G38" si="0">SUM(D16:F16)</f>
        <v>-142</v>
      </c>
      <c r="H16" s="233">
        <f t="shared" ref="H16:H40" si="1">H15+G16</f>
        <v>0</v>
      </c>
      <c r="I16" s="240">
        <f>IF(T_T134111213141516171819202122232425262728293031323335363738394041424344454647484950515253545556575859606162[[#This Row],[Total]]&lt;0,T_T134111213141516171819202122232425262728293031323335363738394041424344454647484950515253545556575859606162[[#This Row],[Total]]*-1,0)</f>
        <v>142</v>
      </c>
    </row>
    <row r="17" spans="1:11" x14ac:dyDescent="0.3">
      <c r="A17" s="164">
        <v>45715</v>
      </c>
      <c r="B17" s="161" t="s">
        <v>532</v>
      </c>
      <c r="C17" s="6"/>
      <c r="D17" s="2">
        <v>142</v>
      </c>
      <c r="E17" s="2"/>
      <c r="F17" s="230"/>
      <c r="G17" s="230">
        <f t="shared" si="0"/>
        <v>142</v>
      </c>
      <c r="H17" s="233">
        <f t="shared" si="1"/>
        <v>142</v>
      </c>
      <c r="I17" s="240">
        <f>IF(T_T134111213141516171819202122232425262728293031323335363738394041424344454647484950515253545556575859606162[[#This Row],[Total]]&lt;0,T_T134111213141516171819202122232425262728293031323335363738394041424344454647484950515253545556575859606162[[#This Row],[Total]]*-1,0)</f>
        <v>0</v>
      </c>
    </row>
    <row r="18" spans="1:11" x14ac:dyDescent="0.3">
      <c r="A18" s="187"/>
      <c r="B18" s="18" t="s">
        <v>533</v>
      </c>
      <c r="C18" s="6">
        <v>8704</v>
      </c>
      <c r="D18" s="2">
        <v>-142</v>
      </c>
      <c r="E18" s="2"/>
      <c r="F18" s="230"/>
      <c r="G18" s="230">
        <f t="shared" si="0"/>
        <v>-142</v>
      </c>
      <c r="H18" s="233">
        <f t="shared" si="1"/>
        <v>0</v>
      </c>
      <c r="I18" s="240">
        <f>IF(T_T134111213141516171819202122232425262728293031323335363738394041424344454647484950515253545556575859606162[[#This Row],[Total]]&lt;0,T_T134111213141516171819202122232425262728293031323335363738394041424344454647484950515253545556575859606162[[#This Row],[Total]]*-1,0)</f>
        <v>142</v>
      </c>
    </row>
    <row r="19" spans="1:11" x14ac:dyDescent="0.3">
      <c r="A19" s="188">
        <v>45747</v>
      </c>
      <c r="B19" s="3" t="s">
        <v>534</v>
      </c>
      <c r="C19" s="6"/>
      <c r="D19" s="2">
        <v>170</v>
      </c>
      <c r="E19" s="2">
        <v>2</v>
      </c>
      <c r="F19" s="230"/>
      <c r="G19" s="230">
        <f t="shared" si="0"/>
        <v>172</v>
      </c>
      <c r="H19" s="233">
        <f t="shared" si="1"/>
        <v>172</v>
      </c>
      <c r="I19" s="240">
        <f>IF(T_T134111213141516171819202122232425262728293031323335363738394041424344454647484950515253545556575859606162[[#This Row],[Total]]&lt;0,T_T134111213141516171819202122232425262728293031323335363738394041424344454647484950515253545556575859606162[[#This Row],[Total]]*-1,0)</f>
        <v>0</v>
      </c>
    </row>
    <row r="20" spans="1:11" x14ac:dyDescent="0.3">
      <c r="A20" s="188"/>
      <c r="B20" s="82" t="s">
        <v>535</v>
      </c>
      <c r="C20" s="6">
        <v>8810</v>
      </c>
      <c r="D20" s="2">
        <v>-170</v>
      </c>
      <c r="E20" s="2">
        <v>-2</v>
      </c>
      <c r="F20" s="230"/>
      <c r="G20" s="230">
        <f t="shared" si="0"/>
        <v>-172</v>
      </c>
      <c r="H20" s="233">
        <f t="shared" si="1"/>
        <v>0</v>
      </c>
      <c r="I20" s="240">
        <f>IF(T_T134111213141516171819202122232425262728293031323335363738394041424344454647484950515253545556575859606162[[#This Row],[Total]]&lt;0,T_T134111213141516171819202122232425262728293031323335363738394041424344454647484950515253545556575859606162[[#This Row],[Total]]*-1,0)</f>
        <v>172</v>
      </c>
    </row>
    <row r="21" spans="1:11" x14ac:dyDescent="0.3">
      <c r="A21" s="188">
        <v>45777</v>
      </c>
      <c r="B21" s="3" t="s">
        <v>536</v>
      </c>
      <c r="C21" s="6"/>
      <c r="D21" s="2">
        <v>170</v>
      </c>
      <c r="E21" s="2">
        <v>2</v>
      </c>
      <c r="F21" s="230"/>
      <c r="G21" s="230">
        <f t="shared" si="0"/>
        <v>172</v>
      </c>
      <c r="H21" s="233">
        <f t="shared" si="1"/>
        <v>172</v>
      </c>
      <c r="I21" s="309">
        <f>IF(T_T134111213141516171819202122232425262728293031323335363738394041424344454647484950515253545556575859606162[[#This Row],[Total]]&lt;0,T_T134111213141516171819202122232425262728293031323335363738394041424344454647484950515253545556575859606162[[#This Row],[Total]]*-1,0)</f>
        <v>0</v>
      </c>
    </row>
    <row r="22" spans="1:11" x14ac:dyDescent="0.3">
      <c r="A22" s="83"/>
      <c r="B22" s="82" t="s">
        <v>537</v>
      </c>
      <c r="C22" s="6">
        <v>8949</v>
      </c>
      <c r="D22" s="2">
        <v>-170</v>
      </c>
      <c r="E22" s="2">
        <v>-2</v>
      </c>
      <c r="F22" s="230"/>
      <c r="G22" s="230">
        <f t="shared" si="0"/>
        <v>-172</v>
      </c>
      <c r="H22" s="233">
        <f t="shared" si="1"/>
        <v>0</v>
      </c>
      <c r="I22" s="309">
        <f>IF(T_T134111213141516171819202122232425262728293031323335363738394041424344454647484950515253545556575859606162[[#This Row],[Total]]&lt;0,T_T134111213141516171819202122232425262728293031323335363738394041424344454647484950515253545556575859606162[[#This Row],[Total]]*-1,0)</f>
        <v>172</v>
      </c>
    </row>
    <row r="23" spans="1:11" x14ac:dyDescent="0.3">
      <c r="A23" s="40">
        <v>45807</v>
      </c>
      <c r="B23" s="3" t="s">
        <v>538</v>
      </c>
      <c r="C23" s="229"/>
      <c r="D23" s="230">
        <v>170</v>
      </c>
      <c r="E23" s="230"/>
      <c r="F23" s="230"/>
      <c r="G23" s="230">
        <f t="shared" si="0"/>
        <v>170</v>
      </c>
      <c r="H23" s="233">
        <f t="shared" si="1"/>
        <v>170</v>
      </c>
      <c r="I23" s="309">
        <f>IF(T_T134111213141516171819202122232425262728293031323335363738394041424344454647484950515253545556575859606162[[#This Row],[Total]]&lt;0,T_T134111213141516171819202122232425262728293031323335363738394041424344454647484950515253545556575859606162[[#This Row],[Total]]*-1,0)</f>
        <v>0</v>
      </c>
    </row>
    <row r="24" spans="1:11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170</v>
      </c>
      <c r="I24" s="309">
        <f>IF(T_T134111213141516171819202122232425262728293031323335363738394041424344454647484950515253545556575859606162[[#This Row],[Total]]&lt;0,T_T134111213141516171819202122232425262728293031323335363738394041424344454647484950515253545556575859606162[[#This Row],[Total]]*-1,0)</f>
        <v>0</v>
      </c>
    </row>
    <row r="25" spans="1:11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170</v>
      </c>
      <c r="I25" s="309">
        <f>IF(T_T134111213141516171819202122232425262728293031323335363738394041424344454647484950515253545556575859606162[[#This Row],[Total]]&lt;0,T_T134111213141516171819202122232425262728293031323335363738394041424344454647484950515253545556575859606162[[#This Row],[Total]]*-1,0)</f>
        <v>0</v>
      </c>
    </row>
    <row r="26" spans="1:11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170</v>
      </c>
      <c r="I26" s="309">
        <f>IF(T_T134111213141516171819202122232425262728293031323335363738394041424344454647484950515253545556575859606162[[#This Row],[Total]]&lt;0,T_T134111213141516171819202122232425262728293031323335363738394041424344454647484950515253545556575859606162[[#This Row],[Total]]*-1,0)</f>
        <v>0</v>
      </c>
    </row>
    <row r="27" spans="1:11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170</v>
      </c>
      <c r="I27" s="309">
        <f>IF(T_T134111213141516171819202122232425262728293031323335363738394041424344454647484950515253545556575859606162[[#This Row],[Total]]&lt;0,T_T134111213141516171819202122232425262728293031323335363738394041424344454647484950515253545556575859606162[[#This Row],[Total]]*-1,0)</f>
        <v>0</v>
      </c>
      <c r="K27" t="s">
        <v>366</v>
      </c>
    </row>
    <row r="28" spans="1:11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170</v>
      </c>
      <c r="I28" s="309">
        <f>IF(T_T134111213141516171819202122232425262728293031323335363738394041424344454647484950515253545556575859606162[[#This Row],[Total]]&lt;0,T_T134111213141516171819202122232425262728293031323335363738394041424344454647484950515253545556575859606162[[#This Row],[Total]]*-1,0)</f>
        <v>0</v>
      </c>
    </row>
    <row r="29" spans="1:11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170</v>
      </c>
      <c r="I29" s="309">
        <f>IF(T_T134111213141516171819202122232425262728293031323335363738394041424344454647484950515253545556575859606162[[#This Row],[Total]]&lt;0,T_T134111213141516171819202122232425262728293031323335363738394041424344454647484950515253545556575859606162[[#This Row],[Total]]*-1,0)</f>
        <v>0</v>
      </c>
    </row>
    <row r="30" spans="1:11" x14ac:dyDescent="0.3">
      <c r="A30" s="107"/>
      <c r="B30" s="82" t="s">
        <v>545</v>
      </c>
      <c r="C30" s="6"/>
      <c r="D30" s="7"/>
      <c r="E30" s="230"/>
      <c r="F30" s="230"/>
      <c r="G30" s="230">
        <f t="shared" si="0"/>
        <v>0</v>
      </c>
      <c r="H30" s="233">
        <f t="shared" si="1"/>
        <v>170</v>
      </c>
      <c r="I30" s="309">
        <f>IF(T_T134111213141516171819202122232425262728293031323335363738394041424344454647484950515253545556575859606162[[#This Row],[Total]]&lt;0,T_T134111213141516171819202122232425262728293031323335363738394041424344454647484950515253545556575859606162[[#This Row],[Total]]*-1,0)</f>
        <v>0</v>
      </c>
    </row>
    <row r="31" spans="1:11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170</v>
      </c>
      <c r="I31" s="309">
        <f>IF(T_T134111213141516171819202122232425262728293031323335363738394041424344454647484950515253545556575859606162[[#This Row],[Total]]&lt;0,T_T134111213141516171819202122232425262728293031323335363738394041424344454647484950515253545556575859606162[[#This Row],[Total]]*-1,0)</f>
        <v>0</v>
      </c>
    </row>
    <row r="32" spans="1:11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170</v>
      </c>
      <c r="I32" s="309">
        <f>IF(T_T134111213141516171819202122232425262728293031323335363738394041424344454647484950515253545556575859606162[[#This Row],[Total]]&lt;0,T_T134111213141516171819202122232425262728293031323335363738394041424344454647484950515253545556575859606162[[#This Row],[Total]]*-1,0)</f>
        <v>0</v>
      </c>
    </row>
    <row r="33" spans="1:9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170</v>
      </c>
      <c r="I33" s="309">
        <f>IF(T_T134111213141516171819202122232425262728293031323335363738394041424344454647484950515253545556575859606162[[#This Row],[Total]]&lt;0,T_T134111213141516171819202122232425262728293031323335363738394041424344454647484950515253545556575859606162[[#This Row],[Total]]*-1,0)</f>
        <v>0</v>
      </c>
    </row>
    <row r="34" spans="1:9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170</v>
      </c>
      <c r="I34" s="309">
        <f>IF(T_T134111213141516171819202122232425262728293031323335363738394041424344454647484950515253545556575859606162[[#This Row],[Total]]&lt;0,T_T134111213141516171819202122232425262728293031323335363738394041424344454647484950515253545556575859606162[[#This Row],[Total]]*-1,0)</f>
        <v>0</v>
      </c>
    </row>
    <row r="35" spans="1:9" x14ac:dyDescent="0.3">
      <c r="A35" s="9">
        <v>45991</v>
      </c>
      <c r="B35" s="3" t="s">
        <v>550</v>
      </c>
      <c r="C35" s="229"/>
      <c r="D35" s="7"/>
      <c r="E35" s="230"/>
      <c r="F35" s="230"/>
      <c r="G35" s="230">
        <f t="shared" si="0"/>
        <v>0</v>
      </c>
      <c r="H35" s="233">
        <f t="shared" si="1"/>
        <v>170</v>
      </c>
      <c r="I35" s="309">
        <f>IF(T_T134111213141516171819202122232425262728293031323335363738394041424344454647484950515253545556575859606162[[#This Row],[Total]]&lt;0,T_T134111213141516171819202122232425262728293031323335363738394041424344454647484950515253545556575859606162[[#This Row],[Total]]*-1,0)</f>
        <v>0</v>
      </c>
    </row>
    <row r="36" spans="1:9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170</v>
      </c>
      <c r="I36" s="309">
        <f>IF(T_T134111213141516171819202122232425262728293031323335363738394041424344454647484950515253545556575859606162[[#This Row],[Total]]&lt;0,T_T134111213141516171819202122232425262728293031323335363738394041424344454647484950515253545556575859606162[[#This Row],[Total]]*-1,0)</f>
        <v>0</v>
      </c>
    </row>
    <row r="37" spans="1:9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170</v>
      </c>
      <c r="I37" s="309">
        <f>IF(T_T134111213141516171819202122232425262728293031323335363738394041424344454647484950515253545556575859606162[[#This Row],[Total]]&lt;0,T_T134111213141516171819202122232425262728293031323335363738394041424344454647484950515253545556575859606162[[#This Row],[Total]]*-1,0)</f>
        <v>0</v>
      </c>
    </row>
    <row r="38" spans="1:9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170</v>
      </c>
      <c r="I38" s="353">
        <f>IF(T_T134111213141516171819202122232425262728293031323335363738394041424344454647484950515253545556575859606162[[#This Row],[Total]]&lt;0,T_T134111213141516171819202122232425262728293031323335363738394041424344454647484950515253545556575859606162[[#This Row],[Total]]*-1,0)</f>
        <v>0</v>
      </c>
    </row>
    <row r="39" spans="1:9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170</v>
      </c>
      <c r="I39" s="353">
        <f>IF(T_T134111213141516171819202122232425262728293031323335363738394041424344454647484950515253545556575859606162[[#This Row],[Total]]&lt;0,T_T134111213141516171819202122232425262728293031323335363738394041424344454647484950515253545556575859606162[[#This Row],[Total]]*-1,0)</f>
        <v>0</v>
      </c>
    </row>
    <row r="40" spans="1:9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170</v>
      </c>
      <c r="I40" s="353">
        <f>IF(T_T134111213141516171819202122232425262728293031323335363738394041424344454647484950515253545556575859606162[[#This Row],[Total]]&lt;0,T_T134111213141516171819202122232425262728293031323335363738394041424344454647484950515253545556575859606162[[#This Row],[Total]]*-1,0)</f>
        <v>0</v>
      </c>
    </row>
    <row r="41" spans="1:9" x14ac:dyDescent="0.3">
      <c r="A41" s="492"/>
      <c r="B41" s="493"/>
      <c r="C41" s="466"/>
      <c r="D41" s="467"/>
      <c r="E41" s="467"/>
      <c r="F41" s="467"/>
      <c r="G41" s="467"/>
      <c r="H41" s="474"/>
      <c r="I41" s="475"/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scale="60" orientation="portrait" verticalDpi="360" r:id="rId2"/>
  <drawing r:id="rId3"/>
  <tableParts count="1">
    <tablePart r:id="rId4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K88"/>
  <sheetViews>
    <sheetView showGridLines="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</cols>
  <sheetData>
    <row r="2" spans="1:9" ht="15.6" x14ac:dyDescent="0.3">
      <c r="A2" s="27" t="s">
        <v>36</v>
      </c>
      <c r="B2" s="41" t="s">
        <v>111</v>
      </c>
    </row>
    <row r="3" spans="1:9" x14ac:dyDescent="0.3">
      <c r="A3" s="27" t="s">
        <v>31</v>
      </c>
      <c r="B3" s="28" t="s">
        <v>496</v>
      </c>
    </row>
    <row r="4" spans="1:9" x14ac:dyDescent="0.3">
      <c r="A4" s="27" t="s">
        <v>32</v>
      </c>
      <c r="B4" s="28" t="e">
        <f>LOOKUP(B2,#REF!,#REF!)</f>
        <v>#REF!</v>
      </c>
    </row>
    <row r="5" spans="1:9" hidden="1" x14ac:dyDescent="0.3">
      <c r="A5" s="27" t="s">
        <v>33</v>
      </c>
      <c r="B5" s="28" t="e">
        <f>LOOKUP(B2,#REF!,#REF!)</f>
        <v>#REF!</v>
      </c>
    </row>
    <row r="6" spans="1:9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9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9" x14ac:dyDescent="0.3">
      <c r="A8" s="21"/>
      <c r="B8" s="21"/>
    </row>
    <row r="9" spans="1:9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9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11" spans="1:9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94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12" spans="1:9" x14ac:dyDescent="0.3">
      <c r="A12" s="117"/>
      <c r="B12" s="118" t="s">
        <v>467</v>
      </c>
      <c r="C12" s="424"/>
      <c r="D12" s="425"/>
      <c r="E12" s="425"/>
      <c r="F12" s="425"/>
      <c r="G12" s="425">
        <f>SUM(D12:F12)</f>
        <v>0</v>
      </c>
      <c r="H12" s="426">
        <f>H11+G12</f>
        <v>0</v>
      </c>
      <c r="I12" s="427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13" spans="1:9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94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14" spans="1:9" x14ac:dyDescent="0.3">
      <c r="A14" s="288"/>
      <c r="B14" s="118" t="s">
        <v>529</v>
      </c>
      <c r="C14" s="481"/>
      <c r="D14" s="482"/>
      <c r="E14" s="482"/>
      <c r="F14" s="482"/>
      <c r="G14" s="482">
        <f>SUM(D14:F14)</f>
        <v>0</v>
      </c>
      <c r="H14" s="484">
        <f>H13+G14</f>
        <v>0</v>
      </c>
      <c r="I14" s="47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15" spans="1:9" x14ac:dyDescent="0.3">
      <c r="A15" s="17">
        <v>45687</v>
      </c>
      <c r="B15" s="18" t="s">
        <v>530</v>
      </c>
      <c r="C15" s="6"/>
      <c r="D15" s="2">
        <v>185</v>
      </c>
      <c r="E15" s="2">
        <v>8</v>
      </c>
      <c r="F15" s="20"/>
      <c r="G15" s="20">
        <f>SUM(D15:F15)</f>
        <v>193</v>
      </c>
      <c r="H15" s="233">
        <f>+H13+T_T13411121314151617181920212223242526272829303132333536373839404142434445464748495051525354555657585960616263[[#This Row],[Total]]</f>
        <v>193</v>
      </c>
      <c r="I15" s="94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16" spans="1:9" x14ac:dyDescent="0.3">
      <c r="A16" s="17"/>
      <c r="B16" s="18" t="s">
        <v>531</v>
      </c>
      <c r="C16" s="6">
        <v>8667</v>
      </c>
      <c r="D16" s="2">
        <v>-185</v>
      </c>
      <c r="E16" s="2">
        <v>-8</v>
      </c>
      <c r="F16" s="230"/>
      <c r="G16" s="230">
        <f t="shared" ref="G16:G38" si="0">SUM(D16:F16)</f>
        <v>-193</v>
      </c>
      <c r="H16" s="233">
        <f t="shared" ref="H16:H40" si="1">H15+G16</f>
        <v>0</v>
      </c>
      <c r="I16" s="94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193</v>
      </c>
    </row>
    <row r="17" spans="1:11" x14ac:dyDescent="0.3">
      <c r="A17" s="164">
        <v>45715</v>
      </c>
      <c r="B17" s="161" t="s">
        <v>532</v>
      </c>
      <c r="C17" s="6"/>
      <c r="D17" s="2">
        <v>185</v>
      </c>
      <c r="E17" s="2">
        <v>12</v>
      </c>
      <c r="F17" s="230"/>
      <c r="G17" s="230">
        <f t="shared" si="0"/>
        <v>197</v>
      </c>
      <c r="H17" s="233">
        <f t="shared" si="1"/>
        <v>197</v>
      </c>
      <c r="I17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18" spans="1:11" x14ac:dyDescent="0.3">
      <c r="A18" s="187"/>
      <c r="B18" s="18" t="s">
        <v>533</v>
      </c>
      <c r="C18" s="6">
        <v>8667</v>
      </c>
      <c r="D18" s="2">
        <v>-185</v>
      </c>
      <c r="E18" s="2">
        <v>-12</v>
      </c>
      <c r="F18" s="230"/>
      <c r="G18" s="230">
        <f t="shared" si="0"/>
        <v>-197</v>
      </c>
      <c r="H18" s="233">
        <f t="shared" si="1"/>
        <v>0</v>
      </c>
      <c r="I18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197</v>
      </c>
    </row>
    <row r="19" spans="1:11" x14ac:dyDescent="0.3">
      <c r="A19" s="188">
        <v>45747</v>
      </c>
      <c r="B19" s="3" t="s">
        <v>534</v>
      </c>
      <c r="C19" s="6"/>
      <c r="D19" s="2">
        <v>222</v>
      </c>
      <c r="E19" s="2">
        <v>7</v>
      </c>
      <c r="F19" s="230"/>
      <c r="G19" s="230">
        <f t="shared" si="0"/>
        <v>229</v>
      </c>
      <c r="H19" s="233">
        <f t="shared" si="1"/>
        <v>229</v>
      </c>
      <c r="I19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20" spans="1:11" x14ac:dyDescent="0.3">
      <c r="A20" s="188"/>
      <c r="B20" s="82" t="s">
        <v>535</v>
      </c>
      <c r="C20" s="6"/>
      <c r="D20" s="2"/>
      <c r="E20" s="2"/>
      <c r="F20" s="230"/>
      <c r="G20" s="230">
        <f t="shared" si="0"/>
        <v>0</v>
      </c>
      <c r="H20" s="233">
        <f t="shared" si="1"/>
        <v>229</v>
      </c>
      <c r="I20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21" spans="1:11" x14ac:dyDescent="0.3">
      <c r="A21" s="188">
        <v>45777</v>
      </c>
      <c r="B21" s="3" t="s">
        <v>536</v>
      </c>
      <c r="C21" s="6"/>
      <c r="D21" s="2">
        <v>222</v>
      </c>
      <c r="E21" s="2">
        <v>13</v>
      </c>
      <c r="F21" s="230"/>
      <c r="G21" s="230">
        <f t="shared" si="0"/>
        <v>235</v>
      </c>
      <c r="H21" s="233">
        <f t="shared" si="1"/>
        <v>464</v>
      </c>
      <c r="I21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22" spans="1:11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464</v>
      </c>
      <c r="I22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23" spans="1:11" x14ac:dyDescent="0.3">
      <c r="A23" s="40">
        <v>45807</v>
      </c>
      <c r="B23" s="3" t="s">
        <v>538</v>
      </c>
      <c r="C23" s="229"/>
      <c r="D23" s="230">
        <v>222</v>
      </c>
      <c r="E23" s="230">
        <v>13</v>
      </c>
      <c r="F23" s="230"/>
      <c r="G23" s="230">
        <f t="shared" si="0"/>
        <v>235</v>
      </c>
      <c r="H23" s="233">
        <f t="shared" si="1"/>
        <v>699</v>
      </c>
      <c r="I23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24" spans="1:11" ht="15.75" customHeight="1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699</v>
      </c>
      <c r="I24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25" spans="1:11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699</v>
      </c>
      <c r="I25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26" spans="1:11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699</v>
      </c>
      <c r="I26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27" spans="1:11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699</v>
      </c>
      <c r="I27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28" spans="1:11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699</v>
      </c>
      <c r="I28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29" spans="1:11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699</v>
      </c>
      <c r="I29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30" spans="1:11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699</v>
      </c>
      <c r="I30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31" spans="1:11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699</v>
      </c>
      <c r="I31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  <c r="K31" t="s">
        <v>496</v>
      </c>
    </row>
    <row r="32" spans="1:11" x14ac:dyDescent="0.3">
      <c r="A32" s="9"/>
      <c r="B32" s="3" t="s">
        <v>547</v>
      </c>
      <c r="C32" s="6"/>
      <c r="D32" s="7"/>
      <c r="E32" s="230"/>
      <c r="F32" s="230"/>
      <c r="G32" s="230">
        <f t="shared" si="0"/>
        <v>0</v>
      </c>
      <c r="H32" s="233">
        <f t="shared" si="1"/>
        <v>699</v>
      </c>
      <c r="I32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33" spans="1:9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699</v>
      </c>
      <c r="I33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34" spans="1:9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699</v>
      </c>
      <c r="I34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35" spans="1:9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699</v>
      </c>
      <c r="I35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36" spans="1:9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699</v>
      </c>
      <c r="I36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37" spans="1:9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699</v>
      </c>
      <c r="I37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38" spans="1:9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699</v>
      </c>
      <c r="I38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39" spans="1:9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699</v>
      </c>
      <c r="I39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40" spans="1:9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699</v>
      </c>
      <c r="I40" s="231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41" spans="1:9" x14ac:dyDescent="0.3">
      <c r="A41" s="170"/>
      <c r="B41" s="18"/>
      <c r="C41" s="6"/>
      <c r="D41" s="2"/>
      <c r="E41" s="2"/>
      <c r="F41" s="2"/>
      <c r="G41" s="177"/>
      <c r="H41" s="282"/>
      <c r="I41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42" spans="1:9" x14ac:dyDescent="0.3">
      <c r="A42" s="17"/>
      <c r="B42" s="18"/>
      <c r="C42" s="6"/>
      <c r="D42" s="2"/>
      <c r="E42" s="2"/>
      <c r="F42" s="2"/>
      <c r="G42" s="177"/>
      <c r="H42" s="282"/>
      <c r="I42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43" spans="1:9" x14ac:dyDescent="0.3">
      <c r="A43" s="164"/>
      <c r="B43" s="161"/>
      <c r="C43" s="6"/>
      <c r="D43" s="2"/>
      <c r="E43" s="2"/>
      <c r="F43" s="2"/>
      <c r="G43" s="177"/>
      <c r="H43" s="282"/>
      <c r="I43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44" spans="1:9" x14ac:dyDescent="0.3">
      <c r="A44" s="185"/>
      <c r="B44" s="3"/>
      <c r="C44" s="6"/>
      <c r="D44" s="2"/>
      <c r="E44" s="2"/>
      <c r="F44" s="2"/>
      <c r="G44" s="177"/>
      <c r="H44" s="282"/>
      <c r="I44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45" spans="1:9" x14ac:dyDescent="0.3">
      <c r="A45" s="188"/>
      <c r="B45" s="3"/>
      <c r="C45" s="229"/>
      <c r="D45" s="33"/>
      <c r="E45" s="33"/>
      <c r="F45" s="7"/>
      <c r="G45" s="33"/>
      <c r="H45" s="10"/>
      <c r="I45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46" spans="1:9" x14ac:dyDescent="0.3">
      <c r="A46" s="188"/>
      <c r="B46" s="82"/>
      <c r="C46" s="253"/>
      <c r="D46" s="31"/>
      <c r="E46" s="31"/>
      <c r="F46" s="7"/>
      <c r="G46" s="31"/>
      <c r="H46" s="10"/>
      <c r="I46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47" spans="1:9" x14ac:dyDescent="0.3">
      <c r="A47" s="188"/>
      <c r="B47" s="3"/>
      <c r="C47" s="253"/>
      <c r="D47" s="33"/>
      <c r="E47" s="33"/>
      <c r="F47" s="7"/>
      <c r="G47" s="33"/>
      <c r="H47" s="10"/>
      <c r="I47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48" spans="1:9" x14ac:dyDescent="0.3">
      <c r="A48" s="83"/>
      <c r="B48" s="82"/>
      <c r="C48" s="253"/>
      <c r="D48" s="33"/>
      <c r="E48" s="33"/>
      <c r="F48" s="7"/>
      <c r="G48" s="33"/>
      <c r="H48" s="10"/>
      <c r="I48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49" spans="1:9" x14ac:dyDescent="0.3">
      <c r="A49" s="9"/>
      <c r="B49" s="3"/>
      <c r="C49" s="36"/>
      <c r="D49" s="37"/>
      <c r="E49" s="37"/>
      <c r="F49" s="37"/>
      <c r="G49" s="37"/>
      <c r="H49" s="10"/>
      <c r="I49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50" spans="1:9" x14ac:dyDescent="0.3">
      <c r="A50" s="40"/>
      <c r="B50" s="18"/>
      <c r="C50" s="36"/>
      <c r="D50" s="37"/>
      <c r="E50" s="37"/>
      <c r="F50" s="37"/>
      <c r="G50" s="37"/>
      <c r="H50" s="10"/>
      <c r="I50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51" spans="1:9" x14ac:dyDescent="0.3">
      <c r="A51" s="17"/>
      <c r="B51" s="3"/>
      <c r="C51" s="36"/>
      <c r="D51" s="37"/>
      <c r="E51" s="37"/>
      <c r="F51" s="37"/>
      <c r="G51" s="37"/>
      <c r="H51" s="10"/>
      <c r="I51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52" spans="1:9" x14ac:dyDescent="0.3">
      <c r="A52" s="9"/>
      <c r="B52" s="18"/>
      <c r="C52" s="38"/>
      <c r="D52" s="39"/>
      <c r="E52" s="39"/>
      <c r="F52" s="39"/>
      <c r="G52" s="39"/>
      <c r="H52" s="10"/>
      <c r="I52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53" spans="1:9" x14ac:dyDescent="0.3">
      <c r="A53" s="17"/>
      <c r="B53" s="3"/>
      <c r="C53" s="6"/>
      <c r="D53" s="7"/>
      <c r="E53" s="7"/>
      <c r="F53" s="7"/>
      <c r="G53" s="7"/>
      <c r="H53" s="10"/>
      <c r="I53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54" spans="1:9" x14ac:dyDescent="0.3">
      <c r="A54" s="9"/>
      <c r="B54" s="18"/>
      <c r="C54" s="6"/>
      <c r="D54" s="7"/>
      <c r="E54" s="7"/>
      <c r="F54" s="7"/>
      <c r="G54" s="7"/>
      <c r="H54" s="10"/>
      <c r="I54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55" spans="1:9" x14ac:dyDescent="0.3">
      <c r="A55" s="17"/>
      <c r="B55" s="3"/>
      <c r="C55" s="6"/>
      <c r="D55" s="7"/>
      <c r="E55" s="7"/>
      <c r="F55" s="7"/>
      <c r="G55" s="7"/>
      <c r="H55" s="10"/>
      <c r="I55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56" spans="1:9" x14ac:dyDescent="0.3">
      <c r="A56" s="9"/>
      <c r="B56" s="18"/>
      <c r="C56" s="19"/>
      <c r="D56" s="20"/>
      <c r="E56" s="20"/>
      <c r="F56" s="20"/>
      <c r="G56" s="20"/>
      <c r="H56" s="10"/>
      <c r="I56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57" spans="1:9" x14ac:dyDescent="0.3">
      <c r="A57" s="17"/>
      <c r="B57" s="3"/>
      <c r="C57" s="6"/>
      <c r="D57" s="7"/>
      <c r="E57" s="7"/>
      <c r="F57" s="7"/>
      <c r="G57" s="7"/>
      <c r="H57" s="10"/>
      <c r="I57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58" spans="1:9" x14ac:dyDescent="0.3">
      <c r="A58" s="17"/>
      <c r="B58" s="18"/>
      <c r="C58" s="19"/>
      <c r="D58" s="20"/>
      <c r="E58" s="20"/>
      <c r="F58" s="20"/>
      <c r="G58" s="20"/>
      <c r="H58" s="64"/>
      <c r="I58" s="6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59" spans="1:9" x14ac:dyDescent="0.3">
      <c r="A59" s="105"/>
      <c r="B59" s="82"/>
      <c r="C59" s="90"/>
      <c r="D59" s="91"/>
      <c r="E59" s="91"/>
      <c r="F59" s="91"/>
      <c r="G59" s="91"/>
      <c r="H59" s="92"/>
      <c r="I59" s="93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60" spans="1:9" x14ac:dyDescent="0.3">
      <c r="A60" s="17"/>
      <c r="B60" s="18"/>
      <c r="C60" s="98"/>
      <c r="D60" s="99"/>
      <c r="E60" s="99"/>
      <c r="F60" s="99"/>
      <c r="G60" s="99"/>
      <c r="H60" s="100"/>
      <c r="I60" s="89">
        <f>IF(T_T13411121314151617181920212223242526272829303132333536373839404142434445464748495051525354555657585960616263[[#This Row],[Total]]&lt;0,T_T13411121314151617181920212223242526272829303132333536373839404142434445464748495051525354555657585960616263[[#This Row],[Total]]*-1,0)</f>
        <v>0</v>
      </c>
    </row>
    <row r="61" spans="1:9" x14ac:dyDescent="0.3">
      <c r="A61" s="101"/>
      <c r="B61" s="82"/>
      <c r="C61" s="6"/>
      <c r="D61" s="2"/>
      <c r="E61" s="2"/>
      <c r="F61" s="2"/>
      <c r="G61" s="113"/>
      <c r="H61" s="80"/>
    </row>
    <row r="62" spans="1:9" x14ac:dyDescent="0.3">
      <c r="A62" s="102"/>
      <c r="B62" s="103"/>
      <c r="C62" s="6"/>
      <c r="D62" s="2"/>
      <c r="E62" s="2"/>
      <c r="F62" s="2"/>
      <c r="G62" s="113"/>
      <c r="H62" s="80"/>
    </row>
    <row r="63" spans="1:9" x14ac:dyDescent="0.3">
      <c r="A63" s="3"/>
      <c r="B63" s="3"/>
      <c r="C63" s="6"/>
      <c r="D63" s="2"/>
      <c r="E63" s="2"/>
      <c r="F63" s="2"/>
      <c r="G63" s="113"/>
      <c r="H63" s="80"/>
    </row>
    <row r="64" spans="1:9" x14ac:dyDescent="0.3">
      <c r="A64" s="3"/>
      <c r="B64" s="82"/>
      <c r="C64" s="6"/>
      <c r="D64" s="2"/>
      <c r="E64" s="2"/>
      <c r="F64" s="2"/>
      <c r="G64" s="113"/>
      <c r="H64" s="80"/>
    </row>
    <row r="65" spans="1:8" x14ac:dyDescent="0.3">
      <c r="A65" s="83"/>
      <c r="B65" s="127"/>
      <c r="C65" s="108"/>
      <c r="D65" s="109"/>
      <c r="E65" s="109"/>
      <c r="F65" s="109"/>
      <c r="G65" s="113"/>
      <c r="H65" s="80"/>
    </row>
    <row r="66" spans="1:8" x14ac:dyDescent="0.3">
      <c r="A66" s="164"/>
      <c r="B66" s="161"/>
      <c r="C66" s="167"/>
      <c r="D66" s="168"/>
      <c r="E66" s="168"/>
      <c r="F66" s="168"/>
      <c r="G66" s="113"/>
      <c r="H66" s="80"/>
    </row>
    <row r="67" spans="1:8" x14ac:dyDescent="0.3">
      <c r="A67" s="83"/>
      <c r="B67" s="127"/>
      <c r="C67" s="108"/>
      <c r="D67" s="109"/>
      <c r="E67" s="109"/>
      <c r="F67" s="109"/>
      <c r="G67" s="113"/>
      <c r="H67" s="80"/>
    </row>
    <row r="68" spans="1:8" x14ac:dyDescent="0.3">
      <c r="A68" s="165"/>
      <c r="B68" s="103"/>
      <c r="C68" s="183"/>
      <c r="D68" s="184"/>
      <c r="E68" s="184"/>
      <c r="F68" s="184"/>
      <c r="G68" s="113"/>
      <c r="H68" s="80"/>
    </row>
    <row r="69" spans="1:8" x14ac:dyDescent="0.3">
      <c r="A69" s="188"/>
      <c r="B69" s="3"/>
      <c r="C69" s="6"/>
      <c r="D69" s="2"/>
      <c r="E69" s="2"/>
      <c r="F69" s="2"/>
      <c r="G69" s="113"/>
      <c r="H69" s="80"/>
    </row>
    <row r="70" spans="1:8" x14ac:dyDescent="0.3">
      <c r="A70" s="188"/>
      <c r="B70" s="82"/>
      <c r="C70" s="6"/>
      <c r="D70" s="2"/>
      <c r="E70" s="2"/>
      <c r="F70" s="2"/>
      <c r="G70" s="113"/>
      <c r="H70" s="80"/>
    </row>
    <row r="71" spans="1:8" x14ac:dyDescent="0.3">
      <c r="A71" s="188"/>
      <c r="B71" s="3"/>
      <c r="C71" s="6"/>
      <c r="D71" s="2"/>
      <c r="E71" s="2"/>
      <c r="F71" s="2"/>
      <c r="G71" s="113"/>
      <c r="H71" s="80"/>
    </row>
    <row r="72" spans="1:8" x14ac:dyDescent="0.3">
      <c r="A72" s="83"/>
      <c r="B72" s="82"/>
      <c r="C72" s="6"/>
      <c r="D72" s="2"/>
      <c r="E72" s="2"/>
      <c r="F72" s="2"/>
      <c r="G72" s="113"/>
      <c r="H72" s="80"/>
    </row>
    <row r="73" spans="1:8" x14ac:dyDescent="0.3">
      <c r="A73" s="188"/>
      <c r="B73" s="3"/>
      <c r="C73" s="6"/>
      <c r="D73" s="2"/>
      <c r="E73" s="2"/>
      <c r="F73" s="2"/>
      <c r="G73" s="113"/>
      <c r="H73" s="80"/>
    </row>
    <row r="74" spans="1:8" x14ac:dyDescent="0.3">
      <c r="A74" s="107"/>
      <c r="B74" s="127"/>
      <c r="C74" s="6"/>
      <c r="D74" s="2"/>
      <c r="E74" s="2"/>
      <c r="F74" s="2"/>
      <c r="G74" s="113"/>
      <c r="H74" s="80"/>
    </row>
    <row r="75" spans="1:8" x14ac:dyDescent="0.3">
      <c r="A75" s="164"/>
      <c r="B75" s="3"/>
      <c r="C75" s="6"/>
      <c r="D75" s="2"/>
      <c r="E75" s="2"/>
      <c r="F75" s="2"/>
      <c r="G75" s="113"/>
      <c r="H75" s="80"/>
    </row>
    <row r="76" spans="1:8" x14ac:dyDescent="0.3">
      <c r="A76" s="107"/>
      <c r="B76" s="127"/>
      <c r="C76" s="6"/>
      <c r="D76" s="2"/>
      <c r="E76" s="2"/>
      <c r="F76" s="2"/>
      <c r="G76" s="113"/>
      <c r="H76" s="80"/>
    </row>
    <row r="77" spans="1:8" x14ac:dyDescent="0.3">
      <c r="A77" s="107"/>
      <c r="B77" s="82"/>
      <c r="C77" s="176"/>
      <c r="D77" s="177"/>
      <c r="E77" s="177"/>
      <c r="F77" s="177"/>
      <c r="G77" s="113"/>
      <c r="H77" s="80"/>
    </row>
    <row r="78" spans="1:8" x14ac:dyDescent="0.3">
      <c r="A78" s="188"/>
      <c r="B78" s="3"/>
      <c r="C78" s="6"/>
      <c r="D78" s="7"/>
      <c r="E78" s="7"/>
      <c r="F78" s="7"/>
      <c r="G78" s="113"/>
      <c r="H78" s="80"/>
    </row>
    <row r="79" spans="1:8" x14ac:dyDescent="0.3">
      <c r="A79" s="107"/>
      <c r="B79" s="82"/>
      <c r="C79" s="176"/>
      <c r="D79" s="177"/>
      <c r="E79" s="177"/>
      <c r="F79" s="177"/>
      <c r="G79" s="113"/>
      <c r="H79" s="80"/>
    </row>
    <row r="80" spans="1:8" x14ac:dyDescent="0.3">
      <c r="A80" s="188"/>
      <c r="B80" s="3"/>
      <c r="C80" s="6"/>
      <c r="D80" s="7"/>
      <c r="E80" s="7"/>
      <c r="F80" s="7"/>
      <c r="G80" s="113"/>
      <c r="H80" s="80"/>
    </row>
    <row r="81" spans="1:8" x14ac:dyDescent="0.3">
      <c r="A81" s="107"/>
      <c r="B81" s="82"/>
      <c r="C81" s="176"/>
      <c r="D81" s="177"/>
      <c r="E81" s="177"/>
      <c r="F81" s="177"/>
      <c r="G81" s="113"/>
      <c r="H81" s="80"/>
    </row>
    <row r="82" spans="1:8" x14ac:dyDescent="0.3">
      <c r="A82" s="188"/>
      <c r="B82" s="3"/>
      <c r="C82" s="6"/>
      <c r="D82" s="7"/>
      <c r="E82" s="7"/>
      <c r="F82" s="7"/>
      <c r="G82" s="113"/>
      <c r="H82" s="80"/>
    </row>
    <row r="83" spans="1:8" x14ac:dyDescent="0.3">
      <c r="A83" s="107"/>
      <c r="B83" s="82"/>
      <c r="C83" s="176"/>
      <c r="D83" s="177"/>
      <c r="E83" s="177"/>
      <c r="F83" s="177"/>
      <c r="G83" s="113"/>
      <c r="H83" s="216"/>
    </row>
    <row r="84" spans="1:8" x14ac:dyDescent="0.3">
      <c r="A84" s="188"/>
      <c r="B84" s="3"/>
      <c r="C84" s="6"/>
      <c r="D84" s="7"/>
      <c r="E84" s="7"/>
      <c r="F84" s="7"/>
      <c r="G84" s="113"/>
      <c r="H84" s="217"/>
    </row>
    <row r="85" spans="1:8" x14ac:dyDescent="0.3">
      <c r="A85" s="107"/>
      <c r="B85" s="82"/>
      <c r="C85" s="176"/>
      <c r="D85" s="177"/>
      <c r="E85" s="177"/>
      <c r="F85" s="177"/>
      <c r="G85" s="113"/>
      <c r="H85" s="216"/>
    </row>
    <row r="86" spans="1:8" x14ac:dyDescent="0.3">
      <c r="A86" s="102"/>
      <c r="B86" s="103"/>
      <c r="C86" s="218"/>
      <c r="D86" s="113"/>
      <c r="E86" s="113"/>
      <c r="F86" s="113"/>
      <c r="G86" s="113"/>
      <c r="H86" s="80"/>
    </row>
    <row r="87" spans="1:8" x14ac:dyDescent="0.3">
      <c r="A87" s="188"/>
      <c r="B87" s="3"/>
      <c r="C87" s="169"/>
      <c r="D87" s="141"/>
      <c r="E87" s="141"/>
      <c r="F87" s="141"/>
      <c r="G87" s="2"/>
      <c r="H87" s="2"/>
    </row>
    <row r="88" spans="1:8" x14ac:dyDescent="0.3">
      <c r="A88" s="257"/>
      <c r="B88" s="110"/>
      <c r="C88" s="219"/>
      <c r="D88" s="111"/>
      <c r="E88" s="111"/>
      <c r="F88" s="111"/>
      <c r="G88" s="2"/>
      <c r="H88" s="2"/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scale="70" orientation="portrait" verticalDpi="360" r:id="rId2"/>
  <drawing r:id="rId3"/>
  <tableParts count="1">
    <tablePart r:id="rId4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K41"/>
  <sheetViews>
    <sheetView showGridLines="0" topLeftCell="A10" zoomScale="106" zoomScaleNormal="106" workbookViewId="0">
      <selection activeCell="E24" sqref="E24"/>
    </sheetView>
  </sheetViews>
  <sheetFormatPr baseColWidth="10" defaultColWidth="9.109375" defaultRowHeight="14.4" x14ac:dyDescent="0.3"/>
  <cols>
    <col min="1" max="1" width="12.44140625" customWidth="1"/>
    <col min="2" max="2" width="36.6640625" customWidth="1"/>
    <col min="3" max="3" width="10.6640625" style="4" customWidth="1"/>
    <col min="4" max="4" width="11.5546875" style="1" customWidth="1"/>
    <col min="5" max="5" width="9.88671875" style="1" customWidth="1"/>
    <col min="6" max="6" width="6.5546875" style="1" customWidth="1"/>
    <col min="7" max="7" width="9.33203125" style="1" customWidth="1"/>
    <col min="8" max="8" width="12.44140625" style="1" customWidth="1"/>
    <col min="9" max="9" width="12.88671875" hidden="1" customWidth="1"/>
  </cols>
  <sheetData>
    <row r="2" spans="1:11" ht="15.6" x14ac:dyDescent="0.3">
      <c r="A2" s="27" t="s">
        <v>36</v>
      </c>
      <c r="B2" s="41" t="s">
        <v>112</v>
      </c>
    </row>
    <row r="3" spans="1:11" x14ac:dyDescent="0.3">
      <c r="A3" s="27" t="s">
        <v>31</v>
      </c>
      <c r="B3" s="28" t="s">
        <v>364</v>
      </c>
    </row>
    <row r="4" spans="1:11" x14ac:dyDescent="0.3">
      <c r="A4" s="27"/>
      <c r="B4" s="28"/>
    </row>
    <row r="5" spans="1:11" hidden="1" x14ac:dyDescent="0.3">
      <c r="A5" s="27"/>
      <c r="B5" s="28"/>
    </row>
    <row r="6" spans="1:11" hidden="1" x14ac:dyDescent="0.3">
      <c r="A6" s="27"/>
      <c r="B6" s="28"/>
    </row>
    <row r="7" spans="1:11" hidden="1" x14ac:dyDescent="0.3">
      <c r="A7" s="27"/>
      <c r="B7" s="28"/>
    </row>
    <row r="8" spans="1:11" x14ac:dyDescent="0.3">
      <c r="A8" s="21"/>
      <c r="B8" s="21"/>
    </row>
    <row r="9" spans="1:11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11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IF(T_T1341112131415161718192021222324252627282930313233353637383940414243444546474849505152535455565758596061626364[[#This Row],[Total]]&lt;0,T_T1341112131415161718192021222324252627282930313233353637383940414243444546474849505152535455565758596061626364[[#This Row],[Total]]*-1,0)</f>
        <v>0</v>
      </c>
    </row>
    <row r="11" spans="1:11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355">
        <f>IF(T_T1341112131415161718192021222324252627282930313233353637383940414243444546474849505152535455565758596061626364[[#This Row],[Total]]&lt;0,T_T1341112131415161718192021222324252627282930313233353637383940414243444546474849505152535455565758596061626364[[#This Row],[Total]]*-1,0)</f>
        <v>0</v>
      </c>
    </row>
    <row r="12" spans="1:11" x14ac:dyDescent="0.3">
      <c r="A12" s="288"/>
      <c r="B12" s="118" t="s">
        <v>467</v>
      </c>
      <c r="C12" s="424"/>
      <c r="D12" s="425"/>
      <c r="E12" s="425"/>
      <c r="F12" s="425"/>
      <c r="G12" s="425"/>
      <c r="H12" s="426">
        <v>0</v>
      </c>
      <c r="I12" s="427">
        <f>IF(T_T1341112131415161718192021222324252627282930313233353637383940414243444546474849505152535455565758596061626364[[#This Row],[Total]]&lt;0,T_T1341112131415161718192021222324252627282930313233353637383940414243444546474849505152535455565758596061626364[[#This Row],[Total]]*-1,0)</f>
        <v>0</v>
      </c>
    </row>
    <row r="13" spans="1:11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355">
        <f>IF(T_T1341112131415161718192021222324252627282930313233353637383940414243444546474849505152535455565758596061626364[[#This Row],[Total]]&lt;0,T_T1341112131415161718192021222324252627282930313233353637383940414243444546474849505152535455565758596061626364[[#This Row],[Total]]*-1,0)</f>
        <v>0</v>
      </c>
      <c r="K13">
        <v>1291</v>
      </c>
    </row>
    <row r="14" spans="1:11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6">
        <f>IF(T_T1341112131415161718192021222324252627282930313233353637383940414243444546474849505152535455565758596061626364[[#This Row],[Total]]&lt;0,T_T1341112131415161718192021222324252627282930313233353637383940414243444546474849505152535455565758596061626364[[#This Row],[Total]]*-1,0)</f>
        <v>0</v>
      </c>
    </row>
    <row r="15" spans="1:11" x14ac:dyDescent="0.3">
      <c r="A15" s="17">
        <v>46052</v>
      </c>
      <c r="B15" s="18" t="s">
        <v>590</v>
      </c>
      <c r="C15" s="6"/>
      <c r="D15" s="2">
        <v>184</v>
      </c>
      <c r="E15" s="2">
        <v>12</v>
      </c>
      <c r="F15" s="20"/>
      <c r="G15" s="20">
        <f>SUM(D15:F15)</f>
        <v>196</v>
      </c>
      <c r="H15" s="233">
        <f>+H13+T_T1341112131415161718192021222324252627282930313233353637383940414243444546474849505152535455565758596061626364[[#This Row],[Total]]</f>
        <v>196</v>
      </c>
      <c r="I15" s="355">
        <f>IF(T_T1341112131415161718192021222324252627282930313233353637383940414243444546474849505152535455565758596061626364[[#This Row],[Total]]&lt;0,T_T1341112131415161718192021222324252627282930313233353637383940414243444546474849505152535455565758596061626364[[#This Row],[Total]]*-1,0)</f>
        <v>0</v>
      </c>
    </row>
    <row r="16" spans="1:11" x14ac:dyDescent="0.3">
      <c r="A16" s="17"/>
      <c r="B16" s="18" t="s">
        <v>591</v>
      </c>
      <c r="C16" s="6"/>
      <c r="D16" s="2"/>
      <c r="E16" s="2"/>
      <c r="F16" s="230"/>
      <c r="G16" s="230">
        <f t="shared" ref="G16:G38" si="0">SUM(D16:F16)</f>
        <v>0</v>
      </c>
      <c r="H16" s="233">
        <f t="shared" ref="H16:H39" si="1">H15+G16</f>
        <v>196</v>
      </c>
      <c r="I16" s="355">
        <f>IF(T_T1341112131415161718192021222324252627282930313233353637383940414243444546474849505152535455565758596061626364[[#This Row],[Total]]&lt;0,T_T1341112131415161718192021222324252627282930313233353637383940414243444546474849505152535455565758596061626364[[#This Row],[Total]]*-1,0)</f>
        <v>0</v>
      </c>
    </row>
    <row r="17" spans="1:9" x14ac:dyDescent="0.3">
      <c r="A17" s="164">
        <v>45715</v>
      </c>
      <c r="B17" s="161" t="s">
        <v>532</v>
      </c>
      <c r="C17" s="6"/>
      <c r="D17" s="2">
        <v>184</v>
      </c>
      <c r="E17" s="2">
        <v>15</v>
      </c>
      <c r="F17" s="230"/>
      <c r="G17" s="230">
        <f t="shared" si="0"/>
        <v>199</v>
      </c>
      <c r="H17" s="233">
        <f t="shared" si="1"/>
        <v>395</v>
      </c>
      <c r="I17" s="355">
        <f>IF(T_T1341112131415161718192021222324252627282930313233353637383940414243444546474849505152535455565758596061626364[[#This Row],[Total]]&lt;0,T_T1341112131415161718192021222324252627282930313233353637383940414243444546474849505152535455565758596061626364[[#This Row],[Total]]*-1,0)</f>
        <v>0</v>
      </c>
    </row>
    <row r="18" spans="1:9" x14ac:dyDescent="0.3">
      <c r="A18" s="187"/>
      <c r="B18" s="18" t="s">
        <v>533</v>
      </c>
      <c r="C18" s="6"/>
      <c r="D18" s="2"/>
      <c r="E18" s="2"/>
      <c r="F18" s="230"/>
      <c r="G18" s="230">
        <f t="shared" si="0"/>
        <v>0</v>
      </c>
      <c r="H18" s="233">
        <f t="shared" si="1"/>
        <v>395</v>
      </c>
      <c r="I18" s="355">
        <f>IF(T_T1341112131415161718192021222324252627282930313233353637383940414243444546474849505152535455565758596061626364[[#This Row],[Total]]&lt;0,T_T1341112131415161718192021222324252627282930313233353637383940414243444546474849505152535455565758596061626364[[#This Row],[Total]]*-1,0)</f>
        <v>0</v>
      </c>
    </row>
    <row r="19" spans="1:9" x14ac:dyDescent="0.3">
      <c r="A19" s="188">
        <v>45747</v>
      </c>
      <c r="B19" s="3" t="s">
        <v>534</v>
      </c>
      <c r="C19" s="6"/>
      <c r="D19" s="2">
        <v>220</v>
      </c>
      <c r="E19" s="2">
        <v>7</v>
      </c>
      <c r="F19" s="230"/>
      <c r="G19" s="230">
        <f t="shared" si="0"/>
        <v>227</v>
      </c>
      <c r="H19" s="233">
        <f t="shared" si="1"/>
        <v>622</v>
      </c>
      <c r="I19" s="355">
        <f>IF(T_T1341112131415161718192021222324252627282930313233353637383940414243444546474849505152535455565758596061626364[[#This Row],[Total]]&lt;0,T_T1341112131415161718192021222324252627282930313233353637383940414243444546474849505152535455565758596061626364[[#This Row],[Total]]*-1,0)</f>
        <v>0</v>
      </c>
    </row>
    <row r="20" spans="1:9" x14ac:dyDescent="0.3">
      <c r="A20" s="188"/>
      <c r="B20" s="82" t="s">
        <v>535</v>
      </c>
      <c r="C20" s="6"/>
      <c r="D20" s="2"/>
      <c r="E20" s="2"/>
      <c r="F20" s="230"/>
      <c r="G20" s="230">
        <f t="shared" si="0"/>
        <v>0</v>
      </c>
      <c r="H20" s="233">
        <f t="shared" si="1"/>
        <v>622</v>
      </c>
      <c r="I20" s="355">
        <f>IF(T_T1341112131415161718192021222324252627282930313233353637383940414243444546474849505152535455565758596061626364[[#This Row],[Total]]&lt;0,T_T1341112131415161718192021222324252627282930313233353637383940414243444546474849505152535455565758596061626364[[#This Row],[Total]]*-1,0)</f>
        <v>0</v>
      </c>
    </row>
    <row r="21" spans="1:9" x14ac:dyDescent="0.3">
      <c r="A21" s="188">
        <v>45777</v>
      </c>
      <c r="B21" s="3" t="s">
        <v>536</v>
      </c>
      <c r="C21" s="6"/>
      <c r="D21" s="2">
        <v>220</v>
      </c>
      <c r="E21" s="2">
        <v>25</v>
      </c>
      <c r="F21" s="230"/>
      <c r="G21" s="230">
        <f t="shared" si="0"/>
        <v>245</v>
      </c>
      <c r="H21" s="233">
        <f t="shared" si="1"/>
        <v>867</v>
      </c>
      <c r="I21" s="355">
        <f>IF(T_T1341112131415161718192021222324252627282930313233353637383940414243444546474849505152535455565758596061626364[[#This Row],[Total]]&lt;0,T_T1341112131415161718192021222324252627282930313233353637383940414243444546474849505152535455565758596061626364[[#This Row],[Total]]*-1,0)</f>
        <v>0</v>
      </c>
    </row>
    <row r="22" spans="1:9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867</v>
      </c>
      <c r="I22" s="355">
        <f>IF(T_T1341112131415161718192021222324252627282930313233353637383940414243444546474849505152535455565758596061626364[[#This Row],[Total]]&lt;0,T_T1341112131415161718192021222324252627282930313233353637383940414243444546474849505152535455565758596061626364[[#This Row],[Total]]*-1,0)</f>
        <v>0</v>
      </c>
    </row>
    <row r="23" spans="1:9" x14ac:dyDescent="0.3">
      <c r="A23" s="40">
        <v>45807</v>
      </c>
      <c r="B23" s="3" t="s">
        <v>538</v>
      </c>
      <c r="C23" s="229"/>
      <c r="D23" s="230">
        <v>220</v>
      </c>
      <c r="E23" s="230">
        <v>29</v>
      </c>
      <c r="F23" s="230"/>
      <c r="G23" s="230">
        <f t="shared" si="0"/>
        <v>249</v>
      </c>
      <c r="H23" s="233">
        <f t="shared" si="1"/>
        <v>1116</v>
      </c>
      <c r="I23" s="355">
        <f>IF(T_T1341112131415161718192021222324252627282930313233353637383940414243444546474849505152535455565758596061626364[[#This Row],[Total]]&lt;0,T_T1341112131415161718192021222324252627282930313233353637383940414243444546474849505152535455565758596061626364[[#This Row],[Total]]*-1,0)</f>
        <v>0</v>
      </c>
    </row>
    <row r="24" spans="1:9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1116</v>
      </c>
      <c r="I24" s="355">
        <f>IF(T_T1341112131415161718192021222324252627282930313233353637383940414243444546474849505152535455565758596061626364[[#This Row],[Total]]&lt;0,T_T1341112131415161718192021222324252627282930313233353637383940414243444546474849505152535455565758596061626364[[#This Row],[Total]]*-1,0)</f>
        <v>0</v>
      </c>
    </row>
    <row r="25" spans="1:9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1116</v>
      </c>
      <c r="I25" s="355">
        <f>IF(T_T1341112131415161718192021222324252627282930313233353637383940414243444546474849505152535455565758596061626364[[#This Row],[Total]]&lt;0,T_T1341112131415161718192021222324252627282930313233353637383940414243444546474849505152535455565758596061626364[[#This Row],[Total]]*-1,0)</f>
        <v>0</v>
      </c>
    </row>
    <row r="26" spans="1:9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1116</v>
      </c>
      <c r="I26" s="355">
        <f>IF(T_T1341112131415161718192021222324252627282930313233353637383940414243444546474849505152535455565758596061626364[[#This Row],[Total]]&lt;0,T_T1341112131415161718192021222324252627282930313233353637383940414243444546474849505152535455565758596061626364[[#This Row],[Total]]*-1,0)</f>
        <v>0</v>
      </c>
    </row>
    <row r="27" spans="1:9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1116</v>
      </c>
      <c r="I27" s="355">
        <f>IF(T_T1341112131415161718192021222324252627282930313233353637383940414243444546474849505152535455565758596061626364[[#This Row],[Total]]&lt;0,T_T1341112131415161718192021222324252627282930313233353637383940414243444546474849505152535455565758596061626364[[#This Row],[Total]]*-1,0)</f>
        <v>0</v>
      </c>
    </row>
    <row r="28" spans="1:9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1116</v>
      </c>
      <c r="I28" s="355">
        <f>IF(T_T1341112131415161718192021222324252627282930313233353637383940414243444546474849505152535455565758596061626364[[#This Row],[Total]]&lt;0,T_T1341112131415161718192021222324252627282930313233353637383940414243444546474849505152535455565758596061626364[[#This Row],[Total]]*-1,0)</f>
        <v>0</v>
      </c>
    </row>
    <row r="29" spans="1:9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1116</v>
      </c>
      <c r="I29" s="355">
        <f>IF(T_T1341112131415161718192021222324252627282930313233353637383940414243444546474849505152535455565758596061626364[[#This Row],[Total]]&lt;0,T_T1341112131415161718192021222324252627282930313233353637383940414243444546474849505152535455565758596061626364[[#This Row],[Total]]*-1,0)</f>
        <v>0</v>
      </c>
    </row>
    <row r="30" spans="1:9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1116</v>
      </c>
      <c r="I30" s="355">
        <f>IF(T_T1341112131415161718192021222324252627282930313233353637383940414243444546474849505152535455565758596061626364[[#This Row],[Total]]&lt;0,T_T1341112131415161718192021222324252627282930313233353637383940414243444546474849505152535455565758596061626364[[#This Row],[Total]]*-1,0)</f>
        <v>0</v>
      </c>
    </row>
    <row r="31" spans="1:9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1116</v>
      </c>
      <c r="I31" s="355">
        <f>IF(T_T1341112131415161718192021222324252627282930313233353637383940414243444546474849505152535455565758596061626364[[#This Row],[Total]]&lt;0,T_T1341112131415161718192021222324252627282930313233353637383940414243444546474849505152535455565758596061626364[[#This Row],[Total]]*-1,0)</f>
        <v>0</v>
      </c>
    </row>
    <row r="32" spans="1:9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1116</v>
      </c>
      <c r="I32" s="355">
        <f>IF(T_T1341112131415161718192021222324252627282930313233353637383940414243444546474849505152535455565758596061626364[[#This Row],[Total]]&lt;0,T_T1341112131415161718192021222324252627282930313233353637383940414243444546474849505152535455565758596061626364[[#This Row],[Total]]*-1,0)</f>
        <v>0</v>
      </c>
    </row>
    <row r="33" spans="1:9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1116</v>
      </c>
      <c r="I33" s="355">
        <f>IF(T_T1341112131415161718192021222324252627282930313233353637383940414243444546474849505152535455565758596061626364[[#This Row],[Total]]&lt;0,T_T1341112131415161718192021222324252627282930313233353637383940414243444546474849505152535455565758596061626364[[#This Row],[Total]]*-1,0)</f>
        <v>0</v>
      </c>
    </row>
    <row r="34" spans="1:9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1116</v>
      </c>
      <c r="I34" s="355">
        <f>IF(T_T1341112131415161718192021222324252627282930313233353637383940414243444546474849505152535455565758596061626364[[#This Row],[Total]]&lt;0,T_T1341112131415161718192021222324252627282930313233353637383940414243444546474849505152535455565758596061626364[[#This Row],[Total]]*-1,0)</f>
        <v>0</v>
      </c>
    </row>
    <row r="35" spans="1:9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1116</v>
      </c>
      <c r="I35" s="355">
        <f>IF(T_T1341112131415161718192021222324252627282930313233353637383940414243444546474849505152535455565758596061626364[[#This Row],[Total]]&lt;0,T_T1341112131415161718192021222324252627282930313233353637383940414243444546474849505152535455565758596061626364[[#This Row],[Total]]*-1,0)</f>
        <v>0</v>
      </c>
    </row>
    <row r="36" spans="1:9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1116</v>
      </c>
      <c r="I36" s="355">
        <f>IF(T_T1341112131415161718192021222324252627282930313233353637383940414243444546474849505152535455565758596061626364[[#This Row],[Total]]&lt;0,T_T1341112131415161718192021222324252627282930313233353637383940414243444546474849505152535455565758596061626364[[#This Row],[Total]]*-1,0)</f>
        <v>0</v>
      </c>
    </row>
    <row r="37" spans="1:9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1116</v>
      </c>
      <c r="I37" s="355">
        <f>IF(T_T1341112131415161718192021222324252627282930313233353637383940414243444546474849505152535455565758596061626364[[#This Row],[Total]]&lt;0,T_T1341112131415161718192021222324252627282930313233353637383940414243444546474849505152535455565758596061626364[[#This Row],[Total]]*-1,0)</f>
        <v>0</v>
      </c>
    </row>
    <row r="38" spans="1:9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1116</v>
      </c>
      <c r="I38" s="355">
        <f>IF(T_T1341112131415161718192021222324252627282930313233353637383940414243444546474849505152535455565758596061626364[[#This Row],[Total]]&lt;0,T_T1341112131415161718192021222324252627282930313233353637383940414243444546474849505152535455565758596061626364[[#This Row],[Total]]*-1,0)</f>
        <v>0</v>
      </c>
    </row>
    <row r="39" spans="1:9" x14ac:dyDescent="0.3">
      <c r="A39" s="107"/>
      <c r="B39" s="82"/>
      <c r="C39" s="229"/>
      <c r="D39" s="230"/>
      <c r="E39" s="230"/>
      <c r="F39" s="230"/>
      <c r="G39" s="230">
        <f>SUM(D39:F39)</f>
        <v>0</v>
      </c>
      <c r="H39" s="233">
        <f t="shared" si="1"/>
        <v>1116</v>
      </c>
      <c r="I39" s="355">
        <f>IF(T_T1341112131415161718192021222324252627282930313233353637383940414243444546474849505152535455565758596061626364[[#This Row],[Total]]&lt;0,T_T1341112131415161718192021222324252627282930313233353637383940414243444546474849505152535455565758596061626364[[#This Row],[Total]]*-1,0)</f>
        <v>0</v>
      </c>
    </row>
    <row r="40" spans="1:9" x14ac:dyDescent="0.3">
      <c r="A40" s="107"/>
      <c r="B40" s="82"/>
      <c r="C40" s="481"/>
      <c r="D40" s="482"/>
      <c r="E40" s="482"/>
      <c r="F40" s="482"/>
      <c r="G40" s="482"/>
      <c r="H40" s="483"/>
      <c r="I40" s="473">
        <f>IF(T_T1341112131415161718192021222324252627282930313233353637383940414243444546474849505152535455565758596061626364[[#This Row],[Total]]&lt;0,T_T1341112131415161718192021222324252627282930313233353637383940414243444546474849505152535455565758596061626364[[#This Row],[Total]]*-1,0)</f>
        <v>0</v>
      </c>
    </row>
    <row r="41" spans="1:9" x14ac:dyDescent="0.3">
      <c r="A41" s="170"/>
      <c r="B41" s="18"/>
      <c r="C41" s="481"/>
      <c r="D41" s="482"/>
      <c r="E41" s="482"/>
      <c r="F41" s="482"/>
      <c r="G41" s="482"/>
      <c r="H41" s="483"/>
      <c r="I41" s="473">
        <f>IF(T_T1341112131415161718192021222324252627282930313233353637383940414243444546474849505152535455565758596061626364[[#This Row],[Total]]&lt;0,T_T1341112131415161718192021222324252627282930313233353637383940414243444546474849505152535455565758596061626364[[#This Row],[Total]]*-1,0)</f>
        <v>0</v>
      </c>
    </row>
  </sheetData>
  <pageMargins left="0.47244094488188981" right="0.43307086614173229" top="4.76" bottom="0.74803149606299213" header="0.31496062992125984" footer="0.31496062992125984"/>
  <pageSetup scale="80" orientation="portrait" verticalDpi="360"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M43"/>
  <sheetViews>
    <sheetView showGridLines="0" topLeftCell="A4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2" customWidth="1"/>
    <col min="2" max="2" width="32.44140625" customWidth="1"/>
    <col min="3" max="3" width="11.44140625" style="4" customWidth="1"/>
    <col min="4" max="4" width="12.33203125" style="1" customWidth="1"/>
    <col min="5" max="5" width="10.109375" style="1" customWidth="1"/>
    <col min="6" max="6" width="7.44140625" style="1" customWidth="1"/>
    <col min="7" max="7" width="10.33203125" style="1" customWidth="1"/>
    <col min="8" max="8" width="12.44140625" style="1" customWidth="1"/>
    <col min="9" max="9" width="12.88671875" hidden="1" customWidth="1"/>
    <col min="13" max="13" width="10.6640625" bestFit="1" customWidth="1"/>
    <col min="14" max="14" width="12" customWidth="1"/>
  </cols>
  <sheetData>
    <row r="2" spans="1:13" ht="15.6" x14ac:dyDescent="0.3">
      <c r="A2" s="27" t="s">
        <v>36</v>
      </c>
      <c r="B2" s="41" t="s">
        <v>113</v>
      </c>
    </row>
    <row r="3" spans="1:13" x14ac:dyDescent="0.3">
      <c r="A3" s="27" t="s">
        <v>31</v>
      </c>
      <c r="B3" s="28" t="s">
        <v>380</v>
      </c>
    </row>
    <row r="4" spans="1:13" x14ac:dyDescent="0.3">
      <c r="A4" s="27" t="s">
        <v>32</v>
      </c>
      <c r="B4" s="28"/>
    </row>
    <row r="5" spans="1:13" hidden="1" x14ac:dyDescent="0.3">
      <c r="A5" s="27" t="s">
        <v>33</v>
      </c>
      <c r="B5" s="28" t="e">
        <f>LOOKUP(B2,#REF!,#REF!)</f>
        <v>#REF!</v>
      </c>
    </row>
    <row r="6" spans="1:13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3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3" x14ac:dyDescent="0.3">
      <c r="A8" s="21"/>
      <c r="B8" s="21"/>
    </row>
    <row r="9" spans="1:13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242" t="s">
        <v>188</v>
      </c>
    </row>
    <row r="10" spans="1:13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IF(T_T134111213141516171819202122232425262728293031323335363738394041424344454647484950515253545556575859606162636465[[#This Row],[Total]]&lt;0,T_T134111213141516171819202122232425262728293031323335363738394041424344454647484950515253545556575859606162636465[[#This Row],[Total]]*-1,0)</f>
        <v>0</v>
      </c>
      <c r="J10" s="252"/>
      <c r="M10" s="178"/>
    </row>
    <row r="11" spans="1:13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IF(T_T134111213141516171819202122232425262728293031323335363738394041424344454647484950515253545556575859606162636465[[#This Row],[Total]]&lt;0,T_T134111213141516171819202122232425262728293031323335363738394041424344454647484950515253545556575859606162636465[[#This Row],[Total]]*-1,0)</f>
        <v>0</v>
      </c>
      <c r="J11" s="231"/>
    </row>
    <row r="12" spans="1:13" x14ac:dyDescent="0.3">
      <c r="A12" s="361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IF(T_T134111213141516171819202122232425262728293031323335363738394041424344454647484950515253545556575859606162636465[[#This Row],[Total]]&lt;0,T_T134111213141516171819202122232425262728293031323335363738394041424344454647484950515253545556575859606162636465[[#This Row],[Total]]*-1,0)</f>
        <v>0</v>
      </c>
      <c r="J12" s="427"/>
    </row>
    <row r="13" spans="1:13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IF(T_T134111213141516171819202122232425262728293031323335363738394041424344454647484950515253545556575859606162636465[[#This Row],[Total]]&lt;0,T_T134111213141516171819202122232425262728293031323335363738394041424344454647484950515253545556575859606162636465[[#This Row],[Total]]*-1,0)</f>
        <v>0</v>
      </c>
      <c r="J13" s="231"/>
    </row>
    <row r="14" spans="1:13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IF(T_T134111213141516171819202122232425262728293031323335363738394041424344454647484950515253545556575859606162636465[[#This Row],[Total]]&lt;0,T_T134111213141516171819202122232425262728293031323335363738394041424344454647484950515253545556575859606162636465[[#This Row],[Total]]*-1,0)</f>
        <v>0</v>
      </c>
      <c r="J14" s="476"/>
    </row>
    <row r="15" spans="1:13" x14ac:dyDescent="0.3">
      <c r="A15" s="17">
        <v>46052</v>
      </c>
      <c r="B15" s="18" t="s">
        <v>590</v>
      </c>
      <c r="C15" s="6"/>
      <c r="D15" s="2">
        <v>149</v>
      </c>
      <c r="E15" s="2"/>
      <c r="F15" s="20"/>
      <c r="G15" s="20">
        <f>SUM(D15:F15)</f>
        <v>149</v>
      </c>
      <c r="H15" s="233">
        <f>+H13+T_T134111213141516171819202122232425262728293031323335363738394041424344454647484950515253545556575859606162636465[[#This Row],[Total]]</f>
        <v>149</v>
      </c>
      <c r="I15" s="240">
        <f>IF(T_T134111213141516171819202122232425262728293031323335363738394041424344454647484950515253545556575859606162636465[[#This Row],[Total]]&lt;0,T_T134111213141516171819202122232425262728293031323335363738394041424344454647484950515253545556575859606162636465[[#This Row],[Total]]*-1,0)</f>
        <v>0</v>
      </c>
      <c r="J15" s="231"/>
    </row>
    <row r="16" spans="1:13" x14ac:dyDescent="0.3">
      <c r="A16" s="17"/>
      <c r="B16" s="18" t="s">
        <v>591</v>
      </c>
      <c r="C16" s="6">
        <v>8552</v>
      </c>
      <c r="D16" s="2">
        <v>-149</v>
      </c>
      <c r="E16" s="2"/>
      <c r="F16" s="230"/>
      <c r="G16" s="230">
        <f t="shared" ref="G16:G40" si="0">SUM(D16:F16)</f>
        <v>-149</v>
      </c>
      <c r="H16" s="233">
        <f t="shared" ref="H16:H42" si="1">H15+G16</f>
        <v>0</v>
      </c>
      <c r="I16" s="240">
        <f>IF(T_T134111213141516171819202122232425262728293031323335363738394041424344454647484950515253545556575859606162636465[[#This Row],[Total]]&lt;0,T_T134111213141516171819202122232425262728293031323335363738394041424344454647484950515253545556575859606162636465[[#This Row],[Total]]*-1,0)</f>
        <v>149</v>
      </c>
      <c r="J16" s="231"/>
    </row>
    <row r="17" spans="1:10" x14ac:dyDescent="0.3">
      <c r="A17" s="164">
        <v>45715</v>
      </c>
      <c r="B17" s="161" t="s">
        <v>532</v>
      </c>
      <c r="C17" s="6"/>
      <c r="D17" s="2">
        <v>149</v>
      </c>
      <c r="E17" s="2"/>
      <c r="F17" s="230"/>
      <c r="G17" s="230">
        <f t="shared" si="0"/>
        <v>149</v>
      </c>
      <c r="H17" s="233">
        <f t="shared" si="1"/>
        <v>149</v>
      </c>
      <c r="I17" s="240">
        <f>IF(T_T134111213141516171819202122232425262728293031323335363738394041424344454647484950515253545556575859606162636465[[#This Row],[Total]]&lt;0,T_T134111213141516171819202122232425262728293031323335363738394041424344454647484950515253545556575859606162636465[[#This Row],[Total]]*-1,0)</f>
        <v>0</v>
      </c>
      <c r="J17" s="231"/>
    </row>
    <row r="18" spans="1:10" x14ac:dyDescent="0.3">
      <c r="A18" s="187"/>
      <c r="B18" s="18" t="s">
        <v>533</v>
      </c>
      <c r="C18" s="6">
        <v>8659</v>
      </c>
      <c r="D18" s="2">
        <v>-149</v>
      </c>
      <c r="E18" s="2"/>
      <c r="F18" s="230"/>
      <c r="G18" s="230">
        <f t="shared" si="0"/>
        <v>-149</v>
      </c>
      <c r="H18" s="233">
        <f t="shared" si="1"/>
        <v>0</v>
      </c>
      <c r="I18" s="240">
        <f>IF(T_T134111213141516171819202122232425262728293031323335363738394041424344454647484950515253545556575859606162636465[[#This Row],[Total]]&lt;0,T_T134111213141516171819202122232425262728293031323335363738394041424344454647484950515253545556575859606162636465[[#This Row],[Total]]*-1,0)</f>
        <v>149</v>
      </c>
      <c r="J18" s="231"/>
    </row>
    <row r="19" spans="1:10" x14ac:dyDescent="0.3">
      <c r="A19" s="188">
        <v>45747</v>
      </c>
      <c r="B19" s="3" t="s">
        <v>534</v>
      </c>
      <c r="C19" s="6"/>
      <c r="D19" s="2">
        <v>179</v>
      </c>
      <c r="E19" s="2"/>
      <c r="F19" s="230"/>
      <c r="G19" s="230">
        <f t="shared" si="0"/>
        <v>179</v>
      </c>
      <c r="H19" s="233">
        <f t="shared" si="1"/>
        <v>179</v>
      </c>
      <c r="I19" s="240">
        <f>IF(T_T134111213141516171819202122232425262728293031323335363738394041424344454647484950515253545556575859606162636465[[#This Row],[Total]]&lt;0,T_T134111213141516171819202122232425262728293031323335363738394041424344454647484950515253545556575859606162636465[[#This Row],[Total]]*-1,0)</f>
        <v>0</v>
      </c>
      <c r="J19" s="231"/>
    </row>
    <row r="20" spans="1:10" x14ac:dyDescent="0.3">
      <c r="A20" s="188"/>
      <c r="B20" s="82" t="s">
        <v>535</v>
      </c>
      <c r="C20" s="6">
        <v>8778</v>
      </c>
      <c r="D20" s="2">
        <v>-179</v>
      </c>
      <c r="E20" s="2"/>
      <c r="F20" s="230"/>
      <c r="G20" s="230">
        <f t="shared" si="0"/>
        <v>-179</v>
      </c>
      <c r="H20" s="233">
        <f t="shared" si="1"/>
        <v>0</v>
      </c>
      <c r="I20" s="240">
        <f>IF(T_T134111213141516171819202122232425262728293031323335363738394041424344454647484950515253545556575859606162636465[[#This Row],[Total]]&lt;0,T_T134111213141516171819202122232425262728293031323335363738394041424344454647484950515253545556575859606162636465[[#This Row],[Total]]*-1,0)</f>
        <v>179</v>
      </c>
      <c r="J20" s="231"/>
    </row>
    <row r="21" spans="1:10" x14ac:dyDescent="0.3">
      <c r="A21" s="188">
        <v>45777</v>
      </c>
      <c r="B21" s="3" t="s">
        <v>536</v>
      </c>
      <c r="C21" s="6"/>
      <c r="D21" s="2">
        <v>179</v>
      </c>
      <c r="E21" s="2">
        <v>1</v>
      </c>
      <c r="F21" s="230"/>
      <c r="G21" s="230">
        <f t="shared" si="0"/>
        <v>180</v>
      </c>
      <c r="H21" s="233">
        <f t="shared" si="1"/>
        <v>180</v>
      </c>
      <c r="I21" s="309">
        <f>IF(T_T134111213141516171819202122232425262728293031323335363738394041424344454647484950515253545556575859606162636465[[#This Row],[Total]]&lt;0,T_T134111213141516171819202122232425262728293031323335363738394041424344454647484950515253545556575859606162636465[[#This Row],[Total]]*-1,0)</f>
        <v>0</v>
      </c>
      <c r="J21" s="320"/>
    </row>
    <row r="22" spans="1:10" x14ac:dyDescent="0.3">
      <c r="A22" s="83"/>
      <c r="B22" s="82" t="s">
        <v>537</v>
      </c>
      <c r="C22" s="6">
        <v>8935</v>
      </c>
      <c r="D22" s="2">
        <v>-179</v>
      </c>
      <c r="E22" s="2">
        <v>-1</v>
      </c>
      <c r="F22" s="230"/>
      <c r="G22" s="230">
        <f t="shared" si="0"/>
        <v>-180</v>
      </c>
      <c r="H22" s="233">
        <f t="shared" si="1"/>
        <v>0</v>
      </c>
      <c r="I22" s="309">
        <f>IF(T_T134111213141516171819202122232425262728293031323335363738394041424344454647484950515253545556575859606162636465[[#This Row],[Total]]&lt;0,T_T134111213141516171819202122232425262728293031323335363738394041424344454647484950515253545556575859606162636465[[#This Row],[Total]]*-1,0)</f>
        <v>180</v>
      </c>
      <c r="J22" s="320"/>
    </row>
    <row r="23" spans="1:10" x14ac:dyDescent="0.3">
      <c r="A23" s="40">
        <v>45807</v>
      </c>
      <c r="B23" s="3" t="s">
        <v>538</v>
      </c>
      <c r="C23" s="229"/>
      <c r="D23" s="230">
        <v>179</v>
      </c>
      <c r="E23" s="7">
        <v>3</v>
      </c>
      <c r="F23" s="230"/>
      <c r="G23" s="230">
        <f t="shared" si="0"/>
        <v>182</v>
      </c>
      <c r="H23" s="233">
        <f t="shared" si="1"/>
        <v>182</v>
      </c>
      <c r="I23" s="309">
        <f>IF(T_T134111213141516171819202122232425262728293031323335363738394041424344454647484950515253545556575859606162636465[[#This Row],[Total]]&lt;0,T_T134111213141516171819202122232425262728293031323335363738394041424344454647484950515253545556575859606162636465[[#This Row],[Total]]*-1,0)</f>
        <v>0</v>
      </c>
      <c r="J23" s="320"/>
    </row>
    <row r="24" spans="1:10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182</v>
      </c>
      <c r="I24" s="309">
        <f>IF(T_T134111213141516171819202122232425262728293031323335363738394041424344454647484950515253545556575859606162636465[[#This Row],[Total]]&lt;0,T_T134111213141516171819202122232425262728293031323335363738394041424344454647484950515253545556575859606162636465[[#This Row],[Total]]*-1,0)</f>
        <v>0</v>
      </c>
      <c r="J24" s="320"/>
    </row>
    <row r="25" spans="1:10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182</v>
      </c>
      <c r="I25" s="309">
        <f>IF(T_T134111213141516171819202122232425262728293031323335363738394041424344454647484950515253545556575859606162636465[[#This Row],[Total]]&lt;0,T_T134111213141516171819202122232425262728293031323335363738394041424344454647484950515253545556575859606162636465[[#This Row],[Total]]*-1,0)</f>
        <v>0</v>
      </c>
      <c r="J25" s="320"/>
    </row>
    <row r="26" spans="1:10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182</v>
      </c>
      <c r="I26" s="309">
        <f>IF(T_T134111213141516171819202122232425262728293031323335363738394041424344454647484950515253545556575859606162636465[[#This Row],[Total]]&lt;0,T_T134111213141516171819202122232425262728293031323335363738394041424344454647484950515253545556575859606162636465[[#This Row],[Total]]*-1,0)</f>
        <v>0</v>
      </c>
      <c r="J26" s="320"/>
    </row>
    <row r="27" spans="1:10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182</v>
      </c>
      <c r="I27" s="309">
        <f>IF(T_T134111213141516171819202122232425262728293031323335363738394041424344454647484950515253545556575859606162636465[[#This Row],[Total]]&lt;0,T_T134111213141516171819202122232425262728293031323335363738394041424344454647484950515253545556575859606162636465[[#This Row],[Total]]*-1,0)</f>
        <v>0</v>
      </c>
      <c r="J27" s="320"/>
    </row>
    <row r="28" spans="1:10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182</v>
      </c>
      <c r="I28" s="309">
        <f>IF(T_T134111213141516171819202122232425262728293031323335363738394041424344454647484950515253545556575859606162636465[[#This Row],[Total]]&lt;0,T_T134111213141516171819202122232425262728293031323335363738394041424344454647484950515253545556575859606162636465[[#This Row],[Total]]*-1,0)</f>
        <v>0</v>
      </c>
      <c r="J28" s="320"/>
    </row>
    <row r="29" spans="1:10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182</v>
      </c>
      <c r="I29" s="309">
        <f>IF(T_T134111213141516171819202122232425262728293031323335363738394041424344454647484950515253545556575859606162636465[[#This Row],[Total]]&lt;0,T_T134111213141516171819202122232425262728293031323335363738394041424344454647484950515253545556575859606162636465[[#This Row],[Total]]*-1,0)</f>
        <v>0</v>
      </c>
      <c r="J29" s="320"/>
    </row>
    <row r="30" spans="1:10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182</v>
      </c>
      <c r="I30" s="309">
        <f>IF(T_T134111213141516171819202122232425262728293031323335363738394041424344454647484950515253545556575859606162636465[[#This Row],[Total]]&lt;0,T_T134111213141516171819202122232425262728293031323335363738394041424344454647484950515253545556575859606162636465[[#This Row],[Total]]*-1,0)</f>
        <v>0</v>
      </c>
      <c r="J30" s="320"/>
    </row>
    <row r="31" spans="1:10" x14ac:dyDescent="0.3">
      <c r="A31" s="9">
        <v>45930</v>
      </c>
      <c r="B31" s="3" t="s">
        <v>546</v>
      </c>
      <c r="C31" s="443"/>
      <c r="D31" s="444"/>
      <c r="E31" s="444"/>
      <c r="F31" s="444"/>
      <c r="G31" s="230">
        <f t="shared" si="0"/>
        <v>0</v>
      </c>
      <c r="H31" s="233">
        <f t="shared" si="1"/>
        <v>182</v>
      </c>
      <c r="I31" s="430">
        <f>IF(T_T134111213141516171819202122232425262728293031323335363738394041424344454647484950515253545556575859606162636465[[#This Row],[Total]]&lt;0,T_T134111213141516171819202122232425262728293031323335363738394041424344454647484950515253545556575859606162636465[[#This Row],[Total]]*-1,0)</f>
        <v>0</v>
      </c>
      <c r="J31" s="427"/>
    </row>
    <row r="32" spans="1:10" x14ac:dyDescent="0.3">
      <c r="A32" s="9"/>
      <c r="B32" s="3" t="s">
        <v>547</v>
      </c>
      <c r="C32" s="443"/>
      <c r="D32" s="444"/>
      <c r="E32" s="444"/>
      <c r="F32" s="444"/>
      <c r="G32" s="230">
        <f t="shared" si="0"/>
        <v>0</v>
      </c>
      <c r="H32" s="233">
        <f t="shared" si="1"/>
        <v>182</v>
      </c>
      <c r="I32" s="430">
        <f>IF(T_T134111213141516171819202122232425262728293031323335363738394041424344454647484950515253545556575859606162636465[[#This Row],[Total]]&lt;0,T_T134111213141516171819202122232425262728293031323335363738394041424344454647484950515253545556575859606162636465[[#This Row],[Total]]*-1,0)</f>
        <v>0</v>
      </c>
      <c r="J32" s="427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182</v>
      </c>
      <c r="I33" s="309">
        <f>IF(T_T134111213141516171819202122232425262728293031323335363738394041424344454647484950515253545556575859606162636465[[#This Row],[Total]]&lt;0,T_T134111213141516171819202122232425262728293031323335363738394041424344454647484950515253545556575859606162636465[[#This Row],[Total]]*-1,0)</f>
        <v>0</v>
      </c>
      <c r="J33" s="320"/>
    </row>
    <row r="34" spans="1:10" x14ac:dyDescent="0.3">
      <c r="A34" s="9"/>
      <c r="B34" s="3" t="s">
        <v>549</v>
      </c>
      <c r="C34" s="6"/>
      <c r="D34" s="230"/>
      <c r="E34" s="230"/>
      <c r="F34" s="230"/>
      <c r="G34" s="230">
        <f t="shared" si="0"/>
        <v>0</v>
      </c>
      <c r="H34" s="233">
        <f t="shared" si="1"/>
        <v>182</v>
      </c>
      <c r="I34" s="309">
        <f>IF(T_T134111213141516171819202122232425262728293031323335363738394041424344454647484950515253545556575859606162636465[[#This Row],[Total]]&lt;0,T_T134111213141516171819202122232425262728293031323335363738394041424344454647484950515253545556575859606162636465[[#This Row],[Total]]*-1,0)</f>
        <v>0</v>
      </c>
      <c r="J34" s="320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182</v>
      </c>
      <c r="I35" s="309">
        <f>IF(T_T134111213141516171819202122232425262728293031323335363738394041424344454647484950515253545556575859606162636465[[#This Row],[Total]]&lt;0,T_T134111213141516171819202122232425262728293031323335363738394041424344454647484950515253545556575859606162636465[[#This Row],[Total]]*-1,0)</f>
        <v>0</v>
      </c>
      <c r="J35" s="320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182</v>
      </c>
      <c r="I36" s="309">
        <f>IF(T_T134111213141516171819202122232425262728293031323335363738394041424344454647484950515253545556575859606162636465[[#This Row],[Total]]&lt;0,T_T134111213141516171819202122232425262728293031323335363738394041424344454647484950515253545556575859606162636465[[#This Row],[Total]]*-1,0)</f>
        <v>0</v>
      </c>
      <c r="J36" s="320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182</v>
      </c>
      <c r="I37" s="309">
        <f>IF(T_T134111213141516171819202122232425262728293031323335363738394041424344454647484950515253545556575859606162636465[[#This Row],[Total]]&lt;0,T_T134111213141516171819202122232425262728293031323335363738394041424344454647484950515253545556575859606162636465[[#This Row],[Total]]*-1,0)</f>
        <v>0</v>
      </c>
      <c r="J37" s="320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182</v>
      </c>
      <c r="I38" s="309">
        <f>IF(T_T134111213141516171819202122232425262728293031323335363738394041424344454647484950515253545556575859606162636465[[#This Row],[Total]]&lt;0,T_T134111213141516171819202122232425262728293031323335363738394041424344454647484950515253545556575859606162636465[[#This Row],[Total]]*-1,0)</f>
        <v>0</v>
      </c>
      <c r="J38" s="320"/>
    </row>
    <row r="39" spans="1:10" x14ac:dyDescent="0.3">
      <c r="A39" s="107"/>
      <c r="B39" s="82"/>
      <c r="C39" s="229"/>
      <c r="D39" s="230"/>
      <c r="E39" s="230"/>
      <c r="F39" s="230"/>
      <c r="G39" s="230">
        <f t="shared" si="0"/>
        <v>0</v>
      </c>
      <c r="H39" s="233">
        <f t="shared" si="1"/>
        <v>182</v>
      </c>
      <c r="I39" s="309">
        <f>IF(T_T134111213141516171819202122232425262728293031323335363738394041424344454647484950515253545556575859606162636465[[#This Row],[Total]]&lt;0,T_T134111213141516171819202122232425262728293031323335363738394041424344454647484950515253545556575859606162636465[[#This Row],[Total]]*-1,0)</f>
        <v>0</v>
      </c>
      <c r="J39" s="320"/>
    </row>
    <row r="40" spans="1:10" x14ac:dyDescent="0.3">
      <c r="A40" s="107"/>
      <c r="B40" s="82"/>
      <c r="C40" s="229"/>
      <c r="D40" s="230"/>
      <c r="E40" s="230"/>
      <c r="F40" s="230"/>
      <c r="G40" s="230">
        <f t="shared" si="0"/>
        <v>0</v>
      </c>
      <c r="H40" s="233">
        <f t="shared" si="1"/>
        <v>182</v>
      </c>
      <c r="I40" s="353">
        <f>IF(T_T134111213141516171819202122232425262728293031323335363738394041424344454647484950515253545556575859606162636465[[#This Row],[Total]]&lt;0,T_T134111213141516171819202122232425262728293031323335363738394041424344454647484950515253545556575859606162636465[[#This Row],[Total]]*-1,0)</f>
        <v>0</v>
      </c>
      <c r="J40" s="355"/>
    </row>
    <row r="41" spans="1:10" x14ac:dyDescent="0.3">
      <c r="A41" s="170"/>
      <c r="B41" s="18"/>
      <c r="C41" s="229"/>
      <c r="D41" s="230"/>
      <c r="E41" s="230"/>
      <c r="F41" s="230"/>
      <c r="G41" s="230">
        <f>SUM(D41:F48)</f>
        <v>0</v>
      </c>
      <c r="H41" s="233">
        <f t="shared" si="1"/>
        <v>182</v>
      </c>
      <c r="I41" s="353">
        <f>IF(T_T134111213141516171819202122232425262728293031323335363738394041424344454647484950515253545556575859606162636465[[#This Row],[Total]]&lt;0,T_T134111213141516171819202122232425262728293031323335363738394041424344454647484950515253545556575859606162636465[[#This Row],[Total]]*-1,0)</f>
        <v>0</v>
      </c>
      <c r="J41" s="355"/>
    </row>
    <row r="42" spans="1:10" x14ac:dyDescent="0.3">
      <c r="A42" s="107"/>
      <c r="B42" s="82"/>
      <c r="C42" s="229"/>
      <c r="D42" s="230"/>
      <c r="E42" s="230"/>
      <c r="F42" s="230"/>
      <c r="G42" s="230">
        <f>SUM(D42:F49)</f>
        <v>0</v>
      </c>
      <c r="H42" s="233">
        <f t="shared" si="1"/>
        <v>182</v>
      </c>
      <c r="I42" s="353">
        <f>IF(T_T134111213141516171819202122232425262728293031323335363738394041424344454647484950515253545556575859606162636465[[#This Row],[Total]]&lt;0,T_T134111213141516171819202122232425262728293031323335363738394041424344454647484950515253545556575859606162636465[[#This Row],[Total]]*-1,0)</f>
        <v>0</v>
      </c>
      <c r="J42" s="355"/>
    </row>
    <row r="43" spans="1:10" x14ac:dyDescent="0.3">
      <c r="A43" s="17"/>
      <c r="B43" s="18"/>
      <c r="C43" s="466"/>
      <c r="D43" s="467"/>
      <c r="E43" s="467"/>
      <c r="F43" s="467"/>
      <c r="G43" s="467"/>
      <c r="H43" s="486"/>
      <c r="I43" s="475"/>
      <c r="J43" s="480"/>
    </row>
  </sheetData>
  <hyperlinks>
    <hyperlink ref="B7" r:id="rId1" display="jose.orozco@outlook.com"/>
    <hyperlink ref="H7" location="Resumen!A1" display="Rsumen         "/>
  </hyperlinks>
  <pageMargins left="0.70866141732283472" right="0.47244094488188981" top="0.78740157480314965" bottom="0.74803149606299213" header="0.31496062992125984" footer="0.31496062992125984"/>
  <pageSetup scale="70" orientation="portrait" verticalDpi="360" r:id="rId2"/>
  <drawing r:id="rId3"/>
  <tableParts count="1">
    <tablePart r:id="rId4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I113"/>
  <sheetViews>
    <sheetView showGridLines="0" topLeftCell="A8" zoomScale="98" zoomScaleNormal="98" workbookViewId="0">
      <selection activeCell="D24" sqref="D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</cols>
  <sheetData>
    <row r="2" spans="1:9" ht="15.6" x14ac:dyDescent="0.3">
      <c r="A2" s="27" t="s">
        <v>36</v>
      </c>
      <c r="B2" s="41" t="s">
        <v>114</v>
      </c>
    </row>
    <row r="3" spans="1:9" x14ac:dyDescent="0.3">
      <c r="A3" s="27" t="s">
        <v>31</v>
      </c>
      <c r="B3" s="28" t="s">
        <v>194</v>
      </c>
    </row>
    <row r="4" spans="1:9" x14ac:dyDescent="0.3">
      <c r="A4" s="27" t="s">
        <v>32</v>
      </c>
      <c r="B4" s="28" t="e">
        <f>LOOKUP(B2,#REF!,#REF!)</f>
        <v>#REF!</v>
      </c>
    </row>
    <row r="5" spans="1:9" x14ac:dyDescent="0.3">
      <c r="A5" s="27" t="s">
        <v>33</v>
      </c>
      <c r="B5" s="28" t="e">
        <f>LOOKUP(B2,#REF!,#REF!)</f>
        <v>#REF!</v>
      </c>
    </row>
    <row r="6" spans="1:9" x14ac:dyDescent="0.3">
      <c r="A6" s="27" t="s">
        <v>34</v>
      </c>
      <c r="B6" s="28" t="e">
        <f>LOOKUP(B2,#REF!,#REF!)</f>
        <v>#REF!</v>
      </c>
      <c r="G6" s="25"/>
      <c r="H6" s="25"/>
    </row>
    <row r="7" spans="1:9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9" x14ac:dyDescent="0.3">
      <c r="A8" s="21"/>
      <c r="B8" s="21"/>
    </row>
    <row r="9" spans="1:9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9" x14ac:dyDescent="0.3">
      <c r="A10" s="288"/>
      <c r="B10" s="118" t="s">
        <v>431</v>
      </c>
      <c r="C10" s="284"/>
      <c r="D10" s="285"/>
      <c r="E10" s="285"/>
      <c r="F10" s="285"/>
      <c r="G10" s="285"/>
      <c r="H10" s="233"/>
      <c r="I10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11" spans="1:9" x14ac:dyDescent="0.3">
      <c r="A11" s="288"/>
      <c r="B11" s="118" t="s">
        <v>432</v>
      </c>
      <c r="C11" s="284"/>
      <c r="D11" s="285"/>
      <c r="E11" s="285"/>
      <c r="F11" s="285"/>
      <c r="G11" s="285"/>
      <c r="H11" s="10"/>
      <c r="I11" s="94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12" spans="1:9" x14ac:dyDescent="0.3">
      <c r="A12" s="117"/>
      <c r="B12" s="118" t="s">
        <v>467</v>
      </c>
      <c r="C12" s="424"/>
      <c r="D12" s="425"/>
      <c r="E12" s="425"/>
      <c r="F12" s="425"/>
      <c r="G12" s="425">
        <f>SUM(D12:F12)</f>
        <v>0</v>
      </c>
      <c r="H12" s="426">
        <f>H11+G12</f>
        <v>0</v>
      </c>
      <c r="I12" s="427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13" spans="1:9" x14ac:dyDescent="0.3">
      <c r="A13" s="288"/>
      <c r="B13" s="118" t="s">
        <v>502</v>
      </c>
      <c r="C13" s="289"/>
      <c r="D13" s="290"/>
      <c r="E13" s="290"/>
      <c r="F13" s="290"/>
      <c r="G13" s="290"/>
      <c r="H13" s="291"/>
      <c r="I13" s="94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14" spans="1:9" x14ac:dyDescent="0.3">
      <c r="A14" s="288"/>
      <c r="B14" s="118" t="s">
        <v>529</v>
      </c>
      <c r="C14" s="481"/>
      <c r="D14" s="482"/>
      <c r="E14" s="482"/>
      <c r="F14" s="482"/>
      <c r="G14" s="482">
        <f>SUM(D14:F14)</f>
        <v>0</v>
      </c>
      <c r="H14" s="484">
        <f>H13+G14</f>
        <v>0</v>
      </c>
      <c r="I14" s="47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15" spans="1:9" x14ac:dyDescent="0.3">
      <c r="A15" s="17">
        <v>45687</v>
      </c>
      <c r="B15" s="18" t="s">
        <v>530</v>
      </c>
      <c r="C15" s="6"/>
      <c r="D15" s="2">
        <v>210</v>
      </c>
      <c r="E15" s="2"/>
      <c r="F15" s="20"/>
      <c r="G15" s="20">
        <f>SUM(D15:F15)</f>
        <v>210</v>
      </c>
      <c r="H15" s="233">
        <f>+H13+T_T13411121314151617181920212223242526272829303132333536373839404142434445464748495051525354555657585960616263646566[[#This Row],[Total]]</f>
        <v>210</v>
      </c>
      <c r="I15" s="94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16" spans="1:9" x14ac:dyDescent="0.3">
      <c r="A16" s="17"/>
      <c r="B16" s="18" t="s">
        <v>531</v>
      </c>
      <c r="C16" s="6">
        <v>8632</v>
      </c>
      <c r="D16" s="2">
        <v>-210</v>
      </c>
      <c r="E16" s="2"/>
      <c r="F16" s="230"/>
      <c r="G16" s="230">
        <f t="shared" ref="G16:G38" si="0">SUM(D16:F16)</f>
        <v>-210</v>
      </c>
      <c r="H16" s="233">
        <f t="shared" ref="H16:H40" si="1">H15+G16</f>
        <v>0</v>
      </c>
      <c r="I16" s="94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210</v>
      </c>
    </row>
    <row r="17" spans="1:9" x14ac:dyDescent="0.3">
      <c r="A17" s="164">
        <v>45715</v>
      </c>
      <c r="B17" s="161" t="s">
        <v>532</v>
      </c>
      <c r="C17" s="6"/>
      <c r="D17" s="2">
        <v>210</v>
      </c>
      <c r="E17" s="2"/>
      <c r="F17" s="230"/>
      <c r="G17" s="230">
        <f t="shared" si="0"/>
        <v>210</v>
      </c>
      <c r="H17" s="233">
        <f t="shared" si="1"/>
        <v>210</v>
      </c>
      <c r="I17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18" spans="1:9" x14ac:dyDescent="0.3">
      <c r="A18" s="187"/>
      <c r="B18" s="18" t="s">
        <v>533</v>
      </c>
      <c r="C18" s="6"/>
      <c r="D18" s="2"/>
      <c r="E18" s="2"/>
      <c r="F18" s="230"/>
      <c r="G18" s="230">
        <f t="shared" si="0"/>
        <v>0</v>
      </c>
      <c r="H18" s="233">
        <f t="shared" si="1"/>
        <v>210</v>
      </c>
      <c r="I18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19" spans="1:9" x14ac:dyDescent="0.3">
      <c r="A19" s="188">
        <v>45747</v>
      </c>
      <c r="B19" s="3" t="s">
        <v>534</v>
      </c>
      <c r="C19" s="6"/>
      <c r="D19" s="2">
        <v>251</v>
      </c>
      <c r="E19" s="2"/>
      <c r="F19" s="230"/>
      <c r="G19" s="230">
        <f t="shared" si="0"/>
        <v>251</v>
      </c>
      <c r="H19" s="233">
        <f t="shared" si="1"/>
        <v>461</v>
      </c>
      <c r="I19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20" spans="1:9" x14ac:dyDescent="0.3">
      <c r="A20" s="188"/>
      <c r="B20" s="82" t="s">
        <v>535</v>
      </c>
      <c r="C20" s="6"/>
      <c r="D20" s="2"/>
      <c r="E20" s="2"/>
      <c r="F20" s="230"/>
      <c r="G20" s="230">
        <f t="shared" si="0"/>
        <v>0</v>
      </c>
      <c r="H20" s="233">
        <f t="shared" si="1"/>
        <v>461</v>
      </c>
      <c r="I20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21" spans="1:9" x14ac:dyDescent="0.3">
      <c r="A21" s="188">
        <v>45777</v>
      </c>
      <c r="B21" s="3" t="s">
        <v>536</v>
      </c>
      <c r="C21" s="6"/>
      <c r="D21" s="2">
        <v>251</v>
      </c>
      <c r="E21" s="2"/>
      <c r="F21" s="230"/>
      <c r="G21" s="230">
        <f t="shared" si="0"/>
        <v>251</v>
      </c>
      <c r="H21" s="233">
        <f t="shared" si="1"/>
        <v>712</v>
      </c>
      <c r="I21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22" spans="1:9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712</v>
      </c>
      <c r="I22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23" spans="1:9" x14ac:dyDescent="0.3">
      <c r="A23" s="40">
        <v>45807</v>
      </c>
      <c r="B23" s="3" t="s">
        <v>538</v>
      </c>
      <c r="C23" s="229"/>
      <c r="D23" s="230">
        <v>251</v>
      </c>
      <c r="E23" s="230"/>
      <c r="F23" s="230"/>
      <c r="G23" s="230">
        <f t="shared" si="0"/>
        <v>251</v>
      </c>
      <c r="H23" s="233">
        <f t="shared" si="1"/>
        <v>963</v>
      </c>
      <c r="I23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24" spans="1:9" ht="15.75" customHeight="1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963</v>
      </c>
      <c r="I24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25" spans="1:9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963</v>
      </c>
      <c r="I25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26" spans="1:9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963</v>
      </c>
      <c r="I26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27" spans="1:9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963</v>
      </c>
      <c r="I27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28" spans="1:9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963</v>
      </c>
      <c r="I28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29" spans="1:9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963</v>
      </c>
      <c r="I29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30" spans="1:9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963</v>
      </c>
      <c r="I30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31" spans="1:9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963</v>
      </c>
      <c r="I31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32" spans="1:9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963</v>
      </c>
      <c r="I32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33" spans="1:9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963</v>
      </c>
      <c r="I33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34" spans="1:9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963</v>
      </c>
      <c r="I34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35" spans="1:9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963</v>
      </c>
      <c r="I35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36" spans="1:9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963</v>
      </c>
      <c r="I36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37" spans="1:9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963</v>
      </c>
      <c r="I37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38" spans="1:9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963</v>
      </c>
      <c r="I38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39" spans="1:9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963</v>
      </c>
      <c r="I39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40" spans="1:9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963</v>
      </c>
      <c r="I40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41" spans="1:9" x14ac:dyDescent="0.3">
      <c r="A41" s="170"/>
      <c r="B41" s="18"/>
      <c r="C41" s="6"/>
      <c r="D41" s="2"/>
      <c r="E41" s="2"/>
      <c r="F41" s="2"/>
      <c r="G41" s="177"/>
      <c r="H41" s="282"/>
      <c r="I41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42" spans="1:9" x14ac:dyDescent="0.3">
      <c r="A42" s="17"/>
      <c r="B42" s="18"/>
      <c r="C42" s="6"/>
      <c r="D42" s="2"/>
      <c r="E42" s="2"/>
      <c r="F42" s="2"/>
      <c r="G42" s="177"/>
      <c r="H42" s="282"/>
      <c r="I42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43" spans="1:9" x14ac:dyDescent="0.3">
      <c r="A43" s="164"/>
      <c r="B43" s="161"/>
      <c r="C43" s="6"/>
      <c r="D43" s="2"/>
      <c r="E43" s="2"/>
      <c r="F43" s="2"/>
      <c r="G43" s="177"/>
      <c r="H43" s="282"/>
      <c r="I43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44" spans="1:9" x14ac:dyDescent="0.3">
      <c r="A44" s="185"/>
      <c r="B44" s="3"/>
      <c r="C44" s="6"/>
      <c r="D44" s="2"/>
      <c r="E44" s="2"/>
      <c r="F44" s="2"/>
      <c r="G44" s="177"/>
      <c r="H44" s="282"/>
      <c r="I44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45" spans="1:9" x14ac:dyDescent="0.3">
      <c r="A45" s="188"/>
      <c r="B45" s="3"/>
      <c r="C45" s="229"/>
      <c r="D45" s="31"/>
      <c r="E45" s="31"/>
      <c r="F45" s="7"/>
      <c r="G45" s="31"/>
      <c r="H45" s="10"/>
      <c r="I45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46" spans="1:9" x14ac:dyDescent="0.3">
      <c r="A46" s="188"/>
      <c r="B46" s="82"/>
      <c r="C46" s="253"/>
      <c r="D46" s="33"/>
      <c r="E46" s="33"/>
      <c r="F46" s="7"/>
      <c r="G46" s="33"/>
      <c r="H46" s="10"/>
      <c r="I46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47" spans="1:9" x14ac:dyDescent="0.3">
      <c r="A47" s="188"/>
      <c r="B47" s="3"/>
      <c r="C47" s="253"/>
      <c r="D47" s="33"/>
      <c r="E47" s="33"/>
      <c r="F47" s="7"/>
      <c r="G47" s="33"/>
      <c r="H47" s="10"/>
      <c r="I47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48" spans="1:9" x14ac:dyDescent="0.3">
      <c r="A48" s="83"/>
      <c r="B48" s="82"/>
      <c r="C48" s="253"/>
      <c r="D48" s="37"/>
      <c r="E48" s="37"/>
      <c r="F48" s="37"/>
      <c r="G48" s="37"/>
      <c r="H48" s="10"/>
      <c r="I48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49" spans="1:9" x14ac:dyDescent="0.3">
      <c r="A49" s="40"/>
      <c r="B49" s="18"/>
      <c r="C49" s="36"/>
      <c r="D49" s="37"/>
      <c r="E49" s="37"/>
      <c r="F49" s="37"/>
      <c r="G49" s="37"/>
      <c r="H49" s="10"/>
      <c r="I49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50" spans="1:9" x14ac:dyDescent="0.3">
      <c r="A50" s="17"/>
      <c r="B50" s="3"/>
      <c r="C50" s="36"/>
      <c r="D50" s="37"/>
      <c r="E50" s="37"/>
      <c r="F50" s="37"/>
      <c r="G50" s="37"/>
      <c r="H50" s="10"/>
      <c r="I50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51" spans="1:9" x14ac:dyDescent="0.3">
      <c r="A51" s="9"/>
      <c r="B51" s="18"/>
      <c r="C51" s="38"/>
      <c r="D51" s="39"/>
      <c r="E51" s="39"/>
      <c r="F51" s="39"/>
      <c r="G51" s="39"/>
      <c r="H51" s="10"/>
      <c r="I51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52" spans="1:9" x14ac:dyDescent="0.3">
      <c r="A52" s="17"/>
      <c r="B52" s="3"/>
      <c r="C52" s="6"/>
      <c r="D52" s="7"/>
      <c r="E52" s="7"/>
      <c r="F52" s="7"/>
      <c r="G52" s="7"/>
      <c r="H52" s="10"/>
      <c r="I52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53" spans="1:9" x14ac:dyDescent="0.3">
      <c r="A53" s="9"/>
      <c r="B53" s="18"/>
      <c r="C53" s="6"/>
      <c r="D53" s="7"/>
      <c r="E53" s="7"/>
      <c r="F53" s="7"/>
      <c r="G53" s="7"/>
      <c r="H53" s="10"/>
      <c r="I53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54" spans="1:9" x14ac:dyDescent="0.3">
      <c r="A54" s="17"/>
      <c r="B54" s="3"/>
      <c r="C54" s="6"/>
      <c r="D54" s="7"/>
      <c r="E54" s="7"/>
      <c r="F54" s="7"/>
      <c r="G54" s="7"/>
      <c r="H54" s="10"/>
      <c r="I54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55" spans="1:9" x14ac:dyDescent="0.3">
      <c r="A55" s="9"/>
      <c r="B55" s="18"/>
      <c r="C55" s="19"/>
      <c r="D55" s="20"/>
      <c r="E55" s="20"/>
      <c r="F55" s="20"/>
      <c r="G55" s="20"/>
      <c r="H55" s="10"/>
      <c r="I55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56" spans="1:9" x14ac:dyDescent="0.3">
      <c r="A56" s="17"/>
      <c r="B56" s="3"/>
      <c r="C56" s="6"/>
      <c r="D56" s="7"/>
      <c r="E56" s="7"/>
      <c r="F56" s="7"/>
      <c r="G56" s="7"/>
      <c r="H56" s="10"/>
      <c r="I56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57" spans="1:9" x14ac:dyDescent="0.3">
      <c r="A57" s="17"/>
      <c r="B57" s="18"/>
      <c r="C57" s="19"/>
      <c r="D57" s="20"/>
      <c r="E57" s="20"/>
      <c r="F57" s="20"/>
      <c r="G57" s="20"/>
      <c r="H57" s="64"/>
      <c r="I57" s="6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58" spans="1:9" x14ac:dyDescent="0.3">
      <c r="A58" s="105"/>
      <c r="B58" s="82"/>
      <c r="C58" s="90"/>
      <c r="D58" s="7"/>
      <c r="E58" s="91"/>
      <c r="F58" s="91"/>
      <c r="G58" s="91"/>
      <c r="H58" s="92"/>
      <c r="I58" s="93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59" spans="1:9" x14ac:dyDescent="0.3">
      <c r="A59" s="17"/>
      <c r="B59" s="18"/>
      <c r="C59" s="98"/>
      <c r="D59" s="99"/>
      <c r="E59" s="99"/>
      <c r="F59" s="99"/>
      <c r="G59" s="99"/>
      <c r="H59" s="92"/>
      <c r="I59" s="89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60" spans="1:9" x14ac:dyDescent="0.3">
      <c r="A60" s="86"/>
      <c r="B60" s="3"/>
      <c r="C60" s="220"/>
      <c r="D60" s="221"/>
      <c r="E60" s="221"/>
      <c r="F60" s="221"/>
      <c r="G60" s="221"/>
      <c r="H60" s="92"/>
      <c r="I60" s="222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61" spans="1:9" x14ac:dyDescent="0.3">
      <c r="A61" s="9"/>
      <c r="B61" s="18"/>
      <c r="C61" s="220"/>
      <c r="D61" s="221"/>
      <c r="E61" s="221"/>
      <c r="F61" s="221"/>
      <c r="G61" s="221"/>
      <c r="H61" s="92"/>
      <c r="I61" s="222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62" spans="1:9" x14ac:dyDescent="0.3">
      <c r="A62" s="9"/>
      <c r="B62" s="18"/>
      <c r="C62" s="220"/>
      <c r="D62" s="221"/>
      <c r="E62" s="221"/>
      <c r="F62" s="221"/>
      <c r="G62" s="221"/>
      <c r="H62" s="92"/>
      <c r="I62" s="222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63" spans="1:9" x14ac:dyDescent="0.3">
      <c r="A63" s="9"/>
      <c r="B63" s="18"/>
      <c r="C63" s="220"/>
      <c r="D63" s="221"/>
      <c r="E63" s="221"/>
      <c r="F63" s="221"/>
      <c r="G63" s="221"/>
      <c r="H63" s="92"/>
      <c r="I63" s="222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64" spans="1:9" x14ac:dyDescent="0.3">
      <c r="A64" s="17"/>
      <c r="B64" s="18"/>
      <c r="C64" s="220"/>
      <c r="D64" s="221"/>
      <c r="E64" s="221"/>
      <c r="F64" s="221"/>
      <c r="G64" s="221"/>
      <c r="H64" s="92"/>
      <c r="I64" s="222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65" spans="1:9" x14ac:dyDescent="0.3">
      <c r="A65" s="17"/>
      <c r="B65" s="18"/>
      <c r="C65" s="220"/>
      <c r="D65" s="221"/>
      <c r="E65" s="221"/>
      <c r="F65" s="221"/>
      <c r="G65" s="221"/>
      <c r="H65" s="92"/>
      <c r="I65" s="222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66" spans="1:9" x14ac:dyDescent="0.3">
      <c r="A66" s="164"/>
      <c r="B66" s="161"/>
      <c r="C66" s="220"/>
      <c r="D66" s="221"/>
      <c r="E66" s="221"/>
      <c r="F66" s="221"/>
      <c r="G66" s="221"/>
      <c r="H66" s="92"/>
      <c r="I66" s="222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67" spans="1:9" x14ac:dyDescent="0.3">
      <c r="A67" s="165"/>
      <c r="B67" s="103"/>
      <c r="C67" s="220"/>
      <c r="D67" s="221"/>
      <c r="E67" s="221"/>
      <c r="F67" s="221"/>
      <c r="G67" s="221"/>
      <c r="H67" s="92"/>
      <c r="I67" s="222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68" spans="1:9" x14ac:dyDescent="0.3">
      <c r="A68" s="188"/>
      <c r="B68" s="3"/>
      <c r="C68" s="220"/>
      <c r="D68" s="221"/>
      <c r="E68" s="221"/>
      <c r="F68" s="221"/>
      <c r="G68" s="221"/>
      <c r="H68" s="92"/>
      <c r="I68" s="222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69" spans="1:9" x14ac:dyDescent="0.3">
      <c r="A69" s="188"/>
      <c r="B69" s="82"/>
      <c r="C69" s="220"/>
      <c r="D69" s="221"/>
      <c r="E69" s="221"/>
      <c r="F69" s="221"/>
      <c r="G69" s="221"/>
      <c r="H69" s="92"/>
      <c r="I69" s="222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70" spans="1:9" x14ac:dyDescent="0.3">
      <c r="A70" s="188"/>
      <c r="B70" s="3"/>
      <c r="C70" s="220"/>
      <c r="D70" s="221"/>
      <c r="E70" s="221"/>
      <c r="F70" s="221"/>
      <c r="G70" s="221"/>
      <c r="H70" s="92"/>
      <c r="I70" s="222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71" spans="1:9" x14ac:dyDescent="0.3">
      <c r="A71" s="83"/>
      <c r="B71" s="82"/>
      <c r="C71" s="220"/>
      <c r="D71" s="221"/>
      <c r="E71" s="221"/>
      <c r="F71" s="221"/>
      <c r="G71" s="221"/>
      <c r="H71" s="92"/>
      <c r="I71" s="222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72" spans="1:9" x14ac:dyDescent="0.3">
      <c r="A72" s="188"/>
      <c r="B72" s="3"/>
      <c r="C72" s="220"/>
      <c r="D72" s="221"/>
      <c r="E72" s="221"/>
      <c r="F72" s="221"/>
      <c r="G72" s="221"/>
      <c r="H72" s="92"/>
      <c r="I72" s="222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73" spans="1:9" x14ac:dyDescent="0.3">
      <c r="A73" s="107"/>
      <c r="B73" s="127"/>
      <c r="C73" s="220"/>
      <c r="D73" s="221"/>
      <c r="E73" s="221"/>
      <c r="F73" s="221"/>
      <c r="G73" s="221"/>
      <c r="H73" s="92"/>
      <c r="I73" s="222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74" spans="1:9" x14ac:dyDescent="0.3">
      <c r="A74" s="164"/>
      <c r="B74" s="3"/>
      <c r="C74" s="220"/>
      <c r="D74" s="221"/>
      <c r="E74" s="221"/>
      <c r="F74" s="221"/>
      <c r="G74" s="221"/>
      <c r="H74" s="92"/>
      <c r="I74" s="222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75" spans="1:9" x14ac:dyDescent="0.3">
      <c r="A75" s="107"/>
      <c r="B75" s="127"/>
      <c r="C75" s="220"/>
      <c r="D75" s="221"/>
      <c r="E75" s="221"/>
      <c r="F75" s="221"/>
      <c r="G75" s="221"/>
      <c r="H75" s="92"/>
      <c r="I75" s="222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76" spans="1:9" x14ac:dyDescent="0.3">
      <c r="A76" s="9"/>
      <c r="B76" s="3"/>
      <c r="C76" s="220"/>
      <c r="D76" s="221"/>
      <c r="E76" s="221"/>
      <c r="F76" s="221"/>
      <c r="G76" s="221"/>
      <c r="H76" s="92"/>
      <c r="I76" s="222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77" spans="1:9" x14ac:dyDescent="0.3">
      <c r="A77" s="9"/>
      <c r="B77" s="3"/>
      <c r="C77" s="220"/>
      <c r="D77" s="221"/>
      <c r="E77" s="221"/>
      <c r="F77" s="221"/>
      <c r="G77" s="221"/>
      <c r="H77" s="92"/>
      <c r="I77" s="222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78" spans="1:9" x14ac:dyDescent="0.3">
      <c r="A78" s="9"/>
      <c r="B78" s="3"/>
      <c r="C78" s="229"/>
      <c r="D78" s="230"/>
      <c r="E78" s="230"/>
      <c r="F78" s="230"/>
      <c r="G78" s="230"/>
      <c r="H78" s="233"/>
      <c r="I78" s="240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79" spans="1:9" x14ac:dyDescent="0.3">
      <c r="A79" s="9"/>
      <c r="B79" s="3"/>
      <c r="C79" s="229"/>
      <c r="D79" s="230"/>
      <c r="E79" s="230"/>
      <c r="F79" s="230"/>
      <c r="G79" s="230"/>
      <c r="H79" s="233"/>
      <c r="I79" s="240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80" spans="1:9" x14ac:dyDescent="0.3">
      <c r="A80" s="9"/>
      <c r="B80" s="3"/>
      <c r="C80" s="229"/>
      <c r="D80" s="230"/>
      <c r="E80" s="230"/>
      <c r="F80" s="230"/>
      <c r="G80" s="230"/>
      <c r="H80" s="233"/>
      <c r="I80" s="240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81" spans="1:9" x14ac:dyDescent="0.3">
      <c r="A81" s="9"/>
      <c r="B81" s="3"/>
      <c r="C81" s="229"/>
      <c r="D81" s="230"/>
      <c r="E81" s="230"/>
      <c r="F81" s="230"/>
      <c r="G81" s="230"/>
      <c r="H81" s="233"/>
      <c r="I81" s="240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82" spans="1:9" x14ac:dyDescent="0.3">
      <c r="A82" s="9"/>
      <c r="B82" s="3"/>
      <c r="C82" s="229"/>
      <c r="D82" s="230"/>
      <c r="E82" s="230"/>
      <c r="F82" s="230"/>
      <c r="G82" s="230"/>
      <c r="H82" s="233"/>
      <c r="I82" s="240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83" spans="1:9" x14ac:dyDescent="0.3">
      <c r="A83" s="9"/>
      <c r="B83" s="3"/>
      <c r="C83" s="229"/>
      <c r="D83" s="230"/>
      <c r="E83" s="230"/>
      <c r="F83" s="230"/>
      <c r="G83" s="230"/>
      <c r="H83" s="233"/>
      <c r="I83" s="240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84" spans="1:9" x14ac:dyDescent="0.3">
      <c r="A84" s="9"/>
      <c r="B84" s="3"/>
      <c r="C84" s="229"/>
      <c r="D84" s="230"/>
      <c r="E84" s="230"/>
      <c r="F84" s="230"/>
      <c r="G84" s="230"/>
      <c r="H84" s="233"/>
      <c r="I84" s="240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85" spans="1:9" x14ac:dyDescent="0.3">
      <c r="A85" s="17"/>
      <c r="B85" s="18"/>
      <c r="C85" s="229"/>
      <c r="D85" s="230"/>
      <c r="E85" s="230"/>
      <c r="F85" s="230"/>
      <c r="G85" s="230"/>
      <c r="H85" s="233"/>
      <c r="I85" s="240">
        <f>IF(T_T13411121314151617181920212223242526272829303132333536373839404142434445464748495051525354555657585960616263646566[[#This Row],[Total]]&lt;0,T_T13411121314151617181920212223242526272829303132333536373839404142434445464748495051525354555657585960616263646566[[#This Row],[Total]]*-1,0)</f>
        <v>0</v>
      </c>
    </row>
    <row r="86" spans="1:9" x14ac:dyDescent="0.3">
      <c r="A86" s="101"/>
      <c r="B86" s="82"/>
      <c r="C86" s="6"/>
      <c r="D86" s="2"/>
      <c r="E86" s="2"/>
      <c r="F86" s="2"/>
      <c r="G86" s="2"/>
      <c r="H86" s="80"/>
    </row>
    <row r="87" spans="1:9" x14ac:dyDescent="0.3">
      <c r="A87" s="102"/>
      <c r="B87" s="103"/>
      <c r="C87" s="6"/>
      <c r="D87" s="2"/>
      <c r="E87" s="2"/>
      <c r="F87" s="2"/>
      <c r="G87" s="2"/>
      <c r="H87" s="80"/>
    </row>
    <row r="88" spans="1:9" x14ac:dyDescent="0.3">
      <c r="A88" s="3"/>
      <c r="B88" s="3"/>
      <c r="C88" s="6"/>
      <c r="D88" s="2"/>
      <c r="E88" s="2"/>
      <c r="F88" s="2"/>
      <c r="G88" s="2"/>
      <c r="H88" s="80"/>
    </row>
    <row r="89" spans="1:9" x14ac:dyDescent="0.3">
      <c r="A89" s="3"/>
      <c r="B89" s="127"/>
      <c r="C89" s="6"/>
      <c r="D89" s="2"/>
      <c r="E89" s="2"/>
      <c r="F89" s="2"/>
      <c r="G89" s="2"/>
      <c r="H89" s="80"/>
    </row>
    <row r="90" spans="1:9" x14ac:dyDescent="0.3">
      <c r="A90" s="83"/>
      <c r="B90" s="127"/>
      <c r="C90" s="108"/>
      <c r="D90" s="109"/>
      <c r="E90" s="109"/>
      <c r="F90" s="109"/>
      <c r="G90" s="109"/>
      <c r="H90" s="80"/>
    </row>
    <row r="91" spans="1:9" x14ac:dyDescent="0.3">
      <c r="A91" s="164"/>
      <c r="B91" s="161"/>
      <c r="C91" s="167"/>
      <c r="D91" s="168"/>
      <c r="E91" s="168"/>
      <c r="F91" s="168"/>
      <c r="G91" s="168"/>
      <c r="H91" s="80"/>
    </row>
    <row r="92" spans="1:9" x14ac:dyDescent="0.3">
      <c r="A92" s="83"/>
      <c r="B92" s="127"/>
      <c r="C92" s="108"/>
      <c r="D92" s="109"/>
      <c r="E92" s="109"/>
      <c r="F92" s="109"/>
      <c r="G92" s="109"/>
      <c r="H92" s="80"/>
    </row>
    <row r="93" spans="1:9" x14ac:dyDescent="0.3">
      <c r="A93" s="165"/>
      <c r="B93" s="103"/>
      <c r="C93" s="183"/>
      <c r="D93" s="184"/>
      <c r="E93" s="184"/>
      <c r="F93" s="184"/>
      <c r="G93" s="184"/>
      <c r="H93" s="80"/>
    </row>
    <row r="94" spans="1:9" x14ac:dyDescent="0.3">
      <c r="A94" s="188"/>
      <c r="B94" s="3"/>
      <c r="C94" s="6"/>
      <c r="D94" s="2"/>
      <c r="E94" s="2"/>
      <c r="F94" s="2"/>
      <c r="G94" s="2"/>
      <c r="H94" s="80"/>
    </row>
    <row r="95" spans="1:9" x14ac:dyDescent="0.3">
      <c r="A95" s="188"/>
      <c r="B95" s="82"/>
      <c r="C95" s="6"/>
      <c r="D95" s="2"/>
      <c r="E95" s="2"/>
      <c r="F95" s="2"/>
      <c r="G95" s="2"/>
      <c r="H95" s="80"/>
    </row>
    <row r="96" spans="1:9" x14ac:dyDescent="0.3">
      <c r="A96" s="188"/>
      <c r="B96" s="3"/>
      <c r="C96" s="6"/>
      <c r="D96" s="2"/>
      <c r="E96" s="2"/>
      <c r="F96" s="2"/>
      <c r="G96" s="2"/>
      <c r="H96" s="80"/>
    </row>
    <row r="97" spans="1:8" x14ac:dyDescent="0.3">
      <c r="A97" s="83"/>
      <c r="B97" s="82"/>
      <c r="C97" s="6"/>
      <c r="D97" s="2"/>
      <c r="E97" s="2"/>
      <c r="F97" s="2"/>
      <c r="G97" s="2"/>
      <c r="H97" s="80"/>
    </row>
    <row r="98" spans="1:8" x14ac:dyDescent="0.3">
      <c r="A98" s="188"/>
      <c r="B98" s="3"/>
      <c r="C98" s="6"/>
      <c r="D98" s="2"/>
      <c r="E98" s="2"/>
      <c r="F98" s="2"/>
      <c r="G98" s="2"/>
      <c r="H98" s="80"/>
    </row>
    <row r="99" spans="1:8" x14ac:dyDescent="0.3">
      <c r="A99" s="107"/>
      <c r="B99" s="127"/>
      <c r="C99" s="6"/>
      <c r="D99" s="2"/>
      <c r="E99" s="2"/>
      <c r="F99" s="2"/>
      <c r="G99" s="2"/>
      <c r="H99" s="80"/>
    </row>
    <row r="100" spans="1:8" x14ac:dyDescent="0.3">
      <c r="A100" s="164"/>
      <c r="B100" s="3"/>
      <c r="C100" s="6"/>
      <c r="D100" s="2"/>
      <c r="E100" s="2"/>
      <c r="F100" s="2"/>
      <c r="G100" s="2"/>
      <c r="H100" s="80"/>
    </row>
    <row r="101" spans="1:8" x14ac:dyDescent="0.3">
      <c r="A101" s="107"/>
      <c r="B101" s="127"/>
      <c r="C101" s="6"/>
      <c r="D101" s="2"/>
      <c r="E101" s="2"/>
      <c r="F101" s="2"/>
      <c r="G101" s="2"/>
      <c r="H101" s="80"/>
    </row>
    <row r="102" spans="1:8" x14ac:dyDescent="0.3">
      <c r="A102" s="107"/>
      <c r="B102" s="82"/>
      <c r="C102" s="176"/>
      <c r="D102" s="177"/>
      <c r="E102" s="177"/>
      <c r="F102" s="177"/>
      <c r="G102" s="177"/>
      <c r="H102" s="80"/>
    </row>
    <row r="103" spans="1:8" x14ac:dyDescent="0.3">
      <c r="A103" s="188"/>
      <c r="B103" s="3"/>
      <c r="C103" s="6"/>
      <c r="D103" s="7"/>
      <c r="E103" s="7"/>
      <c r="F103" s="7"/>
      <c r="G103" s="7"/>
      <c r="H103" s="217"/>
    </row>
    <row r="104" spans="1:8" x14ac:dyDescent="0.3">
      <c r="A104" s="107"/>
      <c r="B104" s="82"/>
      <c r="C104" s="176"/>
      <c r="D104" s="177"/>
      <c r="E104" s="177"/>
      <c r="F104" s="177"/>
      <c r="G104" s="177"/>
      <c r="H104" s="216"/>
    </row>
    <row r="105" spans="1:8" x14ac:dyDescent="0.3">
      <c r="A105" s="188"/>
      <c r="B105" s="3"/>
      <c r="C105" s="6"/>
      <c r="D105" s="7"/>
      <c r="E105" s="7"/>
      <c r="F105" s="7"/>
      <c r="G105" s="7"/>
      <c r="H105" s="217"/>
    </row>
    <row r="106" spans="1:8" x14ac:dyDescent="0.3">
      <c r="A106" s="107"/>
      <c r="B106" s="82"/>
      <c r="C106" s="176"/>
      <c r="D106" s="177"/>
      <c r="E106" s="177"/>
      <c r="F106" s="177"/>
      <c r="G106" s="177"/>
      <c r="H106" s="216"/>
    </row>
    <row r="107" spans="1:8" x14ac:dyDescent="0.3">
      <c r="A107" s="188"/>
      <c r="B107" s="3"/>
      <c r="C107" s="6"/>
      <c r="D107" s="7"/>
      <c r="E107" s="7"/>
      <c r="F107" s="7"/>
      <c r="G107" s="7"/>
      <c r="H107" s="217"/>
    </row>
    <row r="108" spans="1:8" x14ac:dyDescent="0.3">
      <c r="A108" s="107"/>
      <c r="B108" s="82"/>
      <c r="C108" s="176"/>
      <c r="D108" s="177"/>
      <c r="E108" s="177"/>
      <c r="F108" s="177"/>
      <c r="G108" s="177"/>
      <c r="H108" s="216"/>
    </row>
    <row r="109" spans="1:8" x14ac:dyDescent="0.3">
      <c r="A109" s="188"/>
      <c r="B109" s="3"/>
      <c r="C109" s="6"/>
      <c r="D109" s="7"/>
      <c r="E109" s="7"/>
      <c r="F109" s="7"/>
      <c r="G109" s="7"/>
      <c r="H109" s="217"/>
    </row>
    <row r="110" spans="1:8" x14ac:dyDescent="0.3">
      <c r="A110" s="107"/>
      <c r="B110" s="82"/>
      <c r="C110" s="176"/>
      <c r="D110" s="177"/>
      <c r="E110" s="177"/>
      <c r="F110" s="177"/>
      <c r="G110" s="177"/>
      <c r="H110" s="216"/>
    </row>
    <row r="111" spans="1:8" x14ac:dyDescent="0.3">
      <c r="A111" s="102"/>
      <c r="B111" s="103"/>
      <c r="C111" s="218"/>
      <c r="D111" s="113"/>
      <c r="E111" s="113"/>
      <c r="F111" s="113"/>
      <c r="G111" s="113"/>
      <c r="H111" s="80"/>
    </row>
    <row r="112" spans="1:8" x14ac:dyDescent="0.3">
      <c r="A112" s="188"/>
      <c r="B112" s="3"/>
      <c r="C112" s="169"/>
      <c r="D112" s="141"/>
      <c r="E112" s="141"/>
      <c r="F112" s="141"/>
      <c r="G112" s="2"/>
      <c r="H112" s="2"/>
    </row>
    <row r="113" spans="1:8" x14ac:dyDescent="0.3">
      <c r="A113" s="257"/>
      <c r="B113" s="110"/>
      <c r="C113" s="219"/>
      <c r="D113" s="111"/>
      <c r="E113" s="111"/>
      <c r="F113" s="111"/>
      <c r="G113" s="2"/>
      <c r="H113" s="2"/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scale="70" orientation="portrait" verticalDpi="360" r:id="rId2"/>
  <drawing r:id="rId3"/>
  <tableParts count="1">
    <tablePart r:id="rId4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I86"/>
  <sheetViews>
    <sheetView showGridLines="0" zoomScale="85" zoomScaleNormal="85" workbookViewId="0">
      <selection activeCell="D24" sqref="D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</cols>
  <sheetData>
    <row r="2" spans="1:9" ht="15.6" x14ac:dyDescent="0.3">
      <c r="A2" s="27" t="s">
        <v>36</v>
      </c>
      <c r="B2" s="41" t="s">
        <v>115</v>
      </c>
    </row>
    <row r="3" spans="1:9" x14ac:dyDescent="0.3">
      <c r="A3" s="27" t="s">
        <v>31</v>
      </c>
      <c r="B3" s="28" t="s">
        <v>195</v>
      </c>
    </row>
    <row r="4" spans="1:9" hidden="1" x14ac:dyDescent="0.3">
      <c r="A4" s="27" t="s">
        <v>32</v>
      </c>
      <c r="B4" s="28" t="e">
        <f>LOOKUP(B2,#REF!,#REF!)</f>
        <v>#REF!</v>
      </c>
    </row>
    <row r="5" spans="1:9" hidden="1" x14ac:dyDescent="0.3">
      <c r="A5" s="27" t="s">
        <v>33</v>
      </c>
      <c r="B5" s="28" t="e">
        <f>LOOKUP(B2,#REF!,#REF!)</f>
        <v>#REF!</v>
      </c>
    </row>
    <row r="6" spans="1:9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9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9" x14ac:dyDescent="0.3">
      <c r="A8" s="21"/>
      <c r="B8" s="21"/>
    </row>
    <row r="9" spans="1:9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9" x14ac:dyDescent="0.3">
      <c r="A10" s="288"/>
      <c r="B10" s="118" t="s">
        <v>431</v>
      </c>
      <c r="C10" s="284"/>
      <c r="D10" s="285"/>
      <c r="E10" s="285"/>
      <c r="F10" s="285"/>
      <c r="G10" s="285"/>
      <c r="H10" s="233"/>
      <c r="I10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11" spans="1:9" x14ac:dyDescent="0.3">
      <c r="A11" s="288"/>
      <c r="B11" s="118" t="s">
        <v>432</v>
      </c>
      <c r="C11" s="284"/>
      <c r="D11" s="285"/>
      <c r="E11" s="285"/>
      <c r="F11" s="285"/>
      <c r="G11" s="285"/>
      <c r="H11" s="10"/>
      <c r="I11" s="94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12" spans="1:9" x14ac:dyDescent="0.3">
      <c r="A12" s="117"/>
      <c r="B12" s="118" t="s">
        <v>467</v>
      </c>
      <c r="C12" s="424"/>
      <c r="D12" s="425"/>
      <c r="E12" s="425"/>
      <c r="F12" s="425"/>
      <c r="G12" s="425">
        <f>SUM(D12:F12)</f>
        <v>0</v>
      </c>
      <c r="H12" s="426">
        <f>H11+G12</f>
        <v>0</v>
      </c>
      <c r="I12" s="427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13" spans="1:9" x14ac:dyDescent="0.3">
      <c r="A13" s="288"/>
      <c r="B13" s="118" t="s">
        <v>502</v>
      </c>
      <c r="C13" s="289"/>
      <c r="D13" s="290"/>
      <c r="E13" s="290"/>
      <c r="F13" s="290"/>
      <c r="G13" s="290"/>
      <c r="H13" s="291"/>
      <c r="I13" s="94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14" spans="1:9" x14ac:dyDescent="0.3">
      <c r="A14" s="288"/>
      <c r="B14" s="118" t="s">
        <v>529</v>
      </c>
      <c r="C14" s="481"/>
      <c r="D14" s="482"/>
      <c r="E14" s="482"/>
      <c r="F14" s="482"/>
      <c r="G14" s="482">
        <f>SUM(D14:F14)</f>
        <v>0</v>
      </c>
      <c r="H14" s="484">
        <f>H13+G14</f>
        <v>0</v>
      </c>
      <c r="I14" s="47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15" spans="1:9" x14ac:dyDescent="0.3">
      <c r="A15" s="17">
        <v>46052</v>
      </c>
      <c r="B15" s="18" t="s">
        <v>590</v>
      </c>
      <c r="C15" s="6"/>
      <c r="D15" s="2">
        <v>230</v>
      </c>
      <c r="E15" s="2"/>
      <c r="F15" s="20"/>
      <c r="G15" s="20">
        <f>SUM(D15:F15)</f>
        <v>230</v>
      </c>
      <c r="H15" s="233">
        <f>+H13+T_T1341112131415161718192021222324252627282930313233353637383940414243444546474849505152535455565758596061626364656667[[#This Row],[Total]]</f>
        <v>230</v>
      </c>
      <c r="I15" s="94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16" spans="1:9" x14ac:dyDescent="0.3">
      <c r="A16" s="17"/>
      <c r="B16" s="18" t="s">
        <v>591</v>
      </c>
      <c r="C16" s="6">
        <v>8633</v>
      </c>
      <c r="D16" s="2">
        <v>-230</v>
      </c>
      <c r="E16" s="2"/>
      <c r="F16" s="230"/>
      <c r="G16" s="230">
        <f t="shared" ref="G16:G38" si="0">SUM(D16:F16)</f>
        <v>-230</v>
      </c>
      <c r="H16" s="233">
        <f t="shared" ref="H16:H40" si="1">H15+G16</f>
        <v>0</v>
      </c>
      <c r="I16" s="94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230</v>
      </c>
    </row>
    <row r="17" spans="1:9" x14ac:dyDescent="0.3">
      <c r="A17" s="164">
        <v>45715</v>
      </c>
      <c r="B17" s="161" t="s">
        <v>532</v>
      </c>
      <c r="C17" s="6"/>
      <c r="D17" s="2">
        <v>230</v>
      </c>
      <c r="E17" s="2"/>
      <c r="F17" s="230"/>
      <c r="G17" s="230">
        <f t="shared" si="0"/>
        <v>230</v>
      </c>
      <c r="H17" s="233">
        <f t="shared" si="1"/>
        <v>230</v>
      </c>
      <c r="I17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18" spans="1:9" x14ac:dyDescent="0.3">
      <c r="A18" s="187"/>
      <c r="B18" s="18" t="s">
        <v>533</v>
      </c>
      <c r="C18" s="6"/>
      <c r="D18" s="2"/>
      <c r="E18" s="2"/>
      <c r="F18" s="230"/>
      <c r="G18" s="230">
        <f t="shared" si="0"/>
        <v>0</v>
      </c>
      <c r="H18" s="233">
        <f t="shared" si="1"/>
        <v>230</v>
      </c>
      <c r="I18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19" spans="1:9" x14ac:dyDescent="0.3">
      <c r="A19" s="188">
        <v>45747</v>
      </c>
      <c r="B19" s="3" t="s">
        <v>534</v>
      </c>
      <c r="C19" s="6"/>
      <c r="D19" s="2">
        <v>273</v>
      </c>
      <c r="E19" s="2"/>
      <c r="F19" s="230"/>
      <c r="G19" s="230">
        <f t="shared" si="0"/>
        <v>273</v>
      </c>
      <c r="H19" s="233">
        <f t="shared" si="1"/>
        <v>503</v>
      </c>
      <c r="I19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20" spans="1:9" x14ac:dyDescent="0.3">
      <c r="A20" s="188"/>
      <c r="B20" s="82" t="s">
        <v>535</v>
      </c>
      <c r="C20" s="6"/>
      <c r="D20" s="2"/>
      <c r="E20" s="2"/>
      <c r="F20" s="230"/>
      <c r="G20" s="230">
        <f t="shared" si="0"/>
        <v>0</v>
      </c>
      <c r="H20" s="233">
        <f t="shared" si="1"/>
        <v>503</v>
      </c>
      <c r="I20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21" spans="1:9" x14ac:dyDescent="0.3">
      <c r="A21" s="188">
        <v>45777</v>
      </c>
      <c r="B21" s="3" t="s">
        <v>536</v>
      </c>
      <c r="C21" s="6"/>
      <c r="D21" s="2">
        <v>273</v>
      </c>
      <c r="E21" s="2"/>
      <c r="F21" s="230"/>
      <c r="G21" s="230">
        <f t="shared" si="0"/>
        <v>273</v>
      </c>
      <c r="H21" s="233">
        <f t="shared" si="1"/>
        <v>776</v>
      </c>
      <c r="I21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22" spans="1:9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776</v>
      </c>
      <c r="I22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23" spans="1:9" ht="15.75" customHeight="1" x14ac:dyDescent="0.3">
      <c r="A23" s="40">
        <v>45807</v>
      </c>
      <c r="B23" s="3" t="s">
        <v>538</v>
      </c>
      <c r="C23" s="229"/>
      <c r="D23" s="230">
        <v>273</v>
      </c>
      <c r="E23" s="230"/>
      <c r="F23" s="230"/>
      <c r="G23" s="230">
        <f t="shared" si="0"/>
        <v>273</v>
      </c>
      <c r="H23" s="233">
        <f t="shared" si="1"/>
        <v>1049</v>
      </c>
      <c r="I23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24" spans="1:9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1049</v>
      </c>
      <c r="I24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25" spans="1:9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1049</v>
      </c>
      <c r="I25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26" spans="1:9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1049</v>
      </c>
      <c r="I26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27" spans="1:9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1049</v>
      </c>
      <c r="I27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28" spans="1:9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1049</v>
      </c>
      <c r="I28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29" spans="1:9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1049</v>
      </c>
      <c r="I29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30" spans="1:9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1049</v>
      </c>
      <c r="I30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31" spans="1:9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1049</v>
      </c>
      <c r="I31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32" spans="1:9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1049</v>
      </c>
      <c r="I32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33" spans="1:9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1049</v>
      </c>
      <c r="I33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34" spans="1:9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1049</v>
      </c>
      <c r="I34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35" spans="1:9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1049</v>
      </c>
      <c r="I35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36" spans="1:9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1049</v>
      </c>
      <c r="I36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37" spans="1:9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1049</v>
      </c>
      <c r="I37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38" spans="1:9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1049</v>
      </c>
      <c r="I38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39" spans="1:9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1049</v>
      </c>
      <c r="I39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40" spans="1:9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1049</v>
      </c>
      <c r="I40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41" spans="1:9" x14ac:dyDescent="0.3">
      <c r="A41" s="170"/>
      <c r="B41" s="18"/>
      <c r="C41" s="6"/>
      <c r="D41" s="2"/>
      <c r="E41" s="2"/>
      <c r="F41" s="2"/>
      <c r="G41" s="177"/>
      <c r="H41" s="282"/>
      <c r="I41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42" spans="1:9" x14ac:dyDescent="0.3">
      <c r="A42" s="17"/>
      <c r="B42" s="18"/>
      <c r="C42" s="6"/>
      <c r="D42" s="2"/>
      <c r="E42" s="2"/>
      <c r="F42" s="2"/>
      <c r="G42" s="177"/>
      <c r="H42" s="282"/>
      <c r="I42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43" spans="1:9" x14ac:dyDescent="0.3">
      <c r="A43" s="164"/>
      <c r="B43" s="161"/>
      <c r="C43" s="6"/>
      <c r="D43" s="2"/>
      <c r="E43" s="2"/>
      <c r="F43" s="2"/>
      <c r="G43" s="177"/>
      <c r="H43" s="282"/>
      <c r="I43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44" spans="1:9" x14ac:dyDescent="0.3">
      <c r="A44" s="185"/>
      <c r="B44" s="3"/>
      <c r="C44" s="6"/>
      <c r="D44" s="2"/>
      <c r="E44" s="2"/>
      <c r="F44" s="2"/>
      <c r="G44" s="177"/>
      <c r="H44" s="282"/>
      <c r="I44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45" spans="1:9" x14ac:dyDescent="0.3">
      <c r="A45" s="188"/>
      <c r="B45" s="3"/>
      <c r="C45" s="229"/>
      <c r="D45" s="33"/>
      <c r="E45" s="33"/>
      <c r="F45" s="7"/>
      <c r="G45" s="33"/>
      <c r="H45" s="10"/>
      <c r="I45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46" spans="1:9" x14ac:dyDescent="0.3">
      <c r="A46" s="188"/>
      <c r="B46" s="82"/>
      <c r="C46" s="253"/>
      <c r="D46" s="33"/>
      <c r="E46" s="33"/>
      <c r="F46" s="7"/>
      <c r="G46" s="33"/>
      <c r="H46" s="10"/>
      <c r="I46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47" spans="1:9" x14ac:dyDescent="0.3">
      <c r="A47" s="188"/>
      <c r="B47" s="3"/>
      <c r="C47" s="253"/>
      <c r="D47" s="37"/>
      <c r="E47" s="37"/>
      <c r="F47" s="37"/>
      <c r="G47" s="37"/>
      <c r="H47" s="10"/>
      <c r="I47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48" spans="1:9" x14ac:dyDescent="0.3">
      <c r="A48" s="83"/>
      <c r="B48" s="82"/>
      <c r="C48" s="253"/>
      <c r="D48" s="37"/>
      <c r="E48" s="37"/>
      <c r="F48" s="37"/>
      <c r="G48" s="37"/>
      <c r="H48" s="10"/>
      <c r="I48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49" spans="1:9" x14ac:dyDescent="0.3">
      <c r="A49" s="17"/>
      <c r="B49" s="3"/>
      <c r="C49" s="36"/>
      <c r="D49" s="37"/>
      <c r="E49" s="37"/>
      <c r="F49" s="37"/>
      <c r="G49" s="37"/>
      <c r="H49" s="10"/>
      <c r="I49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50" spans="1:9" x14ac:dyDescent="0.3">
      <c r="A50" s="9"/>
      <c r="B50" s="18"/>
      <c r="C50" s="38"/>
      <c r="D50" s="39"/>
      <c r="E50" s="39"/>
      <c r="F50" s="39"/>
      <c r="G50" s="39"/>
      <c r="H50" s="10"/>
      <c r="I50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51" spans="1:9" x14ac:dyDescent="0.3">
      <c r="A51" s="17"/>
      <c r="B51" s="3"/>
      <c r="C51" s="6"/>
      <c r="D51" s="7"/>
      <c r="E51" s="7"/>
      <c r="F51" s="7"/>
      <c r="G51" s="7"/>
      <c r="H51" s="10"/>
      <c r="I51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52" spans="1:9" x14ac:dyDescent="0.3">
      <c r="A52" s="9"/>
      <c r="B52" s="18"/>
      <c r="C52" s="6"/>
      <c r="D52" s="7"/>
      <c r="E52" s="7"/>
      <c r="F52" s="7"/>
      <c r="G52" s="7"/>
      <c r="H52" s="10"/>
      <c r="I52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53" spans="1:9" x14ac:dyDescent="0.3">
      <c r="A53" s="17"/>
      <c r="B53" s="3"/>
      <c r="C53" s="6"/>
      <c r="D53" s="7"/>
      <c r="E53" s="7"/>
      <c r="F53" s="7"/>
      <c r="G53" s="7"/>
      <c r="H53" s="10"/>
      <c r="I53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54" spans="1:9" x14ac:dyDescent="0.3">
      <c r="A54" s="9"/>
      <c r="B54" s="18"/>
      <c r="C54" s="19"/>
      <c r="D54" s="20"/>
      <c r="E54" s="20"/>
      <c r="F54" s="20"/>
      <c r="G54" s="20"/>
      <c r="H54" s="10"/>
      <c r="I54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55" spans="1:9" x14ac:dyDescent="0.3">
      <c r="A55" s="17"/>
      <c r="B55" s="3"/>
      <c r="C55" s="6"/>
      <c r="D55" s="7"/>
      <c r="E55" s="7"/>
      <c r="F55" s="7"/>
      <c r="G55" s="7"/>
      <c r="H55" s="10"/>
      <c r="I55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56" spans="1:9" x14ac:dyDescent="0.3">
      <c r="A56" s="17"/>
      <c r="B56" s="18"/>
      <c r="C56" s="19"/>
      <c r="D56" s="20"/>
      <c r="E56" s="20"/>
      <c r="F56" s="20"/>
      <c r="G56" s="20"/>
      <c r="H56" s="64"/>
      <c r="I56" s="6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57" spans="1:9" x14ac:dyDescent="0.3">
      <c r="A57" s="105"/>
      <c r="B57" s="82"/>
      <c r="C57" s="90"/>
      <c r="D57" s="91"/>
      <c r="E57" s="91"/>
      <c r="F57" s="91"/>
      <c r="G57" s="91"/>
      <c r="H57" s="92"/>
      <c r="I57" s="93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58" spans="1:9" x14ac:dyDescent="0.3">
      <c r="A58" s="17"/>
      <c r="B58" s="18"/>
      <c r="C58" s="98"/>
      <c r="D58" s="99"/>
      <c r="E58" s="99"/>
      <c r="F58" s="99"/>
      <c r="G58" s="91"/>
      <c r="H58" s="92"/>
      <c r="I58" s="89">
        <f>IF(T_T1341112131415161718192021222324252627282930313233353637383940414243444546474849505152535455565758596061626364656667[[#This Row],[Total]]&lt;0,T_T1341112131415161718192021222324252627282930313233353637383940414243444546474849505152535455565758596061626364656667[[#This Row],[Total]]*-1,0)</f>
        <v>0</v>
      </c>
    </row>
    <row r="59" spans="1:9" x14ac:dyDescent="0.3">
      <c r="A59" s="101"/>
      <c r="B59" s="82"/>
      <c r="C59" s="6"/>
      <c r="D59" s="2"/>
      <c r="E59" s="2"/>
      <c r="F59" s="2"/>
      <c r="G59" s="113"/>
      <c r="H59" s="80"/>
    </row>
    <row r="60" spans="1:9" x14ac:dyDescent="0.3">
      <c r="A60" s="102"/>
      <c r="B60" s="103"/>
      <c r="C60" s="6"/>
      <c r="D60" s="2"/>
      <c r="E60" s="2"/>
      <c r="F60" s="2"/>
      <c r="G60" s="113"/>
      <c r="H60" s="80"/>
    </row>
    <row r="61" spans="1:9" x14ac:dyDescent="0.3">
      <c r="A61" s="3"/>
      <c r="B61" s="3"/>
      <c r="C61" s="6"/>
      <c r="D61" s="2"/>
      <c r="E61" s="2"/>
      <c r="F61" s="2"/>
      <c r="G61" s="113"/>
      <c r="H61" s="80"/>
    </row>
    <row r="62" spans="1:9" x14ac:dyDescent="0.3">
      <c r="A62" s="3"/>
      <c r="B62" s="127"/>
      <c r="C62" s="6"/>
      <c r="D62" s="2"/>
      <c r="E62" s="2"/>
      <c r="F62" s="2"/>
      <c r="G62" s="113"/>
      <c r="H62" s="80"/>
    </row>
    <row r="63" spans="1:9" x14ac:dyDescent="0.3">
      <c r="A63" s="83"/>
      <c r="B63" s="127"/>
      <c r="C63" s="108"/>
      <c r="D63" s="109"/>
      <c r="E63" s="109"/>
      <c r="F63" s="109"/>
      <c r="G63" s="113"/>
      <c r="H63" s="80"/>
    </row>
    <row r="64" spans="1:9" x14ac:dyDescent="0.3">
      <c r="A64" s="164"/>
      <c r="B64" s="161"/>
      <c r="C64" s="167"/>
      <c r="D64" s="168"/>
      <c r="E64" s="168"/>
      <c r="F64" s="168"/>
      <c r="G64" s="113"/>
      <c r="H64" s="80"/>
    </row>
    <row r="65" spans="1:8" x14ac:dyDescent="0.3">
      <c r="A65" s="83"/>
      <c r="B65" s="127"/>
      <c r="C65" s="108"/>
      <c r="D65" s="109"/>
      <c r="E65" s="109"/>
      <c r="F65" s="109"/>
      <c r="G65" s="113"/>
      <c r="H65" s="80"/>
    </row>
    <row r="66" spans="1:8" x14ac:dyDescent="0.3">
      <c r="A66" s="165"/>
      <c r="B66" s="103"/>
      <c r="C66" s="183"/>
      <c r="D66" s="184"/>
      <c r="E66" s="184"/>
      <c r="F66" s="184"/>
      <c r="G66" s="113"/>
      <c r="H66" s="80"/>
    </row>
    <row r="67" spans="1:8" x14ac:dyDescent="0.3">
      <c r="A67" s="188"/>
      <c r="B67" s="3"/>
      <c r="C67" s="6"/>
      <c r="D67" s="2"/>
      <c r="E67" s="2"/>
      <c r="F67" s="2"/>
      <c r="G67" s="113"/>
      <c r="H67" s="80"/>
    </row>
    <row r="68" spans="1:8" x14ac:dyDescent="0.3">
      <c r="A68" s="188"/>
      <c r="B68" s="82"/>
      <c r="C68" s="6"/>
      <c r="D68" s="2"/>
      <c r="E68" s="2"/>
      <c r="F68" s="2"/>
      <c r="G68" s="113"/>
      <c r="H68" s="80"/>
    </row>
    <row r="69" spans="1:8" x14ac:dyDescent="0.3">
      <c r="A69" s="188"/>
      <c r="B69" s="3"/>
      <c r="C69" s="6"/>
      <c r="D69" s="2"/>
      <c r="E69" s="2"/>
      <c r="F69" s="2"/>
      <c r="G69" s="113"/>
      <c r="H69" s="80"/>
    </row>
    <row r="70" spans="1:8" x14ac:dyDescent="0.3">
      <c r="A70" s="83"/>
      <c r="B70" s="82"/>
      <c r="C70" s="6"/>
      <c r="D70" s="2"/>
      <c r="E70" s="2"/>
      <c r="F70" s="2"/>
      <c r="G70" s="113"/>
      <c r="H70" s="80"/>
    </row>
    <row r="71" spans="1:8" x14ac:dyDescent="0.3">
      <c r="A71" s="188"/>
      <c r="B71" s="3"/>
      <c r="C71" s="6"/>
      <c r="D71" s="2"/>
      <c r="E71" s="2"/>
      <c r="F71" s="2"/>
      <c r="G71" s="113"/>
      <c r="H71" s="80"/>
    </row>
    <row r="72" spans="1:8" x14ac:dyDescent="0.3">
      <c r="A72" s="107"/>
      <c r="B72" s="127"/>
      <c r="C72" s="6"/>
      <c r="D72" s="2"/>
      <c r="E72" s="2"/>
      <c r="F72" s="2"/>
      <c r="G72" s="113"/>
      <c r="H72" s="80"/>
    </row>
    <row r="73" spans="1:8" x14ac:dyDescent="0.3">
      <c r="A73" s="164"/>
      <c r="B73" s="3"/>
      <c r="C73" s="6"/>
      <c r="D73" s="2"/>
      <c r="E73" s="2"/>
      <c r="F73" s="2"/>
      <c r="G73" s="113"/>
      <c r="H73" s="80"/>
    </row>
    <row r="74" spans="1:8" x14ac:dyDescent="0.3">
      <c r="A74" s="107"/>
      <c r="B74" s="127"/>
      <c r="C74" s="6"/>
      <c r="D74" s="2"/>
      <c r="E74" s="2"/>
      <c r="F74" s="2"/>
      <c r="G74" s="113"/>
      <c r="H74" s="80"/>
    </row>
    <row r="75" spans="1:8" x14ac:dyDescent="0.3">
      <c r="A75" s="107"/>
      <c r="B75" s="82"/>
      <c r="C75" s="176"/>
      <c r="D75" s="177"/>
      <c r="E75" s="177"/>
      <c r="F75" s="177"/>
      <c r="G75" s="113"/>
      <c r="H75" s="80"/>
    </row>
    <row r="76" spans="1:8" x14ac:dyDescent="0.3">
      <c r="A76" s="188"/>
      <c r="B76" s="3"/>
      <c r="C76" s="6"/>
      <c r="D76" s="7"/>
      <c r="E76" s="7"/>
      <c r="F76" s="7"/>
      <c r="G76" s="7"/>
      <c r="H76" s="217"/>
    </row>
    <row r="77" spans="1:8" x14ac:dyDescent="0.3">
      <c r="A77" s="107"/>
      <c r="B77" s="82"/>
      <c r="C77" s="176"/>
      <c r="D77" s="177"/>
      <c r="E77" s="177"/>
      <c r="F77" s="177"/>
      <c r="G77" s="177"/>
      <c r="H77" s="216"/>
    </row>
    <row r="78" spans="1:8" x14ac:dyDescent="0.3">
      <c r="A78" s="188"/>
      <c r="B78" s="3"/>
      <c r="C78" s="6"/>
      <c r="D78" s="7"/>
      <c r="E78" s="7"/>
      <c r="F78" s="7"/>
      <c r="G78" s="7"/>
      <c r="H78" s="217"/>
    </row>
    <row r="79" spans="1:8" x14ac:dyDescent="0.3">
      <c r="A79" s="107"/>
      <c r="B79" s="82"/>
      <c r="C79" s="176"/>
      <c r="D79" s="177"/>
      <c r="E79" s="177"/>
      <c r="F79" s="177"/>
      <c r="G79" s="177"/>
      <c r="H79" s="216"/>
    </row>
    <row r="80" spans="1:8" x14ac:dyDescent="0.3">
      <c r="A80" s="188"/>
      <c r="B80" s="3"/>
      <c r="C80" s="6"/>
      <c r="D80" s="7"/>
      <c r="E80" s="7"/>
      <c r="F80" s="7"/>
      <c r="G80" s="7"/>
      <c r="H80" s="217"/>
    </row>
    <row r="81" spans="1:8" x14ac:dyDescent="0.3">
      <c r="A81" s="107"/>
      <c r="B81" s="82"/>
      <c r="C81" s="176"/>
      <c r="D81" s="177"/>
      <c r="E81" s="177"/>
      <c r="F81" s="177"/>
      <c r="G81" s="177"/>
      <c r="H81" s="216"/>
    </row>
    <row r="82" spans="1:8" x14ac:dyDescent="0.3">
      <c r="A82" s="188"/>
      <c r="B82" s="3"/>
      <c r="C82" s="6"/>
      <c r="D82" s="7"/>
      <c r="E82" s="7"/>
      <c r="F82" s="7"/>
      <c r="G82" s="7"/>
      <c r="H82" s="217"/>
    </row>
    <row r="83" spans="1:8" x14ac:dyDescent="0.3">
      <c r="A83" s="107"/>
      <c r="B83" s="82"/>
      <c r="C83" s="176"/>
      <c r="D83" s="177"/>
      <c r="E83" s="177"/>
      <c r="F83" s="177"/>
      <c r="G83" s="177"/>
      <c r="H83" s="216"/>
    </row>
    <row r="84" spans="1:8" x14ac:dyDescent="0.3">
      <c r="A84" s="102"/>
      <c r="B84" s="103"/>
      <c r="C84" s="218"/>
      <c r="D84" s="113"/>
      <c r="E84" s="113"/>
      <c r="F84" s="113"/>
      <c r="G84" s="113"/>
      <c r="H84" s="80"/>
    </row>
    <row r="85" spans="1:8" x14ac:dyDescent="0.3">
      <c r="A85" s="188"/>
      <c r="B85" s="3"/>
      <c r="C85" s="169"/>
      <c r="D85" s="141"/>
      <c r="E85" s="141"/>
      <c r="F85" s="141"/>
      <c r="G85" s="2"/>
      <c r="H85" s="2"/>
    </row>
    <row r="86" spans="1:8" x14ac:dyDescent="0.3">
      <c r="A86" s="257"/>
      <c r="B86" s="110"/>
      <c r="C86" s="219"/>
      <c r="D86" s="111"/>
      <c r="E86" s="111"/>
      <c r="F86" s="111"/>
      <c r="G86" s="2"/>
      <c r="H86" s="2"/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scale="65" orientation="portrait" verticalDpi="360" r:id="rId2"/>
  <drawing r:id="rId3"/>
  <tableParts count="1">
    <tablePart r:id="rId4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N85"/>
  <sheetViews>
    <sheetView showGridLines="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0.6640625" bestFit="1" customWidth="1"/>
    <col min="14" max="14" width="14.88671875" customWidth="1"/>
    <col min="15" max="15" width="12.44140625" customWidth="1"/>
  </cols>
  <sheetData>
    <row r="2" spans="1:13" ht="15.6" x14ac:dyDescent="0.3">
      <c r="A2" s="27" t="s">
        <v>36</v>
      </c>
      <c r="B2" s="41" t="s">
        <v>116</v>
      </c>
    </row>
    <row r="3" spans="1:13" x14ac:dyDescent="0.3">
      <c r="A3" s="27" t="s">
        <v>31</v>
      </c>
      <c r="B3" s="28" t="s">
        <v>238</v>
      </c>
    </row>
    <row r="4" spans="1:13" hidden="1" x14ac:dyDescent="0.3">
      <c r="A4" s="27"/>
      <c r="B4" s="28"/>
    </row>
    <row r="5" spans="1:13" hidden="1" x14ac:dyDescent="0.3">
      <c r="A5" s="27"/>
      <c r="B5" s="28"/>
    </row>
    <row r="6" spans="1:13" hidden="1" x14ac:dyDescent="0.3">
      <c r="A6" s="27"/>
      <c r="B6" s="28"/>
    </row>
    <row r="7" spans="1:13" hidden="1" x14ac:dyDescent="0.3">
      <c r="A7" s="27"/>
      <c r="B7" s="28"/>
    </row>
    <row r="8" spans="1:13" x14ac:dyDescent="0.3">
      <c r="A8" s="27"/>
      <c r="B8" s="28"/>
    </row>
    <row r="9" spans="1:13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242" t="s">
        <v>188</v>
      </c>
    </row>
    <row r="10" spans="1:13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286">
        <f>IF(T_T134111213141516171819202122232425262728293031323335363738394041424344454647484950515253545556575859606162636465666768[[#This Row],[Total]]&lt;0,T_T134111213141516171819202122232425262728293031323335363738394041424344454647484950515253545556575859606162636465666768[[#This Row],[Total]]*-1,0)</f>
        <v>0</v>
      </c>
      <c r="J10" s="287"/>
    </row>
    <row r="11" spans="1:13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IF(T_T134111213141516171819202122232425262728293031323335363738394041424344454647484950515253545556575859606162636465666768[[#This Row],[Total]]&lt;0,T_T134111213141516171819202122232425262728293031323335363738394041424344454647484950515253545556575859606162636465666768[[#This Row],[Total]]*-1,0)</f>
        <v>0</v>
      </c>
      <c r="J11" s="231"/>
      <c r="M11" t="s">
        <v>525</v>
      </c>
    </row>
    <row r="12" spans="1:13" x14ac:dyDescent="0.3">
      <c r="A12" s="361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IF(T_T134111213141516171819202122232425262728293031323335363738394041424344454647484950515253545556575859606162636465666768[[#This Row],[Total]]&lt;0,T_T134111213141516171819202122232425262728293031323335363738394041424344454647484950515253545556575859606162636465666768[[#This Row],[Total]]*-1,0)</f>
        <v>0</v>
      </c>
      <c r="J12" s="427"/>
    </row>
    <row r="13" spans="1:13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IF(T_T134111213141516171819202122232425262728293031323335363738394041424344454647484950515253545556575859606162636465666768[[#This Row],[Total]]&lt;0,T_T134111213141516171819202122232425262728293031323335363738394041424344454647484950515253545556575859606162636465666768[[#This Row],[Total]]*-1,0)</f>
        <v>0</v>
      </c>
      <c r="J13" s="231"/>
    </row>
    <row r="14" spans="1:13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IF(T_T134111213141516171819202122232425262728293031323335363738394041424344454647484950515253545556575859606162636465666768[[#This Row],[Total]]&lt;0,T_T134111213141516171819202122232425262728293031323335363738394041424344454647484950515253545556575859606162636465666768[[#This Row],[Total]]*-1,0)</f>
        <v>0</v>
      </c>
      <c r="J14" s="476"/>
    </row>
    <row r="15" spans="1:13" x14ac:dyDescent="0.3">
      <c r="A15" s="17">
        <v>46052</v>
      </c>
      <c r="B15" s="18" t="s">
        <v>590</v>
      </c>
      <c r="C15" s="6"/>
      <c r="D15" s="2">
        <v>240</v>
      </c>
      <c r="E15" s="2">
        <v>7</v>
      </c>
      <c r="F15" s="20"/>
      <c r="G15" s="20">
        <f>SUM(D15:F15)</f>
        <v>247</v>
      </c>
      <c r="H15" s="233">
        <f>+H13+H12+H11+H10+T_T134111213141516171819202122232425262728293031323335363738394041424344454647484950515253545556575859606162636465666768[[#This Row],[Total]]</f>
        <v>247</v>
      </c>
      <c r="I15" s="240">
        <f>IF(T_T134111213141516171819202122232425262728293031323335363738394041424344454647484950515253545556575859606162636465666768[[#This Row],[Total]]&lt;0,T_T134111213141516171819202122232425262728293031323335363738394041424344454647484950515253545556575859606162636465666768[[#This Row],[Total]]*-1,0)</f>
        <v>0</v>
      </c>
      <c r="J15" s="231"/>
      <c r="L15">
        <v>34</v>
      </c>
    </row>
    <row r="16" spans="1:13" x14ac:dyDescent="0.3">
      <c r="A16" s="17"/>
      <c r="B16" s="18" t="s">
        <v>591</v>
      </c>
      <c r="C16" s="6">
        <v>8880</v>
      </c>
      <c r="D16" s="2">
        <v>-240</v>
      </c>
      <c r="E16" s="2">
        <v>-7</v>
      </c>
      <c r="F16" s="230"/>
      <c r="G16" s="20">
        <f>SUM(D16:F16)</f>
        <v>-247</v>
      </c>
      <c r="H16" s="233">
        <f>OF.10E!H15+T_T134111213141516171819202122232425262728293031323335363738394041424344454647484950515253545556575859606162636465666768[[#This Row],[Total]]</f>
        <v>0</v>
      </c>
      <c r="I16" s="240">
        <f>IF(T_T134111213141516171819202122232425262728293031323335363738394041424344454647484950515253545556575859606162636465666768[[#This Row],[Total]]&lt;0,T_T134111213141516171819202122232425262728293031323335363738394041424344454647484950515253545556575859606162636465666768[[#This Row],[Total]]*-1,0)</f>
        <v>247</v>
      </c>
      <c r="J16" s="231"/>
    </row>
    <row r="17" spans="1:14" x14ac:dyDescent="0.3">
      <c r="A17" s="164">
        <v>45715</v>
      </c>
      <c r="B17" s="161" t="s">
        <v>532</v>
      </c>
      <c r="C17" s="6"/>
      <c r="D17" s="2">
        <v>240</v>
      </c>
      <c r="E17" s="2">
        <v>6</v>
      </c>
      <c r="F17" s="230"/>
      <c r="G17" s="20">
        <f>SUM(D17:F17)</f>
        <v>246</v>
      </c>
      <c r="H17" s="233">
        <f>OF.10E!H16+T_T134111213141516171819202122232425262728293031323335363738394041424344454647484950515253545556575859606162636465666768[[#This Row],[Total]]</f>
        <v>246</v>
      </c>
      <c r="I17" s="240">
        <f>IF(T_T134111213141516171819202122232425262728293031323335363738394041424344454647484950515253545556575859606162636465666768[[#This Row],[Total]]&lt;0,T_T134111213141516171819202122232425262728293031323335363738394041424344454647484950515253545556575859606162636465666768[[#This Row],[Total]]*-1,0)</f>
        <v>0</v>
      </c>
      <c r="J17" s="231"/>
      <c r="L17">
        <v>34</v>
      </c>
      <c r="N17">
        <v>202</v>
      </c>
    </row>
    <row r="18" spans="1:14" x14ac:dyDescent="0.3">
      <c r="A18" s="187"/>
      <c r="B18" s="18" t="s">
        <v>533</v>
      </c>
      <c r="C18" s="6">
        <v>8880</v>
      </c>
      <c r="D18" s="2">
        <v>-240</v>
      </c>
      <c r="E18" s="2">
        <v>-6</v>
      </c>
      <c r="F18" s="230"/>
      <c r="G18" s="20">
        <f>SUM(D18:F18)</f>
        <v>-246</v>
      </c>
      <c r="H18" s="233">
        <f>OF.10E!H17+T_T134111213141516171819202122232425262728293031323335363738394041424344454647484950515253545556575859606162636465666768[[#This Row],[Total]]</f>
        <v>0</v>
      </c>
      <c r="I18" s="240">
        <f>IF(T_T134111213141516171819202122232425262728293031323335363738394041424344454647484950515253545556575859606162636465666768[[#This Row],[Total]]&lt;0,T_T134111213141516171819202122232425262728293031323335363738394041424344454647484950515253545556575859606162636465666768[[#This Row],[Total]]*-1,0)</f>
        <v>246</v>
      </c>
      <c r="J18" s="231"/>
      <c r="N18">
        <f>SUM(N17:N17)</f>
        <v>202</v>
      </c>
    </row>
    <row r="19" spans="1:14" x14ac:dyDescent="0.3">
      <c r="A19" s="188">
        <v>45747</v>
      </c>
      <c r="B19" s="3" t="s">
        <v>534</v>
      </c>
      <c r="C19" s="6"/>
      <c r="D19" s="2">
        <v>282</v>
      </c>
      <c r="E19" s="2">
        <v>152</v>
      </c>
      <c r="F19" s="230"/>
      <c r="G19" s="230">
        <f t="shared" ref="G19:G38" si="0">SUM(D19:F19)</f>
        <v>434</v>
      </c>
      <c r="H19" s="233">
        <f>OF.10E!H18+T_T134111213141516171819202122232425262728293031323335363738394041424344454647484950515253545556575859606162636465666768[[#This Row],[Total]]</f>
        <v>434</v>
      </c>
      <c r="I19" s="240">
        <f>IF(T_T134111213141516171819202122232425262728293031323335363738394041424344454647484950515253545556575859606162636465666768[[#This Row],[Total]]&lt;0,T_T134111213141516171819202122232425262728293031323335363738394041424344454647484950515253545556575859606162636465666768[[#This Row],[Total]]*-1,0)</f>
        <v>0</v>
      </c>
      <c r="J19" s="231"/>
      <c r="L19">
        <v>34</v>
      </c>
    </row>
    <row r="20" spans="1:14" x14ac:dyDescent="0.3">
      <c r="A20" s="188"/>
      <c r="B20" s="82" t="s">
        <v>535</v>
      </c>
      <c r="C20" s="6">
        <v>8880</v>
      </c>
      <c r="D20" s="2">
        <v>-282</v>
      </c>
      <c r="E20" s="2">
        <v>-152</v>
      </c>
      <c r="F20" s="230"/>
      <c r="G20" s="230">
        <f t="shared" si="0"/>
        <v>-434</v>
      </c>
      <c r="H20" s="233">
        <f>OF.10E!H19+T_T134111213141516171819202122232425262728293031323335363738394041424344454647484950515253545556575859606162636465666768[[#This Row],[Total]]</f>
        <v>0</v>
      </c>
      <c r="I20" s="240">
        <f>IF(T_T134111213141516171819202122232425262728293031323335363738394041424344454647484950515253545556575859606162636465666768[[#This Row],[Total]]&lt;0,T_T134111213141516171819202122232425262728293031323335363738394041424344454647484950515253545556575859606162636465666768[[#This Row],[Total]]*-1,0)</f>
        <v>434</v>
      </c>
      <c r="J20" s="231"/>
    </row>
    <row r="21" spans="1:14" x14ac:dyDescent="0.3">
      <c r="A21" s="188">
        <v>45777</v>
      </c>
      <c r="B21" s="3" t="s">
        <v>536</v>
      </c>
      <c r="C21" s="6"/>
      <c r="D21" s="2">
        <v>282</v>
      </c>
      <c r="E21" s="2">
        <v>7</v>
      </c>
      <c r="F21" s="230"/>
      <c r="G21" s="230">
        <f t="shared" si="0"/>
        <v>289</v>
      </c>
      <c r="H21" s="233">
        <f>OF.10E!H20+T_T134111213141516171819202122232425262728293031323335363738394041424344454647484950515253545556575859606162636465666768[[#This Row],[Total]]</f>
        <v>289</v>
      </c>
      <c r="I21" s="309">
        <f>IF(T_T134111213141516171819202122232425262728293031323335363738394041424344454647484950515253545556575859606162636465666768[[#This Row],[Total]]&lt;0,T_T134111213141516171819202122232425262728293031323335363738394041424344454647484950515253545556575859606162636465666768[[#This Row],[Total]]*-1,0)</f>
        <v>0</v>
      </c>
      <c r="J21" s="320"/>
      <c r="L21">
        <v>34</v>
      </c>
    </row>
    <row r="22" spans="1:14" x14ac:dyDescent="0.3">
      <c r="A22" s="83"/>
      <c r="B22" s="82" t="s">
        <v>537</v>
      </c>
      <c r="C22" s="6">
        <v>8880</v>
      </c>
      <c r="D22" s="2">
        <v>-282</v>
      </c>
      <c r="E22" s="2">
        <v>-7</v>
      </c>
      <c r="F22" s="230"/>
      <c r="G22" s="230">
        <f t="shared" si="0"/>
        <v>-289</v>
      </c>
      <c r="H22" s="233">
        <f>OF.10E!H21+T_T134111213141516171819202122232425262728293031323335363738394041424344454647484950515253545556575859606162636465666768[[#This Row],[Total]]</f>
        <v>0</v>
      </c>
      <c r="I22" s="309">
        <f>IF(T_T134111213141516171819202122232425262728293031323335363738394041424344454647484950515253545556575859606162636465666768[[#This Row],[Total]]&lt;0,T_T134111213141516171819202122232425262728293031323335363738394041424344454647484950515253545556575859606162636465666768[[#This Row],[Total]]*-1,0)</f>
        <v>289</v>
      </c>
      <c r="J22" s="320"/>
    </row>
    <row r="23" spans="1:14" x14ac:dyDescent="0.3">
      <c r="A23" s="40">
        <v>45807</v>
      </c>
      <c r="B23" s="3" t="s">
        <v>538</v>
      </c>
      <c r="C23" s="229"/>
      <c r="D23" s="230">
        <v>282</v>
      </c>
      <c r="E23" s="230">
        <v>11</v>
      </c>
      <c r="F23" s="230"/>
      <c r="G23" s="230">
        <f t="shared" si="0"/>
        <v>293</v>
      </c>
      <c r="H23" s="233">
        <f>OF.10E!H22+T_T134111213141516171819202122232425262728293031323335363738394041424344454647484950515253545556575859606162636465666768[[#This Row],[Total]]</f>
        <v>293</v>
      </c>
      <c r="I23" s="309">
        <f>IF(T_T134111213141516171819202122232425262728293031323335363738394041424344454647484950515253545556575859606162636465666768[[#This Row],[Total]]&lt;0,T_T134111213141516171819202122232425262728293031323335363738394041424344454647484950515253545556575859606162636465666768[[#This Row],[Total]]*-1,0)</f>
        <v>0</v>
      </c>
      <c r="J23" s="320"/>
      <c r="L23">
        <v>34</v>
      </c>
    </row>
    <row r="24" spans="1:14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>OF.10E!H23+T_T134111213141516171819202122232425262728293031323335363738394041424344454647484950515253545556575859606162636465666768[[#This Row],[Total]]</f>
        <v>293</v>
      </c>
      <c r="I24" s="309">
        <f>IF(T_T134111213141516171819202122232425262728293031323335363738394041424344454647484950515253545556575859606162636465666768[[#This Row],[Total]]&lt;0,T_T134111213141516171819202122232425262728293031323335363738394041424344454647484950515253545556575859606162636465666768[[#This Row],[Total]]*-1,0)</f>
        <v>0</v>
      </c>
      <c r="J24" s="320"/>
    </row>
    <row r="25" spans="1:14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>OF.10E!H24+T_T134111213141516171819202122232425262728293031323335363738394041424344454647484950515253545556575859606162636465666768[[#This Row],[Total]]</f>
        <v>293</v>
      </c>
      <c r="I25" s="309">
        <f>IF(T_T134111213141516171819202122232425262728293031323335363738394041424344454647484950515253545556575859606162636465666768[[#This Row],[Total]]&lt;0,T_T134111213141516171819202122232425262728293031323335363738394041424344454647484950515253545556575859606162636465666768[[#This Row],[Total]]*-1,0)</f>
        <v>0</v>
      </c>
      <c r="J25" s="320"/>
      <c r="L25">
        <v>34</v>
      </c>
      <c r="M25">
        <v>204</v>
      </c>
      <c r="N25">
        <v>350</v>
      </c>
    </row>
    <row r="26" spans="1:14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>OF.10E!H25+T_T134111213141516171819202122232425262728293031323335363738394041424344454647484950515253545556575859606162636465666768[[#This Row],[Total]]</f>
        <v>293</v>
      </c>
      <c r="I26" s="309">
        <f>IF(T_T134111213141516171819202122232425262728293031323335363738394041424344454647484950515253545556575859606162636465666768[[#This Row],[Total]]&lt;0,T_T134111213141516171819202122232425262728293031323335363738394041424344454647484950515253545556575859606162636465666768[[#This Row],[Total]]*-1,0)</f>
        <v>0</v>
      </c>
      <c r="J26" s="320"/>
    </row>
    <row r="27" spans="1:14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>OF.10E!H26+T_T134111213141516171819202122232425262728293031323335363738394041424344454647484950515253545556575859606162636465666768[[#This Row],[Total]]</f>
        <v>293</v>
      </c>
      <c r="I27" s="309">
        <f>IF(T_T134111213141516171819202122232425262728293031323335363738394041424344454647484950515253545556575859606162636465666768[[#This Row],[Total]]&lt;0,T_T134111213141516171819202122232425262728293031323335363738394041424344454647484950515253545556575859606162636465666768[[#This Row],[Total]]*-1,0)</f>
        <v>0</v>
      </c>
      <c r="J27" s="320"/>
      <c r="L27">
        <v>34</v>
      </c>
    </row>
    <row r="28" spans="1:14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>OF.10E!H27+T_T134111213141516171819202122232425262728293031323335363738394041424344454647484950515253545556575859606162636465666768[[#This Row],[Total]]</f>
        <v>293</v>
      </c>
      <c r="I28" s="309">
        <f>IF(T_T134111213141516171819202122232425262728293031323335363738394041424344454647484950515253545556575859606162636465666768[[#This Row],[Total]]&lt;0,T_T134111213141516171819202122232425262728293031323335363738394041424344454647484950515253545556575859606162636465666768[[#This Row],[Total]]*-1,0)</f>
        <v>0</v>
      </c>
      <c r="J28" s="320"/>
    </row>
    <row r="29" spans="1:14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>OF.10E!H28+T_T134111213141516171819202122232425262728293031323335363738394041424344454647484950515253545556575859606162636465666768[[#This Row],[Total]]</f>
        <v>293</v>
      </c>
      <c r="I29" s="309">
        <f>IF(T_T134111213141516171819202122232425262728293031323335363738394041424344454647484950515253545556575859606162636465666768[[#This Row],[Total]]&lt;0,T_T134111213141516171819202122232425262728293031323335363738394041424344454647484950515253545556575859606162636465666768[[#This Row],[Total]]*-1,0)</f>
        <v>0</v>
      </c>
      <c r="J29" s="320"/>
    </row>
    <row r="30" spans="1:14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>OF.10E!H29+T_T134111213141516171819202122232425262728293031323335363738394041424344454647484950515253545556575859606162636465666768[[#This Row],[Total]]</f>
        <v>293</v>
      </c>
      <c r="I30" s="309">
        <f>IF(T_T134111213141516171819202122232425262728293031323335363738394041424344454647484950515253545556575859606162636465666768[[#This Row],[Total]]&lt;0,T_T134111213141516171819202122232425262728293031323335363738394041424344454647484950515253545556575859606162636465666768[[#This Row],[Total]]*-1,0)</f>
        <v>0</v>
      </c>
      <c r="J30" s="320"/>
    </row>
    <row r="31" spans="1:14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>OF.10E!H30+T_T134111213141516171819202122232425262728293031323335363738394041424344454647484950515253545556575859606162636465666768[[#This Row],[Total]]</f>
        <v>293</v>
      </c>
      <c r="I31" s="309">
        <f>IF(T_T134111213141516171819202122232425262728293031323335363738394041424344454647484950515253545556575859606162636465666768[[#This Row],[Total]]&lt;0,T_T134111213141516171819202122232425262728293031323335363738394041424344454647484950515253545556575859606162636465666768[[#This Row],[Total]]*-1,0)</f>
        <v>0</v>
      </c>
      <c r="J31" s="320"/>
    </row>
    <row r="32" spans="1:14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>OF.10E!H31+T_T134111213141516171819202122232425262728293031323335363738394041424344454647484950515253545556575859606162636465666768[[#This Row],[Total]]</f>
        <v>293</v>
      </c>
      <c r="I32" s="309">
        <f>IF(T_T134111213141516171819202122232425262728293031323335363738394041424344454647484950515253545556575859606162636465666768[[#This Row],[Total]]&lt;0,T_T134111213141516171819202122232425262728293031323335363738394041424344454647484950515253545556575859606162636465666768[[#This Row],[Total]]*-1,0)</f>
        <v>0</v>
      </c>
      <c r="J32" s="320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>OF.10E!H32+T_T134111213141516171819202122232425262728293031323335363738394041424344454647484950515253545556575859606162636465666768[[#This Row],[Total]]</f>
        <v>293</v>
      </c>
      <c r="I33" s="309">
        <f>IF(T_T134111213141516171819202122232425262728293031323335363738394041424344454647484950515253545556575859606162636465666768[[#This Row],[Total]]&lt;0,T_T134111213141516171819202122232425262728293031323335363738394041424344454647484950515253545556575859606162636465666768[[#This Row],[Total]]*-1,0)</f>
        <v>0</v>
      </c>
      <c r="J33" s="320"/>
    </row>
    <row r="34" spans="1:10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>OF.10E!H33+T_T134111213141516171819202122232425262728293031323335363738394041424344454647484950515253545556575859606162636465666768[[#This Row],[Total]]</f>
        <v>293</v>
      </c>
      <c r="I34" s="309">
        <f>IF(T_T134111213141516171819202122232425262728293031323335363738394041424344454647484950515253545556575859606162636465666768[[#This Row],[Total]]&lt;0,T_T134111213141516171819202122232425262728293031323335363738394041424344454647484950515253545556575859606162636465666768[[#This Row],[Total]]*-1,0)</f>
        <v>0</v>
      </c>
      <c r="J34" s="320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>OF.10E!H34+T_T134111213141516171819202122232425262728293031323335363738394041424344454647484950515253545556575859606162636465666768[[#This Row],[Total]]</f>
        <v>293</v>
      </c>
      <c r="I35" s="309">
        <f>IF(T_T134111213141516171819202122232425262728293031323335363738394041424344454647484950515253545556575859606162636465666768[[#This Row],[Total]]&lt;0,T_T134111213141516171819202122232425262728293031323335363738394041424344454647484950515253545556575859606162636465666768[[#This Row],[Total]]*-1,0)</f>
        <v>0</v>
      </c>
      <c r="J35" s="320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>OF.10E!H35+T_T134111213141516171819202122232425262728293031323335363738394041424344454647484950515253545556575859606162636465666768[[#This Row],[Total]]</f>
        <v>293</v>
      </c>
      <c r="I36" s="309">
        <f>IF(T_T134111213141516171819202122232425262728293031323335363738394041424344454647484950515253545556575859606162636465666768[[#This Row],[Total]]&lt;0,T_T134111213141516171819202122232425262728293031323335363738394041424344454647484950515253545556575859606162636465666768[[#This Row],[Total]]*-1,0)</f>
        <v>0</v>
      </c>
      <c r="J36" s="320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>OF.10E!H36+T_T134111213141516171819202122232425262728293031323335363738394041424344454647484950515253545556575859606162636465666768[[#This Row],[Total]]</f>
        <v>293</v>
      </c>
      <c r="I37" s="309">
        <f>IF(T_T134111213141516171819202122232425262728293031323335363738394041424344454647484950515253545556575859606162636465666768[[#This Row],[Total]]&lt;0,T_T134111213141516171819202122232425262728293031323335363738394041424344454647484950515253545556575859606162636465666768[[#This Row],[Total]]*-1,0)</f>
        <v>0</v>
      </c>
      <c r="J37" s="320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>OF.10E!H37+T_T134111213141516171819202122232425262728293031323335363738394041424344454647484950515253545556575859606162636465666768[[#This Row],[Total]]</f>
        <v>293</v>
      </c>
      <c r="I38" s="353">
        <f>IF(T_T134111213141516171819202122232425262728293031323335363738394041424344454647484950515253545556575859606162636465666768[[#This Row],[Total]]&lt;0,T_T134111213141516171819202122232425262728293031323335363738394041424344454647484950515253545556575859606162636465666768[[#This Row],[Total]]*-1,0)</f>
        <v>0</v>
      </c>
      <c r="J38" s="355"/>
    </row>
    <row r="39" spans="1:10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>OF.10E!H38+T_T134111213141516171819202122232425262728293031323335363738394041424344454647484950515253545556575859606162636465666768[[#This Row],[Total]]</f>
        <v>293</v>
      </c>
      <c r="I39" s="353">
        <f>IF(T_T134111213141516171819202122232425262728293031323335363738394041424344454647484950515253545556575859606162636465666768[[#This Row],[Total]]&lt;0,T_T134111213141516171819202122232425262728293031323335363738394041424344454647484950515253545556575859606162636465666768[[#This Row],[Total]]*-1,0)</f>
        <v>0</v>
      </c>
      <c r="J39" s="355"/>
    </row>
    <row r="40" spans="1:10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>OF.10E!H39+T_T134111213141516171819202122232425262728293031323335363738394041424344454647484950515253545556575859606162636465666768[[#This Row],[Total]]</f>
        <v>293</v>
      </c>
      <c r="I40" s="353">
        <f>IF(T_T134111213141516171819202122232425262728293031323335363738394041424344454647484950515253545556575859606162636465666768[[#This Row],[Total]]&lt;0,T_T134111213141516171819202122232425262728293031323335363738394041424344454647484950515253545556575859606162636465666768[[#This Row],[Total]]*-1,0)</f>
        <v>0</v>
      </c>
      <c r="J40" s="355"/>
    </row>
    <row r="41" spans="1:10" x14ac:dyDescent="0.3">
      <c r="A41" s="615"/>
      <c r="B41" s="18"/>
      <c r="C41" s="121"/>
      <c r="D41" s="70"/>
      <c r="E41" s="70"/>
      <c r="F41" s="70"/>
      <c r="G41" s="70"/>
      <c r="H41" s="616" t="e">
        <f>OF.10E!H40+T_T134111213141516171819202122232425262728293031323335363738394041424344454647484950515253545556575859606162636465666768[[#This Row],[Total]]</f>
        <v>#VALUE!</v>
      </c>
      <c r="I41" s="613"/>
      <c r="J41" s="228"/>
    </row>
    <row r="42" spans="1:10" x14ac:dyDescent="0.3">
      <c r="H42" s="233" t="e">
        <f>OF.10E!H41+T_T134111213141516171819202122232425262728293031323335363738394041424344454647484950515253545556575859606162636465666768[[#This Row],[Total]]</f>
        <v>#VALUE!</v>
      </c>
    </row>
    <row r="43" spans="1:10" x14ac:dyDescent="0.3">
      <c r="H43" s="233" t="e">
        <f>OF.10E!H42+T_T134111213141516171819202122232425262728293031323335363738394041424344454647484950515253545556575859606162636465666768[[#This Row],[Total]]</f>
        <v>#VALUE!</v>
      </c>
    </row>
    <row r="44" spans="1:10" x14ac:dyDescent="0.3">
      <c r="H44" s="233" t="e">
        <f>OF.10E!H43+T_T134111213141516171819202122232425262728293031323335363738394041424344454647484950515253545556575859606162636465666768[[#This Row],[Total]]</f>
        <v>#VALUE!</v>
      </c>
    </row>
    <row r="45" spans="1:10" x14ac:dyDescent="0.3">
      <c r="H45" s="233" t="e">
        <f>OF.10E!H44+T_T134111213141516171819202122232425262728293031323335363738394041424344454647484950515253545556575859606162636465666768[[#This Row],[Total]]</f>
        <v>#VALUE!</v>
      </c>
    </row>
    <row r="85" spans="4:4" x14ac:dyDescent="0.3">
      <c r="D85" s="1">
        <v>-168</v>
      </c>
    </row>
  </sheetData>
  <pageMargins left="0.43307086614173229" right="0.23622047244094491" top="7.43" bottom="0.74803149606299213" header="0.31496062992125984" footer="0.31496062992125984"/>
  <pageSetup scale="75" orientation="portrait" verticalDpi="360" r:id="rId1"/>
  <tableParts count="1">
    <tablePart r:id="rId2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M38"/>
  <sheetViews>
    <sheetView showGridLines="0" zoomScale="98" zoomScaleNormal="98" workbookViewId="0">
      <selection activeCell="E22" sqref="E22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0.6640625" bestFit="1" customWidth="1"/>
    <col min="14" max="14" width="16.5546875" customWidth="1"/>
  </cols>
  <sheetData>
    <row r="2" spans="1:13" ht="15.6" x14ac:dyDescent="0.3">
      <c r="A2" s="27" t="s">
        <v>36</v>
      </c>
      <c r="B2" s="41" t="s">
        <v>117</v>
      </c>
    </row>
    <row r="3" spans="1:13" ht="12" customHeight="1" x14ac:dyDescent="0.3">
      <c r="A3" s="27" t="s">
        <v>31</v>
      </c>
      <c r="B3" s="28" t="s">
        <v>258</v>
      </c>
    </row>
    <row r="4" spans="1:13" hidden="1" x14ac:dyDescent="0.3">
      <c r="A4" s="27" t="s">
        <v>32</v>
      </c>
      <c r="B4" s="28" t="e">
        <f>LOOKUP(B2,#REF!,#REF!)</f>
        <v>#REF!</v>
      </c>
    </row>
    <row r="5" spans="1:13" hidden="1" x14ac:dyDescent="0.3">
      <c r="A5" s="27" t="s">
        <v>33</v>
      </c>
      <c r="B5" s="28" t="e">
        <f>LOOKUP(B2,#REF!,#REF!)</f>
        <v>#REF!</v>
      </c>
    </row>
    <row r="6" spans="1:13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3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3" x14ac:dyDescent="0.3">
      <c r="A8" s="11" t="s">
        <v>3</v>
      </c>
      <c r="B8" s="12" t="s">
        <v>1</v>
      </c>
      <c r="C8" s="13" t="s">
        <v>23</v>
      </c>
      <c r="D8" s="14" t="s">
        <v>21</v>
      </c>
      <c r="E8" s="14" t="s">
        <v>4</v>
      </c>
      <c r="F8" s="14" t="s">
        <v>50</v>
      </c>
      <c r="G8" s="15" t="s">
        <v>5</v>
      </c>
      <c r="H8" s="16" t="s">
        <v>28</v>
      </c>
      <c r="I8" s="34" t="s">
        <v>49</v>
      </c>
    </row>
    <row r="9" spans="1:13" x14ac:dyDescent="0.3">
      <c r="A9" s="288"/>
      <c r="B9" s="118" t="s">
        <v>431</v>
      </c>
      <c r="C9" s="284"/>
      <c r="D9" s="285"/>
      <c r="E9" s="285"/>
      <c r="F9" s="285"/>
      <c r="G9" s="285"/>
      <c r="H9" s="233">
        <v>0</v>
      </c>
      <c r="I9" s="6">
        <f>IF(T_T13411121314151617181920212223242526272829303132333536373839404142434445464748495051525354555657585960616263646566676869[[#This Row],[Total]]&lt;0,T_T13411121314151617181920212223242526272829303132333536373839404142434445464748495051525354555657585960616263646566676869[[#This Row],[Total]]*-1,0)</f>
        <v>0</v>
      </c>
      <c r="M9" s="178"/>
    </row>
    <row r="10" spans="1:13" x14ac:dyDescent="0.3">
      <c r="A10" s="288"/>
      <c r="B10" s="118" t="s">
        <v>432</v>
      </c>
      <c r="C10" s="284"/>
      <c r="D10" s="285"/>
      <c r="E10" s="285"/>
      <c r="F10" s="285"/>
      <c r="G10" s="285"/>
      <c r="H10" s="10">
        <v>0</v>
      </c>
      <c r="I10" s="355">
        <f>IF(T_T13411121314151617181920212223242526272829303132333536373839404142434445464748495051525354555657585960616263646566676869[[#This Row],[Total]]&lt;0,T_T13411121314151617181920212223242526272829303132333536373839404142434445464748495051525354555657585960616263646566676869[[#This Row],[Total]]*-1,0)</f>
        <v>0</v>
      </c>
    </row>
    <row r="11" spans="1:13" x14ac:dyDescent="0.3">
      <c r="A11" s="288"/>
      <c r="B11" s="118" t="s">
        <v>467</v>
      </c>
      <c r="C11" s="424"/>
      <c r="D11" s="425"/>
      <c r="E11" s="425"/>
      <c r="F11" s="425"/>
      <c r="G11" s="425"/>
      <c r="H11" s="426">
        <v>0</v>
      </c>
      <c r="I11" s="427">
        <f>IF(T_T13411121314151617181920212223242526272829303132333536373839404142434445464748495051525354555657585960616263646566676869[[#This Row],[Total]]&lt;0,T_T13411121314151617181920212223242526272829303132333536373839404142434445464748495051525354555657585960616263646566676869[[#This Row],[Total]]*-1,0)</f>
        <v>0</v>
      </c>
    </row>
    <row r="12" spans="1:13" x14ac:dyDescent="0.3">
      <c r="A12" s="288"/>
      <c r="B12" s="118" t="s">
        <v>502</v>
      </c>
      <c r="C12" s="289"/>
      <c r="D12" s="290"/>
      <c r="E12" s="290"/>
      <c r="F12" s="290"/>
      <c r="G12" s="290"/>
      <c r="H12" s="291">
        <v>0</v>
      </c>
      <c r="I12" s="355">
        <f>IF(T_T13411121314151617181920212223242526272829303132333536373839404142434445464748495051525354555657585960616263646566676869[[#This Row],[Total]]&lt;0,T_T13411121314151617181920212223242526272829303132333536373839404142434445464748495051525354555657585960616263646566676869[[#This Row],[Total]]*-1,0)</f>
        <v>0</v>
      </c>
    </row>
    <row r="13" spans="1:13" x14ac:dyDescent="0.3">
      <c r="A13" s="288"/>
      <c r="B13" s="118" t="s">
        <v>529</v>
      </c>
      <c r="C13" s="481"/>
      <c r="D13" s="482"/>
      <c r="E13" s="482"/>
      <c r="F13" s="482"/>
      <c r="G13" s="482"/>
      <c r="H13" s="484"/>
      <c r="I13" s="476">
        <f>IF(T_T13411121314151617181920212223242526272829303132333536373839404142434445464748495051525354555657585960616263646566676869[[#This Row],[Total]]&lt;0,T_T13411121314151617181920212223242526272829303132333536373839404142434445464748495051525354555657585960616263646566676869[[#This Row],[Total]]*-1,0)</f>
        <v>0</v>
      </c>
    </row>
    <row r="14" spans="1:13" x14ac:dyDescent="0.3">
      <c r="A14" s="17">
        <v>46052</v>
      </c>
      <c r="B14" s="18" t="s">
        <v>590</v>
      </c>
      <c r="C14" s="6"/>
      <c r="D14" s="2">
        <v>176</v>
      </c>
      <c r="E14" s="2"/>
      <c r="F14" s="20"/>
      <c r="G14" s="20">
        <f>SUM(D14:F14)</f>
        <v>176</v>
      </c>
      <c r="H14" s="233">
        <f>+H12+T_T13411121314151617181920212223242526272829303132333536373839404142434445464748495051525354555657585960616263646566676869[[#This Row],[Total]]</f>
        <v>176</v>
      </c>
      <c r="I14" s="355">
        <f>IF(T_T13411121314151617181920212223242526272829303132333536373839404142434445464748495051525354555657585960616263646566676869[[#This Row],[Total]]&lt;0,T_T13411121314151617181920212223242526272829303132333536373839404142434445464748495051525354555657585960616263646566676869[[#This Row],[Total]]*-1,0)</f>
        <v>0</v>
      </c>
    </row>
    <row r="15" spans="1:13" x14ac:dyDescent="0.3">
      <c r="A15" s="17"/>
      <c r="B15" s="18" t="s">
        <v>591</v>
      </c>
      <c r="C15" s="6">
        <v>8610</v>
      </c>
      <c r="D15" s="2">
        <v>-176</v>
      </c>
      <c r="E15" s="2"/>
      <c r="F15" s="230"/>
      <c r="G15" s="230">
        <f t="shared" ref="G15:G37" si="0">SUM(D15:F15)</f>
        <v>-176</v>
      </c>
      <c r="H15" s="233">
        <f t="shared" ref="H15:H38" si="1">H14+G15</f>
        <v>0</v>
      </c>
      <c r="I15" s="355">
        <f>IF(T_T13411121314151617181920212223242526272829303132333536373839404142434445464748495051525354555657585960616263646566676869[[#This Row],[Total]]&lt;0,T_T13411121314151617181920212223242526272829303132333536373839404142434445464748495051525354555657585960616263646566676869[[#This Row],[Total]]*-1,0)</f>
        <v>176</v>
      </c>
    </row>
    <row r="16" spans="1:13" x14ac:dyDescent="0.3">
      <c r="A16" s="164">
        <v>45715</v>
      </c>
      <c r="B16" s="161" t="s">
        <v>532</v>
      </c>
      <c r="C16" s="6"/>
      <c r="D16" s="2">
        <v>176</v>
      </c>
      <c r="E16" s="2"/>
      <c r="F16" s="230"/>
      <c r="G16" s="230">
        <f t="shared" si="0"/>
        <v>176</v>
      </c>
      <c r="H16" s="233">
        <f t="shared" si="1"/>
        <v>176</v>
      </c>
      <c r="I16" s="355">
        <f>IF(T_T13411121314151617181920212223242526272829303132333536373839404142434445464748495051525354555657585960616263646566676869[[#This Row],[Total]]&lt;0,T_T13411121314151617181920212223242526272829303132333536373839404142434445464748495051525354555657585960616263646566676869[[#This Row],[Total]]*-1,0)</f>
        <v>0</v>
      </c>
    </row>
    <row r="17" spans="1:9" x14ac:dyDescent="0.3">
      <c r="A17" s="187"/>
      <c r="B17" s="18" t="s">
        <v>533</v>
      </c>
      <c r="C17" s="6">
        <v>8705</v>
      </c>
      <c r="D17" s="2">
        <v>-176</v>
      </c>
      <c r="E17" s="2"/>
      <c r="F17" s="230"/>
      <c r="G17" s="230">
        <f t="shared" si="0"/>
        <v>-176</v>
      </c>
      <c r="H17" s="233">
        <f t="shared" si="1"/>
        <v>0</v>
      </c>
      <c r="I17" s="355">
        <f>IF(T_T13411121314151617181920212223242526272829303132333536373839404142434445464748495051525354555657585960616263646566676869[[#This Row],[Total]]&lt;0,T_T13411121314151617181920212223242526272829303132333536373839404142434445464748495051525354555657585960616263646566676869[[#This Row],[Total]]*-1,0)</f>
        <v>176</v>
      </c>
    </row>
    <row r="18" spans="1:9" x14ac:dyDescent="0.3">
      <c r="A18" s="188">
        <v>45747</v>
      </c>
      <c r="B18" s="3" t="s">
        <v>534</v>
      </c>
      <c r="C18" s="6"/>
      <c r="D18" s="2">
        <f>170+30+10</f>
        <v>210</v>
      </c>
      <c r="E18" s="2"/>
      <c r="F18" s="230"/>
      <c r="G18" s="230">
        <f t="shared" si="0"/>
        <v>210</v>
      </c>
      <c r="H18" s="233">
        <f t="shared" si="1"/>
        <v>210</v>
      </c>
      <c r="I18" s="355">
        <f>IF(T_T13411121314151617181920212223242526272829303132333536373839404142434445464748495051525354555657585960616263646566676869[[#This Row],[Total]]&lt;0,T_T13411121314151617181920212223242526272829303132333536373839404142434445464748495051525354555657585960616263646566676869[[#This Row],[Total]]*-1,0)</f>
        <v>0</v>
      </c>
    </row>
    <row r="19" spans="1:9" x14ac:dyDescent="0.3">
      <c r="A19" s="188"/>
      <c r="B19" s="82" t="s">
        <v>535</v>
      </c>
      <c r="C19" s="6">
        <v>8809</v>
      </c>
      <c r="D19" s="2">
        <v>-210</v>
      </c>
      <c r="E19" s="2"/>
      <c r="F19" s="230"/>
      <c r="G19" s="230">
        <f t="shared" si="0"/>
        <v>-210</v>
      </c>
      <c r="H19" s="233">
        <f t="shared" si="1"/>
        <v>0</v>
      </c>
      <c r="I19" s="355">
        <f>IF(T_T13411121314151617181920212223242526272829303132333536373839404142434445464748495051525354555657585960616263646566676869[[#This Row],[Total]]&lt;0,T_T13411121314151617181920212223242526272829303132333536373839404142434445464748495051525354555657585960616263646566676869[[#This Row],[Total]]*-1,0)</f>
        <v>210</v>
      </c>
    </row>
    <row r="20" spans="1:9" x14ac:dyDescent="0.3">
      <c r="A20" s="188">
        <v>45777</v>
      </c>
      <c r="B20" s="3" t="s">
        <v>536</v>
      </c>
      <c r="C20" s="6"/>
      <c r="D20" s="2">
        <v>210</v>
      </c>
      <c r="E20" s="2"/>
      <c r="F20" s="230"/>
      <c r="G20" s="230">
        <f t="shared" si="0"/>
        <v>210</v>
      </c>
      <c r="H20" s="233">
        <f t="shared" si="1"/>
        <v>210</v>
      </c>
      <c r="I20" s="355">
        <f>IF(T_T13411121314151617181920212223242526272829303132333536373839404142434445464748495051525354555657585960616263646566676869[[#This Row],[Total]]&lt;0,T_T13411121314151617181920212223242526272829303132333536373839404142434445464748495051525354555657585960616263646566676869[[#This Row],[Total]]*-1,0)</f>
        <v>0</v>
      </c>
    </row>
    <row r="21" spans="1:9" x14ac:dyDescent="0.3">
      <c r="A21" s="83"/>
      <c r="B21" s="82" t="s">
        <v>537</v>
      </c>
      <c r="C21" s="6">
        <v>8950</v>
      </c>
      <c r="D21" s="2">
        <v>-210</v>
      </c>
      <c r="E21" s="2"/>
      <c r="F21" s="230"/>
      <c r="G21" s="230">
        <f t="shared" si="0"/>
        <v>-210</v>
      </c>
      <c r="H21" s="233">
        <f t="shared" si="1"/>
        <v>0</v>
      </c>
      <c r="I21" s="355">
        <f>IF(T_T13411121314151617181920212223242526272829303132333536373839404142434445464748495051525354555657585960616263646566676869[[#This Row],[Total]]&lt;0,T_T13411121314151617181920212223242526272829303132333536373839404142434445464748495051525354555657585960616263646566676869[[#This Row],[Total]]*-1,0)</f>
        <v>210</v>
      </c>
    </row>
    <row r="22" spans="1:9" x14ac:dyDescent="0.3">
      <c r="A22" s="40">
        <v>45807</v>
      </c>
      <c r="B22" s="3" t="s">
        <v>538</v>
      </c>
      <c r="C22" s="229"/>
      <c r="D22" s="230">
        <v>210</v>
      </c>
      <c r="E22" s="230"/>
      <c r="F22" s="230"/>
      <c r="G22" s="230">
        <f t="shared" si="0"/>
        <v>210</v>
      </c>
      <c r="H22" s="233">
        <f t="shared" si="1"/>
        <v>210</v>
      </c>
      <c r="I22" s="355">
        <f>IF(T_T13411121314151617181920212223242526272829303132333536373839404142434445464748495051525354555657585960616263646566676869[[#This Row],[Total]]&lt;0,T_T13411121314151617181920212223242526272829303132333536373839404142434445464748495051525354555657585960616263646566676869[[#This Row],[Total]]*-1,0)</f>
        <v>0</v>
      </c>
    </row>
    <row r="23" spans="1:9" x14ac:dyDescent="0.3">
      <c r="A23" s="9"/>
      <c r="B23" s="18" t="s">
        <v>539</v>
      </c>
      <c r="C23" s="6"/>
      <c r="D23" s="230"/>
      <c r="E23" s="230"/>
      <c r="F23" s="230"/>
      <c r="G23" s="230">
        <f t="shared" si="0"/>
        <v>0</v>
      </c>
      <c r="H23" s="233">
        <f t="shared" si="1"/>
        <v>210</v>
      </c>
      <c r="I23" s="355">
        <f>IF(T_T13411121314151617181920212223242526272829303132333536373839404142434445464748495051525354555657585960616263646566676869[[#This Row],[Total]]&lt;0,T_T13411121314151617181920212223242526272829303132333536373839404142434445464748495051525354555657585960616263646566676869[[#This Row],[Total]]*-1,0)</f>
        <v>0</v>
      </c>
    </row>
    <row r="24" spans="1:9" x14ac:dyDescent="0.3">
      <c r="A24" s="9">
        <v>45838</v>
      </c>
      <c r="B24" s="3" t="s">
        <v>540</v>
      </c>
      <c r="C24" s="229"/>
      <c r="D24" s="230"/>
      <c r="E24" s="230"/>
      <c r="F24" s="230"/>
      <c r="G24" s="230">
        <f t="shared" si="0"/>
        <v>0</v>
      </c>
      <c r="H24" s="233">
        <f t="shared" si="1"/>
        <v>210</v>
      </c>
      <c r="I24" s="355">
        <f>IF(T_T13411121314151617181920212223242526272829303132333536373839404142434445464748495051525354555657585960616263646566676869[[#This Row],[Total]]&lt;0,T_T13411121314151617181920212223242526272829303132333536373839404142434445464748495051525354555657585960616263646566676869[[#This Row],[Total]]*-1,0)</f>
        <v>0</v>
      </c>
    </row>
    <row r="25" spans="1:9" x14ac:dyDescent="0.3">
      <c r="A25" s="9"/>
      <c r="B25" s="18" t="s">
        <v>541</v>
      </c>
      <c r="C25" s="6"/>
      <c r="D25" s="230"/>
      <c r="E25" s="230"/>
      <c r="F25" s="230"/>
      <c r="G25" s="230">
        <f t="shared" si="0"/>
        <v>0</v>
      </c>
      <c r="H25" s="233">
        <f t="shared" si="1"/>
        <v>210</v>
      </c>
      <c r="I25" s="355">
        <f>IF(T_T13411121314151617181920212223242526272829303132333536373839404142434445464748495051525354555657585960616263646566676869[[#This Row],[Total]]&lt;0,T_T13411121314151617181920212223242526272829303132333536373839404142434445464748495051525354555657585960616263646566676869[[#This Row],[Total]]*-1,0)</f>
        <v>0</v>
      </c>
    </row>
    <row r="26" spans="1:9" x14ac:dyDescent="0.3">
      <c r="A26" s="107">
        <v>45868</v>
      </c>
      <c r="B26" s="82" t="s">
        <v>542</v>
      </c>
      <c r="C26" s="229"/>
      <c r="D26" s="230"/>
      <c r="E26" s="230"/>
      <c r="F26" s="230"/>
      <c r="G26" s="230">
        <f t="shared" si="0"/>
        <v>0</v>
      </c>
      <c r="H26" s="233">
        <f t="shared" si="1"/>
        <v>210</v>
      </c>
      <c r="I26" s="355">
        <f>IF(T_T13411121314151617181920212223242526272829303132333536373839404142434445464748495051525354555657585960616263646566676869[[#This Row],[Total]]&lt;0,T_T13411121314151617181920212223242526272829303132333536373839404142434445464748495051525354555657585960616263646566676869[[#This Row],[Total]]*-1,0)</f>
        <v>0</v>
      </c>
    </row>
    <row r="27" spans="1:9" x14ac:dyDescent="0.3">
      <c r="A27" s="107"/>
      <c r="B27" s="82" t="s">
        <v>543</v>
      </c>
      <c r="C27" s="6"/>
      <c r="D27" s="230"/>
      <c r="E27" s="230"/>
      <c r="F27" s="230"/>
      <c r="G27" s="230">
        <f t="shared" si="0"/>
        <v>0</v>
      </c>
      <c r="H27" s="233">
        <f t="shared" si="1"/>
        <v>210</v>
      </c>
      <c r="I27" s="355">
        <f>IF(T_T13411121314151617181920212223242526272829303132333536373839404142434445464748495051525354555657585960616263646566676869[[#This Row],[Total]]&lt;0,T_T13411121314151617181920212223242526272829303132333536373839404142434445464748495051525354555657585960616263646566676869[[#This Row],[Total]]*-1,0)</f>
        <v>0</v>
      </c>
    </row>
    <row r="28" spans="1:9" x14ac:dyDescent="0.3">
      <c r="A28" s="107">
        <v>45899</v>
      </c>
      <c r="B28" s="82" t="s">
        <v>544</v>
      </c>
      <c r="C28" s="229"/>
      <c r="D28" s="230"/>
      <c r="E28" s="230"/>
      <c r="F28" s="230"/>
      <c r="G28" s="230">
        <f t="shared" si="0"/>
        <v>0</v>
      </c>
      <c r="H28" s="233">
        <f t="shared" si="1"/>
        <v>210</v>
      </c>
      <c r="I28" s="355">
        <f>IF(T_T13411121314151617181920212223242526272829303132333536373839404142434445464748495051525354555657585960616263646566676869[[#This Row],[Total]]&lt;0,T_T13411121314151617181920212223242526272829303132333536373839404142434445464748495051525354555657585960616263646566676869[[#This Row],[Total]]*-1,0)</f>
        <v>0</v>
      </c>
    </row>
    <row r="29" spans="1:9" x14ac:dyDescent="0.3">
      <c r="A29" s="107"/>
      <c r="B29" s="82" t="s">
        <v>545</v>
      </c>
      <c r="C29" s="6"/>
      <c r="D29" s="230"/>
      <c r="E29" s="230"/>
      <c r="F29" s="230"/>
      <c r="G29" s="230">
        <f t="shared" si="0"/>
        <v>0</v>
      </c>
      <c r="H29" s="233">
        <f t="shared" si="1"/>
        <v>210</v>
      </c>
      <c r="I29" s="355">
        <f>IF(T_T13411121314151617181920212223242526272829303132333536373839404142434445464748495051525354555657585960616263646566676869[[#This Row],[Total]]&lt;0,T_T13411121314151617181920212223242526272829303132333536373839404142434445464748495051525354555657585960616263646566676869[[#This Row],[Total]]*-1,0)</f>
        <v>0</v>
      </c>
    </row>
    <row r="30" spans="1:9" x14ac:dyDescent="0.3">
      <c r="A30" s="9">
        <v>45930</v>
      </c>
      <c r="B30" s="3" t="s">
        <v>546</v>
      </c>
      <c r="C30" s="229"/>
      <c r="D30" s="230"/>
      <c r="E30" s="230"/>
      <c r="F30" s="230"/>
      <c r="G30" s="230">
        <f t="shared" si="0"/>
        <v>0</v>
      </c>
      <c r="H30" s="233">
        <f t="shared" si="1"/>
        <v>210</v>
      </c>
      <c r="I30" s="355">
        <f>IF(T_T13411121314151617181920212223242526272829303132333536373839404142434445464748495051525354555657585960616263646566676869[[#This Row],[Total]]&lt;0,T_T13411121314151617181920212223242526272829303132333536373839404142434445464748495051525354555657585960616263646566676869[[#This Row],[Total]]*-1,0)</f>
        <v>0</v>
      </c>
    </row>
    <row r="31" spans="1:9" x14ac:dyDescent="0.3">
      <c r="A31" s="9"/>
      <c r="B31" s="3" t="s">
        <v>547</v>
      </c>
      <c r="C31" s="6"/>
      <c r="D31" s="230"/>
      <c r="E31" s="230"/>
      <c r="F31" s="230"/>
      <c r="G31" s="230">
        <f t="shared" si="0"/>
        <v>0</v>
      </c>
      <c r="H31" s="233">
        <f t="shared" si="1"/>
        <v>210</v>
      </c>
      <c r="I31" s="355">
        <f>IF(T_T13411121314151617181920212223242526272829303132333536373839404142434445464748495051525354555657585960616263646566676869[[#This Row],[Total]]&lt;0,T_T13411121314151617181920212223242526272829303132333536373839404142434445464748495051525354555657585960616263646566676869[[#This Row],[Total]]*-1,0)</f>
        <v>0</v>
      </c>
    </row>
    <row r="32" spans="1:9" x14ac:dyDescent="0.3">
      <c r="A32" s="9">
        <v>45960</v>
      </c>
      <c r="B32" s="3" t="s">
        <v>548</v>
      </c>
      <c r="C32" s="229"/>
      <c r="D32" s="230"/>
      <c r="E32" s="230"/>
      <c r="F32" s="230"/>
      <c r="G32" s="230">
        <f t="shared" si="0"/>
        <v>0</v>
      </c>
      <c r="H32" s="233">
        <f t="shared" si="1"/>
        <v>210</v>
      </c>
      <c r="I32" s="355">
        <f>IF(T_T13411121314151617181920212223242526272829303132333536373839404142434445464748495051525354555657585960616263646566676869[[#This Row],[Total]]&lt;0,T_T13411121314151617181920212223242526272829303132333536373839404142434445464748495051525354555657585960616263646566676869[[#This Row],[Total]]*-1,0)</f>
        <v>0</v>
      </c>
    </row>
    <row r="33" spans="1:9" x14ac:dyDescent="0.3">
      <c r="A33" s="9"/>
      <c r="B33" s="3" t="s">
        <v>549</v>
      </c>
      <c r="C33" s="229"/>
      <c r="D33" s="230"/>
      <c r="E33" s="230"/>
      <c r="F33" s="230"/>
      <c r="G33" s="230">
        <f t="shared" si="0"/>
        <v>0</v>
      </c>
      <c r="H33" s="233">
        <f t="shared" si="1"/>
        <v>210</v>
      </c>
      <c r="I33" s="355">
        <f>IF(T_T13411121314151617181920212223242526272829303132333536373839404142434445464748495051525354555657585960616263646566676869[[#This Row],[Total]]&lt;0,T_T13411121314151617181920212223242526272829303132333536373839404142434445464748495051525354555657585960616263646566676869[[#This Row],[Total]]*-1,0)</f>
        <v>0</v>
      </c>
    </row>
    <row r="34" spans="1:9" x14ac:dyDescent="0.3">
      <c r="A34" s="9">
        <v>45991</v>
      </c>
      <c r="B34" s="3" t="s">
        <v>550</v>
      </c>
      <c r="C34" s="229"/>
      <c r="D34" s="230"/>
      <c r="E34" s="230"/>
      <c r="F34" s="230"/>
      <c r="G34" s="230">
        <f t="shared" si="0"/>
        <v>0</v>
      </c>
      <c r="H34" s="233">
        <f t="shared" si="1"/>
        <v>210</v>
      </c>
      <c r="I34" s="355">
        <f>IF(T_T13411121314151617181920212223242526272829303132333536373839404142434445464748495051525354555657585960616263646566676869[[#This Row],[Total]]&lt;0,T_T13411121314151617181920212223242526272829303132333536373839404142434445464748495051525354555657585960616263646566676869[[#This Row],[Total]]*-1,0)</f>
        <v>0</v>
      </c>
    </row>
    <row r="35" spans="1:9" x14ac:dyDescent="0.3">
      <c r="A35" s="17"/>
      <c r="B35" s="18" t="s">
        <v>551</v>
      </c>
      <c r="C35" s="229"/>
      <c r="D35" s="230"/>
      <c r="E35" s="230"/>
      <c r="F35" s="230"/>
      <c r="G35" s="230">
        <f t="shared" si="0"/>
        <v>0</v>
      </c>
      <c r="H35" s="233">
        <f t="shared" si="1"/>
        <v>210</v>
      </c>
      <c r="I35" s="355">
        <f>IF(T_T13411121314151617181920212223242526272829303132333536373839404142434445464748495051525354555657585960616263646566676869[[#This Row],[Total]]&lt;0,T_T13411121314151617181920212223242526272829303132333536373839404142434445464748495051525354555657585960616263646566676869[[#This Row],[Total]]*-1,0)</f>
        <v>0</v>
      </c>
    </row>
    <row r="36" spans="1:9" x14ac:dyDescent="0.3">
      <c r="A36" s="188">
        <v>46021</v>
      </c>
      <c r="B36" s="3" t="s">
        <v>552</v>
      </c>
      <c r="C36" s="229"/>
      <c r="D36" s="230"/>
      <c r="E36" s="230"/>
      <c r="F36" s="230"/>
      <c r="G36" s="230">
        <f t="shared" si="0"/>
        <v>0</v>
      </c>
      <c r="H36" s="233">
        <f t="shared" si="1"/>
        <v>210</v>
      </c>
      <c r="I36" s="355">
        <f>IF(T_T13411121314151617181920212223242526272829303132333536373839404142434445464748495051525354555657585960616263646566676869[[#This Row],[Total]]&lt;0,T_T13411121314151617181920212223242526272829303132333536373839404142434445464748495051525354555657585960616263646566676869[[#This Row],[Total]]*-1,0)</f>
        <v>0</v>
      </c>
    </row>
    <row r="37" spans="1:9" x14ac:dyDescent="0.3">
      <c r="A37" s="257"/>
      <c r="B37" s="110" t="s">
        <v>553</v>
      </c>
      <c r="C37" s="229"/>
      <c r="D37" s="230"/>
      <c r="E37" s="230"/>
      <c r="F37" s="230"/>
      <c r="G37" s="230">
        <f t="shared" si="0"/>
        <v>0</v>
      </c>
      <c r="H37" s="233">
        <f t="shared" si="1"/>
        <v>210</v>
      </c>
      <c r="I37" s="355">
        <f>IF(T_T13411121314151617181920212223242526272829303132333536373839404142434445464748495051525354555657585960616263646566676869[[#This Row],[Total]]&lt;0,T_T13411121314151617181920212223242526272829303132333536373839404142434445464748495051525354555657585960616263646566676869[[#This Row],[Total]]*-1,0)</f>
        <v>0</v>
      </c>
    </row>
    <row r="38" spans="1:9" x14ac:dyDescent="0.3">
      <c r="A38" s="107"/>
      <c r="B38" s="82"/>
      <c r="C38" s="229"/>
      <c r="D38" s="230"/>
      <c r="E38" s="230"/>
      <c r="F38" s="230"/>
      <c r="G38" s="230">
        <f>SUM(D38:F38)</f>
        <v>0</v>
      </c>
      <c r="H38" s="233">
        <f t="shared" si="1"/>
        <v>210</v>
      </c>
      <c r="I38" s="355">
        <f>IF(T_T13411121314151617181920212223242526272829303132333536373839404142434445464748495051525354555657585960616263646566676869[[#This Row],[Total]]&lt;0,T_T13411121314151617181920212223242526272829303132333536373839404142434445464748495051525354555657585960616263646566676869[[#This Row],[Total]]*-1,0)</f>
        <v>0</v>
      </c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scale="60" orientation="portrait" verticalDpi="360" r:id="rId2"/>
  <drawing r:id="rId3"/>
  <tableParts count="1">
    <tablePart r:id="rId4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I87"/>
  <sheetViews>
    <sheetView showGridLines="0" zoomScale="98" zoomScaleNormal="98" workbookViewId="0">
      <selection activeCell="B8" sqref="B8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</cols>
  <sheetData>
    <row r="2" spans="1:9" ht="15.6" x14ac:dyDescent="0.3">
      <c r="A2" s="27" t="s">
        <v>36</v>
      </c>
      <c r="B2" s="41" t="s">
        <v>118</v>
      </c>
    </row>
    <row r="3" spans="1:9" x14ac:dyDescent="0.3">
      <c r="A3" s="27" t="s">
        <v>31</v>
      </c>
      <c r="B3" s="28" t="s">
        <v>364</v>
      </c>
    </row>
    <row r="4" spans="1:9" x14ac:dyDescent="0.3">
      <c r="A4" s="27"/>
      <c r="B4" s="28"/>
    </row>
    <row r="5" spans="1:9" hidden="1" x14ac:dyDescent="0.3">
      <c r="A5" s="27" t="s">
        <v>33</v>
      </c>
      <c r="B5" s="28" t="e">
        <f>LOOKUP(B2,#REF!,#REF!)</f>
        <v>#REF!</v>
      </c>
    </row>
    <row r="6" spans="1:9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9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9" x14ac:dyDescent="0.3">
      <c r="A8" s="21"/>
      <c r="B8" s="21"/>
    </row>
    <row r="9" spans="1:9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9" x14ac:dyDescent="0.3">
      <c r="A10" s="288"/>
      <c r="B10" s="118" t="s">
        <v>431</v>
      </c>
      <c r="C10" s="284"/>
      <c r="D10" s="285"/>
      <c r="E10" s="285"/>
      <c r="F10" s="285"/>
      <c r="G10" s="285"/>
      <c r="H10" s="233"/>
      <c r="I10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11" spans="1:9" x14ac:dyDescent="0.3">
      <c r="A11" s="288"/>
      <c r="B11" s="118" t="s">
        <v>432</v>
      </c>
      <c r="C11" s="284"/>
      <c r="D11" s="285"/>
      <c r="E11" s="285"/>
      <c r="F11" s="285"/>
      <c r="G11" s="285"/>
      <c r="H11" s="10"/>
      <c r="I11" s="94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12" spans="1:9" x14ac:dyDescent="0.3">
      <c r="A12" s="117"/>
      <c r="B12" s="118" t="s">
        <v>467</v>
      </c>
      <c r="C12" s="424"/>
      <c r="D12" s="425"/>
      <c r="E12" s="425"/>
      <c r="F12" s="425"/>
      <c r="G12" s="425">
        <f>SUM(D12:F12)</f>
        <v>0</v>
      </c>
      <c r="H12" s="426">
        <f>H11+G12</f>
        <v>0</v>
      </c>
      <c r="I12" s="427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13" spans="1:9" x14ac:dyDescent="0.3">
      <c r="A13" s="288"/>
      <c r="B13" s="118" t="s">
        <v>502</v>
      </c>
      <c r="C13" s="289"/>
      <c r="D13" s="290"/>
      <c r="E13" s="290"/>
      <c r="F13" s="290"/>
      <c r="G13" s="290"/>
      <c r="H13" s="291"/>
      <c r="I13" s="94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14" spans="1:9" x14ac:dyDescent="0.3">
      <c r="A14" s="288"/>
      <c r="B14" s="118" t="s">
        <v>529</v>
      </c>
      <c r="C14" s="481"/>
      <c r="D14" s="482"/>
      <c r="E14" s="482"/>
      <c r="F14" s="482"/>
      <c r="G14" s="482">
        <f>SUM(D14:F14)</f>
        <v>0</v>
      </c>
      <c r="H14" s="484">
        <f>H13+G14</f>
        <v>0</v>
      </c>
      <c r="I14" s="47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15" spans="1:9" x14ac:dyDescent="0.3">
      <c r="A15" s="17">
        <v>46052</v>
      </c>
      <c r="B15" s="18" t="s">
        <v>590</v>
      </c>
      <c r="C15" s="6"/>
      <c r="D15" s="2">
        <v>185</v>
      </c>
      <c r="E15" s="2">
        <v>0</v>
      </c>
      <c r="F15" s="20"/>
      <c r="G15" s="20">
        <f>SUM(D15:F15)</f>
        <v>185</v>
      </c>
      <c r="H15" s="233">
        <f>H13+G15</f>
        <v>185</v>
      </c>
      <c r="I15" s="94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16" spans="1:9" x14ac:dyDescent="0.3">
      <c r="A16" s="17"/>
      <c r="B16" s="18" t="s">
        <v>591</v>
      </c>
      <c r="C16" s="6"/>
      <c r="D16" s="2"/>
      <c r="E16" s="2"/>
      <c r="F16" s="230"/>
      <c r="G16" s="230">
        <f t="shared" ref="G16:G38" si="0">SUM(D16:F16)</f>
        <v>0</v>
      </c>
      <c r="H16" s="233">
        <f t="shared" ref="H16:H40" si="1">H15+G16</f>
        <v>185</v>
      </c>
      <c r="I16" s="94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17" spans="1:9" x14ac:dyDescent="0.3">
      <c r="A17" s="164">
        <v>45715</v>
      </c>
      <c r="B17" s="161" t="s">
        <v>532</v>
      </c>
      <c r="C17" s="6"/>
      <c r="D17" s="2">
        <v>185</v>
      </c>
      <c r="E17" s="2">
        <v>1</v>
      </c>
      <c r="F17" s="230"/>
      <c r="G17" s="230">
        <f t="shared" si="0"/>
        <v>186</v>
      </c>
      <c r="H17" s="233">
        <f t="shared" si="1"/>
        <v>371</v>
      </c>
      <c r="I17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18" spans="1:9" x14ac:dyDescent="0.3">
      <c r="A18" s="187"/>
      <c r="B18" s="18" t="s">
        <v>533</v>
      </c>
      <c r="C18" s="6"/>
      <c r="D18" s="2"/>
      <c r="E18" s="2"/>
      <c r="F18" s="230"/>
      <c r="G18" s="230">
        <f t="shared" si="0"/>
        <v>0</v>
      </c>
      <c r="H18" s="233">
        <f t="shared" si="1"/>
        <v>371</v>
      </c>
      <c r="I18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19" spans="1:9" x14ac:dyDescent="0.3">
      <c r="A19" s="188">
        <v>45747</v>
      </c>
      <c r="B19" s="3" t="s">
        <v>534</v>
      </c>
      <c r="C19" s="6"/>
      <c r="D19" s="2">
        <v>222</v>
      </c>
      <c r="E19" s="2">
        <v>2</v>
      </c>
      <c r="F19" s="230"/>
      <c r="G19" s="230">
        <f t="shared" si="0"/>
        <v>224</v>
      </c>
      <c r="H19" s="233">
        <f t="shared" si="1"/>
        <v>595</v>
      </c>
      <c r="I19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20" spans="1:9" x14ac:dyDescent="0.3">
      <c r="A20" s="188"/>
      <c r="B20" s="82" t="s">
        <v>535</v>
      </c>
      <c r="C20" s="6"/>
      <c r="D20" s="2"/>
      <c r="E20" s="2"/>
      <c r="F20" s="230"/>
      <c r="G20" s="230">
        <f t="shared" si="0"/>
        <v>0</v>
      </c>
      <c r="H20" s="233">
        <f t="shared" si="1"/>
        <v>595</v>
      </c>
      <c r="I20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21" spans="1:9" x14ac:dyDescent="0.3">
      <c r="A21" s="188">
        <v>45777</v>
      </c>
      <c r="B21" s="3" t="s">
        <v>536</v>
      </c>
      <c r="C21" s="6"/>
      <c r="D21" s="2">
        <v>222</v>
      </c>
      <c r="E21" s="2">
        <v>4</v>
      </c>
      <c r="F21" s="230"/>
      <c r="G21" s="230">
        <f t="shared" si="0"/>
        <v>226</v>
      </c>
      <c r="H21" s="233">
        <f t="shared" si="1"/>
        <v>821</v>
      </c>
      <c r="I21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22" spans="1:9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821</v>
      </c>
      <c r="I22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23" spans="1:9" x14ac:dyDescent="0.3">
      <c r="A23" s="40">
        <v>45807</v>
      </c>
      <c r="B23" s="3" t="s">
        <v>538</v>
      </c>
      <c r="C23" s="229"/>
      <c r="D23" s="230">
        <v>222</v>
      </c>
      <c r="E23" s="230">
        <v>13</v>
      </c>
      <c r="F23" s="230"/>
      <c r="G23" s="230">
        <f t="shared" si="0"/>
        <v>235</v>
      </c>
      <c r="H23" s="233">
        <f t="shared" si="1"/>
        <v>1056</v>
      </c>
      <c r="I23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24" spans="1:9" ht="15.75" customHeight="1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1056</v>
      </c>
      <c r="I24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25" spans="1:9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1056</v>
      </c>
      <c r="I25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26" spans="1:9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1056</v>
      </c>
      <c r="I26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27" spans="1:9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1056</v>
      </c>
      <c r="I27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28" spans="1:9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1056</v>
      </c>
      <c r="I28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29" spans="1:9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1056</v>
      </c>
      <c r="I29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30" spans="1:9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1056</v>
      </c>
      <c r="I30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31" spans="1:9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1056</v>
      </c>
      <c r="I31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32" spans="1:9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1056</v>
      </c>
      <c r="I32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33" spans="1:9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>H32+G33</f>
        <v>1056</v>
      </c>
      <c r="I33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34" spans="1:9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1056</v>
      </c>
      <c r="I34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35" spans="1:9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1056</v>
      </c>
      <c r="I35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36" spans="1:9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1056</v>
      </c>
      <c r="I36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37" spans="1:9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1056</v>
      </c>
      <c r="I37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38" spans="1:9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>H37+G38</f>
        <v>1056</v>
      </c>
      <c r="I38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39" spans="1:9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1056</v>
      </c>
      <c r="I39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40" spans="1:9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1056</v>
      </c>
      <c r="I40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41" spans="1:9" x14ac:dyDescent="0.3">
      <c r="A41" s="170"/>
      <c r="B41" s="18"/>
      <c r="C41" s="6"/>
      <c r="D41" s="2"/>
      <c r="E41" s="2"/>
      <c r="F41" s="2"/>
      <c r="G41" s="177"/>
      <c r="H41" s="282"/>
      <c r="I41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42" spans="1:9" x14ac:dyDescent="0.3">
      <c r="A42" s="17"/>
      <c r="B42" s="18"/>
      <c r="C42" s="6"/>
      <c r="D42" s="2"/>
      <c r="E42" s="2"/>
      <c r="F42" s="2"/>
      <c r="G42" s="177"/>
      <c r="H42" s="282"/>
      <c r="I42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43" spans="1:9" x14ac:dyDescent="0.3">
      <c r="A43" s="164"/>
      <c r="B43" s="161"/>
      <c r="C43" s="6"/>
      <c r="D43" s="2"/>
      <c r="E43" s="2"/>
      <c r="F43" s="2"/>
      <c r="G43" s="177"/>
      <c r="H43" s="282"/>
      <c r="I43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44" spans="1:9" x14ac:dyDescent="0.3">
      <c r="A44" s="185"/>
      <c r="B44" s="3"/>
      <c r="C44" s="6"/>
      <c r="D44" s="2"/>
      <c r="E44" s="2"/>
      <c r="F44" s="2"/>
      <c r="G44" s="177"/>
      <c r="H44" s="282"/>
      <c r="I44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45" spans="1:9" x14ac:dyDescent="0.3">
      <c r="A45" s="188"/>
      <c r="B45" s="3"/>
      <c r="C45" s="229"/>
      <c r="D45" s="31"/>
      <c r="E45" s="31"/>
      <c r="F45" s="7"/>
      <c r="G45" s="31"/>
      <c r="H45" s="10"/>
      <c r="I45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46" spans="1:9" x14ac:dyDescent="0.3">
      <c r="A46" s="188"/>
      <c r="B46" s="82"/>
      <c r="C46" s="253"/>
      <c r="D46" s="33"/>
      <c r="E46" s="33"/>
      <c r="F46" s="7"/>
      <c r="G46" s="33"/>
      <c r="H46" s="10"/>
      <c r="I46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47" spans="1:9" x14ac:dyDescent="0.3">
      <c r="A47" s="188"/>
      <c r="B47" s="3"/>
      <c r="C47" s="253"/>
      <c r="D47" s="33"/>
      <c r="E47" s="33"/>
      <c r="F47" s="7"/>
      <c r="G47" s="33"/>
      <c r="H47" s="10"/>
      <c r="I47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48" spans="1:9" x14ac:dyDescent="0.3">
      <c r="A48" s="83"/>
      <c r="B48" s="82"/>
      <c r="C48" s="253"/>
      <c r="D48" s="37"/>
      <c r="E48" s="37"/>
      <c r="F48" s="37"/>
      <c r="G48" s="37"/>
      <c r="H48" s="10"/>
      <c r="I48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49" spans="1:9" x14ac:dyDescent="0.3">
      <c r="A49" s="40"/>
      <c r="B49" s="18"/>
      <c r="C49" s="36"/>
      <c r="D49" s="37"/>
      <c r="E49" s="37"/>
      <c r="F49" s="37"/>
      <c r="G49" s="37"/>
      <c r="H49" s="10"/>
      <c r="I49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50" spans="1:9" x14ac:dyDescent="0.3">
      <c r="A50" s="17"/>
      <c r="B50" s="3"/>
      <c r="C50" s="36"/>
      <c r="D50" s="37"/>
      <c r="E50" s="37"/>
      <c r="F50" s="37"/>
      <c r="G50" s="37"/>
      <c r="H50" s="10"/>
      <c r="I50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51" spans="1:9" x14ac:dyDescent="0.3">
      <c r="A51" s="9"/>
      <c r="B51" s="18"/>
      <c r="C51" s="38"/>
      <c r="D51" s="39"/>
      <c r="E51" s="39"/>
      <c r="F51" s="39"/>
      <c r="G51" s="39"/>
      <c r="H51" s="10"/>
      <c r="I51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52" spans="1:9" x14ac:dyDescent="0.3">
      <c r="A52" s="17"/>
      <c r="B52" s="3"/>
      <c r="C52" s="6"/>
      <c r="D52" s="7"/>
      <c r="E52" s="7"/>
      <c r="F52" s="7"/>
      <c r="G52" s="7"/>
      <c r="H52" s="10"/>
      <c r="I52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53" spans="1:9" x14ac:dyDescent="0.3">
      <c r="A53" s="9"/>
      <c r="B53" s="18"/>
      <c r="C53" s="6"/>
      <c r="D53" s="7"/>
      <c r="E53" s="7"/>
      <c r="F53" s="7"/>
      <c r="G53" s="7"/>
      <c r="H53" s="10"/>
      <c r="I53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54" spans="1:9" x14ac:dyDescent="0.3">
      <c r="A54" s="17"/>
      <c r="B54" s="3"/>
      <c r="C54" s="6"/>
      <c r="D54" s="7"/>
      <c r="E54" s="7"/>
      <c r="F54" s="7"/>
      <c r="G54" s="7"/>
      <c r="H54" s="10"/>
      <c r="I54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55" spans="1:9" x14ac:dyDescent="0.3">
      <c r="A55" s="9"/>
      <c r="B55" s="18"/>
      <c r="C55" s="19"/>
      <c r="D55" s="20"/>
      <c r="E55" s="20"/>
      <c r="F55" s="20"/>
      <c r="G55" s="20"/>
      <c r="H55" s="10"/>
      <c r="I55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56" spans="1:9" x14ac:dyDescent="0.3">
      <c r="A56" s="17"/>
      <c r="B56" s="3"/>
      <c r="C56" s="6"/>
      <c r="D56" s="7"/>
      <c r="E56" s="7"/>
      <c r="F56" s="7"/>
      <c r="G56" s="7"/>
      <c r="H56" s="10"/>
      <c r="I56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57" spans="1:9" x14ac:dyDescent="0.3">
      <c r="A57" s="17"/>
      <c r="B57" s="18"/>
      <c r="C57" s="19"/>
      <c r="D57" s="20"/>
      <c r="E57" s="20"/>
      <c r="F57" s="20"/>
      <c r="G57" s="20"/>
      <c r="H57" s="64"/>
      <c r="I57" s="6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58" spans="1:9" x14ac:dyDescent="0.3">
      <c r="A58" s="105"/>
      <c r="B58" s="82"/>
      <c r="C58" s="90"/>
      <c r="D58" s="91"/>
      <c r="E58" s="91"/>
      <c r="F58" s="91"/>
      <c r="G58" s="91"/>
      <c r="H58" s="92"/>
      <c r="I58" s="93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59" spans="1:9" x14ac:dyDescent="0.3">
      <c r="A59" s="17"/>
      <c r="B59" s="18"/>
      <c r="C59" s="98"/>
      <c r="D59" s="99"/>
      <c r="E59" s="99"/>
      <c r="F59" s="99"/>
      <c r="G59" s="99"/>
      <c r="H59" s="100"/>
      <c r="I59" s="89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60" spans="1:9" x14ac:dyDescent="0.3">
      <c r="A60" s="8"/>
      <c r="B60" s="3"/>
      <c r="C60" s="90"/>
      <c r="D60" s="91"/>
      <c r="E60" s="91"/>
      <c r="F60" s="91"/>
      <c r="G60" s="91"/>
      <c r="H60" s="92"/>
      <c r="I60" s="93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61" spans="1:9" x14ac:dyDescent="0.3">
      <c r="A61" s="17"/>
      <c r="B61" s="18"/>
      <c r="C61" s="98"/>
      <c r="D61" s="99"/>
      <c r="E61" s="99"/>
      <c r="F61" s="99"/>
      <c r="G61" s="99"/>
      <c r="H61" s="100"/>
      <c r="I61" s="89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62" spans="1:9" x14ac:dyDescent="0.3">
      <c r="A62" s="9"/>
      <c r="B62" s="3"/>
      <c r="C62" s="130"/>
      <c r="D62" s="131"/>
      <c r="E62" s="131"/>
      <c r="F62" s="131"/>
      <c r="G62" s="131"/>
      <c r="H62" s="133"/>
      <c r="I62" s="132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63" spans="1:9" x14ac:dyDescent="0.3">
      <c r="A63" s="17"/>
      <c r="B63" s="137"/>
      <c r="C63" s="134"/>
      <c r="D63" s="135"/>
      <c r="E63" s="135"/>
      <c r="F63" s="135"/>
      <c r="G63" s="135"/>
      <c r="H63" s="136"/>
      <c r="I63" s="129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64" spans="1:9" x14ac:dyDescent="0.3">
      <c r="A64" s="9"/>
      <c r="B64" s="3"/>
      <c r="C64" s="6"/>
      <c r="D64" s="7"/>
      <c r="E64" s="7"/>
      <c r="F64" s="7"/>
      <c r="G64" s="7"/>
      <c r="H64" s="10"/>
      <c r="I64" s="51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65" spans="1:9" x14ac:dyDescent="0.3">
      <c r="A65" s="9"/>
      <c r="B65" s="3"/>
      <c r="C65" s="169"/>
      <c r="D65" s="141"/>
      <c r="E65" s="141"/>
      <c r="F65" s="141"/>
      <c r="G65" s="141"/>
      <c r="H65" s="10"/>
      <c r="I65" s="51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66" spans="1:9" x14ac:dyDescent="0.3">
      <c r="A66" s="9"/>
      <c r="B66" s="3"/>
      <c r="C66" s="6"/>
      <c r="D66" s="7"/>
      <c r="E66" s="7"/>
      <c r="F66" s="7"/>
      <c r="G66" s="7"/>
      <c r="H66" s="10"/>
      <c r="I66" s="51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67" spans="1:9" x14ac:dyDescent="0.3">
      <c r="A67" s="170"/>
      <c r="B67" s="18"/>
      <c r="C67" s="121"/>
      <c r="D67" s="70"/>
      <c r="E67" s="70"/>
      <c r="F67" s="70"/>
      <c r="G67" s="70"/>
      <c r="H67" s="64"/>
      <c r="I67" s="53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68" spans="1:9" x14ac:dyDescent="0.3">
      <c r="A68" s="9"/>
      <c r="B68" s="3"/>
      <c r="C68" s="189"/>
      <c r="D68" s="190"/>
      <c r="E68" s="190"/>
      <c r="F68" s="190"/>
      <c r="G68" s="190"/>
      <c r="H68" s="191"/>
      <c r="I68" s="192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69" spans="1:9" x14ac:dyDescent="0.3">
      <c r="A69" s="9"/>
      <c r="B69" s="82"/>
      <c r="C69" s="189"/>
      <c r="D69" s="190"/>
      <c r="E69" s="190"/>
      <c r="F69" s="190"/>
      <c r="G69" s="190"/>
      <c r="H69" s="191"/>
      <c r="I69" s="192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70" spans="1:9" x14ac:dyDescent="0.3">
      <c r="A70" s="9"/>
      <c r="B70" s="3"/>
      <c r="C70" s="189"/>
      <c r="D70" s="190"/>
      <c r="E70" s="190"/>
      <c r="F70" s="190"/>
      <c r="G70" s="190"/>
      <c r="H70" s="191"/>
      <c r="I70" s="192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71" spans="1:9" x14ac:dyDescent="0.3">
      <c r="A71" s="105"/>
      <c r="B71" s="82"/>
      <c r="C71" s="189"/>
      <c r="D71" s="190"/>
      <c r="E71" s="190"/>
      <c r="F71" s="190"/>
      <c r="G71" s="190"/>
      <c r="H71" s="191"/>
      <c r="I71" s="192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72" spans="1:9" x14ac:dyDescent="0.3">
      <c r="A72" s="9"/>
      <c r="B72" s="3"/>
      <c r="C72" s="189"/>
      <c r="D72" s="190"/>
      <c r="E72" s="190"/>
      <c r="F72" s="190"/>
      <c r="G72" s="190"/>
      <c r="H72" s="191"/>
      <c r="I72" s="192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73" spans="1:9" x14ac:dyDescent="0.3">
      <c r="A73" s="105"/>
      <c r="B73" s="82"/>
      <c r="C73" s="189"/>
      <c r="D73" s="190"/>
      <c r="E73" s="190"/>
      <c r="F73" s="190"/>
      <c r="G73" s="190"/>
      <c r="H73" s="191"/>
      <c r="I73" s="192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74" spans="1:9" x14ac:dyDescent="0.3">
      <c r="A74" s="9"/>
      <c r="B74" s="3"/>
      <c r="C74" s="189"/>
      <c r="D74" s="190"/>
      <c r="E74" s="190"/>
      <c r="F74" s="190"/>
      <c r="G74" s="190"/>
      <c r="H74" s="191"/>
      <c r="I74" s="192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75" spans="1:9" x14ac:dyDescent="0.3">
      <c r="A75" s="138"/>
      <c r="B75" s="137"/>
      <c r="C75" s="193"/>
      <c r="D75" s="194"/>
      <c r="E75" s="194"/>
      <c r="F75" s="194"/>
      <c r="G75" s="194"/>
      <c r="H75" s="195"/>
      <c r="I75" s="179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76" spans="1:9" x14ac:dyDescent="0.3">
      <c r="A76" s="9"/>
      <c r="B76" s="3"/>
      <c r="C76" s="189"/>
      <c r="D76" s="190"/>
      <c r="E76" s="190"/>
      <c r="F76" s="190"/>
      <c r="G76" s="190"/>
      <c r="H76" s="191"/>
      <c r="I76" s="192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77" spans="1:9" x14ac:dyDescent="0.3">
      <c r="A77" s="9"/>
      <c r="B77" s="3"/>
      <c r="C77" s="189"/>
      <c r="D77" s="190"/>
      <c r="E77" s="190"/>
      <c r="F77" s="190"/>
      <c r="G77" s="190"/>
      <c r="H77" s="191"/>
      <c r="I77" s="192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78" spans="1:9" x14ac:dyDescent="0.3">
      <c r="A78" s="9"/>
      <c r="B78" s="3"/>
      <c r="C78" s="189"/>
      <c r="D78" s="190"/>
      <c r="E78" s="190"/>
      <c r="F78" s="190"/>
      <c r="G78" s="190"/>
      <c r="H78" s="191"/>
      <c r="I78" s="192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79" spans="1:9" x14ac:dyDescent="0.3">
      <c r="A79" s="9"/>
      <c r="B79" s="3"/>
      <c r="C79" s="189"/>
      <c r="D79" s="190"/>
      <c r="E79" s="190"/>
      <c r="F79" s="190"/>
      <c r="G79" s="190"/>
      <c r="H79" s="191"/>
      <c r="I79" s="192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80" spans="1:9" x14ac:dyDescent="0.3">
      <c r="A80" s="9"/>
      <c r="B80" s="3"/>
      <c r="C80" s="189"/>
      <c r="D80" s="190"/>
      <c r="E80" s="190"/>
      <c r="F80" s="190"/>
      <c r="G80" s="190"/>
      <c r="H80" s="191"/>
      <c r="I80" s="192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81" spans="1:9" x14ac:dyDescent="0.3">
      <c r="A81" s="9"/>
      <c r="B81" s="3"/>
      <c r="C81" s="189"/>
      <c r="D81" s="190"/>
      <c r="E81" s="190"/>
      <c r="F81" s="190"/>
      <c r="G81" s="190"/>
      <c r="H81" s="191"/>
      <c r="I81" s="192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82" spans="1:9" x14ac:dyDescent="0.3">
      <c r="A82" s="9"/>
      <c r="B82" s="3"/>
      <c r="C82" s="189"/>
      <c r="D82" s="190"/>
      <c r="E82" s="190"/>
      <c r="F82" s="190"/>
      <c r="G82" s="190"/>
      <c r="H82" s="191"/>
      <c r="I82" s="192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83" spans="1:9" x14ac:dyDescent="0.3">
      <c r="A83" s="9"/>
      <c r="B83" s="3"/>
      <c r="C83" s="189"/>
      <c r="D83" s="190"/>
      <c r="E83" s="190"/>
      <c r="F83" s="190"/>
      <c r="G83" s="190"/>
      <c r="H83" s="191"/>
      <c r="I83" s="192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84" spans="1:9" x14ac:dyDescent="0.3">
      <c r="A84" s="9"/>
      <c r="B84" s="3"/>
      <c r="C84" s="189"/>
      <c r="D84" s="190"/>
      <c r="E84" s="190"/>
      <c r="F84" s="190"/>
      <c r="G84" s="190"/>
      <c r="H84" s="191"/>
      <c r="I84" s="192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85" spans="1:9" x14ac:dyDescent="0.3">
      <c r="A85" s="17"/>
      <c r="B85" s="18"/>
      <c r="C85" s="193"/>
      <c r="D85" s="194"/>
      <c r="E85" s="194"/>
      <c r="F85" s="194"/>
      <c r="G85" s="194"/>
      <c r="H85" s="195"/>
      <c r="I85" s="179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86" spans="1:9" x14ac:dyDescent="0.3">
      <c r="A86" s="9"/>
      <c r="B86" s="3"/>
      <c r="C86" s="253"/>
      <c r="D86" s="254"/>
      <c r="E86" s="254"/>
      <c r="F86" s="254"/>
      <c r="G86" s="230"/>
      <c r="H86" s="233"/>
      <c r="I86" s="240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  <row r="87" spans="1:9" x14ac:dyDescent="0.3">
      <c r="A87" s="138"/>
      <c r="B87" s="137"/>
      <c r="C87" s="258"/>
      <c r="D87" s="259"/>
      <c r="E87" s="259"/>
      <c r="F87" s="259"/>
      <c r="G87" s="243"/>
      <c r="H87" s="244"/>
      <c r="I87" s="239">
        <f>IF(T_T1341112131415161718192021222324252627282930313233353637383940414243444546474849505152535455565758596061626364656667686970[[#This Row],[Total]]&lt;0,T_T1341112131415161718192021222324252627282930313233353637383940414243444546474849505152535455565758596061626364656667686970[[#This Row],[Total]]*-1,0)</f>
        <v>0</v>
      </c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scale="70" orientation="portrait" verticalDpi="360" r:id="rId2"/>
  <drawing r:id="rId3"/>
  <tableParts count="1">
    <tablePart r:id="rId4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X66"/>
  <sheetViews>
    <sheetView topLeftCell="E1" zoomScale="82" zoomScaleNormal="82" workbookViewId="0">
      <selection activeCell="F5" sqref="F5:T5"/>
    </sheetView>
  </sheetViews>
  <sheetFormatPr baseColWidth="10" defaultRowHeight="14.4" x14ac:dyDescent="0.3"/>
  <cols>
    <col min="3" max="3" width="11.33203125" customWidth="1"/>
    <col min="4" max="4" width="41.5546875" customWidth="1"/>
    <col min="5" max="5" width="14" customWidth="1"/>
    <col min="6" max="17" width="13.88671875" customWidth="1"/>
    <col min="18" max="18" width="16.88671875" customWidth="1"/>
    <col min="19" max="19" width="14.6640625" customWidth="1"/>
    <col min="20" max="20" width="15.44140625" customWidth="1"/>
    <col min="21" max="21" width="9.109375" customWidth="1"/>
    <col min="22" max="23" width="21.44140625" customWidth="1"/>
  </cols>
  <sheetData>
    <row r="1" spans="1:21" ht="21" customHeight="1" x14ac:dyDescent="0.45">
      <c r="C1" s="637" t="s">
        <v>437</v>
      </c>
      <c r="D1" s="637"/>
      <c r="E1" s="637"/>
      <c r="F1" s="637"/>
      <c r="G1" s="637"/>
      <c r="H1" s="637"/>
      <c r="I1" s="637"/>
      <c r="J1" s="637"/>
      <c r="K1" s="637"/>
      <c r="L1" s="637"/>
      <c r="M1" s="637"/>
      <c r="N1" s="637"/>
      <c r="O1" s="637"/>
      <c r="P1" s="637"/>
      <c r="Q1" s="637"/>
      <c r="R1" s="637"/>
      <c r="S1" s="637"/>
      <c r="T1" s="384"/>
    </row>
    <row r="2" spans="1:21" ht="19.5" customHeight="1" x14ac:dyDescent="0.45">
      <c r="C2" s="637" t="s">
        <v>392</v>
      </c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7"/>
      <c r="O2" s="637"/>
      <c r="P2" s="637"/>
      <c r="Q2" s="637"/>
      <c r="R2" s="637"/>
      <c r="S2" s="637"/>
      <c r="T2" s="384"/>
    </row>
    <row r="3" spans="1:21" ht="18.75" customHeight="1" x14ac:dyDescent="0.45">
      <c r="A3" s="148"/>
      <c r="B3" s="279"/>
      <c r="C3" s="637" t="s">
        <v>678</v>
      </c>
      <c r="D3" s="637"/>
      <c r="E3" s="637"/>
      <c r="F3" s="637"/>
      <c r="G3" s="637"/>
      <c r="H3" s="637"/>
      <c r="I3" s="637"/>
      <c r="J3" s="637"/>
      <c r="K3" s="637"/>
      <c r="L3" s="637"/>
      <c r="M3" s="637"/>
      <c r="N3" s="637"/>
      <c r="O3" s="637"/>
      <c r="P3" s="637"/>
      <c r="Q3" s="637"/>
      <c r="R3" s="637"/>
      <c r="S3" s="637"/>
      <c r="T3" s="384"/>
    </row>
    <row r="4" spans="1:21" ht="21.75" customHeight="1" x14ac:dyDescent="0.45">
      <c r="A4" s="148"/>
      <c r="B4" s="279"/>
      <c r="C4" s="384"/>
      <c r="D4" s="384"/>
      <c r="E4" s="384"/>
      <c r="F4" s="384"/>
      <c r="G4" s="618"/>
      <c r="H4" s="618"/>
      <c r="I4" s="618"/>
      <c r="J4" s="618"/>
      <c r="K4" s="618"/>
      <c r="L4" s="618"/>
      <c r="M4" s="618"/>
      <c r="N4" s="618"/>
      <c r="O4" s="618"/>
      <c r="P4" s="618"/>
      <c r="Q4" s="618"/>
      <c r="R4" s="384"/>
      <c r="S4" s="384"/>
      <c r="T4" s="384"/>
    </row>
    <row r="5" spans="1:21" ht="30.6" customHeight="1" x14ac:dyDescent="0.3">
      <c r="B5" s="524" t="s">
        <v>584</v>
      </c>
      <c r="C5" s="525" t="s">
        <v>417</v>
      </c>
      <c r="D5" s="526" t="s">
        <v>371</v>
      </c>
      <c r="E5" s="270" t="s">
        <v>260</v>
      </c>
      <c r="F5" s="270" t="s">
        <v>664</v>
      </c>
      <c r="G5" s="270" t="s">
        <v>665</v>
      </c>
      <c r="H5" s="270" t="s">
        <v>666</v>
      </c>
      <c r="I5" s="270" t="s">
        <v>667</v>
      </c>
      <c r="J5" s="270" t="s">
        <v>668</v>
      </c>
      <c r="K5" s="270" t="s">
        <v>669</v>
      </c>
      <c r="L5" s="270" t="s">
        <v>670</v>
      </c>
      <c r="M5" s="270" t="s">
        <v>671</v>
      </c>
      <c r="N5" s="270" t="s">
        <v>672</v>
      </c>
      <c r="O5" s="270" t="s">
        <v>673</v>
      </c>
      <c r="P5" s="270" t="s">
        <v>674</v>
      </c>
      <c r="Q5" s="270" t="s">
        <v>675</v>
      </c>
      <c r="R5" s="271" t="s">
        <v>453</v>
      </c>
      <c r="S5" s="272" t="s">
        <v>264</v>
      </c>
      <c r="T5" s="275" t="s">
        <v>451</v>
      </c>
      <c r="U5" s="274" t="s">
        <v>363</v>
      </c>
    </row>
    <row r="6" spans="1:21" ht="15" customHeight="1" x14ac:dyDescent="0.3">
      <c r="B6" s="523">
        <v>1</v>
      </c>
      <c r="C6" s="49" t="s">
        <v>60</v>
      </c>
      <c r="D6" s="140" t="s">
        <v>438</v>
      </c>
      <c r="E6" s="2">
        <f>+OF.3A!D19</f>
        <v>200</v>
      </c>
      <c r="F6" s="2">
        <f>+OF.3A!D17+OF.3A!E17</f>
        <v>369</v>
      </c>
      <c r="G6" s="2">
        <f>+OF.3A!D21+OF.3A!E21</f>
        <v>203</v>
      </c>
      <c r="H6" s="2">
        <f>+OF.3A!D23+OF.3A!E23</f>
        <v>216</v>
      </c>
      <c r="I6" s="2">
        <f>+OF.3A!D25+OF.3A!E25</f>
        <v>261</v>
      </c>
      <c r="J6" s="2">
        <f>+OF.3A!D27+OF.3A!E27</f>
        <v>335</v>
      </c>
      <c r="K6" s="2"/>
      <c r="L6" s="2"/>
      <c r="M6" s="2"/>
      <c r="N6" s="2"/>
      <c r="O6" s="2"/>
      <c r="P6" s="2"/>
      <c r="Q6" s="2"/>
      <c r="R6" s="2">
        <f>SUM(E6:Q6)</f>
        <v>1584</v>
      </c>
      <c r="S6" s="2">
        <f>-(+OF.3A!G18+OF.3A!G20+OF.3A!G22+OF.3A!G24+OF.3A!G26)</f>
        <v>569</v>
      </c>
      <c r="T6" s="151">
        <f>+R6-S6</f>
        <v>1015</v>
      </c>
      <c r="U6" s="49" t="s">
        <v>60</v>
      </c>
    </row>
    <row r="7" spans="1:21" ht="15" customHeight="1" x14ac:dyDescent="0.3">
      <c r="B7" s="523">
        <f>+B6+1</f>
        <v>2</v>
      </c>
      <c r="C7" s="49" t="s">
        <v>61</v>
      </c>
      <c r="D7" s="140" t="s">
        <v>438</v>
      </c>
      <c r="E7" s="2"/>
      <c r="F7" s="2">
        <f>+OF.3B!D15+OF.3B!E15</f>
        <v>185</v>
      </c>
      <c r="G7" s="2">
        <f>+OF.3B!D17+OF.3B!E17</f>
        <v>193</v>
      </c>
      <c r="H7" s="2">
        <f>+OF.3B!D19+OF.3B!E19</f>
        <v>232</v>
      </c>
      <c r="I7" s="2">
        <f>+OF.3B!D21+OF.3B!E21</f>
        <v>230</v>
      </c>
      <c r="J7" s="2">
        <f>+OF.3B!D23+OF.3B!E23</f>
        <v>234</v>
      </c>
      <c r="K7" s="2"/>
      <c r="L7" s="2"/>
      <c r="M7" s="2"/>
      <c r="N7" s="2"/>
      <c r="O7" s="2"/>
      <c r="P7" s="2"/>
      <c r="Q7" s="2"/>
      <c r="R7" s="2">
        <f t="shared" ref="R7:R54" si="0">SUM(E7:Q7)</f>
        <v>1074</v>
      </c>
      <c r="S7" s="2">
        <f>+OF.3B!G16+OF.3B!G18+OF.3B!G20+OF.3B!G22</f>
        <v>0</v>
      </c>
      <c r="T7" s="151">
        <f t="shared" ref="T7:T54" si="1">+R7-S7</f>
        <v>1074</v>
      </c>
      <c r="U7" s="49" t="s">
        <v>61</v>
      </c>
    </row>
    <row r="8" spans="1:21" ht="15" customHeight="1" x14ac:dyDescent="0.3">
      <c r="B8" s="523">
        <f>+B7+1</f>
        <v>3</v>
      </c>
      <c r="C8" s="49" t="s">
        <v>62</v>
      </c>
      <c r="D8" s="140" t="s">
        <v>438</v>
      </c>
      <c r="E8" s="2">
        <v>0</v>
      </c>
      <c r="F8" s="2">
        <f>+OF.3C!D15+OF.3C!E15</f>
        <v>189</v>
      </c>
      <c r="G8" s="2">
        <f>+OF.3C!D17+OF.3C!E17</f>
        <v>189</v>
      </c>
      <c r="H8" s="2">
        <f>+OF.3C!D19+OF.3C!E19</f>
        <v>227</v>
      </c>
      <c r="I8" s="2">
        <f>+OF.3C!D21+OF.3C!E21</f>
        <v>242</v>
      </c>
      <c r="J8" s="2">
        <f>+OF.3C!D23+OF.3C!E23</f>
        <v>239</v>
      </c>
      <c r="K8" s="2"/>
      <c r="L8" s="2"/>
      <c r="M8" s="2"/>
      <c r="N8" s="2"/>
      <c r="O8" s="2"/>
      <c r="P8" s="2"/>
      <c r="Q8" s="2"/>
      <c r="R8" s="2">
        <f t="shared" si="0"/>
        <v>1086</v>
      </c>
      <c r="S8" s="2">
        <f>-(+OF.3C!G16+OF.3C!G18+OF.3C!G20+OF.3C!G22)</f>
        <v>189</v>
      </c>
      <c r="T8" s="151">
        <f t="shared" si="1"/>
        <v>897</v>
      </c>
      <c r="U8" s="49" t="s">
        <v>62</v>
      </c>
    </row>
    <row r="9" spans="1:21" ht="15" customHeight="1" x14ac:dyDescent="0.3">
      <c r="B9" s="523">
        <f t="shared" ref="B9:B54" si="2">+B8+1</f>
        <v>4</v>
      </c>
      <c r="C9" s="49" t="s">
        <v>63</v>
      </c>
      <c r="D9" s="140" t="s">
        <v>438</v>
      </c>
      <c r="E9" s="2">
        <v>0</v>
      </c>
      <c r="F9" s="2">
        <f>+OF.3D!D15+OF.3D!E15</f>
        <v>197</v>
      </c>
      <c r="G9" s="2">
        <f>+OF.3D!D17+OF.3D!E17</f>
        <v>202</v>
      </c>
      <c r="H9" s="2">
        <f>+OF.3D!D19+OF.3D!E19</f>
        <v>236</v>
      </c>
      <c r="I9" s="2">
        <f>+OF.3D!D21+OF.3D!E21</f>
        <v>229</v>
      </c>
      <c r="J9" s="2">
        <f>+OF.3D!D23+OF.3D!E23</f>
        <v>221</v>
      </c>
      <c r="K9" s="2"/>
      <c r="L9" s="2"/>
      <c r="M9" s="2"/>
      <c r="N9" s="2"/>
      <c r="O9" s="2"/>
      <c r="P9" s="2"/>
      <c r="Q9" s="2"/>
      <c r="R9" s="2">
        <f t="shared" si="0"/>
        <v>1085</v>
      </c>
      <c r="S9" s="2">
        <f>-(+OF.3D!G16+OF.3D!G18+OF.3D!G20+OF.3D!G22)</f>
        <v>197</v>
      </c>
      <c r="T9" s="151">
        <f t="shared" si="1"/>
        <v>888</v>
      </c>
      <c r="U9" s="49" t="s">
        <v>63</v>
      </c>
    </row>
    <row r="10" spans="1:21" ht="15" customHeight="1" x14ac:dyDescent="0.3">
      <c r="B10" s="523">
        <f t="shared" si="2"/>
        <v>5</v>
      </c>
      <c r="C10" s="49" t="s">
        <v>64</v>
      </c>
      <c r="D10" s="140" t="s">
        <v>342</v>
      </c>
      <c r="E10" s="2">
        <f>+OF.4A!D14</f>
        <v>0</v>
      </c>
      <c r="F10" s="2">
        <f>+OF.4A!D17+OF.4A!E17</f>
        <v>277</v>
      </c>
      <c r="G10" s="2">
        <f>+OF.4A!D19+OF.4A!E19</f>
        <v>186</v>
      </c>
      <c r="H10" s="2">
        <f>+OF.4A!D21+OF.4A!E21</f>
        <v>222</v>
      </c>
      <c r="I10" s="2">
        <f>+OF.4A!D23+OF.4A!E23</f>
        <v>222</v>
      </c>
      <c r="J10" s="2">
        <f>+OF.4A!D25+OF.4A!E25</f>
        <v>222</v>
      </c>
      <c r="K10" s="2"/>
      <c r="L10" s="2"/>
      <c r="M10" s="2"/>
      <c r="N10" s="2"/>
      <c r="O10" s="2"/>
      <c r="P10" s="2"/>
      <c r="Q10" s="2"/>
      <c r="R10" s="2">
        <f t="shared" si="0"/>
        <v>1129</v>
      </c>
      <c r="S10" s="2">
        <f>-(+OF.4A!G18+OF.4A!G20+OF.4A!G22+OF.4A!G24+OF.4A!G26)</f>
        <v>907</v>
      </c>
      <c r="T10" s="151">
        <f t="shared" si="1"/>
        <v>222</v>
      </c>
      <c r="U10" s="49" t="s">
        <v>64</v>
      </c>
    </row>
    <row r="11" spans="1:21" s="85" customFormat="1" ht="15" customHeight="1" x14ac:dyDescent="0.3">
      <c r="B11" s="523">
        <f t="shared" si="2"/>
        <v>6</v>
      </c>
      <c r="C11" s="234" t="s">
        <v>65</v>
      </c>
      <c r="D11" s="235" t="s">
        <v>276</v>
      </c>
      <c r="E11" s="2">
        <v>0</v>
      </c>
      <c r="F11" s="236">
        <f>+OF.4B!D15+OF.4B!E15</f>
        <v>378</v>
      </c>
      <c r="G11" s="236">
        <f>+OF.4B!D17+OF.4B!E17</f>
        <v>378</v>
      </c>
      <c r="H11" s="236">
        <f>+OF.4B!D19+OF.4B!E19</f>
        <v>453</v>
      </c>
      <c r="I11" s="236">
        <f>+OF.4B!D21+OF.4B!E21</f>
        <v>454</v>
      </c>
      <c r="J11" s="236">
        <f>+OF.4B!D23+OF.4B!E23</f>
        <v>453</v>
      </c>
      <c r="K11" s="236"/>
      <c r="L11" s="236"/>
      <c r="M11" s="236"/>
      <c r="N11" s="236"/>
      <c r="O11" s="236"/>
      <c r="P11" s="236"/>
      <c r="Q11" s="236"/>
      <c r="R11" s="2">
        <f t="shared" si="0"/>
        <v>2116</v>
      </c>
      <c r="S11" s="236">
        <f>-(+OF.4B!G16+OF.4B!G18+OF.4B!G20+OF.4B!G22+OF.4B!G24)</f>
        <v>378</v>
      </c>
      <c r="T11" s="151">
        <f t="shared" si="1"/>
        <v>1738</v>
      </c>
      <c r="U11" s="234" t="s">
        <v>65</v>
      </c>
    </row>
    <row r="12" spans="1:21" ht="15" customHeight="1" x14ac:dyDescent="0.3">
      <c r="B12" s="523">
        <f t="shared" si="2"/>
        <v>7</v>
      </c>
      <c r="C12" s="49" t="s">
        <v>66</v>
      </c>
      <c r="D12" s="140" t="s">
        <v>341</v>
      </c>
      <c r="E12" s="2"/>
      <c r="F12" s="2">
        <f>+OF.4C!D15+OF.4C!E15</f>
        <v>174</v>
      </c>
      <c r="G12" s="2">
        <f>+OF.4C!D17+OF.4C!E17</f>
        <v>180</v>
      </c>
      <c r="H12" s="2">
        <f>+OF.4C!D19+OF.4C!E19</f>
        <v>206</v>
      </c>
      <c r="I12" s="2">
        <f>+OF.4C!D21+OF.4C!E21</f>
        <v>204</v>
      </c>
      <c r="J12" s="2"/>
      <c r="K12" s="2"/>
      <c r="L12" s="2"/>
      <c r="M12" s="2"/>
      <c r="N12" s="2"/>
      <c r="O12" s="2"/>
      <c r="P12" s="2"/>
      <c r="Q12" s="2"/>
      <c r="R12" s="2">
        <f t="shared" si="0"/>
        <v>764</v>
      </c>
      <c r="S12" s="2">
        <f>-(+OF.4C!G16+OF.4C!G18+OF.4C!G20+OF.4C!G22+OF.4C!G24)</f>
        <v>560</v>
      </c>
      <c r="T12" s="151">
        <f t="shared" si="1"/>
        <v>204</v>
      </c>
      <c r="U12" s="49" t="s">
        <v>66</v>
      </c>
    </row>
    <row r="13" spans="1:21" ht="15" customHeight="1" x14ac:dyDescent="0.3">
      <c r="B13" s="523">
        <f t="shared" si="2"/>
        <v>8</v>
      </c>
      <c r="C13" s="49" t="s">
        <v>67</v>
      </c>
      <c r="D13" s="140" t="s">
        <v>268</v>
      </c>
      <c r="E13" s="2">
        <v>0</v>
      </c>
      <c r="F13" s="2">
        <f>+OF.5A!D15+OF.5A!E15</f>
        <v>240</v>
      </c>
      <c r="G13" s="2">
        <f>+OF.5A!D17+OF.5A!E17</f>
        <v>244</v>
      </c>
      <c r="H13" s="2">
        <f>+OF.5A!D19+OF.5A!E19</f>
        <v>279</v>
      </c>
      <c r="I13" s="2">
        <f>+OF.5A!D21+OF.5A!E21</f>
        <v>281</v>
      </c>
      <c r="J13" s="2"/>
      <c r="K13" s="2"/>
      <c r="L13" s="2"/>
      <c r="M13" s="2"/>
      <c r="N13" s="2"/>
      <c r="O13" s="2"/>
      <c r="P13" s="2"/>
      <c r="Q13" s="2"/>
      <c r="R13" s="2">
        <f t="shared" si="0"/>
        <v>1044</v>
      </c>
      <c r="S13" s="2">
        <f>-(+OF.5A!G16+OF.5A!G18+OF.5A!G20+OF.5A!G22+OF.5A!G24)</f>
        <v>725</v>
      </c>
      <c r="T13" s="151">
        <f t="shared" si="1"/>
        <v>319</v>
      </c>
      <c r="U13" s="49" t="s">
        <v>67</v>
      </c>
    </row>
    <row r="14" spans="1:21" s="85" customFormat="1" ht="15" customHeight="1" x14ac:dyDescent="0.3">
      <c r="B14" s="523">
        <f t="shared" si="2"/>
        <v>9</v>
      </c>
      <c r="C14" s="234" t="s">
        <v>68</v>
      </c>
      <c r="D14" s="235" t="s">
        <v>277</v>
      </c>
      <c r="E14" s="2">
        <v>0</v>
      </c>
      <c r="F14" s="236">
        <f>+OF.5B!D15+OF.5B!E15</f>
        <v>160</v>
      </c>
      <c r="G14" s="236">
        <f>+OF.5B!D17+OF.5B!E17</f>
        <v>161</v>
      </c>
      <c r="H14" s="236">
        <f>+OF.5B!D19+OF.5B!E19</f>
        <v>190</v>
      </c>
      <c r="I14" s="236">
        <f>+OF.5B!D21+OF.5B!E21</f>
        <v>192</v>
      </c>
      <c r="J14" s="236"/>
      <c r="K14" s="236"/>
      <c r="L14" s="236"/>
      <c r="M14" s="236"/>
      <c r="N14" s="236"/>
      <c r="O14" s="236"/>
      <c r="P14" s="236"/>
      <c r="Q14" s="236"/>
      <c r="R14" s="2">
        <f t="shared" si="0"/>
        <v>703</v>
      </c>
      <c r="S14" s="236">
        <f>-(+OF.5B!G16+OF.5B!G18+OF.5B!G20+OF.5B!G22+OF.5B!G24)</f>
        <v>703</v>
      </c>
      <c r="T14" s="151">
        <f t="shared" si="1"/>
        <v>0</v>
      </c>
      <c r="U14" s="49" t="s">
        <v>68</v>
      </c>
    </row>
    <row r="15" spans="1:21" ht="15" customHeight="1" x14ac:dyDescent="0.3">
      <c r="B15" s="523">
        <f t="shared" si="2"/>
        <v>10</v>
      </c>
      <c r="C15" s="49" t="s">
        <v>69</v>
      </c>
      <c r="D15" s="140" t="s">
        <v>268</v>
      </c>
      <c r="E15" s="2">
        <v>0</v>
      </c>
      <c r="F15" s="2">
        <f>+T_T1341112131415161718192021222324252627282930[[#This Row],[Expensas]]+T_T1341112131415161718192021222324252627282930[[#This Row],[Agua]]</f>
        <v>234</v>
      </c>
      <c r="G15" s="2">
        <f>+OF.5C!D17+OF.5C!E17</f>
        <v>235</v>
      </c>
      <c r="H15" s="2">
        <f>+OF.5C!D19+OF.5C!E19</f>
        <v>275</v>
      </c>
      <c r="I15" s="2">
        <f>+OF.5C!D21+OF.5C!E21</f>
        <v>279</v>
      </c>
      <c r="J15" s="2"/>
      <c r="K15" s="2"/>
      <c r="L15" s="2"/>
      <c r="M15" s="2"/>
      <c r="N15" s="2"/>
      <c r="O15" s="2"/>
      <c r="P15" s="2"/>
      <c r="Q15" s="2"/>
      <c r="R15" s="2">
        <f t="shared" si="0"/>
        <v>1023</v>
      </c>
      <c r="S15" s="2">
        <f>-(+OF.5C!G16+OF.5C!G18+OF.5C!G20+OF.5C!G22)</f>
        <v>469</v>
      </c>
      <c r="T15" s="151">
        <f t="shared" si="1"/>
        <v>554</v>
      </c>
      <c r="U15" s="49" t="s">
        <v>69</v>
      </c>
    </row>
    <row r="16" spans="1:21" ht="15" customHeight="1" x14ac:dyDescent="0.3">
      <c r="B16" s="523">
        <f t="shared" si="2"/>
        <v>11</v>
      </c>
      <c r="C16" s="49" t="s">
        <v>70</v>
      </c>
      <c r="D16" s="140" t="s">
        <v>272</v>
      </c>
      <c r="E16" s="2">
        <v>0</v>
      </c>
      <c r="F16" s="2">
        <f>+OF.5D!D15+OF.5D!E15</f>
        <v>217</v>
      </c>
      <c r="G16" s="2">
        <f>+OF.5D!D17+OF.5D!E17</f>
        <v>218</v>
      </c>
      <c r="H16" s="2">
        <f>+OF.5D!D19+OF.5D!E19</f>
        <v>258</v>
      </c>
      <c r="I16" s="2">
        <f>+OF.5D!D21+OF.5D!E21</f>
        <v>258</v>
      </c>
      <c r="J16" s="2"/>
      <c r="K16" s="2"/>
      <c r="L16" s="2"/>
      <c r="M16" s="2"/>
      <c r="N16" s="2"/>
      <c r="O16" s="2"/>
      <c r="P16" s="2"/>
      <c r="Q16" s="2"/>
      <c r="R16" s="2">
        <f t="shared" si="0"/>
        <v>951</v>
      </c>
      <c r="S16" s="2">
        <f>-(+T_T134111213141516171819202122232425262728293031[[#This Row],[Total]]+OF.5D!G18+OF.5D!G20+OF.5D!G22+OF.5D!G24)</f>
        <v>217</v>
      </c>
      <c r="T16" s="151">
        <f t="shared" si="1"/>
        <v>734</v>
      </c>
      <c r="U16" s="49" t="s">
        <v>70</v>
      </c>
    </row>
    <row r="17" spans="1:22" ht="15" customHeight="1" x14ac:dyDescent="0.3">
      <c r="B17" s="523">
        <f t="shared" si="2"/>
        <v>12</v>
      </c>
      <c r="C17" s="49" t="s">
        <v>71</v>
      </c>
      <c r="D17" s="140" t="s">
        <v>278</v>
      </c>
      <c r="E17" s="2">
        <v>0</v>
      </c>
      <c r="F17" s="2">
        <f>+OF.5E!D15+OF.5E!E15</f>
        <v>232</v>
      </c>
      <c r="G17" s="2">
        <f>+T_T13411121314151617181920212223242526272829303132[[#This Row],[Expensas]]+T_T13411121314151617181920212223242526272829303132[[#This Row],[Agua]]</f>
        <v>184</v>
      </c>
      <c r="H17" s="2">
        <f>+OF.5E!D19+OF.5E!E19</f>
        <v>224</v>
      </c>
      <c r="I17" s="2">
        <f>+OF.5E!D21+OF.5E!E21</f>
        <v>208</v>
      </c>
      <c r="J17" s="2"/>
      <c r="K17" s="2"/>
      <c r="L17" s="2"/>
      <c r="M17" s="2"/>
      <c r="N17" s="2"/>
      <c r="O17" s="2"/>
      <c r="P17" s="2"/>
      <c r="Q17" s="2"/>
      <c r="R17" s="2">
        <f t="shared" si="0"/>
        <v>848</v>
      </c>
      <c r="S17" s="2">
        <f>-(+OF.5E!G16+OF.5E!G18+OF.5E!G20+OF.5E!G22+OF.5E!G24)</f>
        <v>1045</v>
      </c>
      <c r="T17" s="151">
        <f t="shared" si="1"/>
        <v>-197</v>
      </c>
      <c r="U17" s="49" t="s">
        <v>71</v>
      </c>
    </row>
    <row r="18" spans="1:22" ht="15" customHeight="1" x14ac:dyDescent="0.3">
      <c r="B18" s="523">
        <f t="shared" si="2"/>
        <v>13</v>
      </c>
      <c r="C18" s="49" t="s">
        <v>72</v>
      </c>
      <c r="D18" s="139" t="s">
        <v>279</v>
      </c>
      <c r="E18" s="2">
        <v>0</v>
      </c>
      <c r="F18" s="2">
        <f>+OF.5F!D15+OF.5F!E15</f>
        <v>152</v>
      </c>
      <c r="G18" s="2">
        <f>+OF.5F!D17+OF.5F!E17</f>
        <v>160</v>
      </c>
      <c r="H18" s="2">
        <f>+OF.5F!D19+OF.5F!E19</f>
        <v>176</v>
      </c>
      <c r="I18" s="2">
        <f>+OF.5F!D21+OF.5F!E21</f>
        <v>176</v>
      </c>
      <c r="J18" s="2"/>
      <c r="K18" s="2"/>
      <c r="L18" s="2"/>
      <c r="M18" s="2"/>
      <c r="N18" s="2"/>
      <c r="O18" s="2"/>
      <c r="P18" s="2"/>
      <c r="Q18" s="2"/>
      <c r="R18" s="2">
        <f t="shared" si="0"/>
        <v>664</v>
      </c>
      <c r="S18" s="2">
        <f>-(+OF.5F!G16+T_T1341112131415161718192021222324252627282930313233[[#This Row],[Total]]+OF.5F!G20+OF.5F!G22+OF.5F!G24)</f>
        <v>664</v>
      </c>
      <c r="T18" s="151">
        <f t="shared" si="1"/>
        <v>0</v>
      </c>
      <c r="U18" s="49" t="s">
        <v>72</v>
      </c>
    </row>
    <row r="19" spans="1:22" ht="15" customHeight="1" x14ac:dyDescent="0.3">
      <c r="B19" s="523">
        <f t="shared" si="2"/>
        <v>14</v>
      </c>
      <c r="C19" s="49" t="s">
        <v>83</v>
      </c>
      <c r="D19" s="140" t="s">
        <v>280</v>
      </c>
      <c r="E19" s="2">
        <v>0</v>
      </c>
      <c r="F19" s="2">
        <f>+OF.5G!D15+OF.5G!E15</f>
        <v>212</v>
      </c>
      <c r="G19" s="2">
        <f>+OF.5G!D17+OF.5G!E17</f>
        <v>212</v>
      </c>
      <c r="H19" s="2">
        <f>+T_T134111213141516171819202122232425262728293031323335[[#This Row],[Expensas]]+T_T134111213141516171819202122232425262728293031323335[[#This Row],[Agua]]</f>
        <v>254</v>
      </c>
      <c r="I19" s="2">
        <f>+OF.5G!D21+OF.5G!E21</f>
        <v>253</v>
      </c>
      <c r="J19" s="2">
        <f>+OF.5G!D23+OF.5G!E23</f>
        <v>253</v>
      </c>
      <c r="K19" s="2"/>
      <c r="L19" s="2"/>
      <c r="M19" s="2"/>
      <c r="N19" s="2"/>
      <c r="O19" s="2"/>
      <c r="P19" s="2"/>
      <c r="Q19" s="2"/>
      <c r="R19" s="2">
        <f t="shared" si="0"/>
        <v>1184</v>
      </c>
      <c r="S19" s="2">
        <f>-(+OF.5G!G16+OF.5G!G18+OF.5G!G20+OF.5G!G22)</f>
        <v>678</v>
      </c>
      <c r="T19" s="151">
        <f t="shared" si="1"/>
        <v>506</v>
      </c>
      <c r="U19" s="49" t="s">
        <v>83</v>
      </c>
    </row>
    <row r="20" spans="1:22" ht="15" customHeight="1" x14ac:dyDescent="0.3">
      <c r="B20" s="523">
        <f t="shared" si="2"/>
        <v>15</v>
      </c>
      <c r="C20" s="49" t="s">
        <v>84</v>
      </c>
      <c r="D20" s="140" t="s">
        <v>281</v>
      </c>
      <c r="E20" s="2"/>
      <c r="F20" s="2">
        <f>+OF.6A!D15+OF.6A!E15</f>
        <v>246</v>
      </c>
      <c r="G20" s="2">
        <f>+OF.6A!D17+OF.6A!E17</f>
        <v>223</v>
      </c>
      <c r="H20" s="2">
        <f>+OF.6A!D19+OF.6A!E19</f>
        <v>242</v>
      </c>
      <c r="I20" s="2">
        <f>+OF.6A!D21+OF.6A!E21</f>
        <v>254</v>
      </c>
      <c r="J20" s="2">
        <f>+OF.6A!D23+OF.6A!E23</f>
        <v>248</v>
      </c>
      <c r="K20" s="2"/>
      <c r="L20" s="2"/>
      <c r="M20" s="2"/>
      <c r="N20" s="2"/>
      <c r="O20" s="2"/>
      <c r="P20" s="2"/>
      <c r="Q20" s="2"/>
      <c r="R20" s="2">
        <f t="shared" si="0"/>
        <v>1213</v>
      </c>
      <c r="S20" s="2">
        <f>-(+OF.6A!G16+OF.6A!G18+T_T13411121314151617181920212223242526272829303132333536[[#This Row],[Total]]+OF.6A!G22+OF.6A!G24)</f>
        <v>965</v>
      </c>
      <c r="T20" s="151">
        <f t="shared" si="1"/>
        <v>248</v>
      </c>
      <c r="U20" s="49" t="s">
        <v>84</v>
      </c>
    </row>
    <row r="21" spans="1:22" ht="15" customHeight="1" x14ac:dyDescent="0.3">
      <c r="B21" s="523">
        <f t="shared" si="2"/>
        <v>16</v>
      </c>
      <c r="C21" s="49" t="s">
        <v>418</v>
      </c>
      <c r="D21" s="140" t="s">
        <v>236</v>
      </c>
      <c r="E21" s="2"/>
      <c r="F21" s="2">
        <f>+OF.6B!D15+OF.6B!E15</f>
        <v>229</v>
      </c>
      <c r="G21" s="2">
        <f>+OF.6B!D17+OF.6B!E17</f>
        <v>224</v>
      </c>
      <c r="H21" s="2">
        <f>+OF.6B!D19+OF.6B!E19</f>
        <v>247</v>
      </c>
      <c r="I21" s="2">
        <f>+T_T1341112131415161718192021222324252627282930313233353637[[#This Row],[Expensas]]+T_T1341112131415161718192021222324252627282930313233353637[[#This Row],[Agua]]</f>
        <v>250</v>
      </c>
      <c r="J21" s="2">
        <f>+OF.6B!D23+OF.6B!E23</f>
        <v>251</v>
      </c>
      <c r="K21" s="2"/>
      <c r="L21" s="2"/>
      <c r="M21" s="2"/>
      <c r="N21" s="2"/>
      <c r="O21" s="2"/>
      <c r="P21" s="2"/>
      <c r="Q21" s="2"/>
      <c r="R21" s="2">
        <f t="shared" si="0"/>
        <v>1201</v>
      </c>
      <c r="S21" s="2">
        <f>-(+OF.6B!G16+OF.6B!G18+OF.6B!G20+OF.6B!G22+OF.6B!G24)</f>
        <v>229</v>
      </c>
      <c r="T21" s="151">
        <f t="shared" si="1"/>
        <v>972</v>
      </c>
      <c r="U21" s="49" t="s">
        <v>418</v>
      </c>
    </row>
    <row r="22" spans="1:22" ht="15" customHeight="1" x14ac:dyDescent="0.3">
      <c r="B22" s="523">
        <f t="shared" si="2"/>
        <v>17</v>
      </c>
      <c r="C22" s="49" t="s">
        <v>86</v>
      </c>
      <c r="D22" s="305" t="s">
        <v>382</v>
      </c>
      <c r="E22" s="2"/>
      <c r="F22" s="2">
        <f>+OF.6C!D15+OF.6C!E15</f>
        <v>218</v>
      </c>
      <c r="G22" s="2">
        <f>+OF.6C!D17+OF.6C!E17</f>
        <v>218</v>
      </c>
      <c r="H22" s="2">
        <f>+OF.6C!D19+OF.6C!E19</f>
        <v>256</v>
      </c>
      <c r="I22" s="2">
        <f>+OF.6C!D21+OF.6C!E21</f>
        <v>259</v>
      </c>
      <c r="J22" s="2">
        <f>+OF.6C!D23+OF.6C!E23</f>
        <v>267</v>
      </c>
      <c r="K22" s="2"/>
      <c r="L22" s="2"/>
      <c r="M22" s="2"/>
      <c r="N22" s="2"/>
      <c r="O22" s="2"/>
      <c r="P22" s="2"/>
      <c r="Q22" s="2"/>
      <c r="R22" s="2">
        <f t="shared" si="0"/>
        <v>1218</v>
      </c>
      <c r="S22" s="2">
        <f>-(+OF.6C!G16+OF.6C!G18+OF.6C!G20+T_T134111213141516171819202122232425262728293031323335363738[[#This Row],[Total]]+OF.6C!G24)</f>
        <v>951</v>
      </c>
      <c r="T22" s="151">
        <f t="shared" si="1"/>
        <v>267</v>
      </c>
      <c r="U22" s="49" t="s">
        <v>86</v>
      </c>
    </row>
    <row r="23" spans="1:22" ht="15" customHeight="1" x14ac:dyDescent="0.3">
      <c r="B23" s="523">
        <f t="shared" si="2"/>
        <v>18</v>
      </c>
      <c r="C23" s="49" t="s">
        <v>87</v>
      </c>
      <c r="D23" s="140" t="s">
        <v>282</v>
      </c>
      <c r="E23" s="2">
        <v>0</v>
      </c>
      <c r="F23" s="2">
        <f>+OF.6D!D15+OF.6D!E15</f>
        <v>203</v>
      </c>
      <c r="G23" s="2">
        <f>+OF.6D!D17+OF.6D!E17</f>
        <v>198</v>
      </c>
      <c r="H23" s="2">
        <f>+OF.6D!D19+OF.6D!E19</f>
        <v>231</v>
      </c>
      <c r="I23" s="2">
        <f>+OF.6D!D21+OF.6D!E21</f>
        <v>233</v>
      </c>
      <c r="J23" s="2">
        <f>+T_T13411121314151617181920212223242526272829303132333536373839[[#This Row],[Expensas]]+T_T13411121314151617181920212223242526272829303132333536373839[[#This Row],[Agua]]</f>
        <v>232</v>
      </c>
      <c r="K23" s="2"/>
      <c r="L23" s="2"/>
      <c r="M23" s="2"/>
      <c r="N23" s="2"/>
      <c r="O23" s="2"/>
      <c r="P23" s="2"/>
      <c r="Q23" s="2"/>
      <c r="R23" s="2">
        <f t="shared" si="0"/>
        <v>1097</v>
      </c>
      <c r="S23" s="2">
        <f>-(+OF.6D!G16+OF.6D!G18+OF.6D!G20+OF.6D!G22+OF.6D!G24)</f>
        <v>865</v>
      </c>
      <c r="T23" s="151">
        <f t="shared" si="1"/>
        <v>232</v>
      </c>
      <c r="U23" s="49" t="s">
        <v>87</v>
      </c>
    </row>
    <row r="24" spans="1:22" ht="15" customHeight="1" x14ac:dyDescent="0.3">
      <c r="B24" s="523">
        <f t="shared" si="2"/>
        <v>19</v>
      </c>
      <c r="C24" s="49" t="s">
        <v>88</v>
      </c>
      <c r="D24" s="140" t="s">
        <v>462</v>
      </c>
      <c r="E24" s="2">
        <v>0</v>
      </c>
      <c r="F24" s="2">
        <f>+OF.6E!D15+OF.6E!E15</f>
        <v>151</v>
      </c>
      <c r="G24" s="2">
        <f>+OF.6E!D17+OF.6E!E17</f>
        <v>151</v>
      </c>
      <c r="H24" s="2">
        <f>+OF.6E!D19+OF.6E!E19</f>
        <v>178</v>
      </c>
      <c r="I24" s="2">
        <f>+OF.6E!D21+OF.6E!E21</f>
        <v>178</v>
      </c>
      <c r="J24" s="2"/>
      <c r="K24" s="2"/>
      <c r="L24" s="2"/>
      <c r="M24" s="2"/>
      <c r="N24" s="2"/>
      <c r="O24" s="2"/>
      <c r="P24" s="2"/>
      <c r="Q24" s="2"/>
      <c r="R24" s="2">
        <f t="shared" si="0"/>
        <v>658</v>
      </c>
      <c r="S24" s="2">
        <f>-(+OF.6E!G16+OF.6E!G18+OF.6E!G20+OF.6E!G22+T_T1341112131415161718192021222324252627282930313233353637383940[[#This Row],[Total]])</f>
        <v>658</v>
      </c>
      <c r="T24" s="151">
        <f t="shared" si="1"/>
        <v>0</v>
      </c>
      <c r="U24" s="49" t="s">
        <v>88</v>
      </c>
    </row>
    <row r="25" spans="1:22" ht="15" customHeight="1" x14ac:dyDescent="0.3">
      <c r="B25" s="523">
        <f t="shared" si="2"/>
        <v>20</v>
      </c>
      <c r="C25" s="49" t="s">
        <v>89</v>
      </c>
      <c r="D25" s="140" t="s">
        <v>283</v>
      </c>
      <c r="E25" s="2">
        <v>0</v>
      </c>
      <c r="F25" s="2">
        <f>+OF.6F!D15+OF.6F!E15</f>
        <v>143</v>
      </c>
      <c r="G25" s="2">
        <f>+OF.6F!D17+OF.6F!E17</f>
        <v>164</v>
      </c>
      <c r="H25" s="2">
        <f>+OF.6F!D19+OF.6F!E19</f>
        <v>191</v>
      </c>
      <c r="I25" s="2">
        <f>+OF.6F!D21+OF.6F!E21</f>
        <v>192</v>
      </c>
      <c r="J25" s="2">
        <f>+OF.6F!D23+OF.6F!E23</f>
        <v>208</v>
      </c>
      <c r="K25" s="2"/>
      <c r="L25" s="2"/>
      <c r="M25" s="2"/>
      <c r="N25" s="2"/>
      <c r="O25" s="2"/>
      <c r="P25" s="2"/>
      <c r="Q25" s="2"/>
      <c r="R25" s="2">
        <f t="shared" si="0"/>
        <v>898</v>
      </c>
      <c r="S25" s="2">
        <f>+-(+OF.6F!G16+OF.6F!G18+OF.6F!G20+OF.6F!G22)</f>
        <v>690</v>
      </c>
      <c r="T25" s="151">
        <f t="shared" si="1"/>
        <v>208</v>
      </c>
      <c r="U25" s="49" t="s">
        <v>89</v>
      </c>
    </row>
    <row r="26" spans="1:22" ht="15" customHeight="1" x14ac:dyDescent="0.3">
      <c r="B26" s="523">
        <f t="shared" si="2"/>
        <v>21</v>
      </c>
      <c r="C26" s="49" t="s">
        <v>90</v>
      </c>
      <c r="D26" s="140" t="s">
        <v>284</v>
      </c>
      <c r="E26" s="2">
        <v>0</v>
      </c>
      <c r="F26" s="2">
        <f>+OF.6G!D15+OF.6G!E15</f>
        <v>206</v>
      </c>
      <c r="G26" s="2">
        <f>+OF.6G!D17+OF.6G!E17</f>
        <v>217</v>
      </c>
      <c r="H26" s="2">
        <f>+OF.6G!D19+OF.6G!E19</f>
        <v>238</v>
      </c>
      <c r="I26" s="2">
        <f>+OF.6G!D21+OF.6G!E21</f>
        <v>262</v>
      </c>
      <c r="J26" s="2">
        <f>+OF.6G!D23+OF.6G!E23</f>
        <v>272</v>
      </c>
      <c r="K26" s="2"/>
      <c r="L26" s="2"/>
      <c r="M26" s="2"/>
      <c r="N26" s="2"/>
      <c r="O26" s="2"/>
      <c r="P26" s="2"/>
      <c r="Q26" s="2"/>
      <c r="R26" s="2">
        <f t="shared" si="0"/>
        <v>1195</v>
      </c>
      <c r="S26" s="2">
        <f>-(+OF.6G!G16+OF.6G!G18+OF.6G!G20+OF.6G!G22+OF.6G!G24)</f>
        <v>923</v>
      </c>
      <c r="T26" s="151">
        <f t="shared" si="1"/>
        <v>272</v>
      </c>
      <c r="U26" s="49" t="s">
        <v>90</v>
      </c>
    </row>
    <row r="27" spans="1:22" ht="15" customHeight="1" x14ac:dyDescent="0.3">
      <c r="B27" s="523">
        <f t="shared" si="2"/>
        <v>22</v>
      </c>
      <c r="C27" s="49" t="s">
        <v>91</v>
      </c>
      <c r="D27" s="140" t="s">
        <v>408</v>
      </c>
      <c r="E27" s="2">
        <v>0</v>
      </c>
      <c r="F27" s="2">
        <f>+OF.7A!D15+OF.7A!E15</f>
        <v>217</v>
      </c>
      <c r="G27" s="2">
        <f>+OF.7A!D17+OF.7A!E17</f>
        <v>213</v>
      </c>
      <c r="H27" s="2">
        <f>+OF.7A!D19+OF.7A!E19</f>
        <v>250</v>
      </c>
      <c r="I27" s="2">
        <f>+OF.7A!D21+OF.7A!E21</f>
        <v>251</v>
      </c>
      <c r="J27" s="2">
        <f>+OF.7A!D23+OF.7A!E23</f>
        <v>254</v>
      </c>
      <c r="K27" s="2"/>
      <c r="L27" s="2"/>
      <c r="M27" s="2"/>
      <c r="N27" s="2"/>
      <c r="O27" s="2"/>
      <c r="P27" s="2"/>
      <c r="Q27" s="2"/>
      <c r="R27" s="2">
        <f t="shared" si="0"/>
        <v>1185</v>
      </c>
      <c r="S27" s="2">
        <f>-(+OF.7A!G16+OF.7A!G18+OF.7A!G20+OF.7A!G22+OF.7A!G24)</f>
        <v>931</v>
      </c>
      <c r="T27" s="151">
        <f t="shared" si="1"/>
        <v>254</v>
      </c>
      <c r="U27" s="49" t="s">
        <v>91</v>
      </c>
    </row>
    <row r="28" spans="1:22" ht="15" customHeight="1" x14ac:dyDescent="0.3">
      <c r="A28" t="s">
        <v>193</v>
      </c>
      <c r="B28" s="523">
        <f t="shared" si="2"/>
        <v>23</v>
      </c>
      <c r="C28" s="49" t="s">
        <v>92</v>
      </c>
      <c r="D28" s="140" t="s">
        <v>435</v>
      </c>
      <c r="E28" s="2"/>
      <c r="F28" s="237">
        <f>+OF.7B!D15+OF.7B!E15</f>
        <v>196</v>
      </c>
      <c r="G28" s="237">
        <f>+OF.7B!D17+OF.7B!E17</f>
        <v>187</v>
      </c>
      <c r="H28" s="237">
        <f>+OF.7B!D19+OF.7B!E19</f>
        <v>193</v>
      </c>
      <c r="I28" s="237">
        <f>+OF.7B!D21+OF.7B!E21</f>
        <v>192</v>
      </c>
      <c r="J28" s="237">
        <f>+OF.7B!D23+OF.7B!E23</f>
        <v>191</v>
      </c>
      <c r="K28" s="237"/>
      <c r="L28" s="237"/>
      <c r="M28" s="237"/>
      <c r="N28" s="237"/>
      <c r="O28" s="237"/>
      <c r="P28" s="237"/>
      <c r="Q28" s="237"/>
      <c r="R28" s="2">
        <f t="shared" si="0"/>
        <v>959</v>
      </c>
      <c r="S28" s="237">
        <f>-(+OF.7B!G16+OF.7B!G18+OF.7B!G20+OF.7B!G22+OF.7B!G24)</f>
        <v>768</v>
      </c>
      <c r="T28" s="151">
        <f t="shared" si="1"/>
        <v>191</v>
      </c>
      <c r="U28" s="49" t="s">
        <v>92</v>
      </c>
    </row>
    <row r="29" spans="1:22" ht="15" customHeight="1" x14ac:dyDescent="0.3">
      <c r="B29" s="523">
        <f t="shared" si="2"/>
        <v>24</v>
      </c>
      <c r="C29" s="49" t="s">
        <v>93</v>
      </c>
      <c r="D29" s="140" t="s">
        <v>343</v>
      </c>
      <c r="E29" s="2">
        <f>+OF.7C!D21+OF.7C!D23</f>
        <v>400</v>
      </c>
      <c r="F29" s="2">
        <f>+OF.7C!D15+OF.7C!E15</f>
        <v>238</v>
      </c>
      <c r="G29" s="2">
        <f>+OF.7C!D17+OF.7C!E17</f>
        <v>238</v>
      </c>
      <c r="H29" s="2">
        <f>+OF.7C!D19+OF.7C!E19</f>
        <v>271</v>
      </c>
      <c r="I29" s="2">
        <f>+OF.7C!D25+OF.7C!E25</f>
        <v>272</v>
      </c>
      <c r="J29" s="2"/>
      <c r="K29" s="2"/>
      <c r="L29" s="2"/>
      <c r="M29" s="2"/>
      <c r="N29" s="2"/>
      <c r="O29" s="2"/>
      <c r="P29" s="2"/>
      <c r="Q29" s="2"/>
      <c r="R29" s="2">
        <f t="shared" si="0"/>
        <v>1419</v>
      </c>
      <c r="S29" s="2">
        <f>-(+OF.7C!G16+OF.7C!G18+OF.7C!G20+OF.7C!G22+OF.7C!G24+OF.7C!G26+OF.7C!G28)</f>
        <v>1419</v>
      </c>
      <c r="T29" s="151">
        <f t="shared" si="1"/>
        <v>0</v>
      </c>
      <c r="U29" s="49" t="s">
        <v>93</v>
      </c>
    </row>
    <row r="30" spans="1:22" ht="15" customHeight="1" x14ac:dyDescent="0.3">
      <c r="B30" s="523">
        <f t="shared" si="2"/>
        <v>25</v>
      </c>
      <c r="C30" s="49" t="s">
        <v>94</v>
      </c>
      <c r="D30" s="140" t="s">
        <v>285</v>
      </c>
      <c r="E30" s="2"/>
      <c r="F30" s="2">
        <f>+OF.7D!D15+OF.7D!E15</f>
        <v>225</v>
      </c>
      <c r="G30" s="2">
        <f>+OF.7D!D17+OF.7D!E17</f>
        <v>239</v>
      </c>
      <c r="H30" s="2">
        <f>+OF.7D!D19+OF.7D!E19</f>
        <v>284</v>
      </c>
      <c r="I30" s="2">
        <f>+OF.7D!D21+OF.7D!E21</f>
        <v>299</v>
      </c>
      <c r="J30" s="2">
        <f>+OF.7D!D23+OF.7D!E23</f>
        <v>295</v>
      </c>
      <c r="K30" s="2"/>
      <c r="L30" s="2"/>
      <c r="M30" s="2"/>
      <c r="N30" s="2"/>
      <c r="O30" s="2"/>
      <c r="P30" s="2"/>
      <c r="Q30" s="2"/>
      <c r="R30" s="2">
        <f t="shared" si="0"/>
        <v>1342</v>
      </c>
      <c r="S30" s="2">
        <f>+OF.7D!G16+OF.7D!G18+OF.7D!G20+OF.7D!G22+OF.7D!G24</f>
        <v>0</v>
      </c>
      <c r="T30" s="151">
        <f t="shared" si="1"/>
        <v>1342</v>
      </c>
      <c r="U30" s="49" t="s">
        <v>94</v>
      </c>
      <c r="V30" s="143"/>
    </row>
    <row r="31" spans="1:22" ht="15" customHeight="1" x14ac:dyDescent="0.3">
      <c r="B31" s="523">
        <f t="shared" si="2"/>
        <v>26</v>
      </c>
      <c r="C31" s="49" t="s">
        <v>95</v>
      </c>
      <c r="D31" s="140" t="s">
        <v>344</v>
      </c>
      <c r="E31" s="2">
        <f>+OF.7E!D21</f>
        <v>200</v>
      </c>
      <c r="F31" s="2">
        <f>+OF.7E!D15+OF.7E!E15</f>
        <v>142</v>
      </c>
      <c r="G31" s="2">
        <f>+OF.7E!D17+OF.7E!E17</f>
        <v>142</v>
      </c>
      <c r="H31" s="2">
        <f>+OF.7E!D19+OF.7E!E19</f>
        <v>170</v>
      </c>
      <c r="I31" s="2">
        <f>+OF.7E!D23+OF.7E!E23</f>
        <v>170</v>
      </c>
      <c r="J31" s="2">
        <f>+OF.7E!D25+OF.7E!E25</f>
        <v>175</v>
      </c>
      <c r="K31" s="2"/>
      <c r="L31" s="2"/>
      <c r="M31" s="2"/>
      <c r="N31" s="2"/>
      <c r="O31" s="2"/>
      <c r="P31" s="2"/>
      <c r="Q31" s="2"/>
      <c r="R31" s="2">
        <f t="shared" si="0"/>
        <v>999</v>
      </c>
      <c r="S31" s="2">
        <f>-(+OF.7E!G16+OF.7E!G18+OF.7E!G20+OF.7E!G22+OF.7E!G24+OF.7E!G26)</f>
        <v>824</v>
      </c>
      <c r="T31" s="151">
        <f t="shared" si="1"/>
        <v>175</v>
      </c>
      <c r="U31" s="49" t="s">
        <v>95</v>
      </c>
      <c r="V31" s="128"/>
    </row>
    <row r="32" spans="1:22" ht="15" customHeight="1" x14ac:dyDescent="0.3">
      <c r="B32" s="523">
        <f t="shared" si="2"/>
        <v>27</v>
      </c>
      <c r="C32" s="49" t="s">
        <v>96</v>
      </c>
      <c r="D32" s="140" t="s">
        <v>286</v>
      </c>
      <c r="E32" s="2">
        <v>0</v>
      </c>
      <c r="F32" s="2">
        <f>+OF.7F!D15+OF.7F!E15</f>
        <v>144</v>
      </c>
      <c r="G32" s="2">
        <f>+OF.7F!D17+OF.7F!E17</f>
        <v>147</v>
      </c>
      <c r="H32" s="2">
        <f>+OF.7F!D19+OF.7F!E19</f>
        <v>170</v>
      </c>
      <c r="I32" s="2">
        <f>+OF.7F!D21+OF.7F!E21</f>
        <v>170</v>
      </c>
      <c r="J32" s="2"/>
      <c r="K32" s="2"/>
      <c r="L32" s="2"/>
      <c r="M32" s="2"/>
      <c r="N32" s="2"/>
      <c r="O32" s="2"/>
      <c r="P32" s="2"/>
      <c r="Q32" s="2"/>
      <c r="R32" s="2">
        <f t="shared" si="0"/>
        <v>631</v>
      </c>
      <c r="S32" s="2">
        <f>+OF.7F!G16+OF.7F!G18+OF.7F!G20+OF.7F!G22+OF.7F!G24</f>
        <v>0</v>
      </c>
      <c r="T32" s="151">
        <f t="shared" si="1"/>
        <v>631</v>
      </c>
      <c r="U32" s="49" t="s">
        <v>96</v>
      </c>
      <c r="V32" s="143"/>
    </row>
    <row r="33" spans="1:23" ht="15" customHeight="1" x14ac:dyDescent="0.3">
      <c r="B33" s="523">
        <f t="shared" si="2"/>
        <v>28</v>
      </c>
      <c r="C33" s="522" t="s">
        <v>97</v>
      </c>
      <c r="D33" s="140" t="s">
        <v>287</v>
      </c>
      <c r="E33" s="2"/>
      <c r="F33" s="2">
        <f>+OF.7G!D15+OF.7G!E15</f>
        <v>192</v>
      </c>
      <c r="G33" s="2">
        <f>+OF.7G!D17+OF.7G!E17</f>
        <v>194</v>
      </c>
      <c r="H33" s="2">
        <f>+OF.7G!D19+OF.7G!E19</f>
        <v>229</v>
      </c>
      <c r="I33" s="2">
        <f>+OF.7G!D21+OF.7G!E21</f>
        <v>229</v>
      </c>
      <c r="J33" s="2"/>
      <c r="K33" s="2"/>
      <c r="L33" s="2"/>
      <c r="M33" s="2"/>
      <c r="N33" s="2"/>
      <c r="O33" s="2"/>
      <c r="P33" s="2"/>
      <c r="Q33" s="2"/>
      <c r="R33" s="2">
        <f t="shared" si="0"/>
        <v>844</v>
      </c>
      <c r="S33" s="2">
        <f>-(+OF.7G!G16+OF.7G!G18+OF.7G!G20+OF.7G!G22)</f>
        <v>578</v>
      </c>
      <c r="T33" s="151">
        <f t="shared" si="1"/>
        <v>266</v>
      </c>
      <c r="U33" s="49" t="s">
        <v>97</v>
      </c>
      <c r="V33" s="143"/>
    </row>
    <row r="34" spans="1:23" ht="15" customHeight="1" x14ac:dyDescent="0.3">
      <c r="B34" s="523">
        <f t="shared" si="2"/>
        <v>29</v>
      </c>
      <c r="C34" s="49" t="s">
        <v>98</v>
      </c>
      <c r="D34" s="140" t="s">
        <v>288</v>
      </c>
      <c r="E34" s="2">
        <v>0</v>
      </c>
      <c r="F34" s="2">
        <f>+OF.8A!D15+OF.8A!E15</f>
        <v>222</v>
      </c>
      <c r="G34" s="2">
        <f>+OF.8A!D17+OF.8A!E17</f>
        <v>231</v>
      </c>
      <c r="H34" s="2">
        <f>+OF.8A!D19+OF.8A!E19</f>
        <v>260</v>
      </c>
      <c r="I34" s="2">
        <f>+OF.8A!D21+OF.8A!E21</f>
        <v>262</v>
      </c>
      <c r="J34" s="2">
        <f>+OF.8A!D23+OF.8A!E23</f>
        <v>257</v>
      </c>
      <c r="K34" s="2"/>
      <c r="L34" s="2"/>
      <c r="M34" s="2"/>
      <c r="N34" s="2"/>
      <c r="O34" s="2"/>
      <c r="P34" s="2"/>
      <c r="Q34" s="2"/>
      <c r="R34" s="2">
        <f t="shared" si="0"/>
        <v>1232</v>
      </c>
      <c r="S34" s="2">
        <f>-(+OF.8A!G16+OF.8A!G18+OF.8A!G20+OF.8A!G22+OF.8A!G24)</f>
        <v>82</v>
      </c>
      <c r="T34" s="151">
        <f t="shared" si="1"/>
        <v>1150</v>
      </c>
      <c r="U34" s="49" t="s">
        <v>98</v>
      </c>
      <c r="V34" s="128"/>
      <c r="W34" s="143"/>
    </row>
    <row r="35" spans="1:23" ht="15" customHeight="1" x14ac:dyDescent="0.3">
      <c r="B35" s="523">
        <f t="shared" si="2"/>
        <v>30</v>
      </c>
      <c r="C35" s="49" t="s">
        <v>99</v>
      </c>
      <c r="D35" s="140" t="s">
        <v>289</v>
      </c>
      <c r="E35" s="2">
        <v>0</v>
      </c>
      <c r="F35" s="2">
        <f>+OF.8B!D15+OF.8B!E15</f>
        <v>179</v>
      </c>
      <c r="G35" s="2">
        <f>+OF.8B!D17+OF.8B!E17</f>
        <v>172</v>
      </c>
      <c r="H35" s="2">
        <f>+OF.8B!D19+OF.8B!E19</f>
        <v>210</v>
      </c>
      <c r="I35" s="2">
        <f>+OF.8B!D21+OF.8B!E21</f>
        <v>206</v>
      </c>
      <c r="J35" s="2">
        <f>+OF.8B!D23+OF.8B!E23</f>
        <v>206</v>
      </c>
      <c r="K35" s="2"/>
      <c r="L35" s="2"/>
      <c r="M35" s="2"/>
      <c r="N35" s="2"/>
      <c r="O35" s="2"/>
      <c r="P35" s="2"/>
      <c r="Q35" s="2"/>
      <c r="R35" s="2">
        <f t="shared" si="0"/>
        <v>973</v>
      </c>
      <c r="S35" s="2">
        <f>-(+OF.8B!G16+OF.8B!G18+OF.8B!G20+OF.8B!G22+OF.8B!G24)</f>
        <v>351</v>
      </c>
      <c r="T35" s="151">
        <f t="shared" si="1"/>
        <v>622</v>
      </c>
      <c r="U35" s="49" t="s">
        <v>99</v>
      </c>
      <c r="W35">
        <v>3590</v>
      </c>
    </row>
    <row r="36" spans="1:23" ht="15" customHeight="1" x14ac:dyDescent="0.3">
      <c r="B36" s="523">
        <f t="shared" si="2"/>
        <v>31</v>
      </c>
      <c r="C36" s="49" t="s">
        <v>100</v>
      </c>
      <c r="D36" s="140" t="s">
        <v>290</v>
      </c>
      <c r="E36" s="2">
        <v>0</v>
      </c>
      <c r="F36" s="2">
        <f>+OF.8C!D15+OF.8C!E15</f>
        <v>252</v>
      </c>
      <c r="G36" s="2">
        <f>+OF.8C!D17+OF.8C!E17</f>
        <v>248</v>
      </c>
      <c r="H36" s="2">
        <f>+OF.8C!D19+OF.8C!E19</f>
        <v>288</v>
      </c>
      <c r="I36" s="2">
        <f>+OF.8C!D21+OF.8C!E21</f>
        <v>288</v>
      </c>
      <c r="J36" s="2">
        <f>+OF.8C!D23+OF.8C!E23</f>
        <v>291</v>
      </c>
      <c r="K36" s="2"/>
      <c r="L36" s="2"/>
      <c r="M36" s="2"/>
      <c r="N36" s="2"/>
      <c r="O36" s="2"/>
      <c r="P36" s="2"/>
      <c r="Q36" s="2"/>
      <c r="R36" s="2">
        <f t="shared" si="0"/>
        <v>1367</v>
      </c>
      <c r="S36" s="2">
        <f>-(+OF.8C!G16+OF.8C!G18+OF.8C!G20+OF.8C!G22)</f>
        <v>500</v>
      </c>
      <c r="T36" s="151">
        <f t="shared" si="1"/>
        <v>867</v>
      </c>
      <c r="U36" s="49" t="s">
        <v>100</v>
      </c>
      <c r="V36" s="143"/>
      <c r="W36">
        <v>2784</v>
      </c>
    </row>
    <row r="37" spans="1:23" ht="15" customHeight="1" x14ac:dyDescent="0.3">
      <c r="B37" s="523">
        <f t="shared" si="2"/>
        <v>32</v>
      </c>
      <c r="C37" s="49" t="s">
        <v>101</v>
      </c>
      <c r="D37" s="140" t="s">
        <v>291</v>
      </c>
      <c r="E37" s="2">
        <v>0</v>
      </c>
      <c r="F37" s="2">
        <f>+OF.8D!D15+OF.8D!E15</f>
        <v>184</v>
      </c>
      <c r="G37" s="2">
        <f>+OF.8D!D17+OF.8D!E17</f>
        <v>191</v>
      </c>
      <c r="H37" s="2">
        <f>+OF.8D!D19+OF.8D!E19</f>
        <v>227</v>
      </c>
      <c r="I37" s="2">
        <f>+OF.8D!D21+OF.8D!E21</f>
        <v>266</v>
      </c>
      <c r="J37" s="2">
        <f>+OF.8D!D23+OF.8D!E23</f>
        <v>223</v>
      </c>
      <c r="K37" s="2"/>
      <c r="L37" s="2"/>
      <c r="M37" s="2"/>
      <c r="N37" s="2"/>
      <c r="O37" s="2"/>
      <c r="P37" s="2"/>
      <c r="Q37" s="2"/>
      <c r="R37" s="2">
        <f t="shared" si="0"/>
        <v>1091</v>
      </c>
      <c r="S37" s="2">
        <f>-(+OF.8D!G16+OF.8D!G18+OF.8D!G20+OF.8D!G22+OF.8D!G24)</f>
        <v>868</v>
      </c>
      <c r="T37" s="151">
        <f t="shared" si="1"/>
        <v>223</v>
      </c>
      <c r="U37" s="49" t="s">
        <v>101</v>
      </c>
      <c r="W37">
        <f>+W35-W36</f>
        <v>806</v>
      </c>
    </row>
    <row r="38" spans="1:23" ht="15" customHeight="1" x14ac:dyDescent="0.3">
      <c r="B38" s="523">
        <f t="shared" si="2"/>
        <v>33</v>
      </c>
      <c r="C38" s="49" t="s">
        <v>102</v>
      </c>
      <c r="D38" s="140" t="s">
        <v>292</v>
      </c>
      <c r="E38" s="2">
        <v>0</v>
      </c>
      <c r="F38" s="2">
        <f>+OF.8E!D15+OF.8E!E15</f>
        <v>173</v>
      </c>
      <c r="G38" s="2">
        <f>+OF.8E!D17+OF.8E!E17</f>
        <v>172</v>
      </c>
      <c r="H38" s="2">
        <f>+OF.8E!D19+OF.8E!E19</f>
        <v>202</v>
      </c>
      <c r="I38" s="2">
        <f>+OF.8E!D21+OF.8E!E21</f>
        <v>201</v>
      </c>
      <c r="J38" s="2">
        <f>+OF.8E!D23+OF.8E!E23</f>
        <v>203</v>
      </c>
      <c r="K38" s="2"/>
      <c r="L38" s="2"/>
      <c r="M38" s="2"/>
      <c r="N38" s="2"/>
      <c r="O38" s="2"/>
      <c r="P38" s="2"/>
      <c r="Q38" s="2"/>
      <c r="R38" s="2">
        <f t="shared" si="0"/>
        <v>951</v>
      </c>
      <c r="S38" s="2">
        <f>-(+OF.8E!G16+OF.8E!G18+OF.8E!G20+OF.8E!G22+OF.8E!G24)</f>
        <v>740</v>
      </c>
      <c r="T38" s="151">
        <f t="shared" si="1"/>
        <v>211</v>
      </c>
      <c r="U38" s="49" t="s">
        <v>102</v>
      </c>
    </row>
    <row r="39" spans="1:23" ht="15" customHeight="1" x14ac:dyDescent="0.3">
      <c r="A39" t="s">
        <v>193</v>
      </c>
      <c r="B39" s="523">
        <f t="shared" si="2"/>
        <v>34</v>
      </c>
      <c r="C39" s="49" t="s">
        <v>103</v>
      </c>
      <c r="D39" s="140" t="s">
        <v>679</v>
      </c>
      <c r="E39" s="2">
        <f>+OF.8F!D19+OF.8F!D21</f>
        <v>300</v>
      </c>
      <c r="F39" s="2">
        <f>+OF.8F!D15+OF.8F!E15</f>
        <v>173</v>
      </c>
      <c r="G39" s="2">
        <f>+OF.8F!D17+OF.8F!E17</f>
        <v>169</v>
      </c>
      <c r="H39" s="2">
        <f>+OF.8F!D23+OF.8F!E23</f>
        <v>181</v>
      </c>
      <c r="I39" s="2">
        <f>+OF.8F!D25+OF.8F!E25</f>
        <v>188</v>
      </c>
      <c r="J39" s="2"/>
      <c r="K39" s="2"/>
      <c r="L39" s="2"/>
      <c r="M39" s="2"/>
      <c r="N39" s="2"/>
      <c r="O39" s="2"/>
      <c r="P39" s="2"/>
      <c r="Q39" s="2"/>
      <c r="R39" s="2">
        <f t="shared" si="0"/>
        <v>1011</v>
      </c>
      <c r="S39" s="2">
        <f>-(+OF.8F!G16+OF.8F!G18+OF.8F!G20+OF.8F!G22+OF.8F!G24+OF.8F!G26+OF.8F!G28)</f>
        <v>642</v>
      </c>
      <c r="T39" s="151">
        <f t="shared" si="1"/>
        <v>369</v>
      </c>
      <c r="U39" s="49" t="s">
        <v>103</v>
      </c>
    </row>
    <row r="40" spans="1:23" ht="15" customHeight="1" x14ac:dyDescent="0.3">
      <c r="B40" s="523">
        <f t="shared" si="2"/>
        <v>35</v>
      </c>
      <c r="C40" s="49" t="s">
        <v>104</v>
      </c>
      <c r="D40" s="140" t="s">
        <v>293</v>
      </c>
      <c r="E40" s="2">
        <v>0</v>
      </c>
      <c r="F40" s="2">
        <f>+OF.8G!D15+OF.8G!E15</f>
        <v>208</v>
      </c>
      <c r="G40" s="2">
        <f>+OF.8G!D17+OF.8G!E17</f>
        <v>205</v>
      </c>
      <c r="H40" s="2">
        <f>+OF.8G!D19+OF.8G!E19</f>
        <v>240</v>
      </c>
      <c r="I40" s="2">
        <f>+OF.8G!D21+OF.8G!E21</f>
        <v>239</v>
      </c>
      <c r="J40" s="2">
        <f>+OF.8G!D23+OF.8G!E23</f>
        <v>242</v>
      </c>
      <c r="K40" s="2"/>
      <c r="L40" s="2"/>
      <c r="M40" s="2"/>
      <c r="N40" s="2"/>
      <c r="O40" s="2"/>
      <c r="P40" s="2"/>
      <c r="Q40" s="2"/>
      <c r="R40" s="2">
        <f t="shared" si="0"/>
        <v>1134</v>
      </c>
      <c r="S40" s="2">
        <f>-(+OF.8G!G16+OF.8G!G18+OF.8G!G20+OF.8G!G22+OF.8G!G24)</f>
        <v>892</v>
      </c>
      <c r="T40" s="151">
        <f t="shared" si="1"/>
        <v>242</v>
      </c>
      <c r="U40" s="49" t="s">
        <v>104</v>
      </c>
    </row>
    <row r="41" spans="1:23" ht="15" customHeight="1" x14ac:dyDescent="0.3">
      <c r="A41" t="s">
        <v>193</v>
      </c>
      <c r="B41" s="523">
        <f t="shared" si="2"/>
        <v>36</v>
      </c>
      <c r="C41" s="49" t="s">
        <v>105</v>
      </c>
      <c r="D41" s="140" t="s">
        <v>441</v>
      </c>
      <c r="E41" s="2">
        <v>0</v>
      </c>
      <c r="F41" s="2">
        <f>+OF.9A!D15+OF.9A!E15</f>
        <v>186</v>
      </c>
      <c r="G41" s="2">
        <f>+OF.9A!D17+OF.9A!E17</f>
        <v>185</v>
      </c>
      <c r="H41" s="2">
        <f>+OF.9A!D19+OF.9A!E19</f>
        <v>220</v>
      </c>
      <c r="I41" s="2">
        <f>+OF.9A!D21+OF.9A!E21</f>
        <v>220</v>
      </c>
      <c r="J41" s="2">
        <f>+OF.9A!D23+OF.9A!E23</f>
        <v>222</v>
      </c>
      <c r="K41" s="2"/>
      <c r="L41" s="2"/>
      <c r="M41" s="2"/>
      <c r="N41" s="2"/>
      <c r="O41" s="2"/>
      <c r="P41" s="2"/>
      <c r="Q41" s="2"/>
      <c r="R41" s="2">
        <f t="shared" si="0"/>
        <v>1033</v>
      </c>
      <c r="S41" s="2">
        <f>-(+OF.9A!G16+OF.9A!G18+OF.9A!G20+OF.9A!G22+OF.9A!G24)</f>
        <v>811</v>
      </c>
      <c r="T41" s="151">
        <f t="shared" si="1"/>
        <v>222</v>
      </c>
      <c r="U41" s="49" t="s">
        <v>105</v>
      </c>
    </row>
    <row r="42" spans="1:23" ht="15" customHeight="1" x14ac:dyDescent="0.3">
      <c r="B42" s="523">
        <f t="shared" si="2"/>
        <v>37</v>
      </c>
      <c r="C42" s="49" t="s">
        <v>106</v>
      </c>
      <c r="D42" s="140" t="s">
        <v>442</v>
      </c>
      <c r="E42" s="2">
        <v>0</v>
      </c>
      <c r="F42" s="2">
        <f>+OF.9B!D15+OF.9B!E15</f>
        <v>165</v>
      </c>
      <c r="G42" s="2">
        <f>+OF.9B!D17+OF.9B!E17</f>
        <v>164</v>
      </c>
      <c r="H42" s="2">
        <f>+OF.9B!D19+OF.9B!E19</f>
        <v>191</v>
      </c>
      <c r="I42" s="2">
        <f>+OF.9B!D21+OF.9B!E21</f>
        <v>189</v>
      </c>
      <c r="J42" s="2">
        <f>+OF.9B!D23+OF.9B!E23</f>
        <v>189</v>
      </c>
      <c r="K42" s="2"/>
      <c r="L42" s="2"/>
      <c r="M42" s="2"/>
      <c r="N42" s="2"/>
      <c r="O42" s="2"/>
      <c r="P42" s="2"/>
      <c r="Q42" s="2"/>
      <c r="R42" s="2">
        <f t="shared" si="0"/>
        <v>898</v>
      </c>
      <c r="S42" s="2">
        <f>-(+OF.9B!G16+OF.9B!G18+OF.9B!G20+OF.9B!G22+OF.9B!G24)</f>
        <v>165</v>
      </c>
      <c r="T42" s="151">
        <f t="shared" si="1"/>
        <v>733</v>
      </c>
      <c r="U42" s="49" t="s">
        <v>106</v>
      </c>
      <c r="V42" s="143"/>
    </row>
    <row r="43" spans="1:23" ht="15" customHeight="1" x14ac:dyDescent="0.3">
      <c r="B43" s="523">
        <f t="shared" si="2"/>
        <v>38</v>
      </c>
      <c r="C43" s="49" t="s">
        <v>107</v>
      </c>
      <c r="D43" s="140" t="s">
        <v>463</v>
      </c>
      <c r="E43" s="2"/>
      <c r="F43" s="2">
        <f>+OF.9C!D15+OF.9C!E15</f>
        <v>166</v>
      </c>
      <c r="G43" s="2">
        <f>+OF.9C!D17+OF.9C!E17</f>
        <v>166</v>
      </c>
      <c r="H43" s="2">
        <f>+OF.9C!D19+OF.9C!E19</f>
        <v>231</v>
      </c>
      <c r="I43" s="2">
        <f>+OF.9C!D21+OF.9C!E21</f>
        <v>233</v>
      </c>
      <c r="J43" s="2">
        <f>+OF.9C!D23+OF.9C!E23</f>
        <v>234</v>
      </c>
      <c r="K43" s="2"/>
      <c r="L43" s="2"/>
      <c r="M43" s="2"/>
      <c r="N43" s="2"/>
      <c r="O43" s="2"/>
      <c r="P43" s="2"/>
      <c r="Q43" s="2"/>
      <c r="R43" s="2">
        <f t="shared" si="0"/>
        <v>1030</v>
      </c>
      <c r="S43" s="2">
        <f>-(+OF.9C!G16+OF.9C!G18+OF.9C!G20+OF.9C!G22)</f>
        <v>545</v>
      </c>
      <c r="T43" s="151">
        <f t="shared" si="1"/>
        <v>485</v>
      </c>
      <c r="U43" s="49" t="s">
        <v>107</v>
      </c>
    </row>
    <row r="44" spans="1:23" ht="15" customHeight="1" x14ac:dyDescent="0.3">
      <c r="B44" s="523">
        <f t="shared" si="2"/>
        <v>39</v>
      </c>
      <c r="C44" s="49" t="s">
        <v>108</v>
      </c>
      <c r="D44" s="140" t="s">
        <v>294</v>
      </c>
      <c r="E44" s="2">
        <v>0</v>
      </c>
      <c r="F44" s="2">
        <f>+OF.9D!D15+OF.9D!E15</f>
        <v>233</v>
      </c>
      <c r="G44" s="2">
        <f>+OF.9D!D17+OF.9D!E17</f>
        <v>216</v>
      </c>
      <c r="H44" s="2">
        <f>+OF.9D!D19+OF.9D!E19</f>
        <v>248</v>
      </c>
      <c r="I44" s="2">
        <f>+OF.9D!D21+OF.9D!E21</f>
        <v>255</v>
      </c>
      <c r="J44" s="2">
        <f>+OF.9D!D23+OF.9D!E23</f>
        <v>272</v>
      </c>
      <c r="K44" s="2"/>
      <c r="L44" s="2"/>
      <c r="M44" s="2"/>
      <c r="N44" s="2"/>
      <c r="O44" s="2"/>
      <c r="P44" s="2"/>
      <c r="Q44" s="2"/>
      <c r="R44" s="2">
        <f t="shared" si="0"/>
        <v>1224</v>
      </c>
      <c r="S44" s="2">
        <f>-(+OF.9D!G16+OF.9D!G18+OF.9D!G20+OF.9D!G22+OF.9D!G24)</f>
        <v>952</v>
      </c>
      <c r="T44" s="151">
        <f t="shared" si="1"/>
        <v>272</v>
      </c>
      <c r="U44" s="49" t="s">
        <v>108</v>
      </c>
    </row>
    <row r="45" spans="1:23" ht="15" customHeight="1" x14ac:dyDescent="0.3">
      <c r="B45" s="523">
        <f t="shared" si="2"/>
        <v>40</v>
      </c>
      <c r="C45" s="49" t="s">
        <v>109</v>
      </c>
      <c r="D45" s="140" t="s">
        <v>295</v>
      </c>
      <c r="E45" s="2">
        <v>0</v>
      </c>
      <c r="F45" s="2">
        <f>+OF.9E!D15+OF.9E!E15</f>
        <v>142</v>
      </c>
      <c r="G45" s="2">
        <f>+OF.9E!D17+OF.9E!E17</f>
        <v>147</v>
      </c>
      <c r="H45" s="2">
        <f>+OF.9E!D19+OF.9E!E19</f>
        <v>179</v>
      </c>
      <c r="I45" s="2">
        <f>+OF.9E!D21+OF.9E!E21</f>
        <v>182</v>
      </c>
      <c r="J45" s="2">
        <f>+OF.9E!D23+OF.9E!E23</f>
        <v>185</v>
      </c>
      <c r="K45" s="2"/>
      <c r="L45" s="2"/>
      <c r="M45" s="2"/>
      <c r="N45" s="2"/>
      <c r="O45" s="2"/>
      <c r="P45" s="2"/>
      <c r="Q45" s="2"/>
      <c r="R45" s="2">
        <f t="shared" si="0"/>
        <v>835</v>
      </c>
      <c r="S45" s="2">
        <f>-(+OF.9E!G16+OF.9E!G18+OF.9E!G20+OF.9E!G22+OF.9E!G24)</f>
        <v>468</v>
      </c>
      <c r="T45" s="151">
        <f t="shared" si="1"/>
        <v>367</v>
      </c>
      <c r="U45" s="49" t="s">
        <v>109</v>
      </c>
    </row>
    <row r="46" spans="1:23" ht="15" customHeight="1" x14ac:dyDescent="0.3">
      <c r="B46" s="523">
        <f t="shared" si="2"/>
        <v>41</v>
      </c>
      <c r="C46" s="49" t="s">
        <v>110</v>
      </c>
      <c r="D46" s="140" t="s">
        <v>345</v>
      </c>
      <c r="E46" s="2">
        <v>0</v>
      </c>
      <c r="F46" s="2">
        <f>+OF.9F!D15+OF.9F!E15</f>
        <v>142</v>
      </c>
      <c r="G46" s="2">
        <f>+OF.9F!D17+OF.9F!E17</f>
        <v>142</v>
      </c>
      <c r="H46" s="2">
        <f>+OF.9F!D19+OF.9F!E19</f>
        <v>172</v>
      </c>
      <c r="I46" s="2">
        <f>+OF.9F!D21+OF.9F!E21</f>
        <v>172</v>
      </c>
      <c r="J46" s="2">
        <f>+OF.9F!D23+OF.9F!E23</f>
        <v>170</v>
      </c>
      <c r="K46" s="2"/>
      <c r="L46" s="2"/>
      <c r="M46" s="2"/>
      <c r="N46" s="2"/>
      <c r="O46" s="2"/>
      <c r="P46" s="2"/>
      <c r="Q46" s="2"/>
      <c r="R46" s="2">
        <f t="shared" si="0"/>
        <v>798</v>
      </c>
      <c r="S46" s="2">
        <f>-(+OF.9F!G16+OF.9F!G18+OF.9F!G20+OF.9F!G22+OF.9F!G24)</f>
        <v>628</v>
      </c>
      <c r="T46" s="151">
        <f t="shared" si="1"/>
        <v>170</v>
      </c>
      <c r="U46" s="49" t="s">
        <v>110</v>
      </c>
    </row>
    <row r="47" spans="1:23" ht="15" customHeight="1" x14ac:dyDescent="0.3">
      <c r="A47" t="s">
        <v>193</v>
      </c>
      <c r="B47" s="523">
        <f t="shared" si="2"/>
        <v>42</v>
      </c>
      <c r="C47" s="49" t="s">
        <v>111</v>
      </c>
      <c r="D47" s="140" t="s">
        <v>443</v>
      </c>
      <c r="E47" s="2">
        <v>0</v>
      </c>
      <c r="F47" s="2">
        <f>+OF.9G!D15+OF.9G!E15</f>
        <v>193</v>
      </c>
      <c r="G47" s="2">
        <f>+OF.9G!D17+OF.9G!E17</f>
        <v>197</v>
      </c>
      <c r="H47" s="2">
        <f>+OF.9G!D19+OF.9G!E19</f>
        <v>229</v>
      </c>
      <c r="I47" s="2">
        <f>+OF.9G!D21+OF.9G!E21</f>
        <v>235</v>
      </c>
      <c r="J47" s="2">
        <f>+OF.9G!D23+OF.9G!E23</f>
        <v>235</v>
      </c>
      <c r="K47" s="2"/>
      <c r="L47" s="2"/>
      <c r="M47" s="2"/>
      <c r="N47" s="2"/>
      <c r="O47" s="2"/>
      <c r="P47" s="2"/>
      <c r="Q47" s="2"/>
      <c r="R47" s="2">
        <f t="shared" si="0"/>
        <v>1089</v>
      </c>
      <c r="S47" s="2">
        <f>-(+OF.9G!G16+OF.9G!G18+OF.9G!G20+OF.9G!G22)</f>
        <v>390</v>
      </c>
      <c r="T47" s="151">
        <f t="shared" si="1"/>
        <v>699</v>
      </c>
      <c r="U47" s="49" t="s">
        <v>111</v>
      </c>
    </row>
    <row r="48" spans="1:23" ht="15" customHeight="1" x14ac:dyDescent="0.3">
      <c r="B48" s="523">
        <f t="shared" si="2"/>
        <v>43</v>
      </c>
      <c r="C48" s="49" t="s">
        <v>112</v>
      </c>
      <c r="D48" s="140" t="s">
        <v>296</v>
      </c>
      <c r="E48" s="2">
        <v>0</v>
      </c>
      <c r="F48" s="2">
        <f>+OF.10A!D15+OF.10A!E15</f>
        <v>196</v>
      </c>
      <c r="G48" s="2">
        <f>+OF.10A!D17+OF.10A!E17</f>
        <v>199</v>
      </c>
      <c r="H48" s="2">
        <f>+OF.10A!D19+OF.10A!E19</f>
        <v>227</v>
      </c>
      <c r="I48" s="2">
        <f>+OF.10A!D21+OF.10A!E21</f>
        <v>245</v>
      </c>
      <c r="J48" s="2"/>
      <c r="K48" s="2"/>
      <c r="L48" s="2"/>
      <c r="M48" s="2"/>
      <c r="N48" s="2"/>
      <c r="O48" s="2"/>
      <c r="P48" s="2"/>
      <c r="Q48" s="2"/>
      <c r="R48" s="2">
        <f t="shared" si="0"/>
        <v>867</v>
      </c>
      <c r="S48" s="2">
        <f>+OF.10A!G16+OF.10A!G18+OF.10A!G20+OF.10A!G22</f>
        <v>0</v>
      </c>
      <c r="T48" s="151">
        <f t="shared" si="1"/>
        <v>867</v>
      </c>
      <c r="U48" s="49" t="s">
        <v>112</v>
      </c>
    </row>
    <row r="49" spans="1:24" ht="15" customHeight="1" x14ac:dyDescent="0.3">
      <c r="B49" s="523">
        <f t="shared" si="2"/>
        <v>44</v>
      </c>
      <c r="C49" s="49" t="s">
        <v>113</v>
      </c>
      <c r="D49" s="140" t="s">
        <v>444</v>
      </c>
      <c r="E49" s="2">
        <v>0</v>
      </c>
      <c r="F49" s="2">
        <f>+OF.10B!D15+OF.10B!E15</f>
        <v>149</v>
      </c>
      <c r="G49" s="2">
        <f>+OF.10B!D17</f>
        <v>149</v>
      </c>
      <c r="H49" s="2">
        <f>+OF.10B!D19</f>
        <v>179</v>
      </c>
      <c r="I49" s="2">
        <f>+OF.10B!D21+OF.10B!E21</f>
        <v>180</v>
      </c>
      <c r="J49" s="2"/>
      <c r="K49" s="2"/>
      <c r="L49" s="2"/>
      <c r="M49" s="2"/>
      <c r="N49" s="2"/>
      <c r="O49" s="2"/>
      <c r="P49" s="2"/>
      <c r="Q49" s="2"/>
      <c r="R49" s="2">
        <f t="shared" si="0"/>
        <v>657</v>
      </c>
      <c r="S49" s="2">
        <f>-(+OF.10B!G16+OF.10B!G18+OF.10B!G20+OF.10B!G22)</f>
        <v>657</v>
      </c>
      <c r="T49" s="151">
        <f t="shared" si="1"/>
        <v>0</v>
      </c>
      <c r="U49" s="49" t="s">
        <v>113</v>
      </c>
    </row>
    <row r="50" spans="1:24" ht="15" customHeight="1" x14ac:dyDescent="0.3">
      <c r="A50" t="s">
        <v>193</v>
      </c>
      <c r="B50" s="523">
        <f t="shared" si="2"/>
        <v>45</v>
      </c>
      <c r="C50" s="49" t="s">
        <v>114</v>
      </c>
      <c r="D50" s="140" t="s">
        <v>439</v>
      </c>
      <c r="E50" s="2">
        <v>0</v>
      </c>
      <c r="F50" s="2">
        <f>+OF.10C!D15</f>
        <v>210</v>
      </c>
      <c r="G50" s="2">
        <f>+OF.10C!D17</f>
        <v>210</v>
      </c>
      <c r="H50" s="2">
        <f>+OF.10C!D19</f>
        <v>251</v>
      </c>
      <c r="I50" s="2">
        <f>+OF.10C!D21</f>
        <v>251</v>
      </c>
      <c r="J50" s="2"/>
      <c r="K50" s="2"/>
      <c r="L50" s="2"/>
      <c r="M50" s="2"/>
      <c r="N50" s="2"/>
      <c r="O50" s="2"/>
      <c r="P50" s="2"/>
      <c r="Q50" s="2"/>
      <c r="R50" s="2">
        <f t="shared" si="0"/>
        <v>922</v>
      </c>
      <c r="S50" s="2">
        <f>-(+OF.10C!G16+OF.10C!G18+OF.10C!G20+OF.10C!G22+OF.10C!G24)</f>
        <v>210</v>
      </c>
      <c r="T50" s="151">
        <f t="shared" si="1"/>
        <v>712</v>
      </c>
      <c r="U50" s="49" t="s">
        <v>114</v>
      </c>
    </row>
    <row r="51" spans="1:24" ht="15" customHeight="1" x14ac:dyDescent="0.3">
      <c r="A51" t="s">
        <v>193</v>
      </c>
      <c r="B51" s="523">
        <f t="shared" si="2"/>
        <v>46</v>
      </c>
      <c r="C51" s="49" t="s">
        <v>115</v>
      </c>
      <c r="D51" s="140" t="s">
        <v>439</v>
      </c>
      <c r="E51" s="2">
        <v>0</v>
      </c>
      <c r="F51" s="2">
        <f>+OF.10D!D15</f>
        <v>230</v>
      </c>
      <c r="G51" s="2">
        <f>+OF.10D!D17</f>
        <v>230</v>
      </c>
      <c r="H51" s="2">
        <f>+OF.10D!D19</f>
        <v>273</v>
      </c>
      <c r="I51" s="2">
        <f>+OF.10D!D21</f>
        <v>273</v>
      </c>
      <c r="J51" s="2">
        <f>+OF.10D!D23</f>
        <v>273</v>
      </c>
      <c r="K51" s="2"/>
      <c r="L51" s="2"/>
      <c r="M51" s="2"/>
      <c r="N51" s="2"/>
      <c r="O51" s="2"/>
      <c r="P51" s="2"/>
      <c r="Q51" s="2"/>
      <c r="R51" s="2">
        <f t="shared" si="0"/>
        <v>1279</v>
      </c>
      <c r="S51" s="2">
        <f>-(+OF.10D!G16+OF.10D!G18+OF.10D!G20+OF.10D!G22+OF.10D!G24)</f>
        <v>230</v>
      </c>
      <c r="T51" s="151">
        <f t="shared" si="1"/>
        <v>1049</v>
      </c>
      <c r="U51" s="49" t="s">
        <v>115</v>
      </c>
    </row>
    <row r="52" spans="1:24" ht="15" customHeight="1" x14ac:dyDescent="0.3">
      <c r="B52" s="523">
        <f t="shared" si="2"/>
        <v>47</v>
      </c>
      <c r="C52" s="49" t="s">
        <v>116</v>
      </c>
      <c r="D52" s="140" t="s">
        <v>287</v>
      </c>
      <c r="E52" s="2">
        <v>0</v>
      </c>
      <c r="F52" s="2">
        <f>+OF.10E!D15+OF.10E!E15</f>
        <v>247</v>
      </c>
      <c r="G52" s="2">
        <f>+OF.10E!D17+OF.10E!E17</f>
        <v>246</v>
      </c>
      <c r="H52" s="2">
        <f>+OF.10E!D19+OF.10E!E19</f>
        <v>434</v>
      </c>
      <c r="I52" s="2">
        <f>+OF.10E!D21+OF.10E!E21</f>
        <v>289</v>
      </c>
      <c r="J52" s="2">
        <f>+OF.10E!D23+OF.10E!E23</f>
        <v>293</v>
      </c>
      <c r="K52" s="2"/>
      <c r="L52" s="2"/>
      <c r="M52" s="2"/>
      <c r="N52" s="2"/>
      <c r="O52" s="2"/>
      <c r="P52" s="2"/>
      <c r="Q52" s="2"/>
      <c r="R52" s="2">
        <f t="shared" si="0"/>
        <v>1509</v>
      </c>
      <c r="S52" s="2">
        <f>-(+OF.10E!G16+OF.10E!G18+OF.10E!G20+OF.10E!G22+OF.10E!G24)</f>
        <v>1216</v>
      </c>
      <c r="T52" s="151">
        <f t="shared" si="1"/>
        <v>293</v>
      </c>
      <c r="U52" s="49" t="s">
        <v>116</v>
      </c>
      <c r="X52">
        <v>642</v>
      </c>
    </row>
    <row r="53" spans="1:24" ht="15" customHeight="1" x14ac:dyDescent="0.3">
      <c r="B53" s="523">
        <f t="shared" si="2"/>
        <v>48</v>
      </c>
      <c r="C53" s="49" t="s">
        <v>117</v>
      </c>
      <c r="D53" s="140" t="s">
        <v>345</v>
      </c>
      <c r="E53" s="2">
        <v>0</v>
      </c>
      <c r="F53" s="2">
        <f>+OF.10F!D14+OF.10F!E14</f>
        <v>176</v>
      </c>
      <c r="G53" s="2">
        <f>+OF.10F!D16</f>
        <v>176</v>
      </c>
      <c r="H53" s="2">
        <f>+OF.10F!D18</f>
        <v>210</v>
      </c>
      <c r="I53" s="2">
        <f>+OF.10F!D20</f>
        <v>210</v>
      </c>
      <c r="J53" s="2"/>
      <c r="K53" s="2"/>
      <c r="L53" s="2"/>
      <c r="M53" s="2"/>
      <c r="N53" s="2"/>
      <c r="O53" s="2"/>
      <c r="P53" s="2"/>
      <c r="Q53" s="2"/>
      <c r="R53" s="2">
        <f t="shared" si="0"/>
        <v>772</v>
      </c>
      <c r="S53" s="2">
        <f>-(+OF.10F!G15+OF.10F!G17+OF.10F!G19+OF.10F!G21+OF.10F!G23)</f>
        <v>772</v>
      </c>
      <c r="T53" s="151">
        <f t="shared" si="1"/>
        <v>0</v>
      </c>
      <c r="U53" s="49" t="s">
        <v>117</v>
      </c>
      <c r="X53">
        <v>238</v>
      </c>
    </row>
    <row r="54" spans="1:24" ht="15" customHeight="1" x14ac:dyDescent="0.3">
      <c r="A54" t="s">
        <v>193</v>
      </c>
      <c r="B54" s="523">
        <f t="shared" si="2"/>
        <v>49</v>
      </c>
      <c r="C54" s="49" t="s">
        <v>118</v>
      </c>
      <c r="D54" s="140" t="s">
        <v>440</v>
      </c>
      <c r="E54" s="2">
        <v>0</v>
      </c>
      <c r="F54" s="2">
        <f>+OF.10G!D15</f>
        <v>185</v>
      </c>
      <c r="G54" s="2">
        <f>+OF.10G!D17+OF.10G!E17</f>
        <v>186</v>
      </c>
      <c r="H54" s="2">
        <f>+OF.10G!D19+OF.10G!E19</f>
        <v>224</v>
      </c>
      <c r="I54" s="2">
        <f>+OF.10G!D21+OF.10G!E21</f>
        <v>226</v>
      </c>
      <c r="J54" s="2"/>
      <c r="K54" s="2"/>
      <c r="L54" s="2"/>
      <c r="M54" s="2"/>
      <c r="N54" s="2"/>
      <c r="O54" s="2"/>
      <c r="P54" s="2"/>
      <c r="Q54" s="2"/>
      <c r="R54" s="2">
        <f t="shared" si="0"/>
        <v>821</v>
      </c>
      <c r="S54" s="2">
        <f>+OF.10G!G16+OF.10G!G18+OF.10G!G20+OF.10G!G22+OF.10G!G24</f>
        <v>0</v>
      </c>
      <c r="T54" s="151">
        <f t="shared" si="1"/>
        <v>821</v>
      </c>
      <c r="U54" s="49" t="s">
        <v>118</v>
      </c>
      <c r="X54">
        <f>+X52-X53</f>
        <v>404</v>
      </c>
    </row>
    <row r="55" spans="1:24" ht="15" customHeight="1" x14ac:dyDescent="0.3">
      <c r="C55" s="63"/>
      <c r="D55" s="49" t="s">
        <v>263</v>
      </c>
      <c r="E55" s="152">
        <f t="shared" ref="E55:J55" si="3">SUM(E6:E54)</f>
        <v>1100</v>
      </c>
      <c r="F55" s="152">
        <f t="shared" si="3"/>
        <v>9977</v>
      </c>
      <c r="G55" s="152">
        <f t="shared" si="3"/>
        <v>9701</v>
      </c>
      <c r="H55" s="152">
        <f t="shared" si="3"/>
        <v>11474</v>
      </c>
      <c r="I55" s="152">
        <f t="shared" si="3"/>
        <v>11510</v>
      </c>
      <c r="J55" s="152">
        <f t="shared" si="3"/>
        <v>7845</v>
      </c>
      <c r="K55" s="152"/>
      <c r="L55" s="152"/>
      <c r="M55" s="152"/>
      <c r="N55" s="152"/>
      <c r="O55" s="152"/>
      <c r="P55" s="152"/>
      <c r="Q55" s="152"/>
      <c r="R55" s="152">
        <f>SUM(R6:R54)</f>
        <v>51607</v>
      </c>
      <c r="S55" s="152">
        <f>SUM(S6:S54)</f>
        <v>28221</v>
      </c>
      <c r="T55" s="152">
        <f>SUM(T6:T54)</f>
        <v>23386</v>
      </c>
    </row>
    <row r="56" spans="1:24" x14ac:dyDescent="0.3">
      <c r="R56" s="143"/>
      <c r="T56" s="128"/>
    </row>
    <row r="58" spans="1:24" ht="15.6" x14ac:dyDescent="0.3">
      <c r="B58" s="278"/>
      <c r="C58" s="276" t="s">
        <v>415</v>
      </c>
      <c r="S58" s="153"/>
    </row>
    <row r="59" spans="1:24" ht="15.6" x14ac:dyDescent="0.3">
      <c r="B59" s="278"/>
      <c r="C59" s="277" t="s">
        <v>409</v>
      </c>
    </row>
    <row r="60" spans="1:24" ht="15.6" x14ac:dyDescent="0.3">
      <c r="B60" s="278"/>
      <c r="C60" s="277" t="s">
        <v>410</v>
      </c>
      <c r="S60" s="153"/>
    </row>
    <row r="61" spans="1:24" ht="15.6" x14ac:dyDescent="0.3">
      <c r="B61" s="278"/>
      <c r="C61" s="277" t="s">
        <v>411</v>
      </c>
      <c r="S61" s="153"/>
    </row>
    <row r="62" spans="1:24" ht="15.6" x14ac:dyDescent="0.3">
      <c r="B62" s="278"/>
      <c r="C62" s="277" t="s">
        <v>405</v>
      </c>
    </row>
    <row r="63" spans="1:24" ht="15.6" x14ac:dyDescent="0.3">
      <c r="B63" s="278"/>
      <c r="C63" s="277" t="s">
        <v>406</v>
      </c>
    </row>
    <row r="64" spans="1:24" ht="15.6" x14ac:dyDescent="0.3">
      <c r="B64" s="278"/>
      <c r="C64" s="278"/>
    </row>
    <row r="65" spans="2:3" ht="15.6" x14ac:dyDescent="0.3">
      <c r="B65" s="278"/>
      <c r="C65" s="277" t="s">
        <v>407</v>
      </c>
    </row>
    <row r="66" spans="2:3" ht="15.6" x14ac:dyDescent="0.3">
      <c r="B66" s="278"/>
      <c r="C66" s="278"/>
    </row>
  </sheetData>
  <mergeCells count="3">
    <mergeCell ref="C1:S1"/>
    <mergeCell ref="C2:S2"/>
    <mergeCell ref="C3:S3"/>
  </mergeCells>
  <pageMargins left="0.48" right="0.21" top="0.23622047244094491" bottom="0.27559055118110237" header="0.23622047244094491" footer="0.31496062992125984"/>
  <pageSetup scale="65" orientation="landscape" horizontalDpi="360" verticalDpi="36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2:N41"/>
  <sheetViews>
    <sheetView showGridLines="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4.88671875" style="4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4" max="14" width="10.6640625" bestFit="1" customWidth="1"/>
    <col min="15" max="15" width="17.33203125" customWidth="1"/>
  </cols>
  <sheetData>
    <row r="2" spans="1:14" ht="15.6" x14ac:dyDescent="0.3">
      <c r="A2" s="27" t="s">
        <v>36</v>
      </c>
      <c r="B2" s="41" t="s">
        <v>119</v>
      </c>
    </row>
    <row r="3" spans="1:14" hidden="1" x14ac:dyDescent="0.3">
      <c r="A3" s="27" t="s">
        <v>31</v>
      </c>
      <c r="B3" s="28" t="e">
        <f>LOOKUP(B2,#REF!,#REF!)</f>
        <v>#REF!</v>
      </c>
    </row>
    <row r="4" spans="1:14" hidden="1" x14ac:dyDescent="0.3">
      <c r="A4" s="27" t="s">
        <v>32</v>
      </c>
      <c r="B4" s="28" t="e">
        <f>LOOKUP(B2,#REF!,#REF!)</f>
        <v>#REF!</v>
      </c>
    </row>
    <row r="5" spans="1:14" hidden="1" x14ac:dyDescent="0.3">
      <c r="A5" s="27" t="s">
        <v>33</v>
      </c>
      <c r="B5" s="28" t="e">
        <f>LOOKUP(B2,#REF!,#REF!)</f>
        <v>#REF!</v>
      </c>
    </row>
    <row r="6" spans="1:14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4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4" x14ac:dyDescent="0.3">
      <c r="A8" s="21"/>
      <c r="B8" s="21" t="s">
        <v>248</v>
      </c>
    </row>
    <row r="9" spans="1:14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204" t="s">
        <v>28</v>
      </c>
      <c r="I9" s="205" t="s">
        <v>49</v>
      </c>
      <c r="J9" s="208" t="s">
        <v>188</v>
      </c>
      <c r="K9" s="312" t="s">
        <v>191</v>
      </c>
      <c r="L9" s="374" t="s">
        <v>262</v>
      </c>
    </row>
    <row r="10" spans="1:14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IF(T_T134111213141516171819202122232425262728293031323335363738394041424344454647484950515253545556575859606162636465666768697071[[#This Row],[Total]]&lt;0,T_T134111213141516171819202122232425262728293031323335363738394041424344454647484950515253545556575859606162636465666768697071[[#This Row],[Total]]*-1,0)</f>
        <v>0</v>
      </c>
      <c r="J10" s="207"/>
      <c r="K10" s="313"/>
      <c r="L10" s="354"/>
      <c r="N10" s="178"/>
    </row>
    <row r="11" spans="1:14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IF(T_T134111213141516171819202122232425262728293031323335363738394041424344454647484950515253545556575859606162636465666768697071[[#This Row],[Total]]&lt;0,T_T134111213141516171819202122232425262728293031323335363738394041424344454647484950515253545556575859606162636465666768697071[[#This Row],[Total]]*-1,0)</f>
        <v>0</v>
      </c>
      <c r="J11" s="260"/>
      <c r="K11" s="313"/>
      <c r="L11" s="354"/>
    </row>
    <row r="12" spans="1:14" x14ac:dyDescent="0.3">
      <c r="A12" s="361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IF(T_T134111213141516171819202122232425262728293031323335363738394041424344454647484950515253545556575859606162636465666768697071[[#This Row],[Total]]&lt;0,T_T134111213141516171819202122232425262728293031323335363738394041424344454647484950515253545556575859606162636465666768697071[[#This Row],[Total]]*-1,0)</f>
        <v>0</v>
      </c>
      <c r="J12" s="436"/>
      <c r="K12" s="419"/>
      <c r="L12" s="419"/>
    </row>
    <row r="13" spans="1:14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IF(T_T134111213141516171819202122232425262728293031323335363738394041424344454647484950515253545556575859606162636465666768697071[[#This Row],[Total]]&lt;0,T_T134111213141516171819202122232425262728293031323335363738394041424344454647484950515253545556575859606162636465666768697071[[#This Row],[Total]]*-1,0)</f>
        <v>0</v>
      </c>
      <c r="J13" s="260"/>
      <c r="K13" s="313"/>
      <c r="L13" s="354"/>
    </row>
    <row r="14" spans="1:14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IF(T_T134111213141516171819202122232425262728293031323335363738394041424344454647484950515253545556575859606162636465666768697071[[#This Row],[Total]]&lt;0,T_T134111213141516171819202122232425262728293031323335363738394041424344454647484950515253545556575859606162636465666768697071[[#This Row],[Total]]*-1,0)</f>
        <v>0</v>
      </c>
      <c r="J14" s="490"/>
      <c r="K14" s="485"/>
      <c r="L14" s="485"/>
    </row>
    <row r="15" spans="1:14" x14ac:dyDescent="0.3">
      <c r="A15" s="17">
        <v>46052</v>
      </c>
      <c r="B15" s="18" t="s">
        <v>590</v>
      </c>
      <c r="C15" s="6"/>
      <c r="D15" s="2">
        <v>249</v>
      </c>
      <c r="E15" s="2">
        <v>43</v>
      </c>
      <c r="F15" s="20"/>
      <c r="G15" s="20">
        <f>SUM(D15:F15)</f>
        <v>292</v>
      </c>
      <c r="H15" s="233">
        <f>+H13+T_T134111213141516171819202122232425262728293031323335363738394041424344454647484950515253545556575859606162636465666768697071[[#This Row],[Total]]</f>
        <v>292</v>
      </c>
      <c r="I15" s="240">
        <f>IF(T_T134111213141516171819202122232425262728293031323335363738394041424344454647484950515253545556575859606162636465666768697071[[#This Row],[Total]]&lt;0,T_T134111213141516171819202122232425262728293031323335363738394041424344454647484950515253545556575859606162636465666768697071[[#This Row],[Total]]*-1,0)</f>
        <v>0</v>
      </c>
      <c r="J15" s="260"/>
      <c r="K15" s="313"/>
      <c r="L15" s="354"/>
    </row>
    <row r="16" spans="1:14" x14ac:dyDescent="0.3">
      <c r="A16" s="17"/>
      <c r="B16" s="18" t="s">
        <v>591</v>
      </c>
      <c r="C16" s="6">
        <v>8551</v>
      </c>
      <c r="D16" s="2">
        <v>-249</v>
      </c>
      <c r="E16" s="2">
        <v>-43</v>
      </c>
      <c r="F16" s="230"/>
      <c r="G16" s="20">
        <f>SUM(D16:F16)</f>
        <v>-292</v>
      </c>
      <c r="H16" s="233">
        <f>+H15+T_T134111213141516171819202122232425262728293031323335363738394041424344454647484950515253545556575859606162636465666768697071[[#This Row],[Total]]</f>
        <v>0</v>
      </c>
      <c r="I16" s="240">
        <f>IF(T_T134111213141516171819202122232425262728293031323335363738394041424344454647484950515253545556575859606162636465666768697071[[#This Row],[Total]]&lt;0,T_T134111213141516171819202122232425262728293031323335363738394041424344454647484950515253545556575859606162636465666768697071[[#This Row],[Total]]*-1,0)</f>
        <v>292</v>
      </c>
      <c r="J16" s="260"/>
      <c r="K16" s="313"/>
      <c r="L16" s="354"/>
    </row>
    <row r="17" spans="1:12" x14ac:dyDescent="0.3">
      <c r="A17" s="164">
        <v>45715</v>
      </c>
      <c r="B17" s="161" t="s">
        <v>532</v>
      </c>
      <c r="C17" s="6"/>
      <c r="D17" s="2">
        <v>249</v>
      </c>
      <c r="E17" s="2">
        <v>35</v>
      </c>
      <c r="F17" s="230"/>
      <c r="G17" s="20">
        <f>SUM(D17:F17)</f>
        <v>284</v>
      </c>
      <c r="H17" s="233">
        <f>+H16+T_T134111213141516171819202122232425262728293031323335363738394041424344454647484950515253545556575859606162636465666768697071[[#This Row],[Total]]</f>
        <v>284</v>
      </c>
      <c r="I17" s="240">
        <f>IF(T_T134111213141516171819202122232425262728293031323335363738394041424344454647484950515253545556575859606162636465666768697071[[#This Row],[Total]]&lt;0,T_T134111213141516171819202122232425262728293031323335363738394041424344454647484950515253545556575859606162636465666768697071[[#This Row],[Total]]*-1,0)</f>
        <v>0</v>
      </c>
      <c r="J17" s="260"/>
      <c r="K17" s="313"/>
      <c r="L17" s="354"/>
    </row>
    <row r="18" spans="1:12" x14ac:dyDescent="0.3">
      <c r="A18" s="187"/>
      <c r="B18" s="18" t="s">
        <v>533</v>
      </c>
      <c r="C18" s="6">
        <v>8662</v>
      </c>
      <c r="D18" s="2">
        <v>-249</v>
      </c>
      <c r="E18" s="2">
        <v>-35</v>
      </c>
      <c r="F18" s="230"/>
      <c r="G18" s="230">
        <f t="shared" ref="G18:G38" si="0">SUM(D18:F18)</f>
        <v>-284</v>
      </c>
      <c r="H18" s="233">
        <f>+H17+T_T134111213141516171819202122232425262728293031323335363738394041424344454647484950515253545556575859606162636465666768697071[[#This Row],[Total]]</f>
        <v>0</v>
      </c>
      <c r="I18" s="240">
        <f>IF(T_T134111213141516171819202122232425262728293031323335363738394041424344454647484950515253545556575859606162636465666768697071[[#This Row],[Total]]&lt;0,T_T134111213141516171819202122232425262728293031323335363738394041424344454647484950515253545556575859606162636465666768697071[[#This Row],[Total]]*-1,0)</f>
        <v>284</v>
      </c>
      <c r="J18" s="260"/>
      <c r="K18" s="313"/>
      <c r="L18" s="354"/>
    </row>
    <row r="19" spans="1:12" x14ac:dyDescent="0.3">
      <c r="A19" s="188">
        <v>45747</v>
      </c>
      <c r="B19" s="3" t="s">
        <v>534</v>
      </c>
      <c r="C19" s="6"/>
      <c r="D19" s="2">
        <f>242+30+14</f>
        <v>286</v>
      </c>
      <c r="E19" s="2">
        <v>30</v>
      </c>
      <c r="F19" s="230"/>
      <c r="G19" s="230">
        <f t="shared" si="0"/>
        <v>316</v>
      </c>
      <c r="H19" s="233">
        <f>+H18+T_T134111213141516171819202122232425262728293031323335363738394041424344454647484950515253545556575859606162636465666768697071[[#This Row],[Total]]</f>
        <v>316</v>
      </c>
      <c r="I19" s="240">
        <f>IF(T_T134111213141516171819202122232425262728293031323335363738394041424344454647484950515253545556575859606162636465666768697071[[#This Row],[Total]]&lt;0,T_T134111213141516171819202122232425262728293031323335363738394041424344454647484950515253545556575859606162636465666768697071[[#This Row],[Total]]*-1,0)</f>
        <v>0</v>
      </c>
      <c r="J19" s="260"/>
      <c r="K19" s="313"/>
      <c r="L19" s="354"/>
    </row>
    <row r="20" spans="1:12" x14ac:dyDescent="0.3">
      <c r="A20" s="188"/>
      <c r="B20" s="82" t="s">
        <v>535</v>
      </c>
      <c r="C20" s="6">
        <v>8777</v>
      </c>
      <c r="D20" s="2">
        <f>-242-30-14</f>
        <v>-286</v>
      </c>
      <c r="E20" s="2">
        <v>-30</v>
      </c>
      <c r="F20" s="230"/>
      <c r="G20" s="230">
        <f t="shared" si="0"/>
        <v>-316</v>
      </c>
      <c r="H20" s="233">
        <f>+H19+T_T134111213141516171819202122232425262728293031323335363738394041424344454647484950515253545556575859606162636465666768697071[[#This Row],[Total]]</f>
        <v>0</v>
      </c>
      <c r="I20" s="240">
        <f>IF(T_T134111213141516171819202122232425262728293031323335363738394041424344454647484950515253545556575859606162636465666768697071[[#This Row],[Total]]&lt;0,T_T134111213141516171819202122232425262728293031323335363738394041424344454647484950515253545556575859606162636465666768697071[[#This Row],[Total]]*-1,0)</f>
        <v>316</v>
      </c>
      <c r="J20" s="260"/>
      <c r="K20" s="313"/>
      <c r="L20" s="354"/>
    </row>
    <row r="21" spans="1:12" x14ac:dyDescent="0.3">
      <c r="A21" s="188">
        <v>45777</v>
      </c>
      <c r="B21" s="3" t="s">
        <v>536</v>
      </c>
      <c r="C21" s="6"/>
      <c r="D21" s="2">
        <f>242+30+14</f>
        <v>286</v>
      </c>
      <c r="E21" s="2">
        <v>49</v>
      </c>
      <c r="F21" s="230"/>
      <c r="G21" s="230">
        <f t="shared" si="0"/>
        <v>335</v>
      </c>
      <c r="H21" s="233">
        <f>+H20+T_T134111213141516171819202122232425262728293031323335363738394041424344454647484950515253545556575859606162636465666768697071[[#This Row],[Total]]</f>
        <v>335</v>
      </c>
      <c r="I21" s="309">
        <f>IF(T_T134111213141516171819202122232425262728293031323335363738394041424344454647484950515253545556575859606162636465666768697071[[#This Row],[Total]]&lt;0,T_T134111213141516171819202122232425262728293031323335363738394041424344454647484950515253545556575859606162636465666768697071[[#This Row],[Total]]*-1,0)</f>
        <v>0</v>
      </c>
      <c r="J21" s="326"/>
      <c r="K21" s="313"/>
      <c r="L21" s="354"/>
    </row>
    <row r="22" spans="1:12" x14ac:dyDescent="0.3">
      <c r="A22" s="83"/>
      <c r="B22" s="82" t="s">
        <v>537</v>
      </c>
      <c r="C22" s="6">
        <v>8934</v>
      </c>
      <c r="D22" s="2">
        <v>-286</v>
      </c>
      <c r="E22" s="2">
        <v>-49</v>
      </c>
      <c r="F22" s="230"/>
      <c r="G22" s="230">
        <f t="shared" si="0"/>
        <v>-335</v>
      </c>
      <c r="H22" s="233">
        <f>+H21+T_T134111213141516171819202122232425262728293031323335363738394041424344454647484950515253545556575859606162636465666768697071[[#This Row],[Total]]</f>
        <v>0</v>
      </c>
      <c r="I22" s="309">
        <f>IF(T_T134111213141516171819202122232425262728293031323335363738394041424344454647484950515253545556575859606162636465666768697071[[#This Row],[Total]]&lt;0,T_T134111213141516171819202122232425262728293031323335363738394041424344454647484950515253545556575859606162636465666768697071[[#This Row],[Total]]*-1,0)</f>
        <v>335</v>
      </c>
      <c r="J22" s="326"/>
      <c r="K22" s="313"/>
      <c r="L22" s="354"/>
    </row>
    <row r="23" spans="1:12" x14ac:dyDescent="0.3">
      <c r="A23" s="40">
        <v>45807</v>
      </c>
      <c r="B23" s="3" t="s">
        <v>538</v>
      </c>
      <c r="C23" s="229"/>
      <c r="D23" s="230">
        <v>286</v>
      </c>
      <c r="E23" s="230">
        <v>39</v>
      </c>
      <c r="F23" s="230"/>
      <c r="G23" s="230">
        <f t="shared" si="0"/>
        <v>325</v>
      </c>
      <c r="H23" s="233">
        <f t="shared" ref="H23:H40" si="1">H22+G23</f>
        <v>325</v>
      </c>
      <c r="I23" s="309">
        <f>IF(T_T134111213141516171819202122232425262728293031323335363738394041424344454647484950515253545556575859606162636465666768697071[[#This Row],[Total]]&lt;0,T_T134111213141516171819202122232425262728293031323335363738394041424344454647484950515253545556575859606162636465666768697071[[#This Row],[Total]]*-1,0)</f>
        <v>0</v>
      </c>
      <c r="J23" s="326"/>
      <c r="K23" s="313"/>
      <c r="L23" s="354"/>
    </row>
    <row r="24" spans="1:12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325</v>
      </c>
      <c r="I24" s="309">
        <f>IF(T_T134111213141516171819202122232425262728293031323335363738394041424344454647484950515253545556575859606162636465666768697071[[#This Row],[Total]]&lt;0,T_T134111213141516171819202122232425262728293031323335363738394041424344454647484950515253545556575859606162636465666768697071[[#This Row],[Total]]*-1,0)</f>
        <v>0</v>
      </c>
      <c r="J24" s="326"/>
      <c r="K24" s="313"/>
      <c r="L24" s="354"/>
    </row>
    <row r="25" spans="1:12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325</v>
      </c>
      <c r="I25" s="309">
        <f>IF(T_T134111213141516171819202122232425262728293031323335363738394041424344454647484950515253545556575859606162636465666768697071[[#This Row],[Total]]&lt;0,T_T134111213141516171819202122232425262728293031323335363738394041424344454647484950515253545556575859606162636465666768697071[[#This Row],[Total]]*-1,0)</f>
        <v>0</v>
      </c>
      <c r="J25" s="326"/>
      <c r="K25" s="313"/>
      <c r="L25" s="354"/>
    </row>
    <row r="26" spans="1:12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325</v>
      </c>
      <c r="I26" s="309">
        <f>IF(T_T134111213141516171819202122232425262728293031323335363738394041424344454647484950515253545556575859606162636465666768697071[[#This Row],[Total]]&lt;0,T_T134111213141516171819202122232425262728293031323335363738394041424344454647484950515253545556575859606162636465666768697071[[#This Row],[Total]]*-1,0)</f>
        <v>0</v>
      </c>
      <c r="J26" s="326"/>
      <c r="K26" s="313"/>
      <c r="L26" s="354"/>
    </row>
    <row r="27" spans="1:12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325</v>
      </c>
      <c r="I27" s="309">
        <f>IF(T_T134111213141516171819202122232425262728293031323335363738394041424344454647484950515253545556575859606162636465666768697071[[#This Row],[Total]]&lt;0,T_T134111213141516171819202122232425262728293031323335363738394041424344454647484950515253545556575859606162636465666768697071[[#This Row],[Total]]*-1,0)</f>
        <v>0</v>
      </c>
      <c r="J27" s="326"/>
      <c r="K27" s="313"/>
      <c r="L27" s="354"/>
    </row>
    <row r="28" spans="1:12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325</v>
      </c>
      <c r="I28" s="309">
        <f>IF(T_T134111213141516171819202122232425262728293031323335363738394041424344454647484950515253545556575859606162636465666768697071[[#This Row],[Total]]&lt;0,T_T134111213141516171819202122232425262728293031323335363738394041424344454647484950515253545556575859606162636465666768697071[[#This Row],[Total]]*-1,0)</f>
        <v>0</v>
      </c>
      <c r="J28" s="326"/>
      <c r="K28" s="313"/>
      <c r="L28" s="354"/>
    </row>
    <row r="29" spans="1:12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325</v>
      </c>
      <c r="I29" s="309">
        <f>IF(T_T134111213141516171819202122232425262728293031323335363738394041424344454647484950515253545556575859606162636465666768697071[[#This Row],[Total]]&lt;0,T_T134111213141516171819202122232425262728293031323335363738394041424344454647484950515253545556575859606162636465666768697071[[#This Row],[Total]]*-1,0)</f>
        <v>0</v>
      </c>
      <c r="J29" s="326"/>
      <c r="K29" s="313"/>
      <c r="L29" s="354"/>
    </row>
    <row r="30" spans="1:12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325</v>
      </c>
      <c r="I30" s="309">
        <f>IF(T_T134111213141516171819202122232425262728293031323335363738394041424344454647484950515253545556575859606162636465666768697071[[#This Row],[Total]]&lt;0,T_T134111213141516171819202122232425262728293031323335363738394041424344454647484950515253545556575859606162636465666768697071[[#This Row],[Total]]*-1,0)</f>
        <v>0</v>
      </c>
      <c r="J30" s="326"/>
      <c r="K30" s="313"/>
      <c r="L30" s="354"/>
    </row>
    <row r="31" spans="1:12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325</v>
      </c>
      <c r="I31" s="309">
        <f>IF(T_T134111213141516171819202122232425262728293031323335363738394041424344454647484950515253545556575859606162636465666768697071[[#This Row],[Total]]&lt;0,T_T134111213141516171819202122232425262728293031323335363738394041424344454647484950515253545556575859606162636465666768697071[[#This Row],[Total]]*-1,0)</f>
        <v>0</v>
      </c>
      <c r="J31" s="326"/>
      <c r="K31" s="313"/>
      <c r="L31" s="354"/>
    </row>
    <row r="32" spans="1:12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325</v>
      </c>
      <c r="I32" s="309">
        <f>IF(T_T134111213141516171819202122232425262728293031323335363738394041424344454647484950515253545556575859606162636465666768697071[[#This Row],[Total]]&lt;0,T_T134111213141516171819202122232425262728293031323335363738394041424344454647484950515253545556575859606162636465666768697071[[#This Row],[Total]]*-1,0)</f>
        <v>0</v>
      </c>
      <c r="J32" s="326"/>
      <c r="K32" s="313"/>
      <c r="L32" s="354"/>
    </row>
    <row r="33" spans="1:12" x14ac:dyDescent="0.3">
      <c r="A33" s="9">
        <v>45960</v>
      </c>
      <c r="B33" s="3" t="s">
        <v>548</v>
      </c>
      <c r="C33" s="229"/>
      <c r="D33" s="230"/>
      <c r="E33" s="7"/>
      <c r="F33" s="230"/>
      <c r="G33" s="230">
        <f t="shared" si="0"/>
        <v>0</v>
      </c>
      <c r="H33" s="233">
        <f t="shared" si="1"/>
        <v>325</v>
      </c>
      <c r="I33" s="309">
        <f>IF(T_T134111213141516171819202122232425262728293031323335363738394041424344454647484950515253545556575859606162636465666768697071[[#This Row],[Total]]&lt;0,T_T134111213141516171819202122232425262728293031323335363738394041424344454647484950515253545556575859606162636465666768697071[[#This Row],[Total]]*-1,0)</f>
        <v>0</v>
      </c>
      <c r="J33" s="326"/>
      <c r="K33" s="313"/>
      <c r="L33" s="354"/>
    </row>
    <row r="34" spans="1:12" x14ac:dyDescent="0.3">
      <c r="A34" s="9"/>
      <c r="B34" s="3" t="s">
        <v>549</v>
      </c>
      <c r="C34" s="6"/>
      <c r="D34" s="230"/>
      <c r="E34" s="230"/>
      <c r="F34" s="230"/>
      <c r="G34" s="230">
        <f t="shared" si="0"/>
        <v>0</v>
      </c>
      <c r="H34" s="233">
        <f t="shared" si="1"/>
        <v>325</v>
      </c>
      <c r="I34" s="309">
        <f>IF(T_T134111213141516171819202122232425262728293031323335363738394041424344454647484950515253545556575859606162636465666768697071[[#This Row],[Total]]&lt;0,T_T134111213141516171819202122232425262728293031323335363738394041424344454647484950515253545556575859606162636465666768697071[[#This Row],[Total]]*-1,0)</f>
        <v>0</v>
      </c>
      <c r="J34" s="326"/>
      <c r="K34" s="313"/>
      <c r="L34" s="354"/>
    </row>
    <row r="35" spans="1:12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325</v>
      </c>
      <c r="I35" s="309">
        <f>IF(T_T134111213141516171819202122232425262728293031323335363738394041424344454647484950515253545556575859606162636465666768697071[[#This Row],[Total]]&lt;0,T_T134111213141516171819202122232425262728293031323335363738394041424344454647484950515253545556575859606162636465666768697071[[#This Row],[Total]]*-1,0)</f>
        <v>0</v>
      </c>
      <c r="J35" s="326"/>
      <c r="K35" s="313"/>
      <c r="L35" s="354"/>
    </row>
    <row r="36" spans="1:12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325</v>
      </c>
      <c r="I36" s="309">
        <f>IF(T_T134111213141516171819202122232425262728293031323335363738394041424344454647484950515253545556575859606162636465666768697071[[#This Row],[Total]]&lt;0,T_T134111213141516171819202122232425262728293031323335363738394041424344454647484950515253545556575859606162636465666768697071[[#This Row],[Total]]*-1,0)</f>
        <v>0</v>
      </c>
      <c r="J36" s="326"/>
      <c r="K36" s="313"/>
      <c r="L36" s="354"/>
    </row>
    <row r="37" spans="1:12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325</v>
      </c>
      <c r="I37" s="309">
        <f>IF(T_T134111213141516171819202122232425262728293031323335363738394041424344454647484950515253545556575859606162636465666768697071[[#This Row],[Total]]&lt;0,T_T134111213141516171819202122232425262728293031323335363738394041424344454647484950515253545556575859606162636465666768697071[[#This Row],[Total]]*-1,0)</f>
        <v>0</v>
      </c>
      <c r="J37" s="326"/>
      <c r="K37" s="313"/>
      <c r="L37" s="354"/>
    </row>
    <row r="38" spans="1:12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325</v>
      </c>
      <c r="I38" s="353">
        <f>IF(T_T134111213141516171819202122232425262728293031323335363738394041424344454647484950515253545556575859606162636465666768697071[[#This Row],[Total]]&lt;0,T_T134111213141516171819202122232425262728293031323335363738394041424344454647484950515253545556575859606162636465666768697071[[#This Row],[Total]]*-1,0)</f>
        <v>0</v>
      </c>
      <c r="J38" s="360"/>
      <c r="K38" s="354"/>
      <c r="L38" s="354"/>
    </row>
    <row r="39" spans="1:12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325</v>
      </c>
      <c r="I39" s="353">
        <f>IF(T_T134111213141516171819202122232425262728293031323335363738394041424344454647484950515253545556575859606162636465666768697071[[#This Row],[Total]]&lt;0,T_T134111213141516171819202122232425262728293031323335363738394041424344454647484950515253545556575859606162636465666768697071[[#This Row],[Total]]*-1,0)</f>
        <v>0</v>
      </c>
      <c r="J39" s="360"/>
      <c r="K39" s="354"/>
      <c r="L39" s="354"/>
    </row>
    <row r="40" spans="1:12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325</v>
      </c>
      <c r="I40" s="353">
        <f>IF(T_T134111213141516171819202122232425262728293031323335363738394041424344454647484950515253545556575859606162636465666768697071[[#This Row],[Total]]&lt;0,T_T134111213141516171819202122232425262728293031323335363738394041424344454647484950515253545556575859606162636465666768697071[[#This Row],[Total]]*-1,0)</f>
        <v>0</v>
      </c>
      <c r="J40" s="360"/>
      <c r="K40" s="354"/>
      <c r="L40" s="354"/>
    </row>
    <row r="41" spans="1:12" x14ac:dyDescent="0.3">
      <c r="A41" s="492"/>
      <c r="B41" s="493"/>
      <c r="C41" s="466"/>
      <c r="D41" s="467"/>
      <c r="E41" s="467"/>
      <c r="F41" s="467"/>
      <c r="G41" s="467"/>
      <c r="H41" s="468"/>
      <c r="I41" s="469"/>
      <c r="J41" s="470"/>
      <c r="K41" s="76" t="s">
        <v>427</v>
      </c>
      <c r="L41" s="76"/>
    </row>
  </sheetData>
  <hyperlinks>
    <hyperlink ref="B7" r:id="rId1" display="jose.orozco@outlook.com"/>
    <hyperlink ref="H7" location="Resumen!A1" display="Rsumen         "/>
  </hyperlinks>
  <pageMargins left="0.70866141732283472" right="0.70866141732283472" top="0.31496062992125984" bottom="0.43307086614173229" header="0.31496062992125984" footer="0.31496062992125984"/>
  <pageSetup scale="60" orientation="portrait" verticalDpi="360" r:id="rId2"/>
  <drawing r:id="rId3"/>
  <tableParts count="1">
    <tablePart r:id="rId4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N40"/>
  <sheetViews>
    <sheetView showGridLines="0" topLeftCell="A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7.6640625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11" max="11" width="10.5546875" customWidth="1"/>
    <col min="14" max="14" width="10.6640625" bestFit="1" customWidth="1"/>
    <col min="15" max="15" width="18.88671875" customWidth="1"/>
  </cols>
  <sheetData>
    <row r="2" spans="1:14" ht="13.5" customHeight="1" x14ac:dyDescent="0.3">
      <c r="A2" s="27" t="s">
        <v>36</v>
      </c>
      <c r="B2" s="41" t="s">
        <v>120</v>
      </c>
    </row>
    <row r="3" spans="1:14" hidden="1" x14ac:dyDescent="0.3">
      <c r="A3" s="27" t="s">
        <v>31</v>
      </c>
      <c r="B3" s="28" t="e">
        <f>LOOKUP(B2,#REF!,#REF!)</f>
        <v>#REF!</v>
      </c>
    </row>
    <row r="4" spans="1:14" hidden="1" x14ac:dyDescent="0.3">
      <c r="A4" s="27" t="s">
        <v>32</v>
      </c>
      <c r="B4" s="28" t="e">
        <f>LOOKUP(B2,#REF!,#REF!)</f>
        <v>#REF!</v>
      </c>
    </row>
    <row r="5" spans="1:14" hidden="1" x14ac:dyDescent="0.3">
      <c r="A5" s="27" t="s">
        <v>33</v>
      </c>
      <c r="B5" s="28" t="e">
        <f>LOOKUP(B2,#REF!,#REF!)</f>
        <v>#REF!</v>
      </c>
    </row>
    <row r="6" spans="1:14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4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</row>
    <row r="8" spans="1:14" x14ac:dyDescent="0.3">
      <c r="A8" s="21"/>
      <c r="B8" s="21" t="s">
        <v>205</v>
      </c>
    </row>
    <row r="9" spans="1:14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209" t="s">
        <v>188</v>
      </c>
      <c r="J9" s="206" t="s">
        <v>191</v>
      </c>
    </row>
    <row r="10" spans="1:14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171"/>
      <c r="J10" s="104"/>
      <c r="N10" s="178"/>
    </row>
    <row r="11" spans="1:14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60"/>
      <c r="J11" s="260"/>
    </row>
    <row r="12" spans="1:14" x14ac:dyDescent="0.3">
      <c r="A12" s="432"/>
      <c r="B12" s="118" t="s">
        <v>467</v>
      </c>
      <c r="C12" s="424"/>
      <c r="D12" s="425"/>
      <c r="E12" s="425"/>
      <c r="F12" s="425"/>
      <c r="G12" s="425"/>
      <c r="H12" s="426">
        <v>0</v>
      </c>
      <c r="I12" s="436"/>
      <c r="J12" s="436"/>
    </row>
    <row r="13" spans="1:14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60"/>
      <c r="J13" s="260"/>
    </row>
    <row r="14" spans="1:14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90"/>
      <c r="J14" s="490"/>
    </row>
    <row r="15" spans="1:14" x14ac:dyDescent="0.3">
      <c r="A15" s="17">
        <v>46052</v>
      </c>
      <c r="B15" s="18" t="s">
        <v>590</v>
      </c>
      <c r="C15" s="6"/>
      <c r="D15" s="2">
        <f>211+26</f>
        <v>237</v>
      </c>
      <c r="E15" s="2">
        <v>26</v>
      </c>
      <c r="F15" s="20"/>
      <c r="G15" s="20">
        <f>SUM(D15:F15)</f>
        <v>263</v>
      </c>
      <c r="H15" s="233">
        <f>+H13+T_T13411121314151617181920212223242526272829303132333536373839404142434445464748495051525354555657585960616263646566676869707172[[#This Row],[Total]]</f>
        <v>263</v>
      </c>
      <c r="I15" s="260"/>
      <c r="J15" s="260"/>
    </row>
    <row r="16" spans="1:14" x14ac:dyDescent="0.3">
      <c r="A16" s="17"/>
      <c r="B16" s="18" t="s">
        <v>591</v>
      </c>
      <c r="C16" s="6">
        <v>8564</v>
      </c>
      <c r="D16" s="2">
        <v>-237</v>
      </c>
      <c r="E16" s="2">
        <v>-26</v>
      </c>
      <c r="F16" s="230"/>
      <c r="G16" s="230">
        <f t="shared" ref="G16:G38" si="0">SUM(D16:F16)</f>
        <v>-263</v>
      </c>
      <c r="H16" s="233">
        <f t="shared" ref="H16:H40" si="1">H15+G16</f>
        <v>0</v>
      </c>
      <c r="I16" s="262"/>
      <c r="J16" s="262"/>
    </row>
    <row r="17" spans="1:10" x14ac:dyDescent="0.3">
      <c r="A17" s="164">
        <v>45715</v>
      </c>
      <c r="B17" s="161" t="s">
        <v>532</v>
      </c>
      <c r="C17" s="6"/>
      <c r="D17" s="2">
        <v>237</v>
      </c>
      <c r="E17" s="2">
        <v>26</v>
      </c>
      <c r="F17" s="230"/>
      <c r="G17" s="230">
        <f t="shared" si="0"/>
        <v>263</v>
      </c>
      <c r="H17" s="233">
        <f t="shared" si="1"/>
        <v>263</v>
      </c>
      <c r="I17" s="260"/>
      <c r="J17" s="260"/>
    </row>
    <row r="18" spans="1:10" x14ac:dyDescent="0.3">
      <c r="A18" s="187"/>
      <c r="B18" s="18" t="s">
        <v>533</v>
      </c>
      <c r="C18" s="6">
        <v>8714</v>
      </c>
      <c r="D18" s="2">
        <v>-237</v>
      </c>
      <c r="E18" s="2">
        <v>-26</v>
      </c>
      <c r="F18" s="230"/>
      <c r="G18" s="230">
        <f t="shared" si="0"/>
        <v>-263</v>
      </c>
      <c r="H18" s="233">
        <f t="shared" si="1"/>
        <v>0</v>
      </c>
      <c r="I18" s="260"/>
      <c r="J18" s="260"/>
    </row>
    <row r="19" spans="1:10" x14ac:dyDescent="0.3">
      <c r="A19" s="188">
        <v>45747</v>
      </c>
      <c r="B19" s="3" t="s">
        <v>534</v>
      </c>
      <c r="C19" s="6"/>
      <c r="D19" s="2">
        <f>242+30</f>
        <v>272</v>
      </c>
      <c r="E19" s="2">
        <v>18</v>
      </c>
      <c r="F19" s="230"/>
      <c r="G19" s="230">
        <f t="shared" si="0"/>
        <v>290</v>
      </c>
      <c r="H19" s="233">
        <f t="shared" si="1"/>
        <v>290</v>
      </c>
      <c r="I19" s="260"/>
      <c r="J19" s="260"/>
    </row>
    <row r="20" spans="1:10" x14ac:dyDescent="0.3">
      <c r="A20" s="188"/>
      <c r="B20" s="82" t="s">
        <v>535</v>
      </c>
      <c r="C20" s="6">
        <v>8773</v>
      </c>
      <c r="D20" s="2">
        <f>-242-30</f>
        <v>-272</v>
      </c>
      <c r="E20" s="2">
        <v>-18</v>
      </c>
      <c r="F20" s="230"/>
      <c r="G20" s="230">
        <f t="shared" si="0"/>
        <v>-290</v>
      </c>
      <c r="H20" s="233">
        <f t="shared" si="1"/>
        <v>0</v>
      </c>
      <c r="I20" s="262"/>
      <c r="J20" s="262"/>
    </row>
    <row r="21" spans="1:10" x14ac:dyDescent="0.3">
      <c r="A21" s="188">
        <v>45777</v>
      </c>
      <c r="B21" s="3" t="s">
        <v>536</v>
      </c>
      <c r="C21" s="6"/>
      <c r="D21" s="2">
        <v>272</v>
      </c>
      <c r="E21" s="2">
        <v>26</v>
      </c>
      <c r="F21" s="230"/>
      <c r="G21" s="230">
        <f t="shared" si="0"/>
        <v>298</v>
      </c>
      <c r="H21" s="233">
        <f t="shared" si="1"/>
        <v>298</v>
      </c>
      <c r="I21" s="326"/>
      <c r="J21" s="326"/>
    </row>
    <row r="22" spans="1:10" x14ac:dyDescent="0.3">
      <c r="A22" s="83"/>
      <c r="B22" s="82" t="s">
        <v>537</v>
      </c>
      <c r="C22" s="6">
        <v>8907</v>
      </c>
      <c r="D22" s="2">
        <v>-272</v>
      </c>
      <c r="E22" s="2">
        <v>-26</v>
      </c>
      <c r="F22" s="230"/>
      <c r="G22" s="230">
        <f t="shared" si="0"/>
        <v>-298</v>
      </c>
      <c r="H22" s="233">
        <f t="shared" si="1"/>
        <v>0</v>
      </c>
      <c r="I22" s="326"/>
      <c r="J22" s="326"/>
    </row>
    <row r="23" spans="1:10" x14ac:dyDescent="0.3">
      <c r="A23" s="40">
        <v>45807</v>
      </c>
      <c r="B23" s="3" t="s">
        <v>538</v>
      </c>
      <c r="C23" s="229"/>
      <c r="D23" s="230">
        <v>272</v>
      </c>
      <c r="E23" s="230">
        <v>24</v>
      </c>
      <c r="F23" s="230"/>
      <c r="G23" s="230">
        <f t="shared" si="0"/>
        <v>296</v>
      </c>
      <c r="H23" s="233">
        <f t="shared" si="1"/>
        <v>296</v>
      </c>
      <c r="I23" s="326"/>
      <c r="J23" s="326"/>
    </row>
    <row r="24" spans="1:10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296</v>
      </c>
      <c r="I24" s="328"/>
      <c r="J24" s="328"/>
    </row>
    <row r="25" spans="1:10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296</v>
      </c>
      <c r="I25" s="326"/>
      <c r="J25" s="326"/>
    </row>
    <row r="26" spans="1:10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296</v>
      </c>
      <c r="I26" s="326"/>
      <c r="J26" s="326"/>
    </row>
    <row r="27" spans="1:10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296</v>
      </c>
      <c r="I27" s="326"/>
      <c r="J27" s="326"/>
    </row>
    <row r="28" spans="1:10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296</v>
      </c>
      <c r="I28" s="328"/>
      <c r="J28" s="328"/>
    </row>
    <row r="29" spans="1:10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296</v>
      </c>
      <c r="I29" s="326"/>
      <c r="J29" s="326"/>
    </row>
    <row r="30" spans="1:10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296</v>
      </c>
      <c r="I30" s="326"/>
      <c r="J30" s="326"/>
    </row>
    <row r="31" spans="1:10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296</v>
      </c>
      <c r="I31" s="326"/>
      <c r="J31" s="326"/>
    </row>
    <row r="32" spans="1:10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296</v>
      </c>
      <c r="I32" s="326"/>
      <c r="J32" s="326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296</v>
      </c>
      <c r="I33" s="326"/>
      <c r="J33" s="326"/>
    </row>
    <row r="34" spans="1:10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296</v>
      </c>
      <c r="I34" s="326"/>
      <c r="J34" s="326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296</v>
      </c>
      <c r="I35" s="326"/>
      <c r="J35" s="326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296</v>
      </c>
      <c r="I36" s="326"/>
      <c r="J36" s="326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296</v>
      </c>
      <c r="I37" s="328"/>
      <c r="J37" s="328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296</v>
      </c>
      <c r="I38" s="360"/>
      <c r="J38" s="360"/>
    </row>
    <row r="39" spans="1:10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296</v>
      </c>
      <c r="I39" s="360"/>
      <c r="J39" s="360"/>
    </row>
    <row r="40" spans="1:10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296</v>
      </c>
      <c r="I40" s="360"/>
      <c r="J40" s="360"/>
    </row>
  </sheetData>
  <hyperlinks>
    <hyperlink ref="B7" r:id="rId1" display="jose.orozco@outlook.com"/>
    <hyperlink ref="H7" location="Resumen!A1" display="Rsumen         "/>
  </hyperlinks>
  <pageMargins left="0.45" right="0.70866141732283472" top="0.52" bottom="0.54" header="0.31496062992125984" footer="0.31496062992125984"/>
  <pageSetup paperSize="5" scale="75" orientation="portrait" verticalDpi="360" r:id="rId2"/>
  <drawing r:id="rId3"/>
  <tableParts count="1">
    <tablePart r:id="rId4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N37"/>
  <sheetViews>
    <sheetView showGridLines="0" zoomScale="98" zoomScaleNormal="98" workbookViewId="0">
      <selection activeCell="E20" sqref="E20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0.6640625" bestFit="1" customWidth="1"/>
    <col min="14" max="14" width="15.33203125" customWidth="1"/>
  </cols>
  <sheetData>
    <row r="2" spans="1:14" ht="15.6" x14ac:dyDescent="0.3">
      <c r="A2" s="27" t="s">
        <v>36</v>
      </c>
      <c r="B2" s="41" t="s">
        <v>121</v>
      </c>
      <c r="G2" s="1">
        <v>34</v>
      </c>
    </row>
    <row r="3" spans="1:14" x14ac:dyDescent="0.3">
      <c r="A3" s="27" t="s">
        <v>31</v>
      </c>
      <c r="B3" s="28"/>
    </row>
    <row r="4" spans="1:14" x14ac:dyDescent="0.3">
      <c r="A4" s="27" t="s">
        <v>32</v>
      </c>
      <c r="B4" s="28" t="s">
        <v>482</v>
      </c>
    </row>
    <row r="5" spans="1:14" hidden="1" x14ac:dyDescent="0.3">
      <c r="A5" s="27" t="s">
        <v>33</v>
      </c>
      <c r="B5" s="28" t="e">
        <f>LOOKUP(B2,#REF!,#REF!)</f>
        <v>#REF!</v>
      </c>
    </row>
    <row r="6" spans="1:14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4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4" x14ac:dyDescent="0.3">
      <c r="A8" s="21"/>
      <c r="B8" s="21"/>
    </row>
    <row r="9" spans="1:14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14" x14ac:dyDescent="0.3">
      <c r="A10" s="288"/>
      <c r="B10" s="118"/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IF(T_T1341112131415161718192021222324252627282930313233353637383940414243444546474849505152535455565758596061626364656667686970717273[[#This Row],[Total]]&lt;0,T_T1341112131415161718192021222324252627282930313233353637383940414243444546474849505152535455565758596061626364656667686970717273[[#This Row],[Total]]*-1,0)</f>
        <v>0</v>
      </c>
      <c r="M10" s="358"/>
      <c r="N10" s="359"/>
    </row>
    <row r="11" spans="1:14" x14ac:dyDescent="0.3">
      <c r="A11" s="17">
        <v>46052</v>
      </c>
      <c r="B11" s="18" t="s">
        <v>590</v>
      </c>
      <c r="C11" s="6"/>
      <c r="D11" s="2">
        <f>187+26+12</f>
        <v>225</v>
      </c>
      <c r="E11" s="2">
        <v>42</v>
      </c>
      <c r="F11" s="20"/>
      <c r="G11" s="20">
        <f>SUM(D11:F11)</f>
        <v>267</v>
      </c>
      <c r="H11" s="233">
        <f>+H10+T_T1341112131415161718192021222324252627282930313233353637383940414243444546474849505152535455565758596061626364656667686970717273[[#This Row],[Total]]</f>
        <v>267</v>
      </c>
      <c r="I11" s="240">
        <f>IF(T_T1341112131415161718192021222324252627282930313233353637383940414243444546474849505152535455565758596061626364656667686970717273[[#This Row],[Total]]&lt;0,T_T1341112131415161718192021222324252627282930313233353637383940414243444546474849505152535455565758596061626364656667686970717273[[#This Row],[Total]]*-1,0)</f>
        <v>0</v>
      </c>
    </row>
    <row r="12" spans="1:14" x14ac:dyDescent="0.3">
      <c r="A12" s="17"/>
      <c r="B12" s="18" t="s">
        <v>591</v>
      </c>
      <c r="C12" s="6">
        <v>8538</v>
      </c>
      <c r="D12" s="352">
        <v>-225</v>
      </c>
      <c r="E12" s="2">
        <v>-42</v>
      </c>
      <c r="F12" s="230"/>
      <c r="G12" s="230">
        <f t="shared" ref="G12:G34" si="0">SUM(D12:F12)</f>
        <v>-267</v>
      </c>
      <c r="H12" s="233">
        <f t="shared" ref="H12:H35" si="1">H11+G12</f>
        <v>0</v>
      </c>
      <c r="I12" s="240">
        <f>IF(T_T1341112131415161718192021222324252627282930313233353637383940414243444546474849505152535455565758596061626364656667686970717273[[#This Row],[Total]]&lt;0,T_T1341112131415161718192021222324252627282930313233353637383940414243444546474849505152535455565758596061626364656667686970717273[[#This Row],[Total]]*-1,0)</f>
        <v>267</v>
      </c>
    </row>
    <row r="13" spans="1:14" x14ac:dyDescent="0.3">
      <c r="A13" s="164">
        <v>45715</v>
      </c>
      <c r="B13" s="161" t="s">
        <v>532</v>
      </c>
      <c r="C13" s="6"/>
      <c r="D13" s="2">
        <v>225</v>
      </c>
      <c r="E13" s="2">
        <v>42</v>
      </c>
      <c r="F13" s="230"/>
      <c r="G13" s="230">
        <f t="shared" si="0"/>
        <v>267</v>
      </c>
      <c r="H13" s="233">
        <f t="shared" si="1"/>
        <v>267</v>
      </c>
      <c r="I13" s="240">
        <f>IF(T_T1341112131415161718192021222324252627282930313233353637383940414243444546474849505152535455565758596061626364656667686970717273[[#This Row],[Total]]&lt;0,T_T1341112131415161718192021222324252627282930313233353637383940414243444546474849505152535455565758596061626364656667686970717273[[#This Row],[Total]]*-1,0)</f>
        <v>0</v>
      </c>
    </row>
    <row r="14" spans="1:14" x14ac:dyDescent="0.3">
      <c r="A14" s="187"/>
      <c r="B14" s="18" t="s">
        <v>533</v>
      </c>
      <c r="C14" s="6">
        <v>8702</v>
      </c>
      <c r="D14" s="2">
        <v>-225</v>
      </c>
      <c r="E14" s="2">
        <v>-42</v>
      </c>
      <c r="F14" s="230"/>
      <c r="G14" s="230">
        <f t="shared" si="0"/>
        <v>-267</v>
      </c>
      <c r="H14" s="233">
        <f t="shared" si="1"/>
        <v>0</v>
      </c>
      <c r="I14" s="240">
        <f>IF(T_T1341112131415161718192021222324252627282930313233353637383940414243444546474849505152535455565758596061626364656667686970717273[[#This Row],[Total]]&lt;0,T_T1341112131415161718192021222324252627282930313233353637383940414243444546474849505152535455565758596061626364656667686970717273[[#This Row],[Total]]*-1,0)</f>
        <v>267</v>
      </c>
    </row>
    <row r="15" spans="1:14" x14ac:dyDescent="0.3">
      <c r="A15" s="188">
        <v>45747</v>
      </c>
      <c r="B15" s="3" t="s">
        <v>534</v>
      </c>
      <c r="C15" s="6"/>
      <c r="D15" s="2">
        <f>214+30+13</f>
        <v>257</v>
      </c>
      <c r="E15" s="2">
        <v>41</v>
      </c>
      <c r="F15" s="230"/>
      <c r="G15" s="230">
        <f t="shared" si="0"/>
        <v>298</v>
      </c>
      <c r="H15" s="233">
        <f t="shared" si="1"/>
        <v>298</v>
      </c>
      <c r="I15" s="240">
        <f>IF(T_T1341112131415161718192021222324252627282930313233353637383940414243444546474849505152535455565758596061626364656667686970717273[[#This Row],[Total]]&lt;0,T_T1341112131415161718192021222324252627282930313233353637383940414243444546474849505152535455565758596061626364656667686970717273[[#This Row],[Total]]*-1,0)</f>
        <v>0</v>
      </c>
    </row>
    <row r="16" spans="1:14" x14ac:dyDescent="0.3">
      <c r="A16" s="188"/>
      <c r="B16" s="82" t="s">
        <v>535</v>
      </c>
      <c r="C16" s="6">
        <v>8790</v>
      </c>
      <c r="D16" s="2">
        <v>-257</v>
      </c>
      <c r="E16" s="2">
        <v>-41</v>
      </c>
      <c r="F16" s="230"/>
      <c r="G16" s="230">
        <f t="shared" si="0"/>
        <v>-298</v>
      </c>
      <c r="H16" s="233">
        <f t="shared" si="1"/>
        <v>0</v>
      </c>
      <c r="I16" s="240">
        <f>IF(T_T1341112131415161718192021222324252627282930313233353637383940414243444546474849505152535455565758596061626364656667686970717273[[#This Row],[Total]]&lt;0,T_T1341112131415161718192021222324252627282930313233353637383940414243444546474849505152535455565758596061626364656667686970717273[[#This Row],[Total]]*-1,0)</f>
        <v>298</v>
      </c>
    </row>
    <row r="17" spans="1:9" x14ac:dyDescent="0.3">
      <c r="A17" s="188">
        <v>45777</v>
      </c>
      <c r="B17" s="3" t="s">
        <v>536</v>
      </c>
      <c r="C17" s="6"/>
      <c r="D17" s="2">
        <f>214+30+13</f>
        <v>257</v>
      </c>
      <c r="E17" s="2">
        <v>43</v>
      </c>
      <c r="F17" s="230"/>
      <c r="G17" s="230">
        <f t="shared" si="0"/>
        <v>300</v>
      </c>
      <c r="H17" s="233">
        <f t="shared" si="1"/>
        <v>300</v>
      </c>
      <c r="I17" s="309">
        <f>IF(T_T1341112131415161718192021222324252627282930313233353637383940414243444546474849505152535455565758596061626364656667686970717273[[#This Row],[Total]]&lt;0,T_T1341112131415161718192021222324252627282930313233353637383940414243444546474849505152535455565758596061626364656667686970717273[[#This Row],[Total]]*-1,0)</f>
        <v>0</v>
      </c>
    </row>
    <row r="18" spans="1:9" x14ac:dyDescent="0.3">
      <c r="A18" s="83"/>
      <c r="B18" s="82" t="s">
        <v>537</v>
      </c>
      <c r="C18" s="6">
        <v>8886</v>
      </c>
      <c r="D18" s="2">
        <v>-257</v>
      </c>
      <c r="E18" s="2">
        <v>-43</v>
      </c>
      <c r="F18" s="230"/>
      <c r="G18" s="230">
        <f t="shared" si="0"/>
        <v>-300</v>
      </c>
      <c r="H18" s="233">
        <f t="shared" si="1"/>
        <v>0</v>
      </c>
      <c r="I18" s="309">
        <f>IF(T_T1341112131415161718192021222324252627282930313233353637383940414243444546474849505152535455565758596061626364656667686970717273[[#This Row],[Total]]&lt;0,T_T1341112131415161718192021222324252627282930313233353637383940414243444546474849505152535455565758596061626364656667686970717273[[#This Row],[Total]]*-1,0)</f>
        <v>300</v>
      </c>
    </row>
    <row r="19" spans="1:9" x14ac:dyDescent="0.3">
      <c r="A19" s="40">
        <v>45807</v>
      </c>
      <c r="B19" s="3" t="s">
        <v>538</v>
      </c>
      <c r="C19" s="229"/>
      <c r="D19" s="230">
        <v>257</v>
      </c>
      <c r="E19" s="230">
        <v>49</v>
      </c>
      <c r="F19" s="230"/>
      <c r="G19" s="230">
        <f t="shared" si="0"/>
        <v>306</v>
      </c>
      <c r="H19" s="233">
        <f t="shared" si="1"/>
        <v>306</v>
      </c>
      <c r="I19" s="309">
        <f>IF(T_T1341112131415161718192021222324252627282930313233353637383940414243444546474849505152535455565758596061626364656667686970717273[[#This Row],[Total]]&lt;0,T_T1341112131415161718192021222324252627282930313233353637383940414243444546474849505152535455565758596061626364656667686970717273[[#This Row],[Total]]*-1,0)</f>
        <v>0</v>
      </c>
    </row>
    <row r="20" spans="1:9" x14ac:dyDescent="0.3">
      <c r="A20" s="9"/>
      <c r="B20" s="18" t="s">
        <v>539</v>
      </c>
      <c r="C20" s="6"/>
      <c r="D20" s="230"/>
      <c r="E20" s="230"/>
      <c r="F20" s="230"/>
      <c r="G20" s="230">
        <f t="shared" si="0"/>
        <v>0</v>
      </c>
      <c r="H20" s="233">
        <f t="shared" si="1"/>
        <v>306</v>
      </c>
      <c r="I20" s="309">
        <f>IF(T_T1341112131415161718192021222324252627282930313233353637383940414243444546474849505152535455565758596061626364656667686970717273[[#This Row],[Total]]&lt;0,T_T1341112131415161718192021222324252627282930313233353637383940414243444546474849505152535455565758596061626364656667686970717273[[#This Row],[Total]]*-1,0)</f>
        <v>0</v>
      </c>
    </row>
    <row r="21" spans="1:9" x14ac:dyDescent="0.3">
      <c r="A21" s="9">
        <v>45838</v>
      </c>
      <c r="B21" s="3" t="s">
        <v>540</v>
      </c>
      <c r="C21" s="229"/>
      <c r="D21" s="230"/>
      <c r="E21" s="230"/>
      <c r="F21" s="230"/>
      <c r="G21" s="230">
        <f t="shared" si="0"/>
        <v>0</v>
      </c>
      <c r="H21" s="233">
        <f t="shared" si="1"/>
        <v>306</v>
      </c>
      <c r="I21" s="309">
        <f>IF(T_T1341112131415161718192021222324252627282930313233353637383940414243444546474849505152535455565758596061626364656667686970717273[[#This Row],[Total]]&lt;0,T_T1341112131415161718192021222324252627282930313233353637383940414243444546474849505152535455565758596061626364656667686970717273[[#This Row],[Total]]*-1,0)</f>
        <v>0</v>
      </c>
    </row>
    <row r="22" spans="1:9" x14ac:dyDescent="0.3">
      <c r="A22" s="9"/>
      <c r="B22" s="18" t="s">
        <v>541</v>
      </c>
      <c r="C22" s="6"/>
      <c r="D22" s="230"/>
      <c r="E22" s="230"/>
      <c r="F22" s="230"/>
      <c r="G22" s="230">
        <f t="shared" si="0"/>
        <v>0</v>
      </c>
      <c r="H22" s="233">
        <f t="shared" si="1"/>
        <v>306</v>
      </c>
      <c r="I22" s="309">
        <f>IF(T_T1341112131415161718192021222324252627282930313233353637383940414243444546474849505152535455565758596061626364656667686970717273[[#This Row],[Total]]&lt;0,T_T1341112131415161718192021222324252627282930313233353637383940414243444546474849505152535455565758596061626364656667686970717273[[#This Row],[Total]]*-1,0)</f>
        <v>0</v>
      </c>
    </row>
    <row r="23" spans="1:9" x14ac:dyDescent="0.3">
      <c r="A23" s="107">
        <v>45868</v>
      </c>
      <c r="B23" s="82" t="s">
        <v>542</v>
      </c>
      <c r="C23" s="229"/>
      <c r="D23" s="230"/>
      <c r="E23" s="230"/>
      <c r="F23" s="230"/>
      <c r="G23" s="230">
        <f t="shared" si="0"/>
        <v>0</v>
      </c>
      <c r="H23" s="233">
        <f t="shared" si="1"/>
        <v>306</v>
      </c>
      <c r="I23" s="309">
        <f>IF(T_T1341112131415161718192021222324252627282930313233353637383940414243444546474849505152535455565758596061626364656667686970717273[[#This Row],[Total]]&lt;0,T_T1341112131415161718192021222324252627282930313233353637383940414243444546474849505152535455565758596061626364656667686970717273[[#This Row],[Total]]*-1,0)</f>
        <v>0</v>
      </c>
    </row>
    <row r="24" spans="1:9" x14ac:dyDescent="0.3">
      <c r="A24" s="107"/>
      <c r="B24" s="82" t="s">
        <v>543</v>
      </c>
      <c r="C24" s="6"/>
      <c r="D24" s="230"/>
      <c r="E24" s="230"/>
      <c r="F24" s="230"/>
      <c r="G24" s="230">
        <f t="shared" si="0"/>
        <v>0</v>
      </c>
      <c r="H24" s="233">
        <f t="shared" si="1"/>
        <v>306</v>
      </c>
      <c r="I24" s="309">
        <f>IF(T_T1341112131415161718192021222324252627282930313233353637383940414243444546474849505152535455565758596061626364656667686970717273[[#This Row],[Total]]&lt;0,T_T1341112131415161718192021222324252627282930313233353637383940414243444546474849505152535455565758596061626364656667686970717273[[#This Row],[Total]]*-1,0)</f>
        <v>0</v>
      </c>
    </row>
    <row r="25" spans="1:9" x14ac:dyDescent="0.3">
      <c r="A25" s="107">
        <v>45899</v>
      </c>
      <c r="B25" s="82" t="s">
        <v>544</v>
      </c>
      <c r="C25" s="229"/>
      <c r="D25" s="230"/>
      <c r="E25" s="7"/>
      <c r="F25" s="230"/>
      <c r="G25" s="230">
        <f t="shared" si="0"/>
        <v>0</v>
      </c>
      <c r="H25" s="233">
        <f t="shared" si="1"/>
        <v>306</v>
      </c>
      <c r="I25" s="309">
        <f>IF(T_T1341112131415161718192021222324252627282930313233353637383940414243444546474849505152535455565758596061626364656667686970717273[[#This Row],[Total]]&lt;0,T_T1341112131415161718192021222324252627282930313233353637383940414243444546474849505152535455565758596061626364656667686970717273[[#This Row],[Total]]*-1,0)</f>
        <v>0</v>
      </c>
    </row>
    <row r="26" spans="1:9" x14ac:dyDescent="0.3">
      <c r="A26" s="107"/>
      <c r="B26" s="82" t="s">
        <v>545</v>
      </c>
      <c r="C26" s="6"/>
      <c r="D26" s="230"/>
      <c r="E26" s="230"/>
      <c r="F26" s="230"/>
      <c r="G26" s="230">
        <f t="shared" si="0"/>
        <v>0</v>
      </c>
      <c r="H26" s="233">
        <f t="shared" si="1"/>
        <v>306</v>
      </c>
      <c r="I26" s="309">
        <f>IF(T_T1341112131415161718192021222324252627282930313233353637383940414243444546474849505152535455565758596061626364656667686970717273[[#This Row],[Total]]&lt;0,T_T1341112131415161718192021222324252627282930313233353637383940414243444546474849505152535455565758596061626364656667686970717273[[#This Row],[Total]]*-1,0)</f>
        <v>0</v>
      </c>
    </row>
    <row r="27" spans="1:9" x14ac:dyDescent="0.3">
      <c r="A27" s="9">
        <v>45930</v>
      </c>
      <c r="B27" s="3" t="s">
        <v>546</v>
      </c>
      <c r="C27" s="229"/>
      <c r="D27" s="230"/>
      <c r="E27" s="230"/>
      <c r="F27" s="230"/>
      <c r="G27" s="230">
        <f t="shared" si="0"/>
        <v>0</v>
      </c>
      <c r="H27" s="233">
        <f t="shared" si="1"/>
        <v>306</v>
      </c>
      <c r="I27" s="309">
        <f>IF(T_T1341112131415161718192021222324252627282930313233353637383940414243444546474849505152535455565758596061626364656667686970717273[[#This Row],[Total]]&lt;0,T_T1341112131415161718192021222324252627282930313233353637383940414243444546474849505152535455565758596061626364656667686970717273[[#This Row],[Total]]*-1,0)</f>
        <v>0</v>
      </c>
    </row>
    <row r="28" spans="1:9" x14ac:dyDescent="0.3">
      <c r="A28" s="9"/>
      <c r="B28" s="3" t="s">
        <v>547</v>
      </c>
      <c r="C28" s="6"/>
      <c r="D28" s="230"/>
      <c r="E28" s="230"/>
      <c r="F28" s="230"/>
      <c r="G28" s="230">
        <f t="shared" si="0"/>
        <v>0</v>
      </c>
      <c r="H28" s="233">
        <f t="shared" si="1"/>
        <v>306</v>
      </c>
      <c r="I28" s="309">
        <f>IF(T_T1341112131415161718192021222324252627282930313233353637383940414243444546474849505152535455565758596061626364656667686970717273[[#This Row],[Total]]&lt;0,T_T1341112131415161718192021222324252627282930313233353637383940414243444546474849505152535455565758596061626364656667686970717273[[#This Row],[Total]]*-1,0)</f>
        <v>0</v>
      </c>
    </row>
    <row r="29" spans="1:9" x14ac:dyDescent="0.3">
      <c r="A29" s="9">
        <v>45960</v>
      </c>
      <c r="B29" s="3" t="s">
        <v>548</v>
      </c>
      <c r="C29" s="229"/>
      <c r="D29" s="230"/>
      <c r="E29" s="230"/>
      <c r="F29" s="230"/>
      <c r="G29" s="230">
        <f t="shared" si="0"/>
        <v>0</v>
      </c>
      <c r="H29" s="233">
        <f t="shared" si="1"/>
        <v>306</v>
      </c>
      <c r="I29" s="309">
        <f>IF(T_T1341112131415161718192021222324252627282930313233353637383940414243444546474849505152535455565758596061626364656667686970717273[[#This Row],[Total]]&lt;0,T_T1341112131415161718192021222324252627282930313233353637383940414243444546474849505152535455565758596061626364656667686970717273[[#This Row],[Total]]*-1,0)</f>
        <v>0</v>
      </c>
    </row>
    <row r="30" spans="1:9" x14ac:dyDescent="0.3">
      <c r="A30" s="9"/>
      <c r="B30" s="3" t="s">
        <v>549</v>
      </c>
      <c r="C30" s="229"/>
      <c r="D30" s="230"/>
      <c r="E30" s="230"/>
      <c r="F30" s="230"/>
      <c r="G30" s="230">
        <f t="shared" si="0"/>
        <v>0</v>
      </c>
      <c r="H30" s="233">
        <f t="shared" si="1"/>
        <v>306</v>
      </c>
      <c r="I30" s="309">
        <f>IF(T_T1341112131415161718192021222324252627282930313233353637383940414243444546474849505152535455565758596061626364656667686970717273[[#This Row],[Total]]&lt;0,T_T1341112131415161718192021222324252627282930313233353637383940414243444546474849505152535455565758596061626364656667686970717273[[#This Row],[Total]]*-1,0)</f>
        <v>0</v>
      </c>
    </row>
    <row r="31" spans="1:9" x14ac:dyDescent="0.3">
      <c r="A31" s="9">
        <v>45991</v>
      </c>
      <c r="B31" s="3" t="s">
        <v>550</v>
      </c>
      <c r="C31" s="229"/>
      <c r="D31" s="230"/>
      <c r="E31" s="230"/>
      <c r="F31" s="230"/>
      <c r="G31" s="230">
        <f t="shared" si="0"/>
        <v>0</v>
      </c>
      <c r="H31" s="233">
        <f t="shared" si="1"/>
        <v>306</v>
      </c>
      <c r="I31" s="309">
        <f>IF(T_T1341112131415161718192021222324252627282930313233353637383940414243444546474849505152535455565758596061626364656667686970717273[[#This Row],[Total]]&lt;0,T_T1341112131415161718192021222324252627282930313233353637383940414243444546474849505152535455565758596061626364656667686970717273[[#This Row],[Total]]*-1,0)</f>
        <v>0</v>
      </c>
    </row>
    <row r="32" spans="1:9" x14ac:dyDescent="0.3">
      <c r="A32" s="17"/>
      <c r="B32" s="18" t="s">
        <v>551</v>
      </c>
      <c r="C32" s="229"/>
      <c r="D32" s="230"/>
      <c r="E32" s="7"/>
      <c r="F32" s="230"/>
      <c r="G32" s="230">
        <f t="shared" si="0"/>
        <v>0</v>
      </c>
      <c r="H32" s="233">
        <f t="shared" si="1"/>
        <v>306</v>
      </c>
      <c r="I32" s="309">
        <f>IF(T_T1341112131415161718192021222324252627282930313233353637383940414243444546474849505152535455565758596061626364656667686970717273[[#This Row],[Total]]&lt;0,T_T1341112131415161718192021222324252627282930313233353637383940414243444546474849505152535455565758596061626364656667686970717273[[#This Row],[Total]]*-1,0)</f>
        <v>0</v>
      </c>
    </row>
    <row r="33" spans="1:9" x14ac:dyDescent="0.3">
      <c r="A33" s="188">
        <v>46021</v>
      </c>
      <c r="B33" s="3" t="s">
        <v>552</v>
      </c>
      <c r="C33" s="229"/>
      <c r="D33" s="230"/>
      <c r="E33" s="230"/>
      <c r="F33" s="230"/>
      <c r="G33" s="230">
        <f t="shared" si="0"/>
        <v>0</v>
      </c>
      <c r="H33" s="233">
        <f t="shared" si="1"/>
        <v>306</v>
      </c>
      <c r="I33" s="309">
        <f>IF(T_T1341112131415161718192021222324252627282930313233353637383940414243444546474849505152535455565758596061626364656667686970717273[[#This Row],[Total]]&lt;0,T_T1341112131415161718192021222324252627282930313233353637383940414243444546474849505152535455565758596061626364656667686970717273[[#This Row],[Total]]*-1,0)</f>
        <v>0</v>
      </c>
    </row>
    <row r="34" spans="1:9" x14ac:dyDescent="0.3">
      <c r="A34" s="257"/>
      <c r="B34" s="110" t="s">
        <v>553</v>
      </c>
      <c r="C34" s="229"/>
      <c r="D34" s="230"/>
      <c r="E34" s="230"/>
      <c r="F34" s="230"/>
      <c r="G34" s="230">
        <f t="shared" si="0"/>
        <v>0</v>
      </c>
      <c r="H34" s="233">
        <f t="shared" si="1"/>
        <v>306</v>
      </c>
      <c r="I34" s="353">
        <f>IF(T_T1341112131415161718192021222324252627282930313233353637383940414243444546474849505152535455565758596061626364656667686970717273[[#This Row],[Total]]&lt;0,T_T1341112131415161718192021222324252627282930313233353637383940414243444546474849505152535455565758596061626364656667686970717273[[#This Row],[Total]]*-1,0)</f>
        <v>0</v>
      </c>
    </row>
    <row r="35" spans="1:9" x14ac:dyDescent="0.3">
      <c r="A35" s="107"/>
      <c r="B35" s="82"/>
      <c r="C35" s="229"/>
      <c r="D35" s="230"/>
      <c r="E35" s="230"/>
      <c r="F35" s="230"/>
      <c r="G35" s="230">
        <f>SUM(D35:F42)</f>
        <v>0</v>
      </c>
      <c r="H35" s="233">
        <f t="shared" si="1"/>
        <v>306</v>
      </c>
      <c r="I35" s="353">
        <f>IF(T_T1341112131415161718192021222324252627282930313233353637383940414243444546474849505152535455565758596061626364656667686970717273[[#This Row],[Total]]&lt;0,T_T1341112131415161718192021222324252627282930313233353637383940414243444546474849505152535455565758596061626364656667686970717273[[#This Row],[Total]]*-1,0)</f>
        <v>0</v>
      </c>
    </row>
    <row r="36" spans="1:9" x14ac:dyDescent="0.3">
      <c r="A36" s="107"/>
      <c r="B36" s="82"/>
      <c r="C36" s="229"/>
      <c r="D36" s="230"/>
      <c r="E36" s="230"/>
      <c r="F36" s="230"/>
      <c r="G36" s="230"/>
      <c r="H36" s="233"/>
      <c r="I36" s="353">
        <f>IF(T_T1341112131415161718192021222324252627282930313233353637383940414243444546474849505152535455565758596061626364656667686970717273[[#This Row],[Total]]&lt;0,T_T1341112131415161718192021222324252627282930313233353637383940414243444546474849505152535455565758596061626364656667686970717273[[#This Row],[Total]]*-1,0)</f>
        <v>0</v>
      </c>
    </row>
    <row r="37" spans="1:9" x14ac:dyDescent="0.3">
      <c r="A37" s="17"/>
      <c r="B37" s="18"/>
      <c r="C37" s="538"/>
      <c r="D37" s="539"/>
      <c r="E37" s="539"/>
      <c r="F37" s="539"/>
      <c r="G37" s="539"/>
      <c r="H37" s="508"/>
      <c r="I37" s="53"/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orientation="portrait" verticalDpi="360" r:id="rId2"/>
  <drawing r:id="rId3"/>
  <tableParts count="1">
    <tablePart r:id="rId4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M43"/>
  <sheetViews>
    <sheetView showGridLines="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9" style="4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0.6640625" bestFit="1" customWidth="1"/>
    <col min="14" max="14" width="17" customWidth="1"/>
  </cols>
  <sheetData>
    <row r="2" spans="1:13" ht="15.6" x14ac:dyDescent="0.3">
      <c r="A2" s="27" t="s">
        <v>36</v>
      </c>
      <c r="B2" s="41" t="s">
        <v>122</v>
      </c>
    </row>
    <row r="3" spans="1:13" ht="13.5" customHeight="1" x14ac:dyDescent="0.3">
      <c r="A3" s="27" t="s">
        <v>31</v>
      </c>
      <c r="B3" s="28" t="s">
        <v>299</v>
      </c>
    </row>
    <row r="4" spans="1:13" hidden="1" x14ac:dyDescent="0.3">
      <c r="A4" s="27" t="s">
        <v>32</v>
      </c>
      <c r="B4" s="28" t="e">
        <f>LOOKUP(B2,#REF!,#REF!)</f>
        <v>#REF!</v>
      </c>
    </row>
    <row r="5" spans="1:13" hidden="1" x14ac:dyDescent="0.3">
      <c r="A5" s="27" t="s">
        <v>33</v>
      </c>
      <c r="B5" s="28" t="e">
        <f>LOOKUP(B2,#REF!,#REF!)</f>
        <v>#REF!</v>
      </c>
    </row>
    <row r="6" spans="1:13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3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3" x14ac:dyDescent="0.3">
      <c r="A8" s="21"/>
      <c r="B8" s="21"/>
    </row>
    <row r="9" spans="1:13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13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/>
      <c r="M10" s="178"/>
    </row>
    <row r="11" spans="1:13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IF(T_T134111213141516171819202122232425262728293031323335363738394041424344454647484950515253545556575859606162636465666768697071727374[[#This Row],[Total]]&lt;0,T_T134111213141516171819202122232425262728293031323335363738394041424344454647484950515253545556575859606162636465666768697071727374[[#This Row],[Total]]*-1,0)</f>
        <v>0</v>
      </c>
    </row>
    <row r="12" spans="1:13" x14ac:dyDescent="0.3">
      <c r="A12" s="361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IF(T_T134111213141516171819202122232425262728293031323335363738394041424344454647484950515253545556575859606162636465666768697071727374[[#This Row],[Total]]&lt;0,T_T134111213141516171819202122232425262728293031323335363738394041424344454647484950515253545556575859606162636465666768697071727374[[#This Row],[Total]]*-1,0)</f>
        <v>0</v>
      </c>
    </row>
    <row r="13" spans="1:13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IF(T_T134111213141516171819202122232425262728293031323335363738394041424344454647484950515253545556575859606162636465666768697071727374[[#This Row],[Total]]&lt;0,T_T134111213141516171819202122232425262728293031323335363738394041424344454647484950515253545556575859606162636465666768697071727374[[#This Row],[Total]]*-1,0)</f>
        <v>0</v>
      </c>
    </row>
    <row r="14" spans="1:13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IF(T_T134111213141516171819202122232425262728293031323335363738394041424344454647484950515253545556575859606162636465666768697071727374[[#This Row],[Total]]&lt;0,T_T134111213141516171819202122232425262728293031323335363738394041424344454647484950515253545556575859606162636465666768697071727374[[#This Row],[Total]]*-1,0)</f>
        <v>0</v>
      </c>
    </row>
    <row r="15" spans="1:13" x14ac:dyDescent="0.3">
      <c r="A15" s="17">
        <v>45687</v>
      </c>
      <c r="B15" s="18" t="s">
        <v>530</v>
      </c>
      <c r="C15" s="6"/>
      <c r="D15" s="2">
        <v>187</v>
      </c>
      <c r="E15" s="2">
        <v>46</v>
      </c>
      <c r="F15" s="20"/>
      <c r="G15" s="20">
        <f>SUM(D15:F15)</f>
        <v>233</v>
      </c>
      <c r="H15" s="233">
        <f>+H13+T_T134111213141516171819202122232425262728293031323335363738394041424344454647484950515253545556575859606162636465666768697071727374[[#This Row],[Total]]</f>
        <v>233</v>
      </c>
      <c r="I15" s="240">
        <f>IF(T_T134111213141516171819202122232425262728293031323335363738394041424344454647484950515253545556575859606162636465666768697071727374[[#This Row],[Total]]&lt;0,T_T134111213141516171819202122232425262728293031323335363738394041424344454647484950515253545556575859606162636465666768697071727374[[#This Row],[Total]]*-1,0)</f>
        <v>0</v>
      </c>
    </row>
    <row r="16" spans="1:13" x14ac:dyDescent="0.3">
      <c r="A16" s="17"/>
      <c r="B16" s="18" t="s">
        <v>531</v>
      </c>
      <c r="C16" s="6"/>
      <c r="D16" s="2"/>
      <c r="E16" s="2"/>
      <c r="F16" s="230"/>
      <c r="G16" s="230">
        <f t="shared" ref="G16:G40" si="0">SUM(D16:F16)</f>
        <v>0</v>
      </c>
      <c r="H16" s="233">
        <f t="shared" ref="H16:H42" si="1">H15+G16</f>
        <v>233</v>
      </c>
      <c r="I16" s="240">
        <f>IF(T_T134111213141516171819202122232425262728293031323335363738394041424344454647484950515253545556575859606162636465666768697071727374[[#This Row],[Total]]&lt;0,T_T134111213141516171819202122232425262728293031323335363738394041424344454647484950515253545556575859606162636465666768697071727374[[#This Row],[Total]]*-1,0)</f>
        <v>0</v>
      </c>
    </row>
    <row r="17" spans="1:9" x14ac:dyDescent="0.3">
      <c r="A17" s="164">
        <v>45715</v>
      </c>
      <c r="B17" s="161" t="s">
        <v>532</v>
      </c>
      <c r="C17" s="6"/>
      <c r="D17" s="2">
        <v>187</v>
      </c>
      <c r="E17" s="2">
        <v>50</v>
      </c>
      <c r="F17" s="230"/>
      <c r="G17" s="230">
        <f t="shared" si="0"/>
        <v>237</v>
      </c>
      <c r="H17" s="233">
        <f t="shared" si="1"/>
        <v>470</v>
      </c>
      <c r="I17" s="240">
        <f>IF(T_T134111213141516171819202122232425262728293031323335363738394041424344454647484950515253545556575859606162636465666768697071727374[[#This Row],[Total]]&lt;0,T_T134111213141516171819202122232425262728293031323335363738394041424344454647484950515253545556575859606162636465666768697071727374[[#This Row],[Total]]*-1,0)</f>
        <v>0</v>
      </c>
    </row>
    <row r="18" spans="1:9" x14ac:dyDescent="0.3">
      <c r="A18" s="187"/>
      <c r="B18" s="18" t="s">
        <v>533</v>
      </c>
      <c r="C18" s="6"/>
      <c r="D18" s="2"/>
      <c r="E18" s="2"/>
      <c r="F18" s="230"/>
      <c r="G18" s="230">
        <f t="shared" si="0"/>
        <v>0</v>
      </c>
      <c r="H18" s="233">
        <f t="shared" si="1"/>
        <v>470</v>
      </c>
      <c r="I18" s="240">
        <f>IF(T_T134111213141516171819202122232425262728293031323335363738394041424344454647484950515253545556575859606162636465666768697071727374[[#This Row],[Total]]&lt;0,T_T134111213141516171819202122232425262728293031323335363738394041424344454647484950515253545556575859606162636465666768697071727374[[#This Row],[Total]]*-1,0)</f>
        <v>0</v>
      </c>
    </row>
    <row r="19" spans="1:9" x14ac:dyDescent="0.3">
      <c r="A19" s="188">
        <v>45747</v>
      </c>
      <c r="B19" s="3" t="s">
        <v>534</v>
      </c>
      <c r="C19" s="6"/>
      <c r="D19" s="2">
        <v>214</v>
      </c>
      <c r="E19" s="2">
        <v>38</v>
      </c>
      <c r="F19" s="230"/>
      <c r="G19" s="230">
        <f t="shared" si="0"/>
        <v>252</v>
      </c>
      <c r="H19" s="233">
        <f t="shared" si="1"/>
        <v>722</v>
      </c>
      <c r="I19" s="240">
        <f>IF(T_T134111213141516171819202122232425262728293031323335363738394041424344454647484950515253545556575859606162636465666768697071727374[[#This Row],[Total]]&lt;0,T_T134111213141516171819202122232425262728293031323335363738394041424344454647484950515253545556575859606162636465666768697071727374[[#This Row],[Total]]*-1,0)</f>
        <v>0</v>
      </c>
    </row>
    <row r="20" spans="1:9" x14ac:dyDescent="0.3">
      <c r="A20" s="188"/>
      <c r="B20" s="82" t="s">
        <v>535</v>
      </c>
      <c r="C20" s="6"/>
      <c r="D20" s="2"/>
      <c r="E20" s="2"/>
      <c r="F20" s="230"/>
      <c r="G20" s="230">
        <f t="shared" si="0"/>
        <v>0</v>
      </c>
      <c r="H20" s="233">
        <f t="shared" si="1"/>
        <v>722</v>
      </c>
      <c r="I20" s="240">
        <f>IF(T_T134111213141516171819202122232425262728293031323335363738394041424344454647484950515253545556575859606162636465666768697071727374[[#This Row],[Total]]&lt;0,T_T134111213141516171819202122232425262728293031323335363738394041424344454647484950515253545556575859606162636465666768697071727374[[#This Row],[Total]]*-1,0)</f>
        <v>0</v>
      </c>
    </row>
    <row r="21" spans="1:9" x14ac:dyDescent="0.3">
      <c r="A21" s="188">
        <v>45777</v>
      </c>
      <c r="B21" s="3" t="s">
        <v>536</v>
      </c>
      <c r="C21" s="6"/>
      <c r="D21" s="2">
        <v>214</v>
      </c>
      <c r="E21" s="2">
        <v>55</v>
      </c>
      <c r="F21" s="230"/>
      <c r="G21" s="230">
        <f t="shared" si="0"/>
        <v>269</v>
      </c>
      <c r="H21" s="233">
        <f t="shared" si="1"/>
        <v>991</v>
      </c>
      <c r="I21" s="309">
        <f>IF(T_T134111213141516171819202122232425262728293031323335363738394041424344454647484950515253545556575859606162636465666768697071727374[[#This Row],[Total]]&lt;0,T_T134111213141516171819202122232425262728293031323335363738394041424344454647484950515253545556575859606162636465666768697071727374[[#This Row],[Total]]*-1,0)</f>
        <v>0</v>
      </c>
    </row>
    <row r="22" spans="1:9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991</v>
      </c>
      <c r="I22" s="309">
        <f>IF(T_T134111213141516171819202122232425262728293031323335363738394041424344454647484950515253545556575859606162636465666768697071727374[[#This Row],[Total]]&lt;0,T_T134111213141516171819202122232425262728293031323335363738394041424344454647484950515253545556575859606162636465666768697071727374[[#This Row],[Total]]*-1,0)</f>
        <v>0</v>
      </c>
    </row>
    <row r="23" spans="1:9" x14ac:dyDescent="0.3">
      <c r="A23" s="40">
        <v>45807</v>
      </c>
      <c r="B23" s="3" t="s">
        <v>538</v>
      </c>
      <c r="C23" s="229"/>
      <c r="D23" s="230">
        <v>214</v>
      </c>
      <c r="E23" s="230">
        <v>44</v>
      </c>
      <c r="F23" s="230"/>
      <c r="G23" s="230">
        <f t="shared" si="0"/>
        <v>258</v>
      </c>
      <c r="H23" s="233">
        <f t="shared" si="1"/>
        <v>1249</v>
      </c>
      <c r="I23" s="309">
        <f>IF(T_T134111213141516171819202122232425262728293031323335363738394041424344454647484950515253545556575859606162636465666768697071727374[[#This Row],[Total]]&lt;0,T_T134111213141516171819202122232425262728293031323335363738394041424344454647484950515253545556575859606162636465666768697071727374[[#This Row],[Total]]*-1,0)</f>
        <v>0</v>
      </c>
    </row>
    <row r="24" spans="1:9" x14ac:dyDescent="0.3">
      <c r="A24" s="9"/>
      <c r="B24" s="18" t="s">
        <v>539</v>
      </c>
      <c r="C24" s="6"/>
      <c r="D24" s="230"/>
      <c r="E24" s="7"/>
      <c r="F24" s="230"/>
      <c r="G24" s="230">
        <f t="shared" si="0"/>
        <v>0</v>
      </c>
      <c r="H24" s="233">
        <f t="shared" si="1"/>
        <v>1249</v>
      </c>
      <c r="I24" s="309">
        <f>IF(T_T134111213141516171819202122232425262728293031323335363738394041424344454647484950515253545556575859606162636465666768697071727374[[#This Row],[Total]]&lt;0,T_T134111213141516171819202122232425262728293031323335363738394041424344454647484950515253545556575859606162636465666768697071727374[[#This Row],[Total]]*-1,0)</f>
        <v>0</v>
      </c>
    </row>
    <row r="25" spans="1:9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1249</v>
      </c>
      <c r="I25" s="309">
        <f>IF(T_T134111213141516171819202122232425262728293031323335363738394041424344454647484950515253545556575859606162636465666768697071727374[[#This Row],[Total]]&lt;0,T_T134111213141516171819202122232425262728293031323335363738394041424344454647484950515253545556575859606162636465666768697071727374[[#This Row],[Total]]*-1,0)</f>
        <v>0</v>
      </c>
    </row>
    <row r="26" spans="1:9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1249</v>
      </c>
      <c r="I26" s="309">
        <f>IF(T_T134111213141516171819202122232425262728293031323335363738394041424344454647484950515253545556575859606162636465666768697071727374[[#This Row],[Total]]&lt;0,T_T134111213141516171819202122232425262728293031323335363738394041424344454647484950515253545556575859606162636465666768697071727374[[#This Row],[Total]]*-1,0)</f>
        <v>0</v>
      </c>
    </row>
    <row r="27" spans="1:9" x14ac:dyDescent="0.3">
      <c r="A27" s="107">
        <v>45868</v>
      </c>
      <c r="B27" s="82" t="s">
        <v>542</v>
      </c>
      <c r="C27" s="471"/>
      <c r="D27" s="472"/>
      <c r="E27" s="472"/>
      <c r="F27" s="472"/>
      <c r="G27" s="230">
        <f t="shared" si="0"/>
        <v>0</v>
      </c>
      <c r="H27" s="233">
        <f t="shared" si="1"/>
        <v>1249</v>
      </c>
      <c r="I27" s="473">
        <f>IF(T_T134111213141516171819202122232425262728293031323335363738394041424344454647484950515253545556575859606162636465666768697071727374[[#This Row],[Total]]&lt;0,T_T134111213141516171819202122232425262728293031323335363738394041424344454647484950515253545556575859606162636465666768697071727374[[#This Row],[Total]]*-1,0)</f>
        <v>0</v>
      </c>
    </row>
    <row r="28" spans="1:9" x14ac:dyDescent="0.3">
      <c r="A28" s="107"/>
      <c r="B28" s="82" t="s">
        <v>543</v>
      </c>
      <c r="C28" s="471"/>
      <c r="D28" s="472"/>
      <c r="E28" s="472"/>
      <c r="F28" s="472"/>
      <c r="G28" s="230">
        <f t="shared" si="0"/>
        <v>0</v>
      </c>
      <c r="H28" s="233">
        <f t="shared" si="1"/>
        <v>1249</v>
      </c>
      <c r="I28" s="473">
        <f>IF(T_T134111213141516171819202122232425262728293031323335363738394041424344454647484950515253545556575859606162636465666768697071727374[[#This Row],[Total]]&lt;0,T_T134111213141516171819202122232425262728293031323335363738394041424344454647484950515253545556575859606162636465666768697071727374[[#This Row],[Total]]*-1,0)</f>
        <v>0</v>
      </c>
    </row>
    <row r="29" spans="1:9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1249</v>
      </c>
      <c r="I29" s="309">
        <f>IF(T_T134111213141516171819202122232425262728293031323335363738394041424344454647484950515253545556575859606162636465666768697071727374[[#This Row],[Total]]&lt;0,T_T134111213141516171819202122232425262728293031323335363738394041424344454647484950515253545556575859606162636465666768697071727374[[#This Row],[Total]]*-1,0)</f>
        <v>0</v>
      </c>
    </row>
    <row r="30" spans="1:9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1249</v>
      </c>
      <c r="I30" s="309">
        <f>IF(T_T134111213141516171819202122232425262728293031323335363738394041424344454647484950515253545556575859606162636465666768697071727374[[#This Row],[Total]]&lt;0,T_T134111213141516171819202122232425262728293031323335363738394041424344454647484950515253545556575859606162636465666768697071727374[[#This Row],[Total]]*-1,0)</f>
        <v>0</v>
      </c>
    </row>
    <row r="31" spans="1:9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1249</v>
      </c>
      <c r="I31" s="309">
        <f>IF(T_T134111213141516171819202122232425262728293031323335363738394041424344454647484950515253545556575859606162636465666768697071727374[[#This Row],[Total]]&lt;0,T_T134111213141516171819202122232425262728293031323335363738394041424344454647484950515253545556575859606162636465666768697071727374[[#This Row],[Total]]*-1,0)</f>
        <v>0</v>
      </c>
    </row>
    <row r="32" spans="1:9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1249</v>
      </c>
      <c r="I32" s="309">
        <f>IF(T_T134111213141516171819202122232425262728293031323335363738394041424344454647484950515253545556575859606162636465666768697071727374[[#This Row],[Total]]&lt;0,T_T134111213141516171819202122232425262728293031323335363738394041424344454647484950515253545556575859606162636465666768697071727374[[#This Row],[Total]]*-1,0)</f>
        <v>0</v>
      </c>
    </row>
    <row r="33" spans="1:9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1249</v>
      </c>
      <c r="I33" s="309">
        <f>IF(T_T134111213141516171819202122232425262728293031323335363738394041424344454647484950515253545556575859606162636465666768697071727374[[#This Row],[Total]]&lt;0,T_T134111213141516171819202122232425262728293031323335363738394041424344454647484950515253545556575859606162636465666768697071727374[[#This Row],[Total]]*-1,0)</f>
        <v>0</v>
      </c>
    </row>
    <row r="34" spans="1:9" x14ac:dyDescent="0.3">
      <c r="A34" s="9"/>
      <c r="B34" s="3" t="s">
        <v>549</v>
      </c>
      <c r="C34" s="6"/>
      <c r="D34" s="230"/>
      <c r="E34" s="230"/>
      <c r="F34" s="230"/>
      <c r="G34" s="230">
        <f t="shared" si="0"/>
        <v>0</v>
      </c>
      <c r="H34" s="233">
        <f t="shared" si="1"/>
        <v>1249</v>
      </c>
      <c r="I34" s="309">
        <f>IF(T_T134111213141516171819202122232425262728293031323335363738394041424344454647484950515253545556575859606162636465666768697071727374[[#This Row],[Total]]&lt;0,T_T134111213141516171819202122232425262728293031323335363738394041424344454647484950515253545556575859606162636465666768697071727374[[#This Row],[Total]]*-1,0)</f>
        <v>0</v>
      </c>
    </row>
    <row r="35" spans="1:9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1249</v>
      </c>
      <c r="I35" s="309">
        <f>IF(T_T134111213141516171819202122232425262728293031323335363738394041424344454647484950515253545556575859606162636465666768697071727374[[#This Row],[Total]]&lt;0,T_T134111213141516171819202122232425262728293031323335363738394041424344454647484950515253545556575859606162636465666768697071727374[[#This Row],[Total]]*-1,0)</f>
        <v>0</v>
      </c>
    </row>
    <row r="36" spans="1:9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1249</v>
      </c>
      <c r="I36" s="309">
        <f>IF(T_T134111213141516171819202122232425262728293031323335363738394041424344454647484950515253545556575859606162636465666768697071727374[[#This Row],[Total]]&lt;0,T_T134111213141516171819202122232425262728293031323335363738394041424344454647484950515253545556575859606162636465666768697071727374[[#This Row],[Total]]*-1,0)</f>
        <v>0</v>
      </c>
    </row>
    <row r="37" spans="1:9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1249</v>
      </c>
      <c r="I37" s="309">
        <f>IF(T_T134111213141516171819202122232425262728293031323335363738394041424344454647484950515253545556575859606162636465666768697071727374[[#This Row],[Total]]&lt;0,T_T134111213141516171819202122232425262728293031323335363738394041424344454647484950515253545556575859606162636465666768697071727374[[#This Row],[Total]]*-1,0)</f>
        <v>0</v>
      </c>
    </row>
    <row r="38" spans="1:9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1249</v>
      </c>
      <c r="I38" s="309">
        <f>IF(T_T134111213141516171819202122232425262728293031323335363738394041424344454647484950515253545556575859606162636465666768697071727374[[#This Row],[Total]]&lt;0,T_T134111213141516171819202122232425262728293031323335363738394041424344454647484950515253545556575859606162636465666768697071727374[[#This Row],[Total]]*-1,0)</f>
        <v>0</v>
      </c>
    </row>
    <row r="39" spans="1:9" x14ac:dyDescent="0.3">
      <c r="A39" s="107"/>
      <c r="B39" s="82"/>
      <c r="C39" s="229"/>
      <c r="D39" s="230"/>
      <c r="E39" s="230"/>
      <c r="F39" s="230"/>
      <c r="G39" s="230">
        <f t="shared" si="0"/>
        <v>0</v>
      </c>
      <c r="H39" s="233">
        <f t="shared" si="1"/>
        <v>1249</v>
      </c>
      <c r="I39" s="309">
        <f>IF(T_T134111213141516171819202122232425262728293031323335363738394041424344454647484950515253545556575859606162636465666768697071727374[[#This Row],[Total]]&lt;0,T_T134111213141516171819202122232425262728293031323335363738394041424344454647484950515253545556575859606162636465666768697071727374[[#This Row],[Total]]*-1,0)</f>
        <v>0</v>
      </c>
    </row>
    <row r="40" spans="1:9" x14ac:dyDescent="0.3">
      <c r="A40" s="107"/>
      <c r="B40" s="82"/>
      <c r="C40" s="229"/>
      <c r="D40" s="230"/>
      <c r="E40" s="230"/>
      <c r="F40" s="230"/>
      <c r="G40" s="230">
        <f t="shared" si="0"/>
        <v>0</v>
      </c>
      <c r="H40" s="233">
        <f t="shared" si="1"/>
        <v>1249</v>
      </c>
      <c r="I40" s="353">
        <f>IF(T_T134111213141516171819202122232425262728293031323335363738394041424344454647484950515253545556575859606162636465666768697071727374[[#This Row],[Total]]&lt;0,T_T134111213141516171819202122232425262728293031323335363738394041424344454647484950515253545556575859606162636465666768697071727374[[#This Row],[Total]]*-1,0)</f>
        <v>0</v>
      </c>
    </row>
    <row r="41" spans="1:9" x14ac:dyDescent="0.3">
      <c r="A41" s="107"/>
      <c r="B41" s="82"/>
      <c r="C41" s="229"/>
      <c r="D41" s="230"/>
      <c r="E41" s="230"/>
      <c r="F41" s="230"/>
      <c r="G41" s="230">
        <f>SUM(D41:F48)</f>
        <v>0</v>
      </c>
      <c r="H41" s="233">
        <f t="shared" si="1"/>
        <v>1249</v>
      </c>
      <c r="I41" s="353">
        <f>IF(T_T134111213141516171819202122232425262728293031323335363738394041424344454647484950515253545556575859606162636465666768697071727374[[#This Row],[Total]]&lt;0,T_T134111213141516171819202122232425262728293031323335363738394041424344454647484950515253545556575859606162636465666768697071727374[[#This Row],[Total]]*-1,0)</f>
        <v>0</v>
      </c>
    </row>
    <row r="42" spans="1:9" x14ac:dyDescent="0.3">
      <c r="A42" s="107"/>
      <c r="B42" s="82"/>
      <c r="C42" s="229"/>
      <c r="D42" s="230"/>
      <c r="E42" s="230"/>
      <c r="F42" s="230"/>
      <c r="G42" s="230">
        <f>SUM(D42:F49)</f>
        <v>0</v>
      </c>
      <c r="H42" s="233">
        <f t="shared" si="1"/>
        <v>1249</v>
      </c>
      <c r="I42" s="353">
        <f>IF(T_T134111213141516171819202122232425262728293031323335363738394041424344454647484950515253545556575859606162636465666768697071727374[[#This Row],[Total]]&lt;0,T_T134111213141516171819202122232425262728293031323335363738394041424344454647484950515253545556575859606162636465666768697071727374[[#This Row],[Total]]*-1,0)</f>
        <v>0</v>
      </c>
    </row>
    <row r="43" spans="1:9" x14ac:dyDescent="0.3">
      <c r="A43" s="17"/>
      <c r="B43" s="18"/>
      <c r="C43" s="466"/>
      <c r="D43" s="467"/>
      <c r="E43" s="467"/>
      <c r="F43" s="467"/>
      <c r="G43" s="467"/>
      <c r="H43" s="474"/>
      <c r="I43" s="475"/>
    </row>
  </sheetData>
  <hyperlinks>
    <hyperlink ref="B7" r:id="rId1" display="jose.orozco@outlook.com"/>
    <hyperlink ref="H7" location="Resumen!A1" display="Rsumen         "/>
  </hyperlinks>
  <pageMargins left="0.70866141732283472" right="0.70866141732283472" top="0.39" bottom="0.74803149606299213" header="0.31496062992125984" footer="0.31496062992125984"/>
  <pageSetup scale="70" orientation="portrait" verticalDpi="360" r:id="rId2"/>
  <drawing r:id="rId3"/>
  <tableParts count="1">
    <tablePart r:id="rId4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M45"/>
  <sheetViews>
    <sheetView showGridLines="0" topLeftCell="A2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1.33203125" customWidth="1"/>
    <col min="3" max="3" width="13.33203125" style="4" bestFit="1" customWidth="1"/>
    <col min="4" max="4" width="10.88671875" style="1" customWidth="1"/>
    <col min="5" max="5" width="11.88671875" style="1" customWidth="1"/>
    <col min="6" max="6" width="2.44140625" style="1" customWidth="1"/>
    <col min="7" max="7" width="11.88671875" style="1" customWidth="1"/>
    <col min="8" max="8" width="12.44140625" style="1" customWidth="1"/>
    <col min="9" max="9" width="12.88671875" hidden="1" customWidth="1"/>
    <col min="10" max="10" width="3.109375" customWidth="1"/>
    <col min="13" max="13" width="10.6640625" bestFit="1" customWidth="1"/>
    <col min="14" max="14" width="12.44140625" customWidth="1"/>
  </cols>
  <sheetData>
    <row r="2" spans="1:11" ht="15.6" x14ac:dyDescent="0.3">
      <c r="A2" s="27" t="s">
        <v>36</v>
      </c>
      <c r="B2" s="41" t="s">
        <v>123</v>
      </c>
    </row>
    <row r="3" spans="1:11" hidden="1" x14ac:dyDescent="0.3">
      <c r="A3" s="27" t="s">
        <v>31</v>
      </c>
      <c r="B3" s="28" t="e">
        <f>LOOKUP(B2,#REF!,#REF!)</f>
        <v>#REF!</v>
      </c>
    </row>
    <row r="4" spans="1:11" hidden="1" x14ac:dyDescent="0.3">
      <c r="A4" s="27" t="s">
        <v>32</v>
      </c>
      <c r="B4" s="28" t="e">
        <f>LOOKUP(B2,#REF!,#REF!)</f>
        <v>#REF!</v>
      </c>
    </row>
    <row r="5" spans="1:11" hidden="1" x14ac:dyDescent="0.3">
      <c r="A5" s="27" t="s">
        <v>33</v>
      </c>
      <c r="B5" s="28" t="e">
        <f>LOOKUP(B2,#REF!,#REF!)</f>
        <v>#REF!</v>
      </c>
    </row>
    <row r="6" spans="1:11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1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1" x14ac:dyDescent="0.3">
      <c r="A8" s="21"/>
      <c r="B8" s="21" t="s">
        <v>189</v>
      </c>
    </row>
    <row r="9" spans="1:11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312" t="s">
        <v>188</v>
      </c>
      <c r="K9" s="312" t="s">
        <v>191</v>
      </c>
    </row>
    <row r="10" spans="1:11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286">
        <f>IF(T_T13411121314151617181920212223242526272829303132333536373839404142434445464748495051525354555657585960616263646566676869707172737475[[#This Row],[Total]]&lt;0,T_T13411121314151617181920212223242526272829303132333536373839404142434445464748495051525354555657585960616263646566676869707172737475[[#This Row],[Total]]*-1,0)</f>
        <v>0</v>
      </c>
      <c r="J10" s="313"/>
      <c r="K10" s="313"/>
    </row>
    <row r="11" spans="1:11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IF(T_T13411121314151617181920212223242526272829303132333536373839404142434445464748495051525354555657585960616263646566676869707172737475[[#This Row],[Total]]&lt;0,T_T13411121314151617181920212223242526272829303132333536373839404142434445464748495051525354555657585960616263646566676869707172737475[[#This Row],[Total]]*-1,0)</f>
        <v>0</v>
      </c>
      <c r="J11" s="313"/>
      <c r="K11" s="313"/>
    </row>
    <row r="12" spans="1:11" x14ac:dyDescent="0.3">
      <c r="A12" s="361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IF(T_T13411121314151617181920212223242526272829303132333536373839404142434445464748495051525354555657585960616263646566676869707172737475[[#This Row],[Total]]&lt;0,T_T13411121314151617181920212223242526272829303132333536373839404142434445464748495051525354555657585960616263646566676869707172737475[[#This Row],[Total]]*-1,0)</f>
        <v>0</v>
      </c>
      <c r="J12" s="419"/>
      <c r="K12" s="419"/>
    </row>
    <row r="13" spans="1:11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IF(T_T13411121314151617181920212223242526272829303132333536373839404142434445464748495051525354555657585960616263646566676869707172737475[[#This Row],[Total]]&lt;0,T_T13411121314151617181920212223242526272829303132333536373839404142434445464748495051525354555657585960616263646566676869707172737475[[#This Row],[Total]]*-1,0)</f>
        <v>0</v>
      </c>
      <c r="J13" s="313"/>
      <c r="K13" s="313"/>
    </row>
    <row r="14" spans="1:11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IF(T_T13411121314151617181920212223242526272829303132333536373839404142434445464748495051525354555657585960616263646566676869707172737475[[#This Row],[Total]]&lt;0,T_T13411121314151617181920212223242526272829303132333536373839404142434445464748495051525354555657585960616263646566676869707172737475[[#This Row],[Total]]*-1,0)</f>
        <v>0</v>
      </c>
      <c r="J14" s="485"/>
      <c r="K14" s="485"/>
    </row>
    <row r="15" spans="1:11" x14ac:dyDescent="0.3">
      <c r="A15" s="17">
        <v>46052</v>
      </c>
      <c r="B15" s="18" t="s">
        <v>590</v>
      </c>
      <c r="C15" s="6"/>
      <c r="D15" s="2">
        <v>302</v>
      </c>
      <c r="E15" s="2">
        <v>17</v>
      </c>
      <c r="F15" s="20"/>
      <c r="G15" s="20">
        <f>SUM(D15:F15)</f>
        <v>319</v>
      </c>
      <c r="H15" s="233">
        <f>+H13+T_T13411121314151617181920212223242526272829303132333536373839404142434445464748495051525354555657585960616263646566676869707172737475[[#This Row],[Total]]</f>
        <v>319</v>
      </c>
      <c r="I15" s="240">
        <f>IF(T_T13411121314151617181920212223242526272829303132333536373839404142434445464748495051525354555657585960616263646566676869707172737475[[#This Row],[Total]]&lt;0,T_T13411121314151617181920212223242526272829303132333536373839404142434445464748495051525354555657585960616263646566676869707172737475[[#This Row],[Total]]*-1,0)</f>
        <v>0</v>
      </c>
      <c r="J15" s="313"/>
      <c r="K15" s="313"/>
    </row>
    <row r="16" spans="1:11" x14ac:dyDescent="0.3">
      <c r="A16" s="17"/>
      <c r="B16" s="18" t="s">
        <v>591</v>
      </c>
      <c r="C16" s="6">
        <v>8550</v>
      </c>
      <c r="D16" s="2">
        <v>-302</v>
      </c>
      <c r="E16" s="2">
        <v>-17</v>
      </c>
      <c r="F16" s="230"/>
      <c r="G16" s="230">
        <f t="shared" ref="G16:G42" si="0">SUM(D16:F16)</f>
        <v>-319</v>
      </c>
      <c r="H16" s="233">
        <f t="shared" ref="H16:H44" si="1">H15+G16</f>
        <v>0</v>
      </c>
      <c r="I16" s="240">
        <f>IF(T_T13411121314151617181920212223242526272829303132333536373839404142434445464748495051525354555657585960616263646566676869707172737475[[#This Row],[Total]]&lt;0,T_T13411121314151617181920212223242526272829303132333536373839404142434445464748495051525354555657585960616263646566676869707172737475[[#This Row],[Total]]*-1,0)</f>
        <v>319</v>
      </c>
      <c r="J16" s="313"/>
      <c r="K16" s="313"/>
    </row>
    <row r="17" spans="1:13" x14ac:dyDescent="0.3">
      <c r="A17" s="164">
        <v>45715</v>
      </c>
      <c r="B17" s="161" t="s">
        <v>532</v>
      </c>
      <c r="C17" s="376"/>
      <c r="D17" s="377">
        <f>211+79+12</f>
        <v>302</v>
      </c>
      <c r="E17" s="377">
        <v>14</v>
      </c>
      <c r="F17" s="377"/>
      <c r="G17" s="230">
        <f t="shared" si="0"/>
        <v>316</v>
      </c>
      <c r="H17" s="233">
        <f t="shared" si="1"/>
        <v>316</v>
      </c>
      <c r="I17" s="353">
        <f>IF(T_T13411121314151617181920212223242526272829303132333536373839404142434445464748495051525354555657585960616263646566676869707172737475[[#This Row],[Total]]&lt;0,T_T13411121314151617181920212223242526272829303132333536373839404142434445464748495051525354555657585960616263646566676869707172737475[[#This Row],[Total]]*-1,0)</f>
        <v>0</v>
      </c>
      <c r="J17" s="354"/>
      <c r="K17" s="354"/>
    </row>
    <row r="18" spans="1:13" x14ac:dyDescent="0.3">
      <c r="A18" s="187"/>
      <c r="B18" s="18" t="s">
        <v>533</v>
      </c>
      <c r="C18" s="376">
        <v>8661</v>
      </c>
      <c r="D18" s="377">
        <v>-302</v>
      </c>
      <c r="E18" s="377">
        <v>-14</v>
      </c>
      <c r="F18" s="377"/>
      <c r="G18" s="230">
        <f t="shared" si="0"/>
        <v>-316</v>
      </c>
      <c r="H18" s="233">
        <f t="shared" si="1"/>
        <v>0</v>
      </c>
      <c r="I18" s="353">
        <f>IF(T_T13411121314151617181920212223242526272829303132333536373839404142434445464748495051525354555657585960616263646566676869707172737475[[#This Row],[Total]]&lt;0,T_T13411121314151617181920212223242526272829303132333536373839404142434445464748495051525354555657585960616263646566676869707172737475[[#This Row],[Total]]*-1,0)</f>
        <v>316</v>
      </c>
      <c r="J18" s="354"/>
      <c r="K18" s="354"/>
    </row>
    <row r="19" spans="1:13" x14ac:dyDescent="0.3">
      <c r="A19" s="188">
        <v>45747</v>
      </c>
      <c r="B19" s="3" t="s">
        <v>534</v>
      </c>
      <c r="C19" s="6"/>
      <c r="D19" s="2">
        <f>241+90+13</f>
        <v>344</v>
      </c>
      <c r="E19" s="2">
        <v>14</v>
      </c>
      <c r="F19" s="230"/>
      <c r="G19" s="230">
        <f t="shared" si="0"/>
        <v>358</v>
      </c>
      <c r="H19" s="233">
        <f t="shared" si="1"/>
        <v>358</v>
      </c>
      <c r="I19" s="240">
        <f>IF(T_T13411121314151617181920212223242526272829303132333536373839404142434445464748495051525354555657585960616263646566676869707172737475[[#This Row],[Total]]&lt;0,T_T13411121314151617181920212223242526272829303132333536373839404142434445464748495051525354555657585960616263646566676869707172737475[[#This Row],[Total]]*-1,0)</f>
        <v>0</v>
      </c>
      <c r="J19" s="313"/>
      <c r="K19" s="313"/>
      <c r="M19" t="s">
        <v>506</v>
      </c>
    </row>
    <row r="20" spans="1:13" x14ac:dyDescent="0.3">
      <c r="A20" s="188"/>
      <c r="B20" s="82" t="s">
        <v>535</v>
      </c>
      <c r="C20" s="6">
        <v>8776</v>
      </c>
      <c r="D20" s="2">
        <f>-241-90-13</f>
        <v>-344</v>
      </c>
      <c r="E20" s="2">
        <v>-14</v>
      </c>
      <c r="F20" s="230"/>
      <c r="G20" s="230">
        <f t="shared" si="0"/>
        <v>-358</v>
      </c>
      <c r="H20" s="233">
        <f t="shared" si="1"/>
        <v>0</v>
      </c>
      <c r="I20" s="240">
        <f>IF(T_T13411121314151617181920212223242526272829303132333536373839404142434445464748495051525354555657585960616263646566676869707172737475[[#This Row],[Total]]&lt;0,T_T13411121314151617181920212223242526272829303132333536373839404142434445464748495051525354555657585960616263646566676869707172737475[[#This Row],[Total]]*-1,0)</f>
        <v>358</v>
      </c>
      <c r="J20" s="313"/>
      <c r="K20" s="313"/>
    </row>
    <row r="21" spans="1:13" x14ac:dyDescent="0.3">
      <c r="A21" s="188">
        <v>45777</v>
      </c>
      <c r="B21" s="3" t="s">
        <v>536</v>
      </c>
      <c r="C21" s="6"/>
      <c r="D21" s="2">
        <f>241+90+13</f>
        <v>344</v>
      </c>
      <c r="E21" s="2">
        <v>23</v>
      </c>
      <c r="F21" s="230"/>
      <c r="G21" s="230">
        <f t="shared" si="0"/>
        <v>367</v>
      </c>
      <c r="H21" s="233">
        <f t="shared" si="1"/>
        <v>367</v>
      </c>
      <c r="I21" s="240">
        <f>IF(T_T13411121314151617181920212223242526272829303132333536373839404142434445464748495051525354555657585960616263646566676869707172737475[[#This Row],[Total]]&lt;0,T_T13411121314151617181920212223242526272829303132333536373839404142434445464748495051525354555657585960616263646566676869707172737475[[#This Row],[Total]]*-1,0)</f>
        <v>0</v>
      </c>
      <c r="J21" s="313"/>
      <c r="K21" s="313"/>
    </row>
    <row r="22" spans="1:13" x14ac:dyDescent="0.3">
      <c r="A22" s="83"/>
      <c r="B22" s="82" t="s">
        <v>537</v>
      </c>
      <c r="C22" s="6">
        <v>8933</v>
      </c>
      <c r="D22" s="2">
        <v>-344</v>
      </c>
      <c r="E22" s="2">
        <v>-23</v>
      </c>
      <c r="F22" s="230"/>
      <c r="G22" s="230">
        <f t="shared" si="0"/>
        <v>-367</v>
      </c>
      <c r="H22" s="233">
        <f t="shared" si="1"/>
        <v>0</v>
      </c>
      <c r="I22" s="240">
        <f>IF(T_T13411121314151617181920212223242526272829303132333536373839404142434445464748495051525354555657585960616263646566676869707172737475[[#This Row],[Total]]&lt;0,T_T13411121314151617181920212223242526272829303132333536373839404142434445464748495051525354555657585960616263646566676869707172737475[[#This Row],[Total]]*-1,0)</f>
        <v>367</v>
      </c>
      <c r="J22" s="313"/>
      <c r="K22" s="313"/>
    </row>
    <row r="23" spans="1:13" x14ac:dyDescent="0.3">
      <c r="A23" s="40">
        <v>45807</v>
      </c>
      <c r="B23" s="3" t="s">
        <v>538</v>
      </c>
      <c r="C23" s="6"/>
      <c r="D23" s="2">
        <v>344</v>
      </c>
      <c r="E23" s="2">
        <v>29</v>
      </c>
      <c r="F23" s="230"/>
      <c r="G23" s="230">
        <f t="shared" si="0"/>
        <v>373</v>
      </c>
      <c r="H23" s="233">
        <f t="shared" si="1"/>
        <v>373</v>
      </c>
      <c r="I23" s="309">
        <f>IF(T_T13411121314151617181920212223242526272829303132333536373839404142434445464748495051525354555657585960616263646566676869707172737475[[#This Row],[Total]]&lt;0,T_T13411121314151617181920212223242526272829303132333536373839404142434445464748495051525354555657585960616263646566676869707172737475[[#This Row],[Total]]*-1,0)</f>
        <v>0</v>
      </c>
      <c r="J23" s="313"/>
      <c r="K23" s="313"/>
    </row>
    <row r="24" spans="1:13" x14ac:dyDescent="0.3">
      <c r="A24" s="9"/>
      <c r="B24" s="18" t="s">
        <v>539</v>
      </c>
      <c r="C24" s="6"/>
      <c r="D24" s="2"/>
      <c r="E24" s="2"/>
      <c r="F24" s="230"/>
      <c r="G24" s="230">
        <f t="shared" si="0"/>
        <v>0</v>
      </c>
      <c r="H24" s="233">
        <f t="shared" si="1"/>
        <v>373</v>
      </c>
      <c r="I24" s="309">
        <f>IF(T_T13411121314151617181920212223242526272829303132333536373839404142434445464748495051525354555657585960616263646566676869707172737475[[#This Row],[Total]]&lt;0,T_T13411121314151617181920212223242526272829303132333536373839404142434445464748495051525354555657585960616263646566676869707172737475[[#This Row],[Total]]*-1,0)</f>
        <v>0</v>
      </c>
      <c r="J24" s="313"/>
      <c r="K24" s="313"/>
    </row>
    <row r="25" spans="1:13" x14ac:dyDescent="0.3">
      <c r="A25" s="9">
        <v>45838</v>
      </c>
      <c r="B25" s="3" t="s">
        <v>540</v>
      </c>
      <c r="C25" s="376"/>
      <c r="D25" s="377"/>
      <c r="E25" s="377"/>
      <c r="F25" s="377"/>
      <c r="G25" s="230">
        <f t="shared" si="0"/>
        <v>0</v>
      </c>
      <c r="H25" s="233">
        <f t="shared" si="1"/>
        <v>373</v>
      </c>
      <c r="I25" s="353">
        <f>IF(T_T13411121314151617181920212223242526272829303132333536373839404142434445464748495051525354555657585960616263646566676869707172737475[[#This Row],[Total]]&lt;0,T_T13411121314151617181920212223242526272829303132333536373839404142434445464748495051525354555657585960616263646566676869707172737475[[#This Row],[Total]]*-1,0)</f>
        <v>0</v>
      </c>
      <c r="J25" s="354"/>
      <c r="K25" s="354"/>
    </row>
    <row r="26" spans="1:13" x14ac:dyDescent="0.3">
      <c r="A26" s="9"/>
      <c r="B26" s="18" t="s">
        <v>541</v>
      </c>
      <c r="C26" s="376"/>
      <c r="D26" s="377"/>
      <c r="E26" s="377"/>
      <c r="F26" s="377"/>
      <c r="G26" s="230">
        <f t="shared" si="0"/>
        <v>0</v>
      </c>
      <c r="H26" s="233">
        <f t="shared" si="1"/>
        <v>373</v>
      </c>
      <c r="I26" s="353">
        <f>IF(T_T13411121314151617181920212223242526272829303132333536373839404142434445464748495051525354555657585960616263646566676869707172737475[[#This Row],[Total]]&lt;0,T_T13411121314151617181920212223242526272829303132333536373839404142434445464748495051525354555657585960616263646566676869707172737475[[#This Row],[Total]]*-1,0)</f>
        <v>0</v>
      </c>
      <c r="J26" s="354"/>
      <c r="K26" s="354"/>
    </row>
    <row r="27" spans="1:13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373</v>
      </c>
      <c r="I27" s="309">
        <f>IF(T_T13411121314151617181920212223242526272829303132333536373839404142434445464748495051525354555657585960616263646566676869707172737475[[#This Row],[Total]]&lt;0,T_T13411121314151617181920212223242526272829303132333536373839404142434445464748495051525354555657585960616263646566676869707172737475[[#This Row],[Total]]*-1,0)</f>
        <v>0</v>
      </c>
      <c r="J27" s="313"/>
      <c r="K27" s="313"/>
    </row>
    <row r="28" spans="1:13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373</v>
      </c>
      <c r="I28" s="309">
        <f>IF(T_T13411121314151617181920212223242526272829303132333536373839404142434445464748495051525354555657585960616263646566676869707172737475[[#This Row],[Total]]&lt;0,T_T13411121314151617181920212223242526272829303132333536373839404142434445464748495051525354555657585960616263646566676869707172737475[[#This Row],[Total]]*-1,0)</f>
        <v>0</v>
      </c>
      <c r="J28" s="313"/>
      <c r="K28" s="313"/>
    </row>
    <row r="29" spans="1:13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373</v>
      </c>
      <c r="I29" s="309">
        <f>IF(T_T13411121314151617181920212223242526272829303132333536373839404142434445464748495051525354555657585960616263646566676869707172737475[[#This Row],[Total]]&lt;0,T_T13411121314151617181920212223242526272829303132333536373839404142434445464748495051525354555657585960616263646566676869707172737475[[#This Row],[Total]]*-1,0)</f>
        <v>0</v>
      </c>
      <c r="J29" s="313"/>
      <c r="K29" s="313"/>
    </row>
    <row r="30" spans="1:13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373</v>
      </c>
      <c r="I30" s="309">
        <f>IF(T_T13411121314151617181920212223242526272829303132333536373839404142434445464748495051525354555657585960616263646566676869707172737475[[#This Row],[Total]]&lt;0,T_T13411121314151617181920212223242526272829303132333536373839404142434445464748495051525354555657585960616263646566676869707172737475[[#This Row],[Total]]*-1,0)</f>
        <v>0</v>
      </c>
      <c r="J30" s="313"/>
      <c r="K30" s="313"/>
    </row>
    <row r="31" spans="1:13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373</v>
      </c>
      <c r="I31" s="309">
        <f>IF(T_T13411121314151617181920212223242526272829303132333536373839404142434445464748495051525354555657585960616263646566676869707172737475[[#This Row],[Total]]&lt;0,T_T13411121314151617181920212223242526272829303132333536373839404142434445464748495051525354555657585960616263646566676869707172737475[[#This Row],[Total]]*-1,0)</f>
        <v>0</v>
      </c>
      <c r="J31" s="313"/>
      <c r="K31" s="76"/>
    </row>
    <row r="32" spans="1:13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373</v>
      </c>
      <c r="I32" s="309">
        <f>IF(T_T13411121314151617181920212223242526272829303132333536373839404142434445464748495051525354555657585960616263646566676869707172737475[[#This Row],[Total]]&lt;0,T_T13411121314151617181920212223242526272829303132333536373839404142434445464748495051525354555657585960616263646566676869707172737475[[#This Row],[Total]]*-1,0)</f>
        <v>0</v>
      </c>
      <c r="J32" s="313"/>
      <c r="K32" s="313"/>
    </row>
    <row r="33" spans="1:11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373</v>
      </c>
      <c r="I33" s="309">
        <f>IF(T_T13411121314151617181920212223242526272829303132333536373839404142434445464748495051525354555657585960616263646566676869707172737475[[#This Row],[Total]]&lt;0,T_T13411121314151617181920212223242526272829303132333536373839404142434445464748495051525354555657585960616263646566676869707172737475[[#This Row],[Total]]*-1,0)</f>
        <v>0</v>
      </c>
      <c r="J33" s="313"/>
      <c r="K33" s="313"/>
    </row>
    <row r="34" spans="1:11" x14ac:dyDescent="0.3">
      <c r="A34" s="9"/>
      <c r="B34" s="3" t="s">
        <v>549</v>
      </c>
      <c r="C34" s="6"/>
      <c r="D34" s="230"/>
      <c r="E34" s="230"/>
      <c r="F34" s="230"/>
      <c r="G34" s="230">
        <f t="shared" si="0"/>
        <v>0</v>
      </c>
      <c r="H34" s="233">
        <f t="shared" si="1"/>
        <v>373</v>
      </c>
      <c r="I34" s="309">
        <f>IF(T_T13411121314151617181920212223242526272829303132333536373839404142434445464748495051525354555657585960616263646566676869707172737475[[#This Row],[Total]]&lt;0,T_T13411121314151617181920212223242526272829303132333536373839404142434445464748495051525354555657585960616263646566676869707172737475[[#This Row],[Total]]*-1,0)</f>
        <v>0</v>
      </c>
      <c r="J34" s="313"/>
      <c r="K34" s="313"/>
    </row>
    <row r="35" spans="1:11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373</v>
      </c>
      <c r="I35" s="309">
        <f>IF(T_T13411121314151617181920212223242526272829303132333536373839404142434445464748495051525354555657585960616263646566676869707172737475[[#This Row],[Total]]&lt;0,T_T13411121314151617181920212223242526272829303132333536373839404142434445464748495051525354555657585960616263646566676869707172737475[[#This Row],[Total]]*-1,0)</f>
        <v>0</v>
      </c>
      <c r="J35" s="313"/>
      <c r="K35" s="313"/>
    </row>
    <row r="36" spans="1:11" x14ac:dyDescent="0.3">
      <c r="A36" s="17"/>
      <c r="B36" s="18" t="s">
        <v>551</v>
      </c>
      <c r="C36" s="6"/>
      <c r="D36" s="230"/>
      <c r="E36" s="230"/>
      <c r="F36" s="230"/>
      <c r="G36" s="230">
        <f t="shared" si="0"/>
        <v>0</v>
      </c>
      <c r="H36" s="233">
        <f t="shared" si="1"/>
        <v>373</v>
      </c>
      <c r="I36" s="309">
        <f>IF(T_T13411121314151617181920212223242526272829303132333536373839404142434445464748495051525354555657585960616263646566676869707172737475[[#This Row],[Total]]&lt;0,T_T13411121314151617181920212223242526272829303132333536373839404142434445464748495051525354555657585960616263646566676869707172737475[[#This Row],[Total]]*-1,0)</f>
        <v>0</v>
      </c>
      <c r="J36" s="313"/>
      <c r="K36" s="313"/>
    </row>
    <row r="37" spans="1:11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373</v>
      </c>
      <c r="I37" s="309">
        <f>IF(T_T13411121314151617181920212223242526272829303132333536373839404142434445464748495051525354555657585960616263646566676869707172737475[[#This Row],[Total]]&lt;0,T_T13411121314151617181920212223242526272829303132333536373839404142434445464748495051525354555657585960616263646566676869707172737475[[#This Row],[Total]]*-1,0)</f>
        <v>0</v>
      </c>
      <c r="J37" s="313"/>
      <c r="K37" s="313"/>
    </row>
    <row r="38" spans="1:11" x14ac:dyDescent="0.3">
      <c r="A38" s="257"/>
      <c r="B38" s="110" t="s">
        <v>553</v>
      </c>
      <c r="C38" s="6"/>
      <c r="D38" s="230"/>
      <c r="E38" s="230"/>
      <c r="F38" s="230"/>
      <c r="G38" s="230">
        <f t="shared" si="0"/>
        <v>0</v>
      </c>
      <c r="H38" s="233">
        <f t="shared" si="1"/>
        <v>373</v>
      </c>
      <c r="I38" s="309">
        <f>IF(T_T13411121314151617181920212223242526272829303132333536373839404142434445464748495051525354555657585960616263646566676869707172737475[[#This Row],[Total]]&lt;0,T_T13411121314151617181920212223242526272829303132333536373839404142434445464748495051525354555657585960616263646566676869707172737475[[#This Row],[Total]]*-1,0)</f>
        <v>0</v>
      </c>
      <c r="J38" s="313"/>
      <c r="K38" s="313"/>
    </row>
    <row r="39" spans="1:11" x14ac:dyDescent="0.3">
      <c r="A39" s="107"/>
      <c r="B39" s="82"/>
      <c r="C39" s="229"/>
      <c r="D39" s="230"/>
      <c r="E39" s="230"/>
      <c r="F39" s="230"/>
      <c r="G39" s="230">
        <f t="shared" si="0"/>
        <v>0</v>
      </c>
      <c r="H39" s="233">
        <f t="shared" si="1"/>
        <v>373</v>
      </c>
      <c r="I39" s="309">
        <f>IF(T_T13411121314151617181920212223242526272829303132333536373839404142434445464748495051525354555657585960616263646566676869707172737475[[#This Row],[Total]]&lt;0,T_T13411121314151617181920212223242526272829303132333536373839404142434445464748495051525354555657585960616263646566676869707172737475[[#This Row],[Total]]*-1,0)</f>
        <v>0</v>
      </c>
      <c r="J39" s="313"/>
      <c r="K39" s="313"/>
    </row>
    <row r="40" spans="1:11" x14ac:dyDescent="0.3">
      <c r="A40" s="107"/>
      <c r="B40" s="82"/>
      <c r="C40" s="229"/>
      <c r="D40" s="230"/>
      <c r="E40" s="230"/>
      <c r="F40" s="230"/>
      <c r="G40" s="230">
        <f t="shared" si="0"/>
        <v>0</v>
      </c>
      <c r="H40" s="233">
        <f t="shared" si="1"/>
        <v>373</v>
      </c>
      <c r="I40" s="309">
        <f>IF(T_T13411121314151617181920212223242526272829303132333536373839404142434445464748495051525354555657585960616263646566676869707172737475[[#This Row],[Total]]&lt;0,T_T13411121314151617181920212223242526272829303132333536373839404142434445464748495051525354555657585960616263646566676869707172737475[[#This Row],[Total]]*-1,0)</f>
        <v>0</v>
      </c>
      <c r="J40" s="313"/>
      <c r="K40" s="313"/>
    </row>
    <row r="41" spans="1:11" x14ac:dyDescent="0.3">
      <c r="A41" s="188"/>
      <c r="B41" s="3"/>
      <c r="C41" s="229"/>
      <c r="D41" s="230"/>
      <c r="E41" s="230"/>
      <c r="F41" s="230"/>
      <c r="G41" s="230">
        <f t="shared" si="0"/>
        <v>0</v>
      </c>
      <c r="H41" s="233">
        <f t="shared" si="1"/>
        <v>373</v>
      </c>
      <c r="I41" s="309">
        <f>IF(T_T13411121314151617181920212223242526272829303132333536373839404142434445464748495051525354555657585960616263646566676869707172737475[[#This Row],[Total]]&lt;0,T_T13411121314151617181920212223242526272829303132333536373839404142434445464748495051525354555657585960616263646566676869707172737475[[#This Row],[Total]]*-1,0)</f>
        <v>0</v>
      </c>
      <c r="J41" s="313"/>
      <c r="K41" s="313"/>
    </row>
    <row r="42" spans="1:11" x14ac:dyDescent="0.3">
      <c r="A42" s="257"/>
      <c r="B42" s="110"/>
      <c r="C42" s="229"/>
      <c r="D42" s="230"/>
      <c r="E42" s="230"/>
      <c r="F42" s="230"/>
      <c r="G42" s="230">
        <f t="shared" si="0"/>
        <v>0</v>
      </c>
      <c r="H42" s="233">
        <f t="shared" si="1"/>
        <v>373</v>
      </c>
      <c r="I42" s="51">
        <f>IF(T_T13411121314151617181920212223242526272829303132333536373839404142434445464748495051525354555657585960616263646566676869707172737475[[#This Row],[Total]]&lt;0,T_T13411121314151617181920212223242526272829303132333536373839404142434445464748495051525354555657585960616263646566676869707172737475[[#This Row],[Total]]*-1,0)</f>
        <v>0</v>
      </c>
      <c r="J42" s="79"/>
      <c r="K42" s="79"/>
    </row>
    <row r="43" spans="1:11" x14ac:dyDescent="0.3">
      <c r="A43" s="107"/>
      <c r="B43" s="82"/>
      <c r="C43" s="229"/>
      <c r="D43" s="230"/>
      <c r="E43" s="230"/>
      <c r="F43" s="230"/>
      <c r="G43" s="230">
        <f>SUM(D43:F50)</f>
        <v>0</v>
      </c>
      <c r="H43" s="233">
        <f t="shared" si="1"/>
        <v>373</v>
      </c>
      <c r="I43" s="353">
        <f>IF(T_T13411121314151617181920212223242526272829303132333536373839404142434445464748495051525354555657585960616263646566676869707172737475[[#This Row],[Total]]&lt;0,T_T13411121314151617181920212223242526272829303132333536373839404142434445464748495051525354555657585960616263646566676869707172737475[[#This Row],[Total]]*-1,0)</f>
        <v>0</v>
      </c>
      <c r="J43" s="354"/>
      <c r="K43" s="354"/>
    </row>
    <row r="44" spans="1:11" x14ac:dyDescent="0.3">
      <c r="A44" s="107"/>
      <c r="B44" s="82"/>
      <c r="C44" s="229"/>
      <c r="D44" s="230"/>
      <c r="E44" s="230"/>
      <c r="F44" s="230"/>
      <c r="G44" s="230">
        <f>SUM(D44:F51)</f>
        <v>0</v>
      </c>
      <c r="H44" s="233">
        <f t="shared" si="1"/>
        <v>373</v>
      </c>
      <c r="I44" s="353">
        <f>IF(T_T13411121314151617181920212223242526272829303132333536373839404142434445464748495051525354555657585960616263646566676869707172737475[[#This Row],[Total]]&lt;0,T_T13411121314151617181920212223242526272829303132333536373839404142434445464748495051525354555657585960616263646566676869707172737475[[#This Row],[Total]]*-1,0)</f>
        <v>0</v>
      </c>
      <c r="J44" s="354"/>
      <c r="K44" s="354"/>
    </row>
    <row r="45" spans="1:11" x14ac:dyDescent="0.3">
      <c r="A45" s="17"/>
      <c r="B45" s="76"/>
      <c r="C45" s="466"/>
      <c r="D45" s="467"/>
      <c r="E45" s="467"/>
      <c r="F45" s="467"/>
      <c r="G45" s="497"/>
      <c r="H45" s="474"/>
      <c r="I45" s="475"/>
      <c r="J45" s="76"/>
      <c r="K45" s="76"/>
    </row>
  </sheetData>
  <hyperlinks>
    <hyperlink ref="B7" r:id="rId1" display="jose.orozco@outlook.com"/>
    <hyperlink ref="H7" location="Resumen!A1" display="Rsumen         "/>
  </hyperlinks>
  <pageMargins left="0.70866141732283472" right="0.70866141732283472" top="0.31496062992125984" bottom="0.35433070866141736" header="0.31496062992125984" footer="0.31496062992125984"/>
  <pageSetup scale="62" orientation="portrait" verticalDpi="360" r:id="rId2"/>
  <drawing r:id="rId3"/>
  <tableParts count="1">
    <tablePart r:id="rId4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O45"/>
  <sheetViews>
    <sheetView showGridLines="0" topLeftCell="A14" zoomScale="98" zoomScaleNormal="98" workbookViewId="0">
      <selection activeCell="E26" sqref="E26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5" max="15" width="10.6640625" bestFit="1" customWidth="1"/>
    <col min="16" max="16" width="16" customWidth="1"/>
    <col min="17" max="17" width="10.6640625" bestFit="1" customWidth="1"/>
  </cols>
  <sheetData>
    <row r="2" spans="1:15" ht="15.6" x14ac:dyDescent="0.3">
      <c r="A2" s="27" t="s">
        <v>36</v>
      </c>
      <c r="B2" s="41" t="s">
        <v>124</v>
      </c>
    </row>
    <row r="3" spans="1:15" ht="0.75" customHeight="1" x14ac:dyDescent="0.3">
      <c r="A3" s="27" t="s">
        <v>31</v>
      </c>
      <c r="B3" s="28" t="e">
        <f>LOOKUP(B2,#REF!,#REF!)</f>
        <v>#REF!</v>
      </c>
    </row>
    <row r="4" spans="1:15" hidden="1" x14ac:dyDescent="0.3">
      <c r="A4" s="27" t="s">
        <v>32</v>
      </c>
      <c r="B4" s="28" t="e">
        <f>LOOKUP(B2,#REF!,#REF!)</f>
        <v>#REF!</v>
      </c>
    </row>
    <row r="5" spans="1:15" hidden="1" x14ac:dyDescent="0.3">
      <c r="A5" s="27" t="s">
        <v>33</v>
      </c>
      <c r="B5" s="28" t="e">
        <f>LOOKUP(B2,#REF!,#REF!)</f>
        <v>#REF!</v>
      </c>
    </row>
    <row r="6" spans="1:15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5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5" x14ac:dyDescent="0.3">
      <c r="A8" s="21"/>
      <c r="B8" s="21" t="s">
        <v>630</v>
      </c>
    </row>
    <row r="9" spans="1:15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69" t="s">
        <v>188</v>
      </c>
      <c r="K9" s="69" t="s">
        <v>191</v>
      </c>
      <c r="L9" s="242" t="s">
        <v>262</v>
      </c>
    </row>
    <row r="10" spans="1:15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IF(T_T1341112131415161718192021222324252627282930313233353637383940414243444546474849505152535455565758596061626364656667686970717273747576[[#This Row],[Total]]&lt;0,T_T1341112131415161718192021222324252627282930313233353637383940414243444546474849505152535455565758596061626364656667686970717273747576[[#This Row],[Total]]*-1,0)</f>
        <v>0</v>
      </c>
      <c r="J10" s="68"/>
      <c r="K10" s="77"/>
      <c r="L10" s="232"/>
      <c r="O10" s="178"/>
    </row>
    <row r="11" spans="1:15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IF(T_T1341112131415161718192021222324252627282930313233353637383940414243444546474849505152535455565758596061626364656667686970717273747576[[#This Row],[Total]]&lt;0,T_T1341112131415161718192021222324252627282930313233353637383940414243444546474849505152535455565758596061626364656667686970717273747576[[#This Row],[Total]]*-1,0)</f>
        <v>0</v>
      </c>
      <c r="J11" s="240"/>
      <c r="K11" s="232"/>
      <c r="L11" s="232"/>
    </row>
    <row r="12" spans="1:15" x14ac:dyDescent="0.3">
      <c r="A12" s="117"/>
      <c r="B12" s="118" t="s">
        <v>467</v>
      </c>
      <c r="C12" s="424"/>
      <c r="D12" s="425"/>
      <c r="E12" s="425"/>
      <c r="F12" s="425"/>
      <c r="G12" s="425">
        <f>SUM(D12:F12)</f>
        <v>0</v>
      </c>
      <c r="H12" s="426">
        <v>0</v>
      </c>
      <c r="I12" s="430">
        <f>IF(T_T1341112131415161718192021222324252627282930313233353637383940414243444546474849505152535455565758596061626364656667686970717273747576[[#This Row],[Total]]&lt;0,T_T1341112131415161718192021222324252627282930313233353637383940414243444546474849505152535455565758596061626364656667686970717273747576[[#This Row],[Total]]*-1,0)</f>
        <v>0</v>
      </c>
      <c r="J12" s="430"/>
      <c r="K12" s="419"/>
      <c r="L12" s="419"/>
    </row>
    <row r="13" spans="1:15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IF(T_T1341112131415161718192021222324252627282930313233353637383940414243444546474849505152535455565758596061626364656667686970717273747576[[#This Row],[Total]]&lt;0,T_T1341112131415161718192021222324252627282930313233353637383940414243444546474849505152535455565758596061626364656667686970717273747576[[#This Row],[Total]]*-1,0)</f>
        <v>0</v>
      </c>
      <c r="J13" s="240"/>
      <c r="K13" s="232"/>
      <c r="L13" s="232"/>
    </row>
    <row r="14" spans="1:15" x14ac:dyDescent="0.3">
      <c r="A14" s="288"/>
      <c r="B14" s="118" t="s">
        <v>529</v>
      </c>
      <c r="C14" s="481"/>
      <c r="D14" s="482"/>
      <c r="E14" s="482"/>
      <c r="F14" s="482"/>
      <c r="G14" s="482">
        <f>SUM(D14:F14)</f>
        <v>0</v>
      </c>
      <c r="H14" s="484">
        <f>H13+G14</f>
        <v>0</v>
      </c>
      <c r="I14" s="473">
        <f>IF(T_T1341112131415161718192021222324252627282930313233353637383940414243444546474849505152535455565758596061626364656667686970717273747576[[#This Row],[Total]]&lt;0,T_T1341112131415161718192021222324252627282930313233353637383940414243444546474849505152535455565758596061626364656667686970717273747576[[#This Row],[Total]]*-1,0)</f>
        <v>0</v>
      </c>
      <c r="J14" s="473"/>
      <c r="K14" s="485"/>
      <c r="L14" s="485"/>
    </row>
    <row r="15" spans="1:15" x14ac:dyDescent="0.3">
      <c r="A15" s="584">
        <v>46093</v>
      </c>
      <c r="B15" s="581" t="s">
        <v>583</v>
      </c>
      <c r="C15" s="601">
        <v>8717</v>
      </c>
      <c r="D15" s="602">
        <v>300</v>
      </c>
      <c r="E15" s="602"/>
      <c r="F15" s="602"/>
      <c r="G15" s="602">
        <f>SUM(D15:F15)</f>
        <v>300</v>
      </c>
      <c r="H15" s="603">
        <f>H14+G15</f>
        <v>300</v>
      </c>
      <c r="I15" s="600">
        <f>IF(T_T1341112131415161718192021222324252627282930313233353637383940414243444546474849505152535455565758596061626364656667686970717273747576[[#This Row],[Total]]&lt;0,T_T1341112131415161718192021222324252627282930313233353637383940414243444546474849505152535455565758596061626364656667686970717273747576[[#This Row],[Total]]*-1,0)</f>
        <v>0</v>
      </c>
      <c r="J15" s="600"/>
      <c r="K15" s="550"/>
      <c r="L15" s="550"/>
    </row>
    <row r="16" spans="1:15" x14ac:dyDescent="0.3">
      <c r="A16" s="584"/>
      <c r="B16" s="581" t="s">
        <v>624</v>
      </c>
      <c r="C16" s="601"/>
      <c r="D16" s="602">
        <v>-300</v>
      </c>
      <c r="E16" s="602"/>
      <c r="F16" s="602"/>
      <c r="G16" s="602">
        <f>SUM(D16:F16)</f>
        <v>-300</v>
      </c>
      <c r="H16" s="603">
        <f>+H15+T_T1341112131415161718192021222324252627282930313233353637383940414243444546474849505152535455565758596061626364656667686970717273747576[[#This Row],[Total]]</f>
        <v>0</v>
      </c>
      <c r="I16" s="600">
        <f>IF(T_T1341112131415161718192021222324252627282930313233353637383940414243444546474849505152535455565758596061626364656667686970717273747576[[#This Row],[Total]]&lt;0,T_T1341112131415161718192021222324252627282930313233353637383940414243444546474849505152535455565758596061626364656667686970717273747576[[#This Row],[Total]]*-1,0)</f>
        <v>300</v>
      </c>
      <c r="J16" s="600"/>
      <c r="K16" s="550"/>
      <c r="L16" s="550"/>
    </row>
    <row r="17" spans="1:12" x14ac:dyDescent="0.3">
      <c r="A17" s="17">
        <v>46052</v>
      </c>
      <c r="B17" s="18" t="s">
        <v>590</v>
      </c>
      <c r="C17" s="6"/>
      <c r="D17" s="2">
        <v>297</v>
      </c>
      <c r="E17" s="2">
        <v>4</v>
      </c>
      <c r="F17" s="20"/>
      <c r="G17" s="20">
        <f>SUM(D17:F17)</f>
        <v>301</v>
      </c>
      <c r="H17" s="603">
        <f>+H16+T_T1341112131415161718192021222324252627282930313233353637383940414243444546474849505152535455565758596061626364656667686970717273747576[[#This Row],[Total]]</f>
        <v>301</v>
      </c>
      <c r="I17" s="240">
        <f>IF(T_T1341112131415161718192021222324252627282930313233353637383940414243444546474849505152535455565758596061626364656667686970717273747576[[#This Row],[Total]]&lt;0,T_T1341112131415161718192021222324252627282930313233353637383940414243444546474849505152535455565758596061626364656667686970717273747576[[#This Row],[Total]]*-1,0)</f>
        <v>0</v>
      </c>
      <c r="J17" s="240"/>
      <c r="K17" s="232"/>
      <c r="L17" s="232"/>
    </row>
    <row r="18" spans="1:12" x14ac:dyDescent="0.3">
      <c r="A18" s="17"/>
      <c r="B18" s="18" t="s">
        <v>591</v>
      </c>
      <c r="C18" s="6"/>
      <c r="D18" s="2"/>
      <c r="E18" s="2"/>
      <c r="F18" s="230"/>
      <c r="G18" s="230">
        <f t="shared" ref="G18:G40" si="0">SUM(D18:F18)</f>
        <v>0</v>
      </c>
      <c r="H18" s="603">
        <f>+H17+T_T1341112131415161718192021222324252627282930313233353637383940414243444546474849505152535455565758596061626364656667686970717273747576[[#This Row],[Total]]</f>
        <v>301</v>
      </c>
      <c r="I18" s="239">
        <f>IF(T_T1341112131415161718192021222324252627282930313233353637383940414243444546474849505152535455565758596061626364656667686970717273747576[[#This Row],[Total]]&lt;0,T_T1341112131415161718192021222324252627282930313233353637383940414243444546474849505152535455565758596061626364656667686970717273747576[[#This Row],[Total]]*-1,0)</f>
        <v>0</v>
      </c>
      <c r="J18" s="239"/>
      <c r="K18" s="232"/>
      <c r="L18" s="232"/>
    </row>
    <row r="19" spans="1:12" x14ac:dyDescent="0.3">
      <c r="A19" s="164">
        <v>46080</v>
      </c>
      <c r="B19" s="161" t="s">
        <v>592</v>
      </c>
      <c r="C19" s="6"/>
      <c r="D19" s="2">
        <v>297</v>
      </c>
      <c r="E19" s="2">
        <v>12</v>
      </c>
      <c r="F19" s="230"/>
      <c r="G19" s="230">
        <f t="shared" si="0"/>
        <v>309</v>
      </c>
      <c r="H19" s="603">
        <f>+H18+T_T1341112131415161718192021222324252627282930313233353637383940414243444546474849505152535455565758596061626364656667686970717273747576[[#This Row],[Total]]</f>
        <v>610</v>
      </c>
      <c r="I19" s="240">
        <f>IF(T_T1341112131415161718192021222324252627282930313233353637383940414243444546474849505152535455565758596061626364656667686970717273747576[[#This Row],[Total]]&lt;0,T_T1341112131415161718192021222324252627282930313233353637383940414243444546474849505152535455565758596061626364656667686970717273747576[[#This Row],[Total]]*-1,0)</f>
        <v>0</v>
      </c>
      <c r="J19" s="240"/>
      <c r="K19" s="232"/>
      <c r="L19" s="232"/>
    </row>
    <row r="20" spans="1:12" x14ac:dyDescent="0.3">
      <c r="A20" s="187"/>
      <c r="B20" s="18" t="s">
        <v>593</v>
      </c>
      <c r="C20" s="6">
        <v>8822</v>
      </c>
      <c r="D20" s="2">
        <v>-237</v>
      </c>
      <c r="E20" s="2">
        <v>-12</v>
      </c>
      <c r="F20" s="230"/>
      <c r="G20" s="230">
        <f t="shared" si="0"/>
        <v>-249</v>
      </c>
      <c r="H20" s="233">
        <f t="shared" ref="H20:H40" si="1">H19+G20</f>
        <v>361</v>
      </c>
      <c r="I20" s="239">
        <f>IF(T_T1341112131415161718192021222324252627282930313233353637383940414243444546474849505152535455565758596061626364656667686970717273747576[[#This Row],[Total]]&lt;0,T_T1341112131415161718192021222324252627282930313233353637383940414243444546474849505152535455565758596061626364656667686970717273747576[[#This Row],[Total]]*-1,0)</f>
        <v>249</v>
      </c>
      <c r="J20" s="239"/>
      <c r="K20" s="232"/>
      <c r="L20" s="232"/>
    </row>
    <row r="21" spans="1:12" x14ac:dyDescent="0.3">
      <c r="A21" s="188">
        <v>45747</v>
      </c>
      <c r="B21" s="3" t="s">
        <v>534</v>
      </c>
      <c r="C21" s="6"/>
      <c r="D21" s="2">
        <v>339</v>
      </c>
      <c r="E21" s="2">
        <v>22</v>
      </c>
      <c r="F21" s="230"/>
      <c r="G21" s="230">
        <f t="shared" si="0"/>
        <v>361</v>
      </c>
      <c r="H21" s="233">
        <f t="shared" si="1"/>
        <v>722</v>
      </c>
      <c r="I21" s="240">
        <f>IF(T_T1341112131415161718192021222324252627282930313233353637383940414243444546474849505152535455565758596061626364656667686970717273747576[[#This Row],[Total]]&lt;0,T_T1341112131415161718192021222324252627282930313233353637383940414243444546474849505152535455565758596061626364656667686970717273747576[[#This Row],[Total]]*-1,0)</f>
        <v>0</v>
      </c>
      <c r="J21" s="240"/>
      <c r="K21" s="232"/>
      <c r="L21" s="232"/>
    </row>
    <row r="22" spans="1:12" x14ac:dyDescent="0.3">
      <c r="A22" s="188"/>
      <c r="B22" s="82" t="s">
        <v>535</v>
      </c>
      <c r="C22" s="6">
        <v>8822</v>
      </c>
      <c r="D22" s="2">
        <v>-271</v>
      </c>
      <c r="E22" s="2">
        <v>-22</v>
      </c>
      <c r="F22" s="230"/>
      <c r="G22" s="230">
        <f t="shared" si="0"/>
        <v>-293</v>
      </c>
      <c r="H22" s="233">
        <f t="shared" si="1"/>
        <v>429</v>
      </c>
      <c r="I22" s="240">
        <f>IF(T_T1341112131415161718192021222324252627282930313233353637383940414243444546474849505152535455565758596061626364656667686970717273747576[[#This Row],[Total]]&lt;0,T_T1341112131415161718192021222324252627282930313233353637383940414243444546474849505152535455565758596061626364656667686970717273747576[[#This Row],[Total]]*-1,0)</f>
        <v>293</v>
      </c>
      <c r="J22" s="240"/>
      <c r="K22" s="232"/>
      <c r="L22" s="232"/>
    </row>
    <row r="23" spans="1:12" x14ac:dyDescent="0.3">
      <c r="A23" s="188">
        <v>45777</v>
      </c>
      <c r="B23" s="3" t="s">
        <v>536</v>
      </c>
      <c r="C23" s="6"/>
      <c r="D23" s="2">
        <v>339</v>
      </c>
      <c r="E23" s="2">
        <v>22</v>
      </c>
      <c r="F23" s="230"/>
      <c r="G23" s="230">
        <f t="shared" si="0"/>
        <v>361</v>
      </c>
      <c r="H23" s="233">
        <f t="shared" si="1"/>
        <v>790</v>
      </c>
      <c r="I23" s="240">
        <f>IF(T_T1341112131415161718192021222324252627282930313233353637383940414243444546474849505152535455565758596061626364656667686970717273747576[[#This Row],[Total]]&lt;0,T_T1341112131415161718192021222324252627282930313233353637383940414243444546474849505152535455565758596061626364656667686970717273747576[[#This Row],[Total]]*-1,0)</f>
        <v>0</v>
      </c>
      <c r="J23" s="240"/>
      <c r="K23" s="232"/>
      <c r="L23" s="232"/>
    </row>
    <row r="24" spans="1:12" x14ac:dyDescent="0.3">
      <c r="A24" s="83"/>
      <c r="B24" s="82" t="s">
        <v>537</v>
      </c>
      <c r="C24" s="6"/>
      <c r="D24" s="2"/>
      <c r="E24" s="2"/>
      <c r="F24" s="230"/>
      <c r="G24" s="230">
        <f t="shared" si="0"/>
        <v>0</v>
      </c>
      <c r="H24" s="233">
        <f t="shared" si="1"/>
        <v>790</v>
      </c>
      <c r="I24" s="239">
        <f>IF(T_T1341112131415161718192021222324252627282930313233353637383940414243444546474849505152535455565758596061626364656667686970717273747576[[#This Row],[Total]]&lt;0,T_T1341112131415161718192021222324252627282930313233353637383940414243444546474849505152535455565758596061626364656667686970717273747576[[#This Row],[Total]]*-1,0)</f>
        <v>0</v>
      </c>
      <c r="J24" s="239"/>
      <c r="K24" s="232"/>
      <c r="L24" s="232"/>
    </row>
    <row r="25" spans="1:12" x14ac:dyDescent="0.3">
      <c r="A25" s="40">
        <v>45807</v>
      </c>
      <c r="B25" s="3" t="s">
        <v>538</v>
      </c>
      <c r="C25" s="229"/>
      <c r="D25" s="230">
        <v>339</v>
      </c>
      <c r="E25" s="230">
        <v>21</v>
      </c>
      <c r="F25" s="230"/>
      <c r="G25" s="230">
        <f t="shared" si="0"/>
        <v>360</v>
      </c>
      <c r="H25" s="233">
        <f t="shared" si="1"/>
        <v>1150</v>
      </c>
      <c r="I25" s="309">
        <f>IF(T_T1341112131415161718192021222324252627282930313233353637383940414243444546474849505152535455565758596061626364656667686970717273747576[[#This Row],[Total]]&lt;0,T_T1341112131415161718192021222324252627282930313233353637383940414243444546474849505152535455565758596061626364656667686970717273747576[[#This Row],[Total]]*-1,0)</f>
        <v>0</v>
      </c>
      <c r="J25" s="309"/>
      <c r="K25" s="313"/>
      <c r="L25" s="313"/>
    </row>
    <row r="26" spans="1:12" x14ac:dyDescent="0.3">
      <c r="A26" s="9"/>
      <c r="B26" s="18" t="s">
        <v>539</v>
      </c>
      <c r="C26" s="6"/>
      <c r="D26" s="230"/>
      <c r="E26" s="230"/>
      <c r="F26" s="230"/>
      <c r="G26" s="230">
        <f t="shared" si="0"/>
        <v>0</v>
      </c>
      <c r="H26" s="233">
        <f t="shared" si="1"/>
        <v>1150</v>
      </c>
      <c r="I26" s="309">
        <f>IF(T_T1341112131415161718192021222324252627282930313233353637383940414243444546474849505152535455565758596061626364656667686970717273747576[[#This Row],[Total]]&lt;0,T_T1341112131415161718192021222324252627282930313233353637383940414243444546474849505152535455565758596061626364656667686970717273747576[[#This Row],[Total]]*-1,0)</f>
        <v>0</v>
      </c>
      <c r="J26" s="309"/>
      <c r="K26" s="313"/>
      <c r="L26" s="313"/>
    </row>
    <row r="27" spans="1:12" x14ac:dyDescent="0.3">
      <c r="A27" s="9">
        <v>45838</v>
      </c>
      <c r="B27" s="3" t="s">
        <v>540</v>
      </c>
      <c r="C27" s="229"/>
      <c r="D27" s="230"/>
      <c r="E27" s="230"/>
      <c r="F27" s="230"/>
      <c r="G27" s="230">
        <f t="shared" si="0"/>
        <v>0</v>
      </c>
      <c r="H27" s="233">
        <f>H26+G27</f>
        <v>1150</v>
      </c>
      <c r="I27" s="309">
        <f>IF(T_T1341112131415161718192021222324252627282930313233353637383940414243444546474849505152535455565758596061626364656667686970717273747576[[#This Row],[Total]]&lt;0,T_T1341112131415161718192021222324252627282930313233353637383940414243444546474849505152535455565758596061626364656667686970717273747576[[#This Row],[Total]]*-1,0)</f>
        <v>0</v>
      </c>
      <c r="J27" s="309"/>
      <c r="K27" s="313"/>
      <c r="L27" s="313"/>
    </row>
    <row r="28" spans="1:12" x14ac:dyDescent="0.3">
      <c r="A28" s="9"/>
      <c r="B28" s="18" t="s">
        <v>541</v>
      </c>
      <c r="C28" s="6"/>
      <c r="D28" s="230"/>
      <c r="E28" s="230"/>
      <c r="F28" s="230"/>
      <c r="G28" s="230">
        <f t="shared" si="0"/>
        <v>0</v>
      </c>
      <c r="H28" s="233">
        <f t="shared" si="1"/>
        <v>1150</v>
      </c>
      <c r="I28" s="311">
        <f>IF(T_T1341112131415161718192021222324252627282930313233353637383940414243444546474849505152535455565758596061626364656667686970717273747576[[#This Row],[Total]]&lt;0,T_T1341112131415161718192021222324252627282930313233353637383940414243444546474849505152535455565758596061626364656667686970717273747576[[#This Row],[Total]]*-1,0)</f>
        <v>0</v>
      </c>
      <c r="J28" s="311"/>
      <c r="K28" s="313"/>
      <c r="L28" s="313"/>
    </row>
    <row r="29" spans="1:12" x14ac:dyDescent="0.3">
      <c r="A29" s="107">
        <v>45868</v>
      </c>
      <c r="B29" s="82" t="s">
        <v>542</v>
      </c>
      <c r="C29" s="229"/>
      <c r="D29" s="230"/>
      <c r="E29" s="230"/>
      <c r="F29" s="230"/>
      <c r="G29" s="230">
        <f t="shared" si="0"/>
        <v>0</v>
      </c>
      <c r="H29" s="233">
        <f t="shared" si="1"/>
        <v>1150</v>
      </c>
      <c r="I29" s="309">
        <f>IF(T_T1341112131415161718192021222324252627282930313233353637383940414243444546474849505152535455565758596061626364656667686970717273747576[[#This Row],[Total]]&lt;0,T_T1341112131415161718192021222324252627282930313233353637383940414243444546474849505152535455565758596061626364656667686970717273747576[[#This Row],[Total]]*-1,0)</f>
        <v>0</v>
      </c>
      <c r="J29" s="309"/>
      <c r="K29" s="313"/>
      <c r="L29" s="313"/>
    </row>
    <row r="30" spans="1:12" x14ac:dyDescent="0.3">
      <c r="A30" s="107"/>
      <c r="B30" s="82" t="s">
        <v>543</v>
      </c>
      <c r="C30" s="6"/>
      <c r="D30" s="230"/>
      <c r="E30" s="230"/>
      <c r="F30" s="230"/>
      <c r="G30" s="230">
        <f t="shared" si="0"/>
        <v>0</v>
      </c>
      <c r="H30" s="233">
        <f t="shared" si="1"/>
        <v>1150</v>
      </c>
      <c r="I30" s="309">
        <f>IF(T_T1341112131415161718192021222324252627282930313233353637383940414243444546474849505152535455565758596061626364656667686970717273747576[[#This Row],[Total]]&lt;0,T_T1341112131415161718192021222324252627282930313233353637383940414243444546474849505152535455565758596061626364656667686970717273747576[[#This Row],[Total]]*-1,0)</f>
        <v>0</v>
      </c>
      <c r="J30" s="309"/>
      <c r="K30" s="313"/>
      <c r="L30" s="313"/>
    </row>
    <row r="31" spans="1:12" x14ac:dyDescent="0.3">
      <c r="A31" s="107">
        <v>45899</v>
      </c>
      <c r="B31" s="82" t="s">
        <v>544</v>
      </c>
      <c r="C31" s="229"/>
      <c r="D31" s="230"/>
      <c r="E31" s="230"/>
      <c r="F31" s="230"/>
      <c r="G31" s="230">
        <f t="shared" si="0"/>
        <v>0</v>
      </c>
      <c r="H31" s="233">
        <f t="shared" si="1"/>
        <v>1150</v>
      </c>
      <c r="I31" s="309">
        <f>IF(T_T1341112131415161718192021222324252627282930313233353637383940414243444546474849505152535455565758596061626364656667686970717273747576[[#This Row],[Total]]&lt;0,T_T1341112131415161718192021222324252627282930313233353637383940414243444546474849505152535455565758596061626364656667686970717273747576[[#This Row],[Total]]*-1,0)</f>
        <v>0</v>
      </c>
      <c r="J31" s="309"/>
      <c r="K31" s="313"/>
      <c r="L31" s="313"/>
    </row>
    <row r="32" spans="1:12" x14ac:dyDescent="0.3">
      <c r="A32" s="107"/>
      <c r="B32" s="82" t="s">
        <v>545</v>
      </c>
      <c r="C32" s="6"/>
      <c r="D32" s="230"/>
      <c r="E32" s="7"/>
      <c r="F32" s="230"/>
      <c r="G32" s="230">
        <f t="shared" si="0"/>
        <v>0</v>
      </c>
      <c r="H32" s="233">
        <f t="shared" si="1"/>
        <v>1150</v>
      </c>
      <c r="I32" s="311">
        <f>IF(T_T1341112131415161718192021222324252627282930313233353637383940414243444546474849505152535455565758596061626364656667686970717273747576[[#This Row],[Total]]&lt;0,T_T1341112131415161718192021222324252627282930313233353637383940414243444546474849505152535455565758596061626364656667686970717273747576[[#This Row],[Total]]*-1,0)</f>
        <v>0</v>
      </c>
      <c r="J32" s="311"/>
      <c r="K32" s="313"/>
      <c r="L32" s="313"/>
    </row>
    <row r="33" spans="1:12" x14ac:dyDescent="0.3">
      <c r="A33" s="9">
        <v>45930</v>
      </c>
      <c r="B33" s="3" t="s">
        <v>546</v>
      </c>
      <c r="C33" s="229"/>
      <c r="D33" s="230"/>
      <c r="E33" s="230"/>
      <c r="F33" s="230"/>
      <c r="G33" s="230">
        <f t="shared" si="0"/>
        <v>0</v>
      </c>
      <c r="H33" s="233">
        <f t="shared" si="1"/>
        <v>1150</v>
      </c>
      <c r="I33" s="309">
        <f>IF(T_T1341112131415161718192021222324252627282930313233353637383940414243444546474849505152535455565758596061626364656667686970717273747576[[#This Row],[Total]]&lt;0,T_T1341112131415161718192021222324252627282930313233353637383940414243444546474849505152535455565758596061626364656667686970717273747576[[#This Row],[Total]]*-1,0)</f>
        <v>0</v>
      </c>
      <c r="J33" s="309"/>
      <c r="K33" s="313"/>
      <c r="L33" s="313"/>
    </row>
    <row r="34" spans="1:12" x14ac:dyDescent="0.3">
      <c r="A34" s="9"/>
      <c r="B34" s="3" t="s">
        <v>547</v>
      </c>
      <c r="C34" s="6"/>
      <c r="D34" s="230"/>
      <c r="E34" s="230"/>
      <c r="F34" s="230"/>
      <c r="G34" s="230">
        <f t="shared" si="0"/>
        <v>0</v>
      </c>
      <c r="H34" s="233">
        <f t="shared" si="1"/>
        <v>1150</v>
      </c>
      <c r="I34" s="309">
        <f>IF(T_T1341112131415161718192021222324252627282930313233353637383940414243444546474849505152535455565758596061626364656667686970717273747576[[#This Row],[Total]]&lt;0,T_T1341112131415161718192021222324252627282930313233353637383940414243444546474849505152535455565758596061626364656667686970717273747576[[#This Row],[Total]]*-1,0)</f>
        <v>0</v>
      </c>
      <c r="J34" s="309"/>
      <c r="K34" s="313"/>
      <c r="L34" s="313"/>
    </row>
    <row r="35" spans="1:12" x14ac:dyDescent="0.3">
      <c r="A35" s="9">
        <v>45960</v>
      </c>
      <c r="B35" s="3" t="s">
        <v>548</v>
      </c>
      <c r="C35" s="229"/>
      <c r="D35" s="230"/>
      <c r="E35" s="230"/>
      <c r="F35" s="230"/>
      <c r="G35" s="230">
        <f t="shared" si="0"/>
        <v>0</v>
      </c>
      <c r="H35" s="233">
        <f t="shared" si="1"/>
        <v>1150</v>
      </c>
      <c r="I35" s="309">
        <f>IF(T_T1341112131415161718192021222324252627282930313233353637383940414243444546474849505152535455565758596061626364656667686970717273747576[[#This Row],[Total]]&lt;0,T_T1341112131415161718192021222324252627282930313233353637383940414243444546474849505152535455565758596061626364656667686970717273747576[[#This Row],[Total]]*-1,0)</f>
        <v>0</v>
      </c>
      <c r="J35" s="309"/>
      <c r="K35" s="313"/>
      <c r="L35" s="313"/>
    </row>
    <row r="36" spans="1:12" x14ac:dyDescent="0.3">
      <c r="A36" s="9"/>
      <c r="B36" s="3" t="s">
        <v>549</v>
      </c>
      <c r="C36" s="229"/>
      <c r="D36" s="230"/>
      <c r="E36" s="230"/>
      <c r="F36" s="230"/>
      <c r="G36" s="230">
        <f t="shared" si="0"/>
        <v>0</v>
      </c>
      <c r="H36" s="233">
        <f t="shared" si="1"/>
        <v>1150</v>
      </c>
      <c r="I36" s="309">
        <f>IF(T_T1341112131415161718192021222324252627282930313233353637383940414243444546474849505152535455565758596061626364656667686970717273747576[[#This Row],[Total]]&lt;0,T_T1341112131415161718192021222324252627282930313233353637383940414243444546474849505152535455565758596061626364656667686970717273747576[[#This Row],[Total]]*-1,0)</f>
        <v>0</v>
      </c>
      <c r="J36" s="309"/>
      <c r="K36" s="313"/>
      <c r="L36" s="313"/>
    </row>
    <row r="37" spans="1:12" x14ac:dyDescent="0.3">
      <c r="A37" s="9">
        <v>45991</v>
      </c>
      <c r="B37" s="3" t="s">
        <v>550</v>
      </c>
      <c r="C37" s="229"/>
      <c r="D37" s="230"/>
      <c r="E37" s="230"/>
      <c r="F37" s="230"/>
      <c r="G37" s="230">
        <f t="shared" si="0"/>
        <v>0</v>
      </c>
      <c r="H37" s="233">
        <f t="shared" si="1"/>
        <v>1150</v>
      </c>
      <c r="I37" s="309">
        <f>IF(T_T1341112131415161718192021222324252627282930313233353637383940414243444546474849505152535455565758596061626364656667686970717273747576[[#This Row],[Total]]&lt;0,T_T1341112131415161718192021222324252627282930313233353637383940414243444546474849505152535455565758596061626364656667686970717273747576[[#This Row],[Total]]*-1,0)</f>
        <v>0</v>
      </c>
      <c r="J37" s="309"/>
      <c r="K37" s="313"/>
      <c r="L37" s="313"/>
    </row>
    <row r="38" spans="1:12" x14ac:dyDescent="0.3">
      <c r="A38" s="17"/>
      <c r="B38" s="18" t="s">
        <v>551</v>
      </c>
      <c r="C38" s="229"/>
      <c r="D38" s="230"/>
      <c r="E38" s="230"/>
      <c r="F38" s="230"/>
      <c r="G38" s="230">
        <f t="shared" si="0"/>
        <v>0</v>
      </c>
      <c r="H38" s="233">
        <f t="shared" si="1"/>
        <v>1150</v>
      </c>
      <c r="I38" s="309">
        <f>IF(T_T1341112131415161718192021222324252627282930313233353637383940414243444546474849505152535455565758596061626364656667686970717273747576[[#This Row],[Total]]&lt;0,T_T1341112131415161718192021222324252627282930313233353637383940414243444546474849505152535455565758596061626364656667686970717273747576[[#This Row],[Total]]*-1,0)</f>
        <v>0</v>
      </c>
      <c r="J38" s="309"/>
      <c r="K38" s="313"/>
      <c r="L38" s="313"/>
    </row>
    <row r="39" spans="1:12" x14ac:dyDescent="0.3">
      <c r="A39" s="188">
        <v>46021</v>
      </c>
      <c r="B39" s="3" t="s">
        <v>552</v>
      </c>
      <c r="C39" s="229"/>
      <c r="D39" s="230"/>
      <c r="E39" s="230"/>
      <c r="F39" s="230"/>
      <c r="G39" s="230">
        <f t="shared" si="0"/>
        <v>0</v>
      </c>
      <c r="H39" s="233">
        <f t="shared" si="1"/>
        <v>1150</v>
      </c>
      <c r="I39" s="309">
        <f>IF(T_T1341112131415161718192021222324252627282930313233353637383940414243444546474849505152535455565758596061626364656667686970717273747576[[#This Row],[Total]]&lt;0,T_T1341112131415161718192021222324252627282930313233353637383940414243444546474849505152535455565758596061626364656667686970717273747576[[#This Row],[Total]]*-1,0)</f>
        <v>0</v>
      </c>
      <c r="J39" s="309"/>
      <c r="K39" s="313"/>
      <c r="L39" s="313"/>
    </row>
    <row r="40" spans="1:12" x14ac:dyDescent="0.3">
      <c r="A40" s="257"/>
      <c r="B40" s="110" t="s">
        <v>553</v>
      </c>
      <c r="C40" s="229"/>
      <c r="D40" s="230"/>
      <c r="E40" s="230"/>
      <c r="F40" s="230"/>
      <c r="G40" s="230">
        <f t="shared" si="0"/>
        <v>0</v>
      </c>
      <c r="H40" s="233">
        <f t="shared" si="1"/>
        <v>1150</v>
      </c>
      <c r="I40" s="309">
        <f>IF(T_T1341112131415161718192021222324252627282930313233353637383940414243444546474849505152535455565758596061626364656667686970717273747576[[#This Row],[Total]]&lt;0,T_T1341112131415161718192021222324252627282930313233353637383940414243444546474849505152535455565758596061626364656667686970717273747576[[#This Row],[Total]]*-1,0)</f>
        <v>0</v>
      </c>
      <c r="J40" s="309"/>
      <c r="K40" s="313"/>
      <c r="L40" s="313"/>
    </row>
    <row r="41" spans="1:12" x14ac:dyDescent="0.3">
      <c r="A41" s="107"/>
      <c r="B41" s="82"/>
      <c r="C41" s="229"/>
      <c r="D41" s="230"/>
      <c r="E41" s="230"/>
      <c r="F41" s="230"/>
      <c r="G41" s="230"/>
      <c r="H41" s="233"/>
      <c r="I41" s="309">
        <f>IF(T_T1341112131415161718192021222324252627282930313233353637383940414243444546474849505152535455565758596061626364656667686970717273747576[[#This Row],[Total]]&lt;0,T_T1341112131415161718192021222324252627282930313233353637383940414243444546474849505152535455565758596061626364656667686970717273747576[[#This Row],[Total]]*-1,0)</f>
        <v>0</v>
      </c>
      <c r="J41" s="309"/>
      <c r="K41" s="313"/>
      <c r="L41" s="313"/>
    </row>
    <row r="42" spans="1:12" x14ac:dyDescent="0.3">
      <c r="A42" s="107"/>
      <c r="B42" s="82"/>
      <c r="C42" s="229"/>
      <c r="D42" s="230"/>
      <c r="E42" s="230"/>
      <c r="F42" s="230"/>
      <c r="G42" s="230"/>
      <c r="H42" s="233"/>
      <c r="I42" s="309">
        <f>IF(T_T1341112131415161718192021222324252627282930313233353637383940414243444546474849505152535455565758596061626364656667686970717273747576[[#This Row],[Total]]&lt;0,T_T1341112131415161718192021222324252627282930313233353637383940414243444546474849505152535455565758596061626364656667686970717273747576[[#This Row],[Total]]*-1,0)</f>
        <v>0</v>
      </c>
      <c r="J42" s="309"/>
      <c r="K42" s="313"/>
      <c r="L42" s="313"/>
    </row>
    <row r="43" spans="1:12" x14ac:dyDescent="0.3">
      <c r="A43" s="9"/>
      <c r="B43" s="3"/>
      <c r="C43" s="314"/>
      <c r="D43" s="315"/>
      <c r="E43" s="315"/>
      <c r="F43" s="315"/>
      <c r="G43" s="315"/>
      <c r="H43" s="316"/>
      <c r="I43" s="309">
        <f>IF(T_T1341112131415161718192021222324252627282930313233353637383940414243444546474849505152535455565758596061626364656667686970717273747576[[#This Row],[Total]]&lt;0,T_T1341112131415161718192021222324252627282930313233353637383940414243444546474849505152535455565758596061626364656667686970717273747576[[#This Row],[Total]]*-1,0)</f>
        <v>0</v>
      </c>
      <c r="J43" s="309"/>
      <c r="K43" s="313"/>
      <c r="L43" s="313"/>
    </row>
    <row r="44" spans="1:12" x14ac:dyDescent="0.3">
      <c r="A44" s="105"/>
      <c r="B44" s="82"/>
      <c r="C44" s="314"/>
      <c r="D44" s="315"/>
      <c r="E44" s="315"/>
      <c r="F44" s="315"/>
      <c r="G44" s="315"/>
      <c r="H44" s="316"/>
      <c r="I44" s="309">
        <f>IF(T_T1341112131415161718192021222324252627282930313233353637383940414243444546474849505152535455565758596061626364656667686970717273747576[[#This Row],[Total]]&lt;0,T_T1341112131415161718192021222324252627282930313233353637383940414243444546474849505152535455565758596061626364656667686970717273747576[[#This Row],[Total]]*-1,0)</f>
        <v>0</v>
      </c>
      <c r="J44" s="309"/>
      <c r="K44" s="313"/>
      <c r="L44" s="313"/>
    </row>
    <row r="45" spans="1:12" x14ac:dyDescent="0.3">
      <c r="A45" s="17"/>
      <c r="B45" s="18"/>
      <c r="C45" s="317"/>
      <c r="D45" s="318"/>
      <c r="E45" s="318"/>
      <c r="F45" s="318"/>
      <c r="G45" s="318"/>
      <c r="H45" s="319"/>
      <c r="I45" s="311">
        <f>IF(T_T1341112131415161718192021222324252627282930313233353637383940414243444546474849505152535455565758596061626364656667686970717273747576[[#This Row],[Total]]&lt;0,T_T1341112131415161718192021222324252627282930313233353637383940414243444546474849505152535455565758596061626364656667686970717273747576[[#This Row],[Total]]*-1,0)</f>
        <v>0</v>
      </c>
      <c r="J45" s="311"/>
      <c r="K45" s="313"/>
      <c r="L45" s="313"/>
    </row>
  </sheetData>
  <hyperlinks>
    <hyperlink ref="B7" r:id="rId1" display="jose.orozco@outlook.com"/>
    <hyperlink ref="H7" location="Resumen!A1" display="Rsumen         "/>
  </hyperlinks>
  <pageMargins left="0.78740157480314965" right="0.47244094488188981" top="1.0629921259842521" bottom="0.35433070866141736" header="1.1811023622047245" footer="0.31496062992125984"/>
  <pageSetup scale="95" orientation="portrait" verticalDpi="360" r:id="rId2"/>
  <drawing r:id="rId3"/>
  <tableParts count="1">
    <tablePart r:id="rId4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P41"/>
  <sheetViews>
    <sheetView showGridLines="0" zoomScale="98" zoomScaleNormal="98" workbookViewId="0">
      <selection activeCell="C21" sqref="C21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5" style="4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2" max="12" width="3.44140625" customWidth="1"/>
    <col min="16" max="16" width="10.6640625" bestFit="1" customWidth="1"/>
    <col min="17" max="17" width="17.5546875" customWidth="1"/>
  </cols>
  <sheetData>
    <row r="2" spans="1:16" ht="15.6" x14ac:dyDescent="0.3">
      <c r="A2" s="27" t="s">
        <v>36</v>
      </c>
      <c r="B2" s="41" t="s">
        <v>125</v>
      </c>
    </row>
    <row r="3" spans="1:16" hidden="1" x14ac:dyDescent="0.3">
      <c r="A3" s="27" t="s">
        <v>31</v>
      </c>
      <c r="B3" s="28" t="e">
        <f>LOOKUP(B2,#REF!,#REF!)</f>
        <v>#REF!</v>
      </c>
    </row>
    <row r="4" spans="1:16" hidden="1" x14ac:dyDescent="0.3">
      <c r="A4" s="27" t="s">
        <v>32</v>
      </c>
      <c r="B4" s="28" t="e">
        <f>LOOKUP(B2,#REF!,#REF!)</f>
        <v>#REF!</v>
      </c>
    </row>
    <row r="5" spans="1:16" hidden="1" x14ac:dyDescent="0.3">
      <c r="A5" s="27" t="s">
        <v>33</v>
      </c>
      <c r="B5" s="28" t="e">
        <f>LOOKUP(B2,#REF!,#REF!)</f>
        <v>#REF!</v>
      </c>
    </row>
    <row r="6" spans="1:16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6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6" x14ac:dyDescent="0.3">
      <c r="A8" s="21"/>
      <c r="B8" s="21" t="s">
        <v>206</v>
      </c>
    </row>
    <row r="9" spans="1:16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96" t="s">
        <v>188</v>
      </c>
      <c r="K9" s="96" t="s">
        <v>191</v>
      </c>
      <c r="L9" s="182" t="s">
        <v>262</v>
      </c>
    </row>
    <row r="10" spans="1:16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IF(T_T134111213141516171819202122232425262728293031323335363738394041424344454647484950515253545556575859606162636465666768697071727374757677[[#This Row],[Total]]&lt;0,T_T134111213141516171819202122232425262728293031323335363738394041424344454647484950515253545556575859606162636465666768697071727374757677[[#This Row],[Total]]*-1,0)</f>
        <v>0</v>
      </c>
      <c r="J10" s="95"/>
      <c r="K10" s="97"/>
      <c r="L10" s="181"/>
      <c r="P10" s="178"/>
    </row>
    <row r="11" spans="1:16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IF(T_T134111213141516171819202122232425262728293031323335363738394041424344454647484950515253545556575859606162636465666768697071727374757677[[#This Row],[Total]]&lt;0,T_T134111213141516171819202122232425262728293031323335363738394041424344454647484950515253545556575859606162636465666768697071727374757677[[#This Row],[Total]]*-1,0)</f>
        <v>0</v>
      </c>
      <c r="J11" s="231"/>
      <c r="K11" s="232"/>
      <c r="L11" s="232"/>
    </row>
    <row r="12" spans="1:16" x14ac:dyDescent="0.3">
      <c r="A12" s="361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IF(T_T134111213141516171819202122232425262728293031323335363738394041424344454647484950515253545556575859606162636465666768697071727374757677[[#This Row],[Total]]&lt;0,T_T134111213141516171819202122232425262728293031323335363738394041424344454647484950515253545556575859606162636465666768697071727374757677[[#This Row],[Total]]*-1,0)</f>
        <v>0</v>
      </c>
      <c r="J12" s="427"/>
      <c r="K12" s="419"/>
      <c r="L12" s="419"/>
    </row>
    <row r="13" spans="1:16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IF(T_T134111213141516171819202122232425262728293031323335363738394041424344454647484950515253545556575859606162636465666768697071727374757677[[#This Row],[Total]]&lt;0,T_T134111213141516171819202122232425262728293031323335363738394041424344454647484950515253545556575859606162636465666768697071727374757677[[#This Row],[Total]]*-1,0)</f>
        <v>0</v>
      </c>
      <c r="J13" s="231"/>
      <c r="K13" s="232"/>
      <c r="L13" s="232"/>
    </row>
    <row r="14" spans="1:16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IF(T_T134111213141516171819202122232425262728293031323335363738394041424344454647484950515253545556575859606162636465666768697071727374757677[[#This Row],[Total]]&lt;0,T_T134111213141516171819202122232425262728293031323335363738394041424344454647484950515253545556575859606162636465666768697071727374757677[[#This Row],[Total]]*-1,0)</f>
        <v>0</v>
      </c>
      <c r="J14" s="476"/>
      <c r="K14" s="485"/>
      <c r="L14" s="485"/>
    </row>
    <row r="15" spans="1:16" x14ac:dyDescent="0.3">
      <c r="A15" s="17">
        <v>46052</v>
      </c>
      <c r="B15" s="18" t="s">
        <v>590</v>
      </c>
      <c r="C15" s="6"/>
      <c r="D15" s="2">
        <v>232</v>
      </c>
      <c r="E15" s="2">
        <v>57</v>
      </c>
      <c r="F15" s="20"/>
      <c r="G15" s="20">
        <f>SUM(D15:F15)</f>
        <v>289</v>
      </c>
      <c r="H15" s="233">
        <f>+H13+T_T134111213141516171819202122232425262728293031323335363738394041424344454647484950515253545556575859606162636465666768697071727374757677[[#This Row],[Total]]</f>
        <v>289</v>
      </c>
      <c r="I15" s="240">
        <f>IF(T_T134111213141516171819202122232425262728293031323335363738394041424344454647484950515253545556575859606162636465666768697071727374757677[[#This Row],[Total]]&lt;0,T_T134111213141516171819202122232425262728293031323335363738394041424344454647484950515253545556575859606162636465666768697071727374757677[[#This Row],[Total]]*-1,0)</f>
        <v>0</v>
      </c>
      <c r="J15" s="231"/>
      <c r="K15" s="232"/>
      <c r="L15" s="232"/>
    </row>
    <row r="16" spans="1:16" x14ac:dyDescent="0.3">
      <c r="A16" s="17"/>
      <c r="B16" s="18" t="s">
        <v>591</v>
      </c>
      <c r="C16" s="6" t="s">
        <v>646</v>
      </c>
      <c r="D16" s="2">
        <f>-41-191</f>
        <v>-232</v>
      </c>
      <c r="E16" s="2">
        <f>-50-7</f>
        <v>-57</v>
      </c>
      <c r="F16" s="230"/>
      <c r="G16" s="230">
        <f t="shared" ref="G16:G38" si="0">SUM(D16:F16)</f>
        <v>-289</v>
      </c>
      <c r="H16" s="233">
        <f t="shared" ref="H16:H40" si="1">H15+G16</f>
        <v>0</v>
      </c>
      <c r="I16" s="240">
        <f>IF(T_T134111213141516171819202122232425262728293031323335363738394041424344454647484950515253545556575859606162636465666768697071727374757677[[#This Row],[Total]]&lt;0,T_T134111213141516171819202122232425262728293031323335363738394041424344454647484950515253545556575859606162636465666768697071727374757677[[#This Row],[Total]]*-1,0)</f>
        <v>289</v>
      </c>
      <c r="J16" s="231"/>
      <c r="K16" s="232"/>
      <c r="L16" s="232"/>
    </row>
    <row r="17" spans="1:16" x14ac:dyDescent="0.3">
      <c r="A17" s="164">
        <v>45715</v>
      </c>
      <c r="B17" s="161" t="s">
        <v>532</v>
      </c>
      <c r="C17" s="6"/>
      <c r="D17" s="2">
        <v>232</v>
      </c>
      <c r="E17" s="2">
        <v>40</v>
      </c>
      <c r="F17" s="230"/>
      <c r="G17" s="230">
        <f t="shared" si="0"/>
        <v>272</v>
      </c>
      <c r="H17" s="233">
        <f t="shared" si="1"/>
        <v>272</v>
      </c>
      <c r="I17" s="240">
        <f>IF(T_T134111213141516171819202122232425262728293031323335363738394041424344454647484950515253545556575859606162636465666768697071727374757677[[#This Row],[Total]]&lt;0,T_T134111213141516171819202122232425262728293031323335363738394041424344454647484950515253545556575859606162636465666768697071727374757677[[#This Row],[Total]]*-1,0)</f>
        <v>0</v>
      </c>
      <c r="J17" s="231"/>
      <c r="K17" s="232"/>
      <c r="L17" s="232"/>
      <c r="P17">
        <f>191+41</f>
        <v>232</v>
      </c>
    </row>
    <row r="18" spans="1:16" x14ac:dyDescent="0.3">
      <c r="A18" s="187"/>
      <c r="B18" s="18" t="s">
        <v>533</v>
      </c>
      <c r="C18" s="6" t="s">
        <v>647</v>
      </c>
      <c r="D18" s="2">
        <f>-41-191</f>
        <v>-232</v>
      </c>
      <c r="E18" s="2">
        <v>-40</v>
      </c>
      <c r="F18" s="230"/>
      <c r="G18" s="230">
        <f t="shared" si="0"/>
        <v>-272</v>
      </c>
      <c r="H18" s="233">
        <f t="shared" si="1"/>
        <v>0</v>
      </c>
      <c r="I18" s="240">
        <f>IF(T_T134111213141516171819202122232425262728293031323335363738394041424344454647484950515253545556575859606162636465666768697071727374757677[[#This Row],[Total]]&lt;0,T_T134111213141516171819202122232425262728293031323335363738394041424344454647484950515253545556575859606162636465666768697071727374757677[[#This Row],[Total]]*-1,0)</f>
        <v>272</v>
      </c>
      <c r="J18" s="231"/>
      <c r="K18" s="232"/>
      <c r="L18" s="232"/>
    </row>
    <row r="19" spans="1:16" x14ac:dyDescent="0.3">
      <c r="A19" s="188">
        <v>45747</v>
      </c>
      <c r="B19" s="3" t="s">
        <v>534</v>
      </c>
      <c r="C19" s="6"/>
      <c r="D19" s="2">
        <f>219+47</f>
        <v>266</v>
      </c>
      <c r="E19" s="2">
        <v>16</v>
      </c>
      <c r="F19" s="230"/>
      <c r="G19" s="230">
        <f t="shared" si="0"/>
        <v>282</v>
      </c>
      <c r="H19" s="233">
        <f t="shared" si="1"/>
        <v>282</v>
      </c>
      <c r="I19" s="240">
        <f>IF(T_T134111213141516171819202122232425262728293031323335363738394041424344454647484950515253545556575859606162636465666768697071727374757677[[#This Row],[Total]]&lt;0,T_T134111213141516171819202122232425262728293031323335363738394041424344454647484950515253545556575859606162636465666768697071727374757677[[#This Row],[Total]]*-1,0)</f>
        <v>0</v>
      </c>
      <c r="J19" s="231"/>
      <c r="K19" s="232"/>
      <c r="L19" s="232"/>
    </row>
    <row r="20" spans="1:16" x14ac:dyDescent="0.3">
      <c r="A20" s="188"/>
      <c r="B20" s="82" t="s">
        <v>535</v>
      </c>
      <c r="C20" s="6" t="s">
        <v>647</v>
      </c>
      <c r="D20" s="2">
        <f>-219-47</f>
        <v>-266</v>
      </c>
      <c r="E20" s="2">
        <v>-16</v>
      </c>
      <c r="F20" s="230"/>
      <c r="G20" s="230">
        <f t="shared" si="0"/>
        <v>-282</v>
      </c>
      <c r="H20" s="233">
        <f t="shared" si="1"/>
        <v>0</v>
      </c>
      <c r="I20" s="240">
        <f>IF(T_T134111213141516171819202122232425262728293031323335363738394041424344454647484950515253545556575859606162636465666768697071727374757677[[#This Row],[Total]]&lt;0,T_T134111213141516171819202122232425262728293031323335363738394041424344454647484950515253545556575859606162636465666768697071727374757677[[#This Row],[Total]]*-1,0)</f>
        <v>282</v>
      </c>
      <c r="J20" s="231"/>
      <c r="K20" s="232"/>
      <c r="L20" s="232"/>
    </row>
    <row r="21" spans="1:16" x14ac:dyDescent="0.3">
      <c r="A21" s="188">
        <v>45777</v>
      </c>
      <c r="B21" s="3" t="s">
        <v>536</v>
      </c>
      <c r="C21" s="6"/>
      <c r="D21" s="2">
        <v>266</v>
      </c>
      <c r="E21" s="2">
        <v>1</v>
      </c>
      <c r="F21" s="230"/>
      <c r="G21" s="230">
        <f t="shared" si="0"/>
        <v>267</v>
      </c>
      <c r="H21" s="233">
        <f t="shared" si="1"/>
        <v>267</v>
      </c>
      <c r="I21" s="51">
        <f>IF(T_T134111213141516171819202122232425262728293031323335363738394041424344454647484950515253545556575859606162636465666768697071727374757677[[#This Row],[Total]]&lt;0,T_T134111213141516171819202122232425262728293031323335363738394041424344454647484950515253545556575859606162636465666768697071727374757677[[#This Row],[Total]]*-1,0)</f>
        <v>0</v>
      </c>
      <c r="J21" s="73"/>
      <c r="K21" s="79"/>
      <c r="L21" s="79"/>
    </row>
    <row r="22" spans="1:16" x14ac:dyDescent="0.3">
      <c r="A22" s="83"/>
      <c r="B22" s="82" t="s">
        <v>537</v>
      </c>
      <c r="C22" s="6">
        <v>8927</v>
      </c>
      <c r="D22" s="2">
        <v>-47</v>
      </c>
      <c r="E22" s="2"/>
      <c r="F22" s="230"/>
      <c r="G22" s="230">
        <f t="shared" si="0"/>
        <v>-47</v>
      </c>
      <c r="H22" s="233">
        <f t="shared" si="1"/>
        <v>220</v>
      </c>
      <c r="I22" s="51">
        <f>IF(T_T134111213141516171819202122232425262728293031323335363738394041424344454647484950515253545556575859606162636465666768697071727374757677[[#This Row],[Total]]&lt;0,T_T134111213141516171819202122232425262728293031323335363738394041424344454647484950515253545556575859606162636465666768697071727374757677[[#This Row],[Total]]*-1,0)</f>
        <v>47</v>
      </c>
      <c r="J22" s="73"/>
      <c r="K22" s="79"/>
      <c r="L22" s="79"/>
    </row>
    <row r="23" spans="1:16" x14ac:dyDescent="0.3">
      <c r="A23" s="40">
        <v>45807</v>
      </c>
      <c r="B23" s="3" t="s">
        <v>538</v>
      </c>
      <c r="C23" s="229"/>
      <c r="D23" s="230">
        <v>266</v>
      </c>
      <c r="E23" s="230">
        <v>48</v>
      </c>
      <c r="F23" s="230"/>
      <c r="G23" s="230">
        <f t="shared" si="0"/>
        <v>314</v>
      </c>
      <c r="H23" s="233">
        <f t="shared" si="1"/>
        <v>534</v>
      </c>
      <c r="I23" s="51">
        <f>IF(T_T134111213141516171819202122232425262728293031323335363738394041424344454647484950515253545556575859606162636465666768697071727374757677[[#This Row],[Total]]&lt;0,T_T134111213141516171819202122232425262728293031323335363738394041424344454647484950515253545556575859606162636465666768697071727374757677[[#This Row],[Total]]*-1,0)</f>
        <v>0</v>
      </c>
      <c r="J23" s="73"/>
      <c r="K23" s="79"/>
      <c r="L23" s="79"/>
    </row>
    <row r="24" spans="1:16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534</v>
      </c>
      <c r="I24" s="51">
        <f>IF(T_T134111213141516171819202122232425262728293031323335363738394041424344454647484950515253545556575859606162636465666768697071727374757677[[#This Row],[Total]]&lt;0,T_T134111213141516171819202122232425262728293031323335363738394041424344454647484950515253545556575859606162636465666768697071727374757677[[#This Row],[Total]]*-1,0)</f>
        <v>0</v>
      </c>
      <c r="J24" s="73"/>
      <c r="K24" s="79"/>
      <c r="L24" s="79"/>
      <c r="O24" s="143"/>
    </row>
    <row r="25" spans="1:16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534</v>
      </c>
      <c r="I25" s="51">
        <f>IF(T_T134111213141516171819202122232425262728293031323335363738394041424344454647484950515253545556575859606162636465666768697071727374757677[[#This Row],[Total]]&lt;0,T_T134111213141516171819202122232425262728293031323335363738394041424344454647484950515253545556575859606162636465666768697071727374757677[[#This Row],[Total]]*-1,0)</f>
        <v>0</v>
      </c>
      <c r="J25" s="73"/>
      <c r="K25" s="79"/>
      <c r="L25" s="79"/>
    </row>
    <row r="26" spans="1:16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534</v>
      </c>
      <c r="I26" s="51">
        <f>IF(T_T134111213141516171819202122232425262728293031323335363738394041424344454647484950515253545556575859606162636465666768697071727374757677[[#This Row],[Total]]&lt;0,T_T134111213141516171819202122232425262728293031323335363738394041424344454647484950515253545556575859606162636465666768697071727374757677[[#This Row],[Total]]*-1,0)</f>
        <v>0</v>
      </c>
      <c r="J26" s="73"/>
      <c r="K26" s="79"/>
      <c r="L26" s="79"/>
    </row>
    <row r="27" spans="1:16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534</v>
      </c>
      <c r="I27" s="51">
        <f>IF(T_T134111213141516171819202122232425262728293031323335363738394041424344454647484950515253545556575859606162636465666768697071727374757677[[#This Row],[Total]]&lt;0,T_T134111213141516171819202122232425262728293031323335363738394041424344454647484950515253545556575859606162636465666768697071727374757677[[#This Row],[Total]]*-1,0)</f>
        <v>0</v>
      </c>
      <c r="J27" s="73"/>
      <c r="K27" s="79"/>
      <c r="L27" s="79"/>
    </row>
    <row r="28" spans="1:16" x14ac:dyDescent="0.3">
      <c r="A28" s="107"/>
      <c r="B28" s="82" t="s">
        <v>543</v>
      </c>
      <c r="C28" s="6"/>
      <c r="D28" s="7"/>
      <c r="E28" s="230"/>
      <c r="F28" s="230"/>
      <c r="G28" s="230">
        <f t="shared" si="0"/>
        <v>0</v>
      </c>
      <c r="H28" s="233">
        <f t="shared" si="1"/>
        <v>534</v>
      </c>
      <c r="I28" s="51">
        <f>IF(T_T134111213141516171819202122232425262728293031323335363738394041424344454647484950515253545556575859606162636465666768697071727374757677[[#This Row],[Total]]&lt;0,T_T134111213141516171819202122232425262728293031323335363738394041424344454647484950515253545556575859606162636465666768697071727374757677[[#This Row],[Total]]*-1,0)</f>
        <v>0</v>
      </c>
      <c r="J28" s="73"/>
      <c r="K28" s="79"/>
      <c r="L28" s="79"/>
    </row>
    <row r="29" spans="1:16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534</v>
      </c>
      <c r="I29" s="309">
        <f>IF(T_T134111213141516171819202122232425262728293031323335363738394041424344454647484950515253545556575859606162636465666768697071727374757677[[#This Row],[Total]]&lt;0,T_T134111213141516171819202122232425262728293031323335363738394041424344454647484950515253545556575859606162636465666768697071727374757677[[#This Row],[Total]]*-1,0)</f>
        <v>0</v>
      </c>
      <c r="J29" s="320"/>
      <c r="K29" s="313"/>
      <c r="L29" s="313"/>
    </row>
    <row r="30" spans="1:16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534</v>
      </c>
      <c r="I30" s="309">
        <f>IF(T_T134111213141516171819202122232425262728293031323335363738394041424344454647484950515253545556575859606162636465666768697071727374757677[[#This Row],[Total]]&lt;0,T_T134111213141516171819202122232425262728293031323335363738394041424344454647484950515253545556575859606162636465666768697071727374757677[[#This Row],[Total]]*-1,0)</f>
        <v>0</v>
      </c>
      <c r="J30" s="320"/>
      <c r="K30" s="313"/>
      <c r="L30" s="313"/>
      <c r="N30" t="s">
        <v>528</v>
      </c>
    </row>
    <row r="31" spans="1:16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534</v>
      </c>
      <c r="I31" s="309">
        <f>IF(T_T134111213141516171819202122232425262728293031323335363738394041424344454647484950515253545556575859606162636465666768697071727374757677[[#This Row],[Total]]&lt;0,T_T134111213141516171819202122232425262728293031323335363738394041424344454647484950515253545556575859606162636465666768697071727374757677[[#This Row],[Total]]*-1,0)</f>
        <v>0</v>
      </c>
      <c r="J31" s="320"/>
      <c r="K31" s="313"/>
      <c r="L31" s="313"/>
    </row>
    <row r="32" spans="1:16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534</v>
      </c>
      <c r="I32" s="309">
        <f>IF(T_T134111213141516171819202122232425262728293031323335363738394041424344454647484950515253545556575859606162636465666768697071727374757677[[#This Row],[Total]]&lt;0,T_T134111213141516171819202122232425262728293031323335363738394041424344454647484950515253545556575859606162636465666768697071727374757677[[#This Row],[Total]]*-1,0)</f>
        <v>0</v>
      </c>
      <c r="J32" s="320"/>
      <c r="K32" s="313"/>
      <c r="L32" s="313"/>
    </row>
    <row r="33" spans="1:12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534</v>
      </c>
      <c r="I33" s="309">
        <f>IF(T_T134111213141516171819202122232425262728293031323335363738394041424344454647484950515253545556575859606162636465666768697071727374757677[[#This Row],[Total]]&lt;0,T_T134111213141516171819202122232425262728293031323335363738394041424344454647484950515253545556575859606162636465666768697071727374757677[[#This Row],[Total]]*-1,0)</f>
        <v>0</v>
      </c>
      <c r="J33" s="320"/>
      <c r="K33" s="313"/>
      <c r="L33" s="313"/>
    </row>
    <row r="34" spans="1:12" x14ac:dyDescent="0.3">
      <c r="A34" s="9"/>
      <c r="B34" s="3" t="s">
        <v>549</v>
      </c>
      <c r="C34" s="6"/>
      <c r="D34" s="230"/>
      <c r="E34" s="230"/>
      <c r="F34" s="230"/>
      <c r="G34" s="230">
        <f t="shared" si="0"/>
        <v>0</v>
      </c>
      <c r="H34" s="233">
        <f t="shared" si="1"/>
        <v>534</v>
      </c>
      <c r="I34" s="309">
        <f>IF(T_T134111213141516171819202122232425262728293031323335363738394041424344454647484950515253545556575859606162636465666768697071727374757677[[#This Row],[Total]]&lt;0,T_T134111213141516171819202122232425262728293031323335363738394041424344454647484950515253545556575859606162636465666768697071727374757677[[#This Row],[Total]]*-1,0)</f>
        <v>0</v>
      </c>
      <c r="J34" s="320"/>
      <c r="K34" s="313"/>
      <c r="L34" s="313"/>
    </row>
    <row r="35" spans="1:12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534</v>
      </c>
      <c r="I35" s="309">
        <f>IF(T_T134111213141516171819202122232425262728293031323335363738394041424344454647484950515253545556575859606162636465666768697071727374757677[[#This Row],[Total]]&lt;0,T_T134111213141516171819202122232425262728293031323335363738394041424344454647484950515253545556575859606162636465666768697071727374757677[[#This Row],[Total]]*-1,0)</f>
        <v>0</v>
      </c>
      <c r="J35" s="320"/>
      <c r="K35" s="313"/>
      <c r="L35" s="313"/>
    </row>
    <row r="36" spans="1:12" x14ac:dyDescent="0.3">
      <c r="A36" s="17"/>
      <c r="B36" s="18" t="s">
        <v>551</v>
      </c>
      <c r="C36" s="6"/>
      <c r="D36" s="230"/>
      <c r="E36" s="230"/>
      <c r="F36" s="230"/>
      <c r="G36" s="230">
        <f t="shared" si="0"/>
        <v>0</v>
      </c>
      <c r="H36" s="233">
        <f t="shared" si="1"/>
        <v>534</v>
      </c>
      <c r="I36" s="309">
        <f>IF(T_T134111213141516171819202122232425262728293031323335363738394041424344454647484950515253545556575859606162636465666768697071727374757677[[#This Row],[Total]]&lt;0,T_T134111213141516171819202122232425262728293031323335363738394041424344454647484950515253545556575859606162636465666768697071727374757677[[#This Row],[Total]]*-1,0)</f>
        <v>0</v>
      </c>
      <c r="J36" s="320"/>
      <c r="K36" s="313"/>
      <c r="L36" s="313"/>
    </row>
    <row r="37" spans="1:12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534</v>
      </c>
      <c r="I37" s="309">
        <f>IF(T_T134111213141516171819202122232425262728293031323335363738394041424344454647484950515253545556575859606162636465666768697071727374757677[[#This Row],[Total]]&lt;0,T_T134111213141516171819202122232425262728293031323335363738394041424344454647484950515253545556575859606162636465666768697071727374757677[[#This Row],[Total]]*-1,0)</f>
        <v>0</v>
      </c>
      <c r="J37" s="320"/>
      <c r="K37" s="313"/>
      <c r="L37" s="313"/>
    </row>
    <row r="38" spans="1:12" x14ac:dyDescent="0.3">
      <c r="A38" s="257"/>
      <c r="B38" s="110" t="s">
        <v>553</v>
      </c>
      <c r="C38" s="6"/>
      <c r="D38" s="230"/>
      <c r="E38" s="230"/>
      <c r="F38" s="230"/>
      <c r="G38" s="230">
        <f t="shared" si="0"/>
        <v>0</v>
      </c>
      <c r="H38" s="233">
        <f t="shared" si="1"/>
        <v>534</v>
      </c>
      <c r="I38" s="353">
        <f>IF(T_T134111213141516171819202122232425262728293031323335363738394041424344454647484950515253545556575859606162636465666768697071727374757677[[#This Row],[Total]]&lt;0,T_T134111213141516171819202122232425262728293031323335363738394041424344454647484950515253545556575859606162636465666768697071727374757677[[#This Row],[Total]]*-1,0)</f>
        <v>0</v>
      </c>
      <c r="J38" s="355"/>
      <c r="K38" s="354"/>
      <c r="L38" s="354"/>
    </row>
    <row r="39" spans="1:12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534</v>
      </c>
      <c r="I39" s="353">
        <f>IF(T_T134111213141516171819202122232425262728293031323335363738394041424344454647484950515253545556575859606162636465666768697071727374757677[[#This Row],[Total]]&lt;0,T_T134111213141516171819202122232425262728293031323335363738394041424344454647484950515253545556575859606162636465666768697071727374757677[[#This Row],[Total]]*-1,0)</f>
        <v>0</v>
      </c>
      <c r="J39" s="355"/>
      <c r="K39" s="354"/>
      <c r="L39" s="354"/>
    </row>
    <row r="40" spans="1:12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534</v>
      </c>
      <c r="I40" s="353">
        <f>IF(T_T134111213141516171819202122232425262728293031323335363738394041424344454647484950515253545556575859606162636465666768697071727374757677[[#This Row],[Total]]&lt;0,T_T134111213141516171819202122232425262728293031323335363738394041424344454647484950515253545556575859606162636465666768697071727374757677[[#This Row],[Total]]*-1,0)</f>
        <v>0</v>
      </c>
      <c r="J40" s="355"/>
      <c r="K40" s="354"/>
      <c r="L40" s="354"/>
    </row>
    <row r="41" spans="1:12" x14ac:dyDescent="0.3">
      <c r="A41" s="17"/>
      <c r="B41" s="76"/>
      <c r="C41" s="466"/>
      <c r="D41" s="467"/>
      <c r="E41" s="467"/>
      <c r="F41" s="467"/>
      <c r="G41" s="467"/>
      <c r="H41" s="506"/>
      <c r="I41" s="475"/>
      <c r="J41" s="480"/>
      <c r="K41" s="480"/>
      <c r="L41" s="76"/>
    </row>
  </sheetData>
  <hyperlinks>
    <hyperlink ref="B7" r:id="rId1" display="jose.orozco@outlook.com"/>
    <hyperlink ref="H7" location="Resumen!A1" display="Rsumen         "/>
  </hyperlinks>
  <pageMargins left="0.70866141732283472" right="0.70866141732283472" top="0.31496062992125984" bottom="0.23622047244094491" header="0.31496062992125984" footer="0.31496062992125984"/>
  <pageSetup scale="60" orientation="portrait" verticalDpi="360" r:id="rId2"/>
  <drawing r:id="rId3"/>
  <tableParts count="1">
    <tablePart r:id="rId4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M41"/>
  <sheetViews>
    <sheetView showGridLines="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0.6640625" bestFit="1" customWidth="1"/>
    <col min="14" max="14" width="15.6640625" customWidth="1"/>
  </cols>
  <sheetData>
    <row r="2" spans="1:13" ht="15.6" x14ac:dyDescent="0.3">
      <c r="A2" s="27" t="s">
        <v>36</v>
      </c>
      <c r="B2" s="41" t="s">
        <v>126</v>
      </c>
    </row>
    <row r="3" spans="1:13" hidden="1" x14ac:dyDescent="0.3">
      <c r="A3" s="27" t="s">
        <v>31</v>
      </c>
      <c r="B3" s="28" t="e">
        <f>LOOKUP(B2,#REF!,#REF!)</f>
        <v>#REF!</v>
      </c>
    </row>
    <row r="4" spans="1:13" hidden="1" x14ac:dyDescent="0.3">
      <c r="A4" s="27" t="s">
        <v>32</v>
      </c>
      <c r="B4" s="28" t="e">
        <f>LOOKUP(B2,#REF!,#REF!)</f>
        <v>#REF!</v>
      </c>
    </row>
    <row r="5" spans="1:13" hidden="1" x14ac:dyDescent="0.3">
      <c r="A5" s="27" t="s">
        <v>33</v>
      </c>
      <c r="B5" s="28" t="e">
        <f>LOOKUP(B2,#REF!,#REF!)</f>
        <v>#REF!</v>
      </c>
    </row>
    <row r="6" spans="1:13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3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3" x14ac:dyDescent="0.3">
      <c r="A8" s="21"/>
      <c r="B8" s="21" t="s">
        <v>419</v>
      </c>
    </row>
    <row r="9" spans="1:13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416" t="s">
        <v>188</v>
      </c>
    </row>
    <row r="10" spans="1:13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IF(T_T13411121314151617181920212223242526272829303132333536373839404142434445464748495051525354555657585960616263646566676869707172737475767778[[#This Row],[Total]]&lt;0,T_T13411121314151617181920212223242526272829303132333536373839404142434445464748495051525354555657585960616263646566676869707172737475767778[[#This Row],[Total]]*-1,0)</f>
        <v>0</v>
      </c>
      <c r="J10" s="445"/>
      <c r="M10" s="178"/>
    </row>
    <row r="11" spans="1:13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IF(T_T13411121314151617181920212223242526272829303132333536373839404142434445464748495051525354555657585960616263646566676869707172737475767778[[#This Row],[Total]]&lt;0,T_T13411121314151617181920212223242526272829303132333536373839404142434445464748495051525354555657585960616263646566676869707172737475767778[[#This Row],[Total]]*-1,0)</f>
        <v>0</v>
      </c>
      <c r="J11" s="427"/>
    </row>
    <row r="12" spans="1:13" x14ac:dyDescent="0.3">
      <c r="A12" s="361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IF(T_T13411121314151617181920212223242526272829303132333536373839404142434445464748495051525354555657585960616263646566676869707172737475767778[[#This Row],[Total]]&lt;0,T_T13411121314151617181920212223242526272829303132333536373839404142434445464748495051525354555657585960616263646566676869707172737475767778[[#This Row],[Total]]*-1,0)</f>
        <v>0</v>
      </c>
      <c r="J12" s="427"/>
    </row>
    <row r="13" spans="1:13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IF(T_T13411121314151617181920212223242526272829303132333536373839404142434445464748495051525354555657585960616263646566676869707172737475767778[[#This Row],[Total]]&lt;0,T_T13411121314151617181920212223242526272829303132333536373839404142434445464748495051525354555657585960616263646566676869707172737475767778[[#This Row],[Total]]*-1,0)</f>
        <v>0</v>
      </c>
      <c r="J13" s="427"/>
    </row>
    <row r="14" spans="1:13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IF(T_T13411121314151617181920212223242526272829303132333536373839404142434445464748495051525354555657585960616263646566676869707172737475767778[[#This Row],[Total]]&lt;0,T_T13411121314151617181920212223242526272829303132333536373839404142434445464748495051525354555657585960616263646566676869707172737475767778[[#This Row],[Total]]*-1,0)</f>
        <v>0</v>
      </c>
      <c r="J14" s="476"/>
    </row>
    <row r="15" spans="1:13" x14ac:dyDescent="0.3">
      <c r="A15" s="17">
        <v>45687</v>
      </c>
      <c r="B15" s="18" t="s">
        <v>530</v>
      </c>
      <c r="C15" s="6"/>
      <c r="D15" s="2">
        <v>227</v>
      </c>
      <c r="E15" s="2">
        <v>62</v>
      </c>
      <c r="F15" s="20"/>
      <c r="G15" s="20">
        <f>SUM(D15:F15)</f>
        <v>289</v>
      </c>
      <c r="H15" s="233">
        <f>+H13+T_T13411121314151617181920212223242526272829303132333536373839404142434445464748495051525354555657585960616263646566676869707172737475767778[[#This Row],[Total]]</f>
        <v>289</v>
      </c>
      <c r="I15" s="240">
        <f>IF(T_T13411121314151617181920212223242526272829303132333536373839404142434445464748495051525354555657585960616263646566676869707172737475767778[[#This Row],[Total]]&lt;0,T_T13411121314151617181920212223242526272829303132333536373839404142434445464748495051525354555657585960616263646566676869707172737475767778[[#This Row],[Total]]*-1,0)</f>
        <v>0</v>
      </c>
      <c r="J15" s="427"/>
    </row>
    <row r="16" spans="1:13" x14ac:dyDescent="0.3">
      <c r="A16" s="17"/>
      <c r="B16" s="18" t="s">
        <v>531</v>
      </c>
      <c r="C16" s="6">
        <v>8612</v>
      </c>
      <c r="D16" s="2">
        <v>-227</v>
      </c>
      <c r="E16" s="2">
        <v>-62</v>
      </c>
      <c r="F16" s="230"/>
      <c r="G16" s="230">
        <f t="shared" ref="G16:G38" si="0">SUM(D16:F16)</f>
        <v>-289</v>
      </c>
      <c r="H16" s="233">
        <f t="shared" ref="H16:H40" si="1">H15+G16</f>
        <v>0</v>
      </c>
      <c r="I16" s="240">
        <f>IF(T_T13411121314151617181920212223242526272829303132333536373839404142434445464748495051525354555657585960616263646566676869707172737475767778[[#This Row],[Total]]&lt;0,T_T13411121314151617181920212223242526272829303132333536373839404142434445464748495051525354555657585960616263646566676869707172737475767778[[#This Row],[Total]]*-1,0)</f>
        <v>289</v>
      </c>
      <c r="J16" s="427"/>
    </row>
    <row r="17" spans="1:10" x14ac:dyDescent="0.3">
      <c r="A17" s="164">
        <v>45715</v>
      </c>
      <c r="B17" s="161" t="s">
        <v>532</v>
      </c>
      <c r="C17" s="6"/>
      <c r="D17" s="2">
        <v>227</v>
      </c>
      <c r="E17" s="2">
        <v>76</v>
      </c>
      <c r="F17" s="230"/>
      <c r="G17" s="230">
        <f t="shared" si="0"/>
        <v>303</v>
      </c>
      <c r="H17" s="233">
        <f t="shared" si="1"/>
        <v>303</v>
      </c>
      <c r="I17" s="240">
        <f>IF(T_T13411121314151617181920212223242526272829303132333536373839404142434445464748495051525354555657585960616263646566676869707172737475767778[[#This Row],[Total]]&lt;0,T_T13411121314151617181920212223242526272829303132333536373839404142434445464748495051525354555657585960616263646566676869707172737475767778[[#This Row],[Total]]*-1,0)</f>
        <v>0</v>
      </c>
      <c r="J17" s="427"/>
    </row>
    <row r="18" spans="1:10" x14ac:dyDescent="0.3">
      <c r="A18" s="187"/>
      <c r="B18" s="18" t="s">
        <v>533</v>
      </c>
      <c r="C18" s="6">
        <v>8684</v>
      </c>
      <c r="D18" s="2">
        <v>-227</v>
      </c>
      <c r="E18" s="2">
        <v>-76</v>
      </c>
      <c r="F18" s="230"/>
      <c r="G18" s="230">
        <f t="shared" si="0"/>
        <v>-303</v>
      </c>
      <c r="H18" s="233">
        <f t="shared" si="1"/>
        <v>0</v>
      </c>
      <c r="I18" s="240">
        <f>IF(T_T13411121314151617181920212223242526272829303132333536373839404142434445464748495051525354555657585960616263646566676869707172737475767778[[#This Row],[Total]]&lt;0,T_T13411121314151617181920212223242526272829303132333536373839404142434445464748495051525354555657585960616263646566676869707172737475767778[[#This Row],[Total]]*-1,0)</f>
        <v>303</v>
      </c>
      <c r="J18" s="427"/>
    </row>
    <row r="19" spans="1:10" x14ac:dyDescent="0.3">
      <c r="A19" s="188">
        <v>45747</v>
      </c>
      <c r="B19" s="3" t="s">
        <v>534</v>
      </c>
      <c r="C19" s="6"/>
      <c r="D19" s="2">
        <v>261</v>
      </c>
      <c r="E19" s="2">
        <v>67</v>
      </c>
      <c r="F19" s="230"/>
      <c r="G19" s="230">
        <f t="shared" si="0"/>
        <v>328</v>
      </c>
      <c r="H19" s="233">
        <f t="shared" si="1"/>
        <v>328</v>
      </c>
      <c r="I19" s="240">
        <f>IF(T_T13411121314151617181920212223242526272829303132333536373839404142434445464748495051525354555657585960616263646566676869707172737475767778[[#This Row],[Total]]&lt;0,T_T13411121314151617181920212223242526272829303132333536373839404142434445464748495051525354555657585960616263646566676869707172737475767778[[#This Row],[Total]]*-1,0)</f>
        <v>0</v>
      </c>
      <c r="J19" s="427"/>
    </row>
    <row r="20" spans="1:10" x14ac:dyDescent="0.3">
      <c r="A20" s="188"/>
      <c r="B20" s="82" t="s">
        <v>535</v>
      </c>
      <c r="C20" s="6">
        <v>8859</v>
      </c>
      <c r="D20" s="2">
        <v>-261</v>
      </c>
      <c r="E20" s="2">
        <v>-67</v>
      </c>
      <c r="F20" s="230"/>
      <c r="G20" s="230">
        <f t="shared" si="0"/>
        <v>-328</v>
      </c>
      <c r="H20" s="233">
        <f t="shared" si="1"/>
        <v>0</v>
      </c>
      <c r="I20" s="240">
        <f>IF(T_T13411121314151617181920212223242526272829303132333536373839404142434445464748495051525354555657585960616263646566676869707172737475767778[[#This Row],[Total]]&lt;0,T_T13411121314151617181920212223242526272829303132333536373839404142434445464748495051525354555657585960616263646566676869707172737475767778[[#This Row],[Total]]*-1,0)</f>
        <v>328</v>
      </c>
      <c r="J20" s="427"/>
    </row>
    <row r="21" spans="1:10" x14ac:dyDescent="0.3">
      <c r="A21" s="188">
        <v>45777</v>
      </c>
      <c r="B21" s="3" t="s">
        <v>536</v>
      </c>
      <c r="C21" s="6"/>
      <c r="D21" s="2">
        <v>261</v>
      </c>
      <c r="E21" s="2">
        <v>83</v>
      </c>
      <c r="F21" s="230"/>
      <c r="G21" s="230">
        <f t="shared" si="0"/>
        <v>344</v>
      </c>
      <c r="H21" s="233">
        <f t="shared" si="1"/>
        <v>344</v>
      </c>
      <c r="I21" s="309">
        <f>IF(T_T13411121314151617181920212223242526272829303132333536373839404142434445464748495051525354555657585960616263646566676869707172737475767778[[#This Row],[Total]]&lt;0,T_T13411121314151617181920212223242526272829303132333536373839404142434445464748495051525354555657585960616263646566676869707172737475767778[[#This Row],[Total]]*-1,0)</f>
        <v>0</v>
      </c>
      <c r="J21" s="73"/>
    </row>
    <row r="22" spans="1:10" x14ac:dyDescent="0.3">
      <c r="A22" s="83"/>
      <c r="B22" s="82" t="s">
        <v>537</v>
      </c>
      <c r="C22" s="6">
        <v>8915</v>
      </c>
      <c r="D22" s="2">
        <f>-219-30-12</f>
        <v>-261</v>
      </c>
      <c r="E22" s="2">
        <v>-83</v>
      </c>
      <c r="F22" s="230"/>
      <c r="G22" s="230">
        <f t="shared" si="0"/>
        <v>-344</v>
      </c>
      <c r="H22" s="233">
        <f t="shared" si="1"/>
        <v>0</v>
      </c>
      <c r="I22" s="309">
        <f>IF(T_T13411121314151617181920212223242526272829303132333536373839404142434445464748495051525354555657585960616263646566676869707172737475767778[[#This Row],[Total]]&lt;0,T_T13411121314151617181920212223242526272829303132333536373839404142434445464748495051525354555657585960616263646566676869707172737475767778[[#This Row],[Total]]*-1,0)</f>
        <v>344</v>
      </c>
      <c r="J22" s="427"/>
    </row>
    <row r="23" spans="1:10" x14ac:dyDescent="0.3">
      <c r="A23" s="40">
        <v>45807</v>
      </c>
      <c r="B23" s="3" t="s">
        <v>538</v>
      </c>
      <c r="C23" s="229"/>
      <c r="D23" s="230">
        <v>261</v>
      </c>
      <c r="E23" s="230">
        <v>68</v>
      </c>
      <c r="F23" s="230"/>
      <c r="G23" s="230">
        <f t="shared" si="0"/>
        <v>329</v>
      </c>
      <c r="H23" s="233">
        <f t="shared" si="1"/>
        <v>329</v>
      </c>
      <c r="I23" s="309">
        <f>IF(T_T13411121314151617181920212223242526272829303132333536373839404142434445464748495051525354555657585960616263646566676869707172737475767778[[#This Row],[Total]]&lt;0,T_T13411121314151617181920212223242526272829303132333536373839404142434445464748495051525354555657585960616263646566676869707172737475767778[[#This Row],[Total]]*-1,0)</f>
        <v>0</v>
      </c>
      <c r="J23" s="427"/>
    </row>
    <row r="24" spans="1:10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329</v>
      </c>
      <c r="I24" s="309">
        <f>IF(T_T13411121314151617181920212223242526272829303132333536373839404142434445464748495051525354555657585960616263646566676869707172737475767778[[#This Row],[Total]]&lt;0,T_T13411121314151617181920212223242526272829303132333536373839404142434445464748495051525354555657585960616263646566676869707172737475767778[[#This Row],[Total]]*-1,0)</f>
        <v>0</v>
      </c>
      <c r="J24" s="427"/>
    </row>
    <row r="25" spans="1:10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329</v>
      </c>
      <c r="I25" s="309">
        <f>IF(T_T13411121314151617181920212223242526272829303132333536373839404142434445464748495051525354555657585960616263646566676869707172737475767778[[#This Row],[Total]]&lt;0,T_T13411121314151617181920212223242526272829303132333536373839404142434445464748495051525354555657585960616263646566676869707172737475767778[[#This Row],[Total]]*-1,0)</f>
        <v>0</v>
      </c>
      <c r="J25" s="427"/>
    </row>
    <row r="26" spans="1:10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329</v>
      </c>
      <c r="I26" s="309">
        <f>IF(T_T13411121314151617181920212223242526272829303132333536373839404142434445464748495051525354555657585960616263646566676869707172737475767778[[#This Row],[Total]]&lt;0,T_T13411121314151617181920212223242526272829303132333536373839404142434445464748495051525354555657585960616263646566676869707172737475767778[[#This Row],[Total]]*-1,0)</f>
        <v>0</v>
      </c>
      <c r="J26" s="427"/>
    </row>
    <row r="27" spans="1:10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329</v>
      </c>
      <c r="I27" s="309">
        <f>IF(T_T13411121314151617181920212223242526272829303132333536373839404142434445464748495051525354555657585960616263646566676869707172737475767778[[#This Row],[Total]]&lt;0,T_T13411121314151617181920212223242526272829303132333536373839404142434445464748495051525354555657585960616263646566676869707172737475767778[[#This Row],[Total]]*-1,0)</f>
        <v>0</v>
      </c>
      <c r="J27" s="427"/>
    </row>
    <row r="28" spans="1:10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329</v>
      </c>
      <c r="I28" s="309">
        <f>IF(T_T13411121314151617181920212223242526272829303132333536373839404142434445464748495051525354555657585960616263646566676869707172737475767778[[#This Row],[Total]]&lt;0,T_T13411121314151617181920212223242526272829303132333536373839404142434445464748495051525354555657585960616263646566676869707172737475767778[[#This Row],[Total]]*-1,0)</f>
        <v>0</v>
      </c>
      <c r="J28" s="427"/>
    </row>
    <row r="29" spans="1:10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329</v>
      </c>
      <c r="I29" s="309">
        <f>IF(T_T13411121314151617181920212223242526272829303132333536373839404142434445464748495051525354555657585960616263646566676869707172737475767778[[#This Row],[Total]]&lt;0,T_T13411121314151617181920212223242526272829303132333536373839404142434445464748495051525354555657585960616263646566676869707172737475767778[[#This Row],[Total]]*-1,0)</f>
        <v>0</v>
      </c>
      <c r="J29" s="427"/>
    </row>
    <row r="30" spans="1:10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329</v>
      </c>
      <c r="I30" s="309">
        <f>IF(T_T13411121314151617181920212223242526272829303132333536373839404142434445464748495051525354555657585960616263646566676869707172737475767778[[#This Row],[Total]]&lt;0,T_T13411121314151617181920212223242526272829303132333536373839404142434445464748495051525354555657585960616263646566676869707172737475767778[[#This Row],[Total]]*-1,0)</f>
        <v>0</v>
      </c>
      <c r="J30" s="427"/>
    </row>
    <row r="31" spans="1:10" x14ac:dyDescent="0.3">
      <c r="A31" s="9">
        <v>45930</v>
      </c>
      <c r="B31" s="3" t="s">
        <v>546</v>
      </c>
      <c r="C31" s="6"/>
      <c r="D31" s="230"/>
      <c r="E31" s="230"/>
      <c r="F31" s="230"/>
      <c r="G31" s="230">
        <f t="shared" si="0"/>
        <v>0</v>
      </c>
      <c r="H31" s="233">
        <f t="shared" si="1"/>
        <v>329</v>
      </c>
      <c r="I31" s="309">
        <f>IF(T_T13411121314151617181920212223242526272829303132333536373839404142434445464748495051525354555657585960616263646566676869707172737475767778[[#This Row],[Total]]&lt;0,T_T13411121314151617181920212223242526272829303132333536373839404142434445464748495051525354555657585960616263646566676869707172737475767778[[#This Row],[Total]]*-1,0)</f>
        <v>0</v>
      </c>
      <c r="J31" s="427"/>
    </row>
    <row r="32" spans="1:10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329</v>
      </c>
      <c r="I32" s="309">
        <f>IF(T_T13411121314151617181920212223242526272829303132333536373839404142434445464748495051525354555657585960616263646566676869707172737475767778[[#This Row],[Total]]&lt;0,T_T13411121314151617181920212223242526272829303132333536373839404142434445464748495051525354555657585960616263646566676869707172737475767778[[#This Row],[Total]]*-1,0)</f>
        <v>0</v>
      </c>
      <c r="J32" s="427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329</v>
      </c>
      <c r="I33" s="309">
        <f>IF(T_T13411121314151617181920212223242526272829303132333536373839404142434445464748495051525354555657585960616263646566676869707172737475767778[[#This Row],[Total]]&lt;0,T_T13411121314151617181920212223242526272829303132333536373839404142434445464748495051525354555657585960616263646566676869707172737475767778[[#This Row],[Total]]*-1,0)</f>
        <v>0</v>
      </c>
      <c r="J33" s="427"/>
    </row>
    <row r="34" spans="1:10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329</v>
      </c>
      <c r="I34" s="309">
        <f>IF(T_T13411121314151617181920212223242526272829303132333536373839404142434445464748495051525354555657585960616263646566676869707172737475767778[[#This Row],[Total]]&lt;0,T_T13411121314151617181920212223242526272829303132333536373839404142434445464748495051525354555657585960616263646566676869707172737475767778[[#This Row],[Total]]*-1,0)</f>
        <v>0</v>
      </c>
      <c r="J34" s="427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329</v>
      </c>
      <c r="I35" s="309">
        <f>IF(T_T13411121314151617181920212223242526272829303132333536373839404142434445464748495051525354555657585960616263646566676869707172737475767778[[#This Row],[Total]]&lt;0,T_T13411121314151617181920212223242526272829303132333536373839404142434445464748495051525354555657585960616263646566676869707172737475767778[[#This Row],[Total]]*-1,0)</f>
        <v>0</v>
      </c>
      <c r="J35" s="427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329</v>
      </c>
      <c r="I36" s="309">
        <f>IF(T_T13411121314151617181920212223242526272829303132333536373839404142434445464748495051525354555657585960616263646566676869707172737475767778[[#This Row],[Total]]&lt;0,T_T13411121314151617181920212223242526272829303132333536373839404142434445464748495051525354555657585960616263646566676869707172737475767778[[#This Row],[Total]]*-1,0)</f>
        <v>0</v>
      </c>
      <c r="J36" s="427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329</v>
      </c>
      <c r="I37" s="309">
        <f>IF(T_T13411121314151617181920212223242526272829303132333536373839404142434445464748495051525354555657585960616263646566676869707172737475767778[[#This Row],[Total]]&lt;0,T_T13411121314151617181920212223242526272829303132333536373839404142434445464748495051525354555657585960616263646566676869707172737475767778[[#This Row],[Total]]*-1,0)</f>
        <v>0</v>
      </c>
      <c r="J37" s="427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329</v>
      </c>
      <c r="I38" s="353">
        <f>IF(T_T13411121314151617181920212223242526272829303132333536373839404142434445464748495051525354555657585960616263646566676869707172737475767778[[#This Row],[Total]]&lt;0,T_T13411121314151617181920212223242526272829303132333536373839404142434445464748495051525354555657585960616263646566676869707172737475767778[[#This Row],[Total]]*-1,0)</f>
        <v>0</v>
      </c>
      <c r="J38" s="427"/>
    </row>
    <row r="39" spans="1:10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329</v>
      </c>
      <c r="I39" s="353">
        <f>IF(T_T13411121314151617181920212223242526272829303132333536373839404142434445464748495051525354555657585960616263646566676869707172737475767778[[#This Row],[Total]]&lt;0,T_T13411121314151617181920212223242526272829303132333536373839404142434445464748495051525354555657585960616263646566676869707172737475767778[[#This Row],[Total]]*-1,0)</f>
        <v>0</v>
      </c>
      <c r="J39" s="427"/>
    </row>
    <row r="40" spans="1:10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329</v>
      </c>
      <c r="I40" s="353">
        <f>IF(T_T13411121314151617181920212223242526272829303132333536373839404142434445464748495051525354555657585960616263646566676869707172737475767778[[#This Row],[Total]]&lt;0,T_T13411121314151617181920212223242526272829303132333536373839404142434445464748495051525354555657585960616263646566676869707172737475767778[[#This Row],[Total]]*-1,0)</f>
        <v>0</v>
      </c>
      <c r="J40" s="446"/>
    </row>
    <row r="41" spans="1:10" x14ac:dyDescent="0.3">
      <c r="A41" s="17"/>
      <c r="B41" s="18"/>
      <c r="C41" s="466"/>
      <c r="D41" s="467"/>
      <c r="E41" s="467"/>
      <c r="F41" s="467"/>
      <c r="G41" s="467"/>
      <c r="H41" s="474"/>
      <c r="I41" s="475"/>
      <c r="J41" s="480"/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orientation="portrait" verticalDpi="360" r:id="rId2"/>
  <drawing r:id="rId3"/>
  <tableParts count="1">
    <tablePart r:id="rId4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N41"/>
  <sheetViews>
    <sheetView showGridLines="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29.88671875" customWidth="1"/>
    <col min="3" max="3" width="10" style="4" customWidth="1"/>
    <col min="4" max="4" width="12.109375" style="1" customWidth="1"/>
    <col min="5" max="5" width="9.88671875" style="1" customWidth="1"/>
    <col min="6" max="6" width="9.5546875" style="1" customWidth="1"/>
    <col min="7" max="7" width="11.88671875" style="1" customWidth="1"/>
    <col min="8" max="8" width="12.44140625" style="1" customWidth="1"/>
    <col min="9" max="9" width="12.88671875" hidden="1" customWidth="1"/>
    <col min="14" max="14" width="10.6640625" bestFit="1" customWidth="1"/>
    <col min="15" max="15" width="14.88671875" customWidth="1"/>
  </cols>
  <sheetData>
    <row r="2" spans="1:14" ht="15.6" x14ac:dyDescent="0.3">
      <c r="A2" s="27" t="s">
        <v>36</v>
      </c>
      <c r="B2" s="41" t="s">
        <v>127</v>
      </c>
    </row>
    <row r="3" spans="1:14" ht="0.75" customHeight="1" x14ac:dyDescent="0.3">
      <c r="A3" s="27" t="s">
        <v>31</v>
      </c>
      <c r="B3" s="28" t="e">
        <f>LOOKUP(B2,#REF!,#REF!)</f>
        <v>#REF!</v>
      </c>
    </row>
    <row r="4" spans="1:14" hidden="1" x14ac:dyDescent="0.3">
      <c r="A4" s="27" t="s">
        <v>32</v>
      </c>
      <c r="B4" s="28" t="e">
        <f>LOOKUP(B2,#REF!,#REF!)</f>
        <v>#REF!</v>
      </c>
    </row>
    <row r="5" spans="1:14" hidden="1" x14ac:dyDescent="0.3">
      <c r="A5" s="27" t="s">
        <v>33</v>
      </c>
      <c r="B5" s="28" t="e">
        <f>LOOKUP(B2,#REF!,#REF!)</f>
        <v>#REF!</v>
      </c>
    </row>
    <row r="6" spans="1:14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4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4" x14ac:dyDescent="0.3">
      <c r="A8" s="21"/>
      <c r="B8" s="21" t="s">
        <v>207</v>
      </c>
    </row>
    <row r="9" spans="1:14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226" t="s">
        <v>188</v>
      </c>
    </row>
    <row r="10" spans="1:14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IF(T_T1341112131415161718192021222324252627282930313233353637383940414243444546474849505152535455565758596061626364656667686970717273747576777879[[#This Row],[Total]]&lt;0,T_T1341112131415161718192021222324252627282930313233353637383940414243444546474849505152535455565758596061626364656667686970717273747576777879[[#This Row],[Total]]*-1,0)</f>
        <v>0</v>
      </c>
      <c r="J10" s="227"/>
      <c r="N10" s="178"/>
    </row>
    <row r="11" spans="1:14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IF(T_T1341112131415161718192021222324252627282930313233353637383940414243444546474849505152535455565758596061626364656667686970717273747576777879[[#This Row],[Total]]&lt;0,T_T1341112131415161718192021222324252627282930313233353637383940414243444546474849505152535455565758596061626364656667686970717273747576777879[[#This Row],[Total]]*-1,0)</f>
        <v>0</v>
      </c>
      <c r="J11" s="231"/>
    </row>
    <row r="12" spans="1:14" x14ac:dyDescent="0.3">
      <c r="A12" s="361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IF(T_T1341112131415161718192021222324252627282930313233353637383940414243444546474849505152535455565758596061626364656667686970717273747576777879[[#This Row],[Total]]&lt;0,T_T1341112131415161718192021222324252627282930313233353637383940414243444546474849505152535455565758596061626364656667686970717273747576777879[[#This Row],[Total]]*-1,0)</f>
        <v>0</v>
      </c>
      <c r="J12" s="427"/>
    </row>
    <row r="13" spans="1:14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IF(T_T1341112131415161718192021222324252627282930313233353637383940414243444546474849505152535455565758596061626364656667686970717273747576777879[[#This Row],[Total]]&lt;0,T_T1341112131415161718192021222324252627282930313233353637383940414243444546474849505152535455565758596061626364656667686970717273747576777879[[#This Row],[Total]]*-1,0)</f>
        <v>0</v>
      </c>
      <c r="J13" s="231"/>
    </row>
    <row r="14" spans="1:14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IF(T_T1341112131415161718192021222324252627282930313233353637383940414243444546474849505152535455565758596061626364656667686970717273747576777879[[#This Row],[Total]]&lt;0,T_T1341112131415161718192021222324252627282930313233353637383940414243444546474849505152535455565758596061626364656667686970717273747576777879[[#This Row],[Total]]*-1,0)</f>
        <v>0</v>
      </c>
      <c r="J14" s="476"/>
    </row>
    <row r="15" spans="1:14" x14ac:dyDescent="0.3">
      <c r="A15" s="17">
        <v>46052</v>
      </c>
      <c r="B15" s="18" t="s">
        <v>590</v>
      </c>
      <c r="C15" s="6"/>
      <c r="D15" s="2">
        <v>361</v>
      </c>
      <c r="E15" s="2">
        <v>39</v>
      </c>
      <c r="F15" s="20"/>
      <c r="G15" s="20">
        <f>SUM(D15:F15)</f>
        <v>400</v>
      </c>
      <c r="H15" s="233">
        <f>+H13+T_T1341112131415161718192021222324252627282930313233353637383940414243444546474849505152535455565758596061626364656667686970717273747576777879[[#This Row],[Total]]</f>
        <v>400</v>
      </c>
      <c r="I15" s="240">
        <f>IF(T_T1341112131415161718192021222324252627282930313233353637383940414243444546474849505152535455565758596061626364656667686970717273747576777879[[#This Row],[Total]]&lt;0,T_T1341112131415161718192021222324252627282930313233353637383940414243444546474849505152535455565758596061626364656667686970717273747576777879[[#This Row],[Total]]*-1,0)</f>
        <v>0</v>
      </c>
      <c r="J15" s="231"/>
    </row>
    <row r="16" spans="1:14" x14ac:dyDescent="0.3">
      <c r="A16" s="17"/>
      <c r="B16" s="18" t="s">
        <v>591</v>
      </c>
      <c r="C16" s="6">
        <v>8583</v>
      </c>
      <c r="D16" s="2">
        <v>-361</v>
      </c>
      <c r="E16" s="2">
        <v>-39</v>
      </c>
      <c r="F16" s="230"/>
      <c r="G16" s="230">
        <f t="shared" ref="G16:G38" si="0">SUM(D16:F16)</f>
        <v>-400</v>
      </c>
      <c r="H16" s="233">
        <f t="shared" ref="H16:H40" si="1">H15+G16</f>
        <v>0</v>
      </c>
      <c r="I16" s="240">
        <f>IF(T_T1341112131415161718192021222324252627282930313233353637383940414243444546474849505152535455565758596061626364656667686970717273747576777879[[#This Row],[Total]]&lt;0,T_T1341112131415161718192021222324252627282930313233353637383940414243444546474849505152535455565758596061626364656667686970717273747576777879[[#This Row],[Total]]*-1,0)</f>
        <v>400</v>
      </c>
      <c r="J16" s="231"/>
    </row>
    <row r="17" spans="1:10" x14ac:dyDescent="0.3">
      <c r="A17" s="164">
        <v>45715</v>
      </c>
      <c r="B17" s="161" t="s">
        <v>532</v>
      </c>
      <c r="C17" s="6"/>
      <c r="D17" s="2">
        <v>361</v>
      </c>
      <c r="E17" s="2">
        <v>46</v>
      </c>
      <c r="F17" s="230"/>
      <c r="G17" s="230">
        <f t="shared" si="0"/>
        <v>407</v>
      </c>
      <c r="H17" s="233">
        <f t="shared" si="1"/>
        <v>407</v>
      </c>
      <c r="I17" s="240">
        <f>IF(T_T1341112131415161718192021222324252627282930313233353637383940414243444546474849505152535455565758596061626364656667686970717273747576777879[[#This Row],[Total]]&lt;0,T_T1341112131415161718192021222324252627282930313233353637383940414243444546474849505152535455565758596061626364656667686970717273747576777879[[#This Row],[Total]]*-1,0)</f>
        <v>0</v>
      </c>
      <c r="J17" s="231"/>
    </row>
    <row r="18" spans="1:10" x14ac:dyDescent="0.3">
      <c r="A18" s="187"/>
      <c r="B18" s="18" t="s">
        <v>533</v>
      </c>
      <c r="C18" s="6">
        <v>8680</v>
      </c>
      <c r="D18" s="2">
        <v>-361</v>
      </c>
      <c r="E18" s="2">
        <v>-46</v>
      </c>
      <c r="F18" s="230"/>
      <c r="G18" s="230">
        <f t="shared" si="0"/>
        <v>-407</v>
      </c>
      <c r="H18" s="233">
        <f t="shared" si="1"/>
        <v>0</v>
      </c>
      <c r="I18" s="240">
        <f>IF(T_T1341112131415161718192021222324252627282930313233353637383940414243444546474849505152535455565758596061626364656667686970717273747576777879[[#This Row],[Total]]&lt;0,T_T1341112131415161718192021222324252627282930313233353637383940414243444546474849505152535455565758596061626364656667686970717273747576777879[[#This Row],[Total]]*-1,0)</f>
        <v>407</v>
      </c>
      <c r="J18" s="231"/>
    </row>
    <row r="19" spans="1:10" x14ac:dyDescent="0.3">
      <c r="A19" s="188">
        <v>45747</v>
      </c>
      <c r="B19" s="3" t="s">
        <v>534</v>
      </c>
      <c r="C19" s="6"/>
      <c r="D19" s="2">
        <f>370+30+14</f>
        <v>414</v>
      </c>
      <c r="E19" s="2">
        <v>32</v>
      </c>
      <c r="F19" s="230"/>
      <c r="G19" s="230">
        <f t="shared" si="0"/>
        <v>446</v>
      </c>
      <c r="H19" s="233">
        <f t="shared" si="1"/>
        <v>446</v>
      </c>
      <c r="I19" s="240">
        <f>IF(T_T1341112131415161718192021222324252627282930313233353637383940414243444546474849505152535455565758596061626364656667686970717273747576777879[[#This Row],[Total]]&lt;0,T_T1341112131415161718192021222324252627282930313233353637383940414243444546474849505152535455565758596061626364656667686970717273747576777879[[#This Row],[Total]]*-1,0)</f>
        <v>0</v>
      </c>
      <c r="J19" s="231"/>
    </row>
    <row r="20" spans="1:10" x14ac:dyDescent="0.3">
      <c r="A20" s="188"/>
      <c r="B20" s="82" t="s">
        <v>535</v>
      </c>
      <c r="C20" s="6">
        <v>8791</v>
      </c>
      <c r="D20" s="2">
        <v>-414</v>
      </c>
      <c r="E20" s="2">
        <v>-32</v>
      </c>
      <c r="F20" s="230"/>
      <c r="G20" s="230">
        <f t="shared" si="0"/>
        <v>-446</v>
      </c>
      <c r="H20" s="233">
        <f t="shared" si="1"/>
        <v>0</v>
      </c>
      <c r="I20" s="240">
        <f>IF(T_T1341112131415161718192021222324252627282930313233353637383940414243444546474849505152535455565758596061626364656667686970717273747576777879[[#This Row],[Total]]&lt;0,T_T1341112131415161718192021222324252627282930313233353637383940414243444546474849505152535455565758596061626364656667686970717273747576777879[[#This Row],[Total]]*-1,0)</f>
        <v>446</v>
      </c>
      <c r="J20" s="231"/>
    </row>
    <row r="21" spans="1:10" x14ac:dyDescent="0.3">
      <c r="A21" s="188">
        <v>45777</v>
      </c>
      <c r="B21" s="3" t="s">
        <v>536</v>
      </c>
      <c r="C21" s="6"/>
      <c r="D21" s="2">
        <v>414</v>
      </c>
      <c r="E21" s="2">
        <v>38</v>
      </c>
      <c r="F21" s="230"/>
      <c r="G21" s="230">
        <f t="shared" si="0"/>
        <v>452</v>
      </c>
      <c r="H21" s="233">
        <f t="shared" si="1"/>
        <v>452</v>
      </c>
      <c r="I21" s="309">
        <f>IF(T_T1341112131415161718192021222324252627282930313233353637383940414243444546474849505152535455565758596061626364656667686970717273747576777879[[#This Row],[Total]]&lt;0,T_T1341112131415161718192021222324252627282930313233353637383940414243444546474849505152535455565758596061626364656667686970717273747576777879[[#This Row],[Total]]*-1,0)</f>
        <v>0</v>
      </c>
      <c r="J21" s="320"/>
    </row>
    <row r="22" spans="1:10" x14ac:dyDescent="0.3">
      <c r="A22" s="83"/>
      <c r="B22" s="82" t="s">
        <v>537</v>
      </c>
      <c r="C22" s="6">
        <v>8922</v>
      </c>
      <c r="D22" s="2">
        <v>-414</v>
      </c>
      <c r="E22" s="2">
        <v>-38</v>
      </c>
      <c r="F22" s="230"/>
      <c r="G22" s="230">
        <f t="shared" si="0"/>
        <v>-452</v>
      </c>
      <c r="H22" s="233">
        <f t="shared" si="1"/>
        <v>0</v>
      </c>
      <c r="I22" s="309">
        <f>IF(T_T1341112131415161718192021222324252627282930313233353637383940414243444546474849505152535455565758596061626364656667686970717273747576777879[[#This Row],[Total]]&lt;0,T_T1341112131415161718192021222324252627282930313233353637383940414243444546474849505152535455565758596061626364656667686970717273747576777879[[#This Row],[Total]]*-1,0)</f>
        <v>452</v>
      </c>
      <c r="J22" s="320"/>
    </row>
    <row r="23" spans="1:10" x14ac:dyDescent="0.3">
      <c r="A23" s="40">
        <v>45807</v>
      </c>
      <c r="B23" s="3" t="s">
        <v>538</v>
      </c>
      <c r="C23" s="229"/>
      <c r="D23" s="230">
        <v>414</v>
      </c>
      <c r="E23" s="230">
        <v>36</v>
      </c>
      <c r="F23" s="230"/>
      <c r="G23" s="230">
        <f t="shared" si="0"/>
        <v>450</v>
      </c>
      <c r="H23" s="233">
        <f t="shared" si="1"/>
        <v>450</v>
      </c>
      <c r="I23" s="309">
        <f>IF(T_T1341112131415161718192021222324252627282930313233353637383940414243444546474849505152535455565758596061626364656667686970717273747576777879[[#This Row],[Total]]&lt;0,T_T1341112131415161718192021222324252627282930313233353637383940414243444546474849505152535455565758596061626364656667686970717273747576777879[[#This Row],[Total]]*-1,0)</f>
        <v>0</v>
      </c>
      <c r="J23" s="320"/>
    </row>
    <row r="24" spans="1:10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450</v>
      </c>
      <c r="I24" s="309">
        <f>IF(T_T1341112131415161718192021222324252627282930313233353637383940414243444546474849505152535455565758596061626364656667686970717273747576777879[[#This Row],[Total]]&lt;0,T_T1341112131415161718192021222324252627282930313233353637383940414243444546474849505152535455565758596061626364656667686970717273747576777879[[#This Row],[Total]]*-1,0)</f>
        <v>0</v>
      </c>
      <c r="J24" s="320"/>
    </row>
    <row r="25" spans="1:10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450</v>
      </c>
      <c r="I25" s="309">
        <f>IF(T_T1341112131415161718192021222324252627282930313233353637383940414243444546474849505152535455565758596061626364656667686970717273747576777879[[#This Row],[Total]]&lt;0,T_T1341112131415161718192021222324252627282930313233353637383940414243444546474849505152535455565758596061626364656667686970717273747576777879[[#This Row],[Total]]*-1,0)</f>
        <v>0</v>
      </c>
      <c r="J25" s="320"/>
    </row>
    <row r="26" spans="1:10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450</v>
      </c>
      <c r="I26" s="309">
        <f>IF(T_T1341112131415161718192021222324252627282930313233353637383940414243444546474849505152535455565758596061626364656667686970717273747576777879[[#This Row],[Total]]&lt;0,T_T1341112131415161718192021222324252627282930313233353637383940414243444546474849505152535455565758596061626364656667686970717273747576777879[[#This Row],[Total]]*-1,0)</f>
        <v>0</v>
      </c>
      <c r="J26" s="320"/>
    </row>
    <row r="27" spans="1:10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450</v>
      </c>
      <c r="I27" s="309">
        <f>IF(T_T1341112131415161718192021222324252627282930313233353637383940414243444546474849505152535455565758596061626364656667686970717273747576777879[[#This Row],[Total]]&lt;0,T_T1341112131415161718192021222324252627282930313233353637383940414243444546474849505152535455565758596061626364656667686970717273747576777879[[#This Row],[Total]]*-1,0)</f>
        <v>0</v>
      </c>
      <c r="J27" s="320"/>
    </row>
    <row r="28" spans="1:10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450</v>
      </c>
      <c r="I28" s="309">
        <f>IF(T_T1341112131415161718192021222324252627282930313233353637383940414243444546474849505152535455565758596061626364656667686970717273747576777879[[#This Row],[Total]]&lt;0,T_T1341112131415161718192021222324252627282930313233353637383940414243444546474849505152535455565758596061626364656667686970717273747576777879[[#This Row],[Total]]*-1,0)</f>
        <v>0</v>
      </c>
      <c r="J28" s="320"/>
    </row>
    <row r="29" spans="1:10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450</v>
      </c>
      <c r="I29" s="309">
        <f>IF(T_T1341112131415161718192021222324252627282930313233353637383940414243444546474849505152535455565758596061626364656667686970717273747576777879[[#This Row],[Total]]&lt;0,T_T1341112131415161718192021222324252627282930313233353637383940414243444546474849505152535455565758596061626364656667686970717273747576777879[[#This Row],[Total]]*-1,0)</f>
        <v>0</v>
      </c>
      <c r="J29" s="320"/>
    </row>
    <row r="30" spans="1:10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450</v>
      </c>
      <c r="I30" s="309">
        <f>IF(T_T1341112131415161718192021222324252627282930313233353637383940414243444546474849505152535455565758596061626364656667686970717273747576777879[[#This Row],[Total]]&lt;0,T_T1341112131415161718192021222324252627282930313233353637383940414243444546474849505152535455565758596061626364656667686970717273747576777879[[#This Row],[Total]]*-1,0)</f>
        <v>0</v>
      </c>
      <c r="J30" s="320"/>
    </row>
    <row r="31" spans="1:10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450</v>
      </c>
      <c r="I31" s="309">
        <f>IF(T_T1341112131415161718192021222324252627282930313233353637383940414243444546474849505152535455565758596061626364656667686970717273747576777879[[#This Row],[Total]]&lt;0,T_T1341112131415161718192021222324252627282930313233353637383940414243444546474849505152535455565758596061626364656667686970717273747576777879[[#This Row],[Total]]*-1,0)</f>
        <v>0</v>
      </c>
      <c r="J31" s="320"/>
    </row>
    <row r="32" spans="1:10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450</v>
      </c>
      <c r="I32" s="309">
        <f>IF(T_T1341112131415161718192021222324252627282930313233353637383940414243444546474849505152535455565758596061626364656667686970717273747576777879[[#This Row],[Total]]&lt;0,T_T1341112131415161718192021222324252627282930313233353637383940414243444546474849505152535455565758596061626364656667686970717273747576777879[[#This Row],[Total]]*-1,0)</f>
        <v>0</v>
      </c>
      <c r="J32" s="320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450</v>
      </c>
      <c r="I33" s="309">
        <f>IF(T_T1341112131415161718192021222324252627282930313233353637383940414243444546474849505152535455565758596061626364656667686970717273747576777879[[#This Row],[Total]]&lt;0,T_T1341112131415161718192021222324252627282930313233353637383940414243444546474849505152535455565758596061626364656667686970717273747576777879[[#This Row],[Total]]*-1,0)</f>
        <v>0</v>
      </c>
      <c r="J33" s="320"/>
    </row>
    <row r="34" spans="1:10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450</v>
      </c>
      <c r="I34" s="309">
        <f>IF(T_T1341112131415161718192021222324252627282930313233353637383940414243444546474849505152535455565758596061626364656667686970717273747576777879[[#This Row],[Total]]&lt;0,T_T1341112131415161718192021222324252627282930313233353637383940414243444546474849505152535455565758596061626364656667686970717273747576777879[[#This Row],[Total]]*-1,0)</f>
        <v>0</v>
      </c>
      <c r="J34" s="320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450</v>
      </c>
      <c r="I35" s="309">
        <f>IF(T_T1341112131415161718192021222324252627282930313233353637383940414243444546474849505152535455565758596061626364656667686970717273747576777879[[#This Row],[Total]]&lt;0,T_T1341112131415161718192021222324252627282930313233353637383940414243444546474849505152535455565758596061626364656667686970717273747576777879[[#This Row],[Total]]*-1,0)</f>
        <v>0</v>
      </c>
      <c r="J35" s="320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450</v>
      </c>
      <c r="I36" s="309">
        <f>IF(T_T1341112131415161718192021222324252627282930313233353637383940414243444546474849505152535455565758596061626364656667686970717273747576777879[[#This Row],[Total]]&lt;0,T_T1341112131415161718192021222324252627282930313233353637383940414243444546474849505152535455565758596061626364656667686970717273747576777879[[#This Row],[Total]]*-1,0)</f>
        <v>0</v>
      </c>
      <c r="J36" s="320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450</v>
      </c>
      <c r="I37" s="309">
        <f>IF(T_T1341112131415161718192021222324252627282930313233353637383940414243444546474849505152535455565758596061626364656667686970717273747576777879[[#This Row],[Total]]&lt;0,T_T1341112131415161718192021222324252627282930313233353637383940414243444546474849505152535455565758596061626364656667686970717273747576777879[[#This Row],[Total]]*-1,0)</f>
        <v>0</v>
      </c>
      <c r="J37" s="320"/>
    </row>
    <row r="38" spans="1:10" x14ac:dyDescent="0.3">
      <c r="A38" s="257"/>
      <c r="B38" s="110" t="s">
        <v>553</v>
      </c>
      <c r="C38" s="229"/>
      <c r="D38" s="230"/>
      <c r="E38" s="7"/>
      <c r="F38" s="230"/>
      <c r="G38" s="230">
        <f t="shared" si="0"/>
        <v>0</v>
      </c>
      <c r="H38" s="233">
        <f t="shared" si="1"/>
        <v>450</v>
      </c>
      <c r="I38" s="353">
        <f>IF(T_T1341112131415161718192021222324252627282930313233353637383940414243444546474849505152535455565758596061626364656667686970717273747576777879[[#This Row],[Total]]&lt;0,T_T1341112131415161718192021222324252627282930313233353637383940414243444546474849505152535455565758596061626364656667686970717273747576777879[[#This Row],[Total]]*-1,0)</f>
        <v>0</v>
      </c>
      <c r="J38" s="355"/>
    </row>
    <row r="39" spans="1:10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450</v>
      </c>
      <c r="I39" s="353">
        <f>IF(T_T1341112131415161718192021222324252627282930313233353637383940414243444546474849505152535455565758596061626364656667686970717273747576777879[[#This Row],[Total]]&lt;0,T_T1341112131415161718192021222324252627282930313233353637383940414243444546474849505152535455565758596061626364656667686970717273747576777879[[#This Row],[Total]]*-1,0)</f>
        <v>0</v>
      </c>
      <c r="J39" s="355"/>
    </row>
    <row r="40" spans="1:10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450</v>
      </c>
      <c r="I40" s="353">
        <f>IF(T_T1341112131415161718192021222324252627282930313233353637383940414243444546474849505152535455565758596061626364656667686970717273747576777879[[#This Row],[Total]]&lt;0,T_T1341112131415161718192021222324252627282930313233353637383940414243444546474849505152535455565758596061626364656667686970717273747576777879[[#This Row],[Total]]*-1,0)</f>
        <v>0</v>
      </c>
      <c r="J40" s="355"/>
    </row>
    <row r="41" spans="1:10" x14ac:dyDescent="0.3">
      <c r="A41" s="17"/>
      <c r="B41" s="18"/>
      <c r="C41" s="466"/>
      <c r="D41" s="467"/>
      <c r="E41" s="467"/>
      <c r="F41" s="467"/>
      <c r="G41" s="467"/>
      <c r="H41" s="474"/>
      <c r="I41" s="475"/>
      <c r="J41" s="480"/>
    </row>
  </sheetData>
  <hyperlinks>
    <hyperlink ref="B7" r:id="rId1" display="jose.orozco@outlook.com"/>
    <hyperlink ref="H7" location="Resumen!A1" display="Rsumen         "/>
  </hyperlinks>
  <pageMargins left="0.70866141732283472" right="0.70866141732283472" top="0.35433070866141736" bottom="0.31496062992125984" header="0.31496062992125984" footer="0.23622047244094491"/>
  <pageSetup scale="66" orientation="portrait" verticalDpi="360" r:id="rId2"/>
  <drawing r:id="rId3"/>
  <tableParts count="1">
    <tablePart r:id="rId4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N40"/>
  <sheetViews>
    <sheetView showGridLines="0" zoomScale="85" zoomScaleNormal="85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7.33203125" customWidth="1"/>
    <col min="3" max="3" width="9.33203125" style="4" customWidth="1"/>
    <col min="4" max="4" width="9.5546875" style="1" customWidth="1"/>
    <col min="5" max="5" width="9.33203125" style="1" customWidth="1"/>
    <col min="6" max="6" width="3.33203125" style="1" customWidth="1"/>
    <col min="7" max="7" width="11.88671875" style="1" customWidth="1"/>
    <col min="8" max="8" width="12.44140625" style="1" customWidth="1"/>
    <col min="9" max="9" width="12.88671875" hidden="1" customWidth="1"/>
    <col min="11" max="11" width="16.109375" customWidth="1"/>
    <col min="14" max="14" width="10.6640625" bestFit="1" customWidth="1"/>
    <col min="15" max="15" width="18.33203125" customWidth="1"/>
  </cols>
  <sheetData>
    <row r="2" spans="1:14" ht="14.25" customHeight="1" x14ac:dyDescent="0.3">
      <c r="A2" s="27" t="s">
        <v>36</v>
      </c>
      <c r="B2" s="41" t="s">
        <v>128</v>
      </c>
    </row>
    <row r="3" spans="1:14" x14ac:dyDescent="0.3">
      <c r="A3" s="27" t="s">
        <v>31</v>
      </c>
      <c r="B3" s="28" t="e">
        <f>LOOKUP(B2,#REF!,#REF!)</f>
        <v>#REF!</v>
      </c>
    </row>
    <row r="4" spans="1:14" hidden="1" x14ac:dyDescent="0.3">
      <c r="A4" s="27" t="s">
        <v>32</v>
      </c>
      <c r="B4" s="28" t="e">
        <f>LOOKUP(B2,#REF!,#REF!)</f>
        <v>#REF!</v>
      </c>
    </row>
    <row r="5" spans="1:14" hidden="1" x14ac:dyDescent="0.3">
      <c r="A5" s="27" t="s">
        <v>33</v>
      </c>
      <c r="B5" s="28" t="e">
        <f>LOOKUP(B2,#REF!,#REF!)</f>
        <v>#REF!</v>
      </c>
    </row>
    <row r="6" spans="1:14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4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4" x14ac:dyDescent="0.3">
      <c r="A8" s="21"/>
      <c r="B8" s="21" t="s">
        <v>254</v>
      </c>
    </row>
    <row r="9" spans="1:14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96" t="s">
        <v>188</v>
      </c>
    </row>
    <row r="10" spans="1:14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IF(T_T134111213141516171819202122232425262728293031323335363738394041424344454647484950515253545556575859606162636465666768697071727374757677787980[[#This Row],[Total]]&lt;0,T_T134111213141516171819202122232425262728293031323335363738394041424344454647484950515253545556575859606162636465666768697071727374757677787980[[#This Row],[Total]]*-1,0)</f>
        <v>0</v>
      </c>
      <c r="J10" s="106"/>
      <c r="N10" s="178"/>
    </row>
    <row r="11" spans="1:14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355">
        <f>IF(T_T134111213141516171819202122232425262728293031323335363738394041424344454647484950515253545556575859606162636465666768697071727374757677787980[[#This Row],[Total]]&lt;0,T_T134111213141516171819202122232425262728293031323335363738394041424344454647484950515253545556575859606162636465666768697071727374757677787980[[#This Row],[Total]]*-1,0)</f>
        <v>0</v>
      </c>
      <c r="J11" s="353"/>
    </row>
    <row r="12" spans="1:14" x14ac:dyDescent="0.3">
      <c r="A12" s="288"/>
      <c r="B12" s="118" t="s">
        <v>467</v>
      </c>
      <c r="C12" s="424"/>
      <c r="D12" s="425"/>
      <c r="E12" s="425"/>
      <c r="F12" s="425"/>
      <c r="G12" s="425"/>
      <c r="H12" s="426">
        <v>0</v>
      </c>
      <c r="I12" s="427">
        <f>IF(T_T134111213141516171819202122232425262728293031323335363738394041424344454647484950515253545556575859606162636465666768697071727374757677787980[[#This Row],[Total]]&lt;0,T_T134111213141516171819202122232425262728293031323335363738394041424344454647484950515253545556575859606162636465666768697071727374757677787980[[#This Row],[Total]]*-1,0)</f>
        <v>0</v>
      </c>
      <c r="J12" s="430"/>
    </row>
    <row r="13" spans="1:14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355">
        <f>IF(T_T134111213141516171819202122232425262728293031323335363738394041424344454647484950515253545556575859606162636465666768697071727374757677787980[[#This Row],[Total]]&lt;0,T_T134111213141516171819202122232425262728293031323335363738394041424344454647484950515253545556575859606162636465666768697071727374757677787980[[#This Row],[Total]]*-1,0)</f>
        <v>0</v>
      </c>
      <c r="J13" s="353"/>
    </row>
    <row r="14" spans="1:14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6">
        <f>IF(T_T134111213141516171819202122232425262728293031323335363738394041424344454647484950515253545556575859606162636465666768697071727374757677787980[[#This Row],[Total]]&lt;0,T_T134111213141516171819202122232425262728293031323335363738394041424344454647484950515253545556575859606162636465666768697071727374757677787980[[#This Row],[Total]]*-1,0)</f>
        <v>0</v>
      </c>
      <c r="J14" s="473"/>
    </row>
    <row r="15" spans="1:14" x14ac:dyDescent="0.3">
      <c r="A15" s="17">
        <v>45687</v>
      </c>
      <c r="B15" s="18" t="s">
        <v>590</v>
      </c>
      <c r="C15" s="6"/>
      <c r="D15" s="2">
        <v>349</v>
      </c>
      <c r="E15" s="2">
        <v>89</v>
      </c>
      <c r="F15" s="20"/>
      <c r="G15" s="20">
        <f>SUM(D15:F15)</f>
        <v>438</v>
      </c>
      <c r="H15" s="233">
        <f>+H13+T_T134111213141516171819202122232425262728293031323335363738394041424344454647484950515253545556575859606162636465666768697071727374757677787980[[#This Row],[Total]]</f>
        <v>438</v>
      </c>
      <c r="I15" s="355">
        <f>IF(T_T134111213141516171819202122232425262728293031323335363738394041424344454647484950515253545556575859606162636465666768697071727374757677787980[[#This Row],[Total]]&lt;0,T_T134111213141516171819202122232425262728293031323335363738394041424344454647484950515253545556575859606162636465666768697071727374757677787980[[#This Row],[Total]]*-1,0)</f>
        <v>0</v>
      </c>
      <c r="J15" s="353"/>
    </row>
    <row r="16" spans="1:14" x14ac:dyDescent="0.3">
      <c r="A16" s="17"/>
      <c r="B16" s="18" t="s">
        <v>591</v>
      </c>
      <c r="C16" s="6">
        <v>8553</v>
      </c>
      <c r="D16" s="2">
        <v>-349</v>
      </c>
      <c r="E16" s="2">
        <v>-89</v>
      </c>
      <c r="F16" s="230"/>
      <c r="G16" s="230">
        <f t="shared" ref="G16:G38" si="0">SUM(D16:F16)</f>
        <v>-438</v>
      </c>
      <c r="H16" s="233">
        <f t="shared" ref="H16:H38" si="1">H15+G16</f>
        <v>0</v>
      </c>
      <c r="I16" s="355">
        <f>IF(T_T134111213141516171819202122232425262728293031323335363738394041424344454647484950515253545556575859606162636465666768697071727374757677787980[[#This Row],[Total]]&lt;0,T_T134111213141516171819202122232425262728293031323335363738394041424344454647484950515253545556575859606162636465666768697071727374757677787980[[#This Row],[Total]]*-1,0)</f>
        <v>438</v>
      </c>
      <c r="J16" s="353"/>
    </row>
    <row r="17" spans="1:13" x14ac:dyDescent="0.3">
      <c r="A17" s="164">
        <v>45715</v>
      </c>
      <c r="B17" s="161" t="s">
        <v>532</v>
      </c>
      <c r="C17" s="6"/>
      <c r="D17" s="2">
        <v>349</v>
      </c>
      <c r="E17" s="2">
        <v>95</v>
      </c>
      <c r="F17" s="230"/>
      <c r="G17" s="230">
        <f t="shared" si="0"/>
        <v>444</v>
      </c>
      <c r="H17" s="233">
        <f t="shared" si="1"/>
        <v>444</v>
      </c>
      <c r="I17" s="355">
        <f>IF(T_T134111213141516171819202122232425262728293031323335363738394041424344454647484950515253545556575859606162636465666768697071727374757677787980[[#This Row],[Total]]&lt;0,T_T134111213141516171819202122232425262728293031323335363738394041424344454647484950515253545556575859606162636465666768697071727374757677787980[[#This Row],[Total]]*-1,0)</f>
        <v>0</v>
      </c>
      <c r="J17" s="353"/>
    </row>
    <row r="18" spans="1:13" x14ac:dyDescent="0.3">
      <c r="A18" s="187"/>
      <c r="B18" s="18" t="s">
        <v>533</v>
      </c>
      <c r="C18" s="6">
        <v>8793</v>
      </c>
      <c r="D18" s="2">
        <v>-349</v>
      </c>
      <c r="E18" s="2">
        <v>-95</v>
      </c>
      <c r="F18" s="230"/>
      <c r="G18" s="230">
        <f t="shared" si="0"/>
        <v>-444</v>
      </c>
      <c r="H18" s="233">
        <f t="shared" si="1"/>
        <v>0</v>
      </c>
      <c r="I18" s="355">
        <f>IF(T_T134111213141516171819202122232425262728293031323335363738394041424344454647484950515253545556575859606162636465666768697071727374757677787980[[#This Row],[Total]]&lt;0,T_T134111213141516171819202122232425262728293031323335363738394041424344454647484950515253545556575859606162636465666768697071727374757677787980[[#This Row],[Total]]*-1,0)</f>
        <v>444</v>
      </c>
      <c r="J18" s="353"/>
    </row>
    <row r="19" spans="1:13" x14ac:dyDescent="0.3">
      <c r="A19" s="188">
        <v>45747</v>
      </c>
      <c r="B19" s="3" t="s">
        <v>534</v>
      </c>
      <c r="C19" s="6"/>
      <c r="D19" s="2">
        <v>399</v>
      </c>
      <c r="E19" s="2">
        <v>76</v>
      </c>
      <c r="F19" s="230"/>
      <c r="G19" s="230">
        <f t="shared" si="0"/>
        <v>475</v>
      </c>
      <c r="H19" s="233">
        <f t="shared" si="1"/>
        <v>475</v>
      </c>
      <c r="I19" s="355">
        <f>IF(T_T134111213141516171819202122232425262728293031323335363738394041424344454647484950515253545556575859606162636465666768697071727374757677787980[[#This Row],[Total]]&lt;0,T_T134111213141516171819202122232425262728293031323335363738394041424344454647484950515253545556575859606162636465666768697071727374757677787980[[#This Row],[Total]]*-1,0)</f>
        <v>0</v>
      </c>
      <c r="J19" s="353"/>
    </row>
    <row r="20" spans="1:13" x14ac:dyDescent="0.3">
      <c r="A20" s="188"/>
      <c r="B20" s="82" t="s">
        <v>535</v>
      </c>
      <c r="C20" s="6">
        <v>8793</v>
      </c>
      <c r="D20" s="2">
        <v>-399</v>
      </c>
      <c r="E20" s="2">
        <v>-76</v>
      </c>
      <c r="F20" s="230"/>
      <c r="G20" s="230">
        <f t="shared" si="0"/>
        <v>-475</v>
      </c>
      <c r="H20" s="233">
        <f t="shared" si="1"/>
        <v>0</v>
      </c>
      <c r="I20" s="355">
        <f>IF(T_T134111213141516171819202122232425262728293031323335363738394041424344454647484950515253545556575859606162636465666768697071727374757677787980[[#This Row],[Total]]&lt;0,T_T134111213141516171819202122232425262728293031323335363738394041424344454647484950515253545556575859606162636465666768697071727374757677787980[[#This Row],[Total]]*-1,0)</f>
        <v>475</v>
      </c>
      <c r="J20" s="353"/>
    </row>
    <row r="21" spans="1:13" x14ac:dyDescent="0.3">
      <c r="A21" s="188">
        <v>45777</v>
      </c>
      <c r="B21" s="3" t="s">
        <v>536</v>
      </c>
      <c r="C21" s="6"/>
      <c r="D21" s="2">
        <v>399</v>
      </c>
      <c r="E21" s="2">
        <v>59</v>
      </c>
      <c r="F21" s="230"/>
      <c r="G21" s="230">
        <f t="shared" si="0"/>
        <v>458</v>
      </c>
      <c r="H21" s="233">
        <f t="shared" si="1"/>
        <v>458</v>
      </c>
      <c r="I21" s="355">
        <f>IF(T_T134111213141516171819202122232425262728293031323335363738394041424344454647484950515253545556575859606162636465666768697071727374757677787980[[#This Row],[Total]]&lt;0,T_T134111213141516171819202122232425262728293031323335363738394041424344454647484950515253545556575859606162636465666768697071727374757677787980[[#This Row],[Total]]*-1,0)</f>
        <v>0</v>
      </c>
      <c r="J21" s="353"/>
    </row>
    <row r="22" spans="1:13" x14ac:dyDescent="0.3">
      <c r="A22" s="83"/>
      <c r="B22" s="82" t="s">
        <v>537</v>
      </c>
      <c r="C22" s="6">
        <v>8954</v>
      </c>
      <c r="D22" s="2">
        <v>-399</v>
      </c>
      <c r="E22" s="2">
        <v>-59</v>
      </c>
      <c r="F22" s="230"/>
      <c r="G22" s="230">
        <f t="shared" si="0"/>
        <v>-458</v>
      </c>
      <c r="H22" s="233">
        <f t="shared" si="1"/>
        <v>0</v>
      </c>
      <c r="I22" s="355">
        <f>IF(T_T134111213141516171819202122232425262728293031323335363738394041424344454647484950515253545556575859606162636465666768697071727374757677787980[[#This Row],[Total]]&lt;0,T_T134111213141516171819202122232425262728293031323335363738394041424344454647484950515253545556575859606162636465666768697071727374757677787980[[#This Row],[Total]]*-1,0)</f>
        <v>458</v>
      </c>
      <c r="J22" s="353"/>
    </row>
    <row r="23" spans="1:13" x14ac:dyDescent="0.3">
      <c r="A23" s="40">
        <v>45807</v>
      </c>
      <c r="B23" s="3" t="s">
        <v>538</v>
      </c>
      <c r="C23" s="229"/>
      <c r="D23" s="230">
        <v>399</v>
      </c>
      <c r="E23" s="230">
        <v>65</v>
      </c>
      <c r="F23" s="230"/>
      <c r="G23" s="230">
        <f t="shared" si="0"/>
        <v>464</v>
      </c>
      <c r="H23" s="233">
        <f t="shared" si="1"/>
        <v>464</v>
      </c>
      <c r="I23" s="355">
        <f>IF(T_T134111213141516171819202122232425262728293031323335363738394041424344454647484950515253545556575859606162636465666768697071727374757677787980[[#This Row],[Total]]&lt;0,T_T134111213141516171819202122232425262728293031323335363738394041424344454647484950515253545556575859606162636465666768697071727374757677787980[[#This Row],[Total]]*-1,0)</f>
        <v>0</v>
      </c>
      <c r="J23" s="353"/>
    </row>
    <row r="24" spans="1:13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464</v>
      </c>
      <c r="I24" s="355">
        <f>IF(T_T134111213141516171819202122232425262728293031323335363738394041424344454647484950515253545556575859606162636465666768697071727374757677787980[[#This Row],[Total]]&lt;0,T_T134111213141516171819202122232425262728293031323335363738394041424344454647484950515253545556575859606162636465666768697071727374757677787980[[#This Row],[Total]]*-1,0)</f>
        <v>0</v>
      </c>
      <c r="J24" s="353"/>
    </row>
    <row r="25" spans="1:13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464</v>
      </c>
      <c r="I25" s="355">
        <f>IF(T_T134111213141516171819202122232425262728293031323335363738394041424344454647484950515253545556575859606162636465666768697071727374757677787980[[#This Row],[Total]]&lt;0,T_T134111213141516171819202122232425262728293031323335363738394041424344454647484950515253545556575859606162636465666768697071727374757677787980[[#This Row],[Total]]*-1,0)</f>
        <v>0</v>
      </c>
      <c r="J25" s="353"/>
    </row>
    <row r="26" spans="1:13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464</v>
      </c>
      <c r="I26" s="355">
        <f>IF(T_T134111213141516171819202122232425262728293031323335363738394041424344454647484950515253545556575859606162636465666768697071727374757677787980[[#This Row],[Total]]&lt;0,T_T134111213141516171819202122232425262728293031323335363738394041424344454647484950515253545556575859606162636465666768697071727374757677787980[[#This Row],[Total]]*-1,0)</f>
        <v>0</v>
      </c>
      <c r="J26" s="353"/>
    </row>
    <row r="27" spans="1:13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464</v>
      </c>
      <c r="I27" s="355">
        <f>IF(T_T134111213141516171819202122232425262728293031323335363738394041424344454647484950515253545556575859606162636465666768697071727374757677787980[[#This Row],[Total]]&lt;0,T_T134111213141516171819202122232425262728293031323335363738394041424344454647484950515253545556575859606162636465666768697071727374757677787980[[#This Row],[Total]]*-1,0)</f>
        <v>0</v>
      </c>
      <c r="J27" s="353"/>
    </row>
    <row r="28" spans="1:13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464</v>
      </c>
      <c r="I28" s="355">
        <f>IF(T_T134111213141516171819202122232425262728293031323335363738394041424344454647484950515253545556575859606162636465666768697071727374757677787980[[#This Row],[Total]]&lt;0,T_T134111213141516171819202122232425262728293031323335363738394041424344454647484950515253545556575859606162636465666768697071727374757677787980[[#This Row],[Total]]*-1,0)</f>
        <v>0</v>
      </c>
      <c r="J28" s="353"/>
    </row>
    <row r="29" spans="1:13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464</v>
      </c>
      <c r="I29" s="355">
        <f>IF(T_T134111213141516171819202122232425262728293031323335363738394041424344454647484950515253545556575859606162636465666768697071727374757677787980[[#This Row],[Total]]&lt;0,T_T134111213141516171819202122232425262728293031323335363738394041424344454647484950515253545556575859606162636465666768697071727374757677787980[[#This Row],[Total]]*-1,0)</f>
        <v>0</v>
      </c>
      <c r="J29" s="353"/>
      <c r="L29">
        <v>546</v>
      </c>
      <c r="M29" t="s">
        <v>575</v>
      </c>
    </row>
    <row r="30" spans="1:13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464</v>
      </c>
      <c r="I30" s="355">
        <f>IF(T_T134111213141516171819202122232425262728293031323335363738394041424344454647484950515253545556575859606162636465666768697071727374757677787980[[#This Row],[Total]]&lt;0,T_T134111213141516171819202122232425262728293031323335363738394041424344454647484950515253545556575859606162636465666768697071727374757677787980[[#This Row],[Total]]*-1,0)</f>
        <v>0</v>
      </c>
      <c r="J30" s="353"/>
    </row>
    <row r="31" spans="1:13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464</v>
      </c>
      <c r="I31" s="355">
        <f>IF(T_T134111213141516171819202122232425262728293031323335363738394041424344454647484950515253545556575859606162636465666768697071727374757677787980[[#This Row],[Total]]&lt;0,T_T134111213141516171819202122232425262728293031323335363738394041424344454647484950515253545556575859606162636465666768697071727374757677787980[[#This Row],[Total]]*-1,0)</f>
        <v>0</v>
      </c>
      <c r="J31" s="353"/>
    </row>
    <row r="32" spans="1:13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464</v>
      </c>
      <c r="I32" s="355">
        <f>IF(T_T134111213141516171819202122232425262728293031323335363738394041424344454647484950515253545556575859606162636465666768697071727374757677787980[[#This Row],[Total]]&lt;0,T_T134111213141516171819202122232425262728293031323335363738394041424344454647484950515253545556575859606162636465666768697071727374757677787980[[#This Row],[Total]]*-1,0)</f>
        <v>0</v>
      </c>
      <c r="J32" s="353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464</v>
      </c>
      <c r="I33" s="355">
        <f>IF(T_T134111213141516171819202122232425262728293031323335363738394041424344454647484950515253545556575859606162636465666768697071727374757677787980[[#This Row],[Total]]&lt;0,T_T134111213141516171819202122232425262728293031323335363738394041424344454647484950515253545556575859606162636465666768697071727374757677787980[[#This Row],[Total]]*-1,0)</f>
        <v>0</v>
      </c>
      <c r="J33" s="353"/>
    </row>
    <row r="34" spans="1:10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464</v>
      </c>
      <c r="I34" s="355">
        <f>IF(T_T134111213141516171819202122232425262728293031323335363738394041424344454647484950515253545556575859606162636465666768697071727374757677787980[[#This Row],[Total]]&lt;0,T_T134111213141516171819202122232425262728293031323335363738394041424344454647484950515253545556575859606162636465666768697071727374757677787980[[#This Row],[Total]]*-1,0)</f>
        <v>0</v>
      </c>
      <c r="J34" s="353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464</v>
      </c>
      <c r="I35" s="355">
        <f>IF(T_T134111213141516171819202122232425262728293031323335363738394041424344454647484950515253545556575859606162636465666768697071727374757677787980[[#This Row],[Total]]&lt;0,T_T134111213141516171819202122232425262728293031323335363738394041424344454647484950515253545556575859606162636465666768697071727374757677787980[[#This Row],[Total]]*-1,0)</f>
        <v>0</v>
      </c>
      <c r="J35" s="353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464</v>
      </c>
      <c r="I36" s="355">
        <f>IF(T_T134111213141516171819202122232425262728293031323335363738394041424344454647484950515253545556575859606162636465666768697071727374757677787980[[#This Row],[Total]]&lt;0,T_T134111213141516171819202122232425262728293031323335363738394041424344454647484950515253545556575859606162636465666768697071727374757677787980[[#This Row],[Total]]*-1,0)</f>
        <v>0</v>
      </c>
      <c r="J36" s="353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464</v>
      </c>
      <c r="I37" s="355">
        <f>IF(T_T134111213141516171819202122232425262728293031323335363738394041424344454647484950515253545556575859606162636465666768697071727374757677787980[[#This Row],[Total]]&lt;0,T_T134111213141516171819202122232425262728293031323335363738394041424344454647484950515253545556575859606162636465666768697071727374757677787980[[#This Row],[Total]]*-1,0)</f>
        <v>0</v>
      </c>
      <c r="J37" s="353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464</v>
      </c>
      <c r="I38" s="355">
        <f>IF(T_T134111213141516171819202122232425262728293031323335363738394041424344454647484950515253545556575859606162636465666768697071727374757677787980[[#This Row],[Total]]&lt;0,T_T134111213141516171819202122232425262728293031323335363738394041424344454647484950515253545556575859606162636465666768697071727374757677787980[[#This Row],[Total]]*-1,0)</f>
        <v>0</v>
      </c>
      <c r="J38" s="353"/>
    </row>
    <row r="39" spans="1:10" x14ac:dyDescent="0.3">
      <c r="A39" s="107"/>
      <c r="B39" s="82"/>
      <c r="C39" s="481"/>
      <c r="D39" s="482"/>
      <c r="E39" s="482"/>
      <c r="F39" s="482"/>
      <c r="G39" s="482"/>
      <c r="H39" s="483"/>
      <c r="I39" s="473">
        <f>IF(T_T134111213141516171819202122232425262728293031323335363738394041424344454647484950515253545556575859606162636465666768697071727374757677787980[[#This Row],[Total]]&lt;0,T_T134111213141516171819202122232425262728293031323335363738394041424344454647484950515253545556575859606162636465666768697071727374757677787980[[#This Row],[Total]]*-1,0)</f>
        <v>0</v>
      </c>
      <c r="J39" s="473"/>
    </row>
    <row r="40" spans="1:10" x14ac:dyDescent="0.3">
      <c r="A40" s="107"/>
      <c r="B40" s="82"/>
      <c r="C40" s="481"/>
      <c r="D40" s="482"/>
      <c r="E40" s="482"/>
      <c r="F40" s="482"/>
      <c r="G40" s="482"/>
      <c r="H40" s="483"/>
      <c r="I40" s="473">
        <f>IF(T_T134111213141516171819202122232425262728293031323335363738394041424344454647484950515253545556575859606162636465666768697071727374757677787980[[#This Row],[Total]]&lt;0,T_T134111213141516171819202122232425262728293031323335363738394041424344454647484950515253545556575859606162636465666768697071727374757677787980[[#This Row],[Total]]*-1,0)</f>
        <v>0</v>
      </c>
      <c r="J40" s="473"/>
    </row>
  </sheetData>
  <hyperlinks>
    <hyperlink ref="B7" r:id="rId1" display="jose.orozco@outlook.com"/>
    <hyperlink ref="H7" location="Resumen!A1" display="Rsumen         "/>
  </hyperlinks>
  <pageMargins left="0.70866141732283472" right="0.43" top="0.39" bottom="0.5" header="0.31496062992125984" footer="0.31496062992125984"/>
  <pageSetup scale="60" orientation="portrait" verticalDpi="360" r:id="rId2"/>
  <drawing r:id="rId3"/>
  <tableParts count="1">
    <tablePart r:id="rId4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M65"/>
  <sheetViews>
    <sheetView showGridLines="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0.6640625" bestFit="1" customWidth="1"/>
    <col min="14" max="14" width="18.33203125" customWidth="1"/>
  </cols>
  <sheetData>
    <row r="2" spans="1:13" ht="15.6" x14ac:dyDescent="0.3">
      <c r="A2" s="27" t="s">
        <v>36</v>
      </c>
      <c r="B2" s="41" t="s">
        <v>129</v>
      </c>
    </row>
    <row r="3" spans="1:13" ht="0.75" customHeight="1" x14ac:dyDescent="0.3">
      <c r="A3" s="27" t="s">
        <v>31</v>
      </c>
      <c r="B3" s="28" t="e">
        <f>LOOKUP(B2,#REF!,#REF!)</f>
        <v>#REF!</v>
      </c>
    </row>
    <row r="4" spans="1:13" hidden="1" x14ac:dyDescent="0.3">
      <c r="A4" s="27" t="s">
        <v>32</v>
      </c>
      <c r="B4" s="28" t="e">
        <f>LOOKUP(B2,#REF!,#REF!)</f>
        <v>#REF!</v>
      </c>
    </row>
    <row r="5" spans="1:13" hidden="1" x14ac:dyDescent="0.3">
      <c r="A5" s="27" t="s">
        <v>33</v>
      </c>
      <c r="B5" s="28" t="e">
        <f>LOOKUP(B2,#REF!,#REF!)</f>
        <v>#REF!</v>
      </c>
    </row>
    <row r="6" spans="1:13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3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3" x14ac:dyDescent="0.3">
      <c r="A8" s="21" t="s">
        <v>365</v>
      </c>
      <c r="B8" s="21"/>
    </row>
    <row r="9" spans="1:13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416" t="s">
        <v>188</v>
      </c>
    </row>
    <row r="10" spans="1:13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IF(T_T13411121314151617181920212223242526272829303132333536373839404142434445464748495051525354555657585960616263646566676869707172737475767778798081[[#This Row],[Total]]&lt;0,T_T13411121314151617181920212223242526272829303132333536373839404142434445464748495051525354555657585960616263646566676869707172737475767778798081[[#This Row],[Total]]*-1,0)</f>
        <v>0</v>
      </c>
      <c r="J10" s="414"/>
      <c r="M10" s="178"/>
    </row>
    <row r="11" spans="1:13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355">
        <f>IF(T_T13411121314151617181920212223242526272829303132333536373839404142434445464748495051525354555657585960616263646566676869707172737475767778798081[[#This Row],[Total]]&lt;0,T_T13411121314151617181920212223242526272829303132333536373839404142434445464748495051525354555657585960616263646566676869707172737475767778798081[[#This Row],[Total]]*-1,0)</f>
        <v>0</v>
      </c>
      <c r="J11" s="413"/>
    </row>
    <row r="12" spans="1:13" x14ac:dyDescent="0.3">
      <c r="A12" s="288"/>
      <c r="B12" s="118" t="s">
        <v>467</v>
      </c>
      <c r="C12" s="424"/>
      <c r="D12" s="425"/>
      <c r="E12" s="425"/>
      <c r="F12" s="425"/>
      <c r="G12" s="425"/>
      <c r="H12" s="426">
        <v>0</v>
      </c>
      <c r="I12" s="427">
        <f>IF(T_T13411121314151617181920212223242526272829303132333536373839404142434445464748495051525354555657585960616263646566676869707172737475767778798081[[#This Row],[Total]]&lt;0,T_T13411121314151617181920212223242526272829303132333536373839404142434445464748495051525354555657585960616263646566676869707172737475767778798081[[#This Row],[Total]]*-1,0)</f>
        <v>0</v>
      </c>
      <c r="J12" s="413"/>
    </row>
    <row r="13" spans="1:13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355">
        <f>IF(T_T13411121314151617181920212223242526272829303132333536373839404142434445464748495051525354555657585960616263646566676869707172737475767778798081[[#This Row],[Total]]&lt;0,T_T13411121314151617181920212223242526272829303132333536373839404142434445464748495051525354555657585960616263646566676869707172737475767778798081[[#This Row],[Total]]*-1,0)</f>
        <v>0</v>
      </c>
      <c r="J13" s="413"/>
    </row>
    <row r="14" spans="1:13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6">
        <f>IF(T_T13411121314151617181920212223242526272829303132333536373839404142434445464748495051525354555657585960616263646566676869707172737475767778798081[[#This Row],[Total]]&lt;0,T_T13411121314151617181920212223242526272829303132333536373839404142434445464748495051525354555657585960616263646566676869707172737475767778798081[[#This Row],[Total]]*-1,0)</f>
        <v>0</v>
      </c>
      <c r="J14" s="487"/>
    </row>
    <row r="15" spans="1:13" x14ac:dyDescent="0.3">
      <c r="A15" s="17">
        <v>46052</v>
      </c>
      <c r="B15" s="18" t="s">
        <v>590</v>
      </c>
      <c r="C15" s="6"/>
      <c r="D15" s="2">
        <v>141</v>
      </c>
      <c r="E15" s="2">
        <v>19</v>
      </c>
      <c r="F15" s="20"/>
      <c r="G15" s="20">
        <f>SUM(D15:F15)</f>
        <v>160</v>
      </c>
      <c r="H15" s="233">
        <f>+H13+T_T13411121314151617181920212223242526272829303132333536373839404142434445464748495051525354555657585960616263646566676869707172737475767778798081[[#This Row],[Total]]</f>
        <v>160</v>
      </c>
      <c r="I15" s="355">
        <f>IF(T_T13411121314151617181920212223242526272829303132333536373839404142434445464748495051525354555657585960616263646566676869707172737475767778798081[[#This Row],[Total]]&lt;0,T_T13411121314151617181920212223242526272829303132333536373839404142434445464748495051525354555657585960616263646566676869707172737475767778798081[[#This Row],[Total]]*-1,0)</f>
        <v>0</v>
      </c>
      <c r="J15" s="413"/>
    </row>
    <row r="16" spans="1:13" x14ac:dyDescent="0.3">
      <c r="A16" s="17"/>
      <c r="B16" s="18" t="s">
        <v>531</v>
      </c>
      <c r="C16" s="6">
        <v>8527</v>
      </c>
      <c r="D16" s="2">
        <v>-141</v>
      </c>
      <c r="E16" s="2">
        <v>-19</v>
      </c>
      <c r="F16" s="230"/>
      <c r="G16" s="230">
        <f t="shared" ref="G16:G38" si="0">SUM(D16:F16)</f>
        <v>-160</v>
      </c>
      <c r="H16" s="233">
        <f t="shared" ref="H16:H39" si="1">H15+G16</f>
        <v>0</v>
      </c>
      <c r="I16" s="355">
        <f>IF(T_T13411121314151617181920212223242526272829303132333536373839404142434445464748495051525354555657585960616263646566676869707172737475767778798081[[#This Row],[Total]]&lt;0,T_T13411121314151617181920212223242526272829303132333536373839404142434445464748495051525354555657585960616263646566676869707172737475767778798081[[#This Row],[Total]]*-1,0)</f>
        <v>160</v>
      </c>
      <c r="J16" s="413"/>
    </row>
    <row r="17" spans="1:10" x14ac:dyDescent="0.3">
      <c r="A17" s="164">
        <v>45715</v>
      </c>
      <c r="B17" s="161" t="s">
        <v>532</v>
      </c>
      <c r="C17" s="6"/>
      <c r="D17" s="2">
        <f>150+32</f>
        <v>182</v>
      </c>
      <c r="E17" s="2">
        <v>17</v>
      </c>
      <c r="F17" s="230"/>
      <c r="G17" s="230">
        <f t="shared" si="0"/>
        <v>199</v>
      </c>
      <c r="H17" s="233">
        <f t="shared" si="1"/>
        <v>199</v>
      </c>
      <c r="I17" s="355">
        <f>IF(T_T13411121314151617181920212223242526272829303132333536373839404142434445464748495051525354555657585960616263646566676869707172737475767778798081[[#This Row],[Total]]&lt;0,T_T13411121314151617181920212223242526272829303132333536373839404142434445464748495051525354555657585960616263646566676869707172737475767778798081[[#This Row],[Total]]*-1,0)</f>
        <v>0</v>
      </c>
      <c r="J17" s="413"/>
    </row>
    <row r="18" spans="1:10" x14ac:dyDescent="0.3">
      <c r="A18" s="187"/>
      <c r="B18" s="18" t="s">
        <v>533</v>
      </c>
      <c r="C18" s="6">
        <v>8744</v>
      </c>
      <c r="D18" s="2">
        <v>-182</v>
      </c>
      <c r="E18" s="2">
        <v>-17</v>
      </c>
      <c r="F18" s="230"/>
      <c r="G18" s="230">
        <f t="shared" si="0"/>
        <v>-199</v>
      </c>
      <c r="H18" s="233">
        <f t="shared" si="1"/>
        <v>0</v>
      </c>
      <c r="I18" s="355">
        <f>IF(T_T13411121314151617181920212223242526272829303132333536373839404142434445464748495051525354555657585960616263646566676869707172737475767778798081[[#This Row],[Total]]&lt;0,T_T13411121314151617181920212223242526272829303132333536373839404142434445464748495051525354555657585960616263646566676869707172737475767778798081[[#This Row],[Total]]*-1,0)</f>
        <v>199</v>
      </c>
      <c r="J18" s="413"/>
    </row>
    <row r="19" spans="1:10" x14ac:dyDescent="0.3">
      <c r="A19" s="188">
        <v>45747</v>
      </c>
      <c r="B19" s="3" t="s">
        <v>534</v>
      </c>
      <c r="C19" s="6"/>
      <c r="D19" s="2">
        <v>172</v>
      </c>
      <c r="E19" s="2">
        <v>14</v>
      </c>
      <c r="F19" s="230"/>
      <c r="G19" s="230">
        <f t="shared" si="0"/>
        <v>186</v>
      </c>
      <c r="H19" s="233">
        <f t="shared" si="1"/>
        <v>186</v>
      </c>
      <c r="I19" s="355">
        <f>IF(T_T13411121314151617181920212223242526272829303132333536373839404142434445464748495051525354555657585960616263646566676869707172737475767778798081[[#This Row],[Total]]&lt;0,T_T13411121314151617181920212223242526272829303132333536373839404142434445464748495051525354555657585960616263646566676869707172737475767778798081[[#This Row],[Total]]*-1,0)</f>
        <v>0</v>
      </c>
      <c r="J19" s="413"/>
    </row>
    <row r="20" spans="1:10" x14ac:dyDescent="0.3">
      <c r="A20" s="188"/>
      <c r="B20" s="82" t="s">
        <v>535</v>
      </c>
      <c r="C20" s="6"/>
      <c r="D20" s="2"/>
      <c r="E20" s="2"/>
      <c r="F20" s="230"/>
      <c r="G20" s="230">
        <f t="shared" si="0"/>
        <v>0</v>
      </c>
      <c r="H20" s="233">
        <f t="shared" si="1"/>
        <v>186</v>
      </c>
      <c r="I20" s="355">
        <f>IF(T_T13411121314151617181920212223242526272829303132333536373839404142434445464748495051525354555657585960616263646566676869707172737475767778798081[[#This Row],[Total]]&lt;0,T_T13411121314151617181920212223242526272829303132333536373839404142434445464748495051525354555657585960616263646566676869707172737475767778798081[[#This Row],[Total]]*-1,0)</f>
        <v>0</v>
      </c>
      <c r="J20" s="413"/>
    </row>
    <row r="21" spans="1:10" x14ac:dyDescent="0.3">
      <c r="A21" s="188">
        <v>45777</v>
      </c>
      <c r="B21" s="3" t="s">
        <v>536</v>
      </c>
      <c r="C21" s="6"/>
      <c r="D21" s="2">
        <v>172</v>
      </c>
      <c r="E21" s="2">
        <v>13</v>
      </c>
      <c r="F21" s="230"/>
      <c r="G21" s="230">
        <f t="shared" si="0"/>
        <v>185</v>
      </c>
      <c r="H21" s="233">
        <f t="shared" si="1"/>
        <v>371</v>
      </c>
      <c r="I21" s="355">
        <f>IF(T_T13411121314151617181920212223242526272829303132333536373839404142434445464748495051525354555657585960616263646566676869707172737475767778798081[[#This Row],[Total]]&lt;0,T_T13411121314151617181920212223242526272829303132333536373839404142434445464748495051525354555657585960616263646566676869707172737475767778798081[[#This Row],[Total]]*-1,0)</f>
        <v>0</v>
      </c>
      <c r="J21" s="413"/>
    </row>
    <row r="22" spans="1:10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371</v>
      </c>
      <c r="I22" s="355">
        <f>IF(T_T13411121314151617181920212223242526272829303132333536373839404142434445464748495051525354555657585960616263646566676869707172737475767778798081[[#This Row],[Total]]&lt;0,T_T13411121314151617181920212223242526272829303132333536373839404142434445464748495051525354555657585960616263646566676869707172737475767778798081[[#This Row],[Total]]*-1,0)</f>
        <v>0</v>
      </c>
      <c r="J22" s="413"/>
    </row>
    <row r="23" spans="1:10" x14ac:dyDescent="0.3">
      <c r="A23" s="40">
        <v>45807</v>
      </c>
      <c r="B23" s="3" t="s">
        <v>538</v>
      </c>
      <c r="C23" s="229"/>
      <c r="D23" s="230">
        <v>172</v>
      </c>
      <c r="E23" s="230">
        <v>19</v>
      </c>
      <c r="F23" s="230"/>
      <c r="G23" s="230">
        <f t="shared" si="0"/>
        <v>191</v>
      </c>
      <c r="H23" s="233">
        <f t="shared" si="1"/>
        <v>562</v>
      </c>
      <c r="I23" s="355">
        <f>IF(T_T13411121314151617181920212223242526272829303132333536373839404142434445464748495051525354555657585960616263646566676869707172737475767778798081[[#This Row],[Total]]&lt;0,T_T13411121314151617181920212223242526272829303132333536373839404142434445464748495051525354555657585960616263646566676869707172737475767778798081[[#This Row],[Total]]*-1,0)</f>
        <v>0</v>
      </c>
      <c r="J23" s="413"/>
    </row>
    <row r="24" spans="1:10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562</v>
      </c>
      <c r="I24" s="355">
        <f>IF(T_T13411121314151617181920212223242526272829303132333536373839404142434445464748495051525354555657585960616263646566676869707172737475767778798081[[#This Row],[Total]]&lt;0,T_T13411121314151617181920212223242526272829303132333536373839404142434445464748495051525354555657585960616263646566676869707172737475767778798081[[#This Row],[Total]]*-1,0)</f>
        <v>0</v>
      </c>
      <c r="J24" s="413"/>
    </row>
    <row r="25" spans="1:10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562</v>
      </c>
      <c r="I25" s="355">
        <f>IF(T_T13411121314151617181920212223242526272829303132333536373839404142434445464748495051525354555657585960616263646566676869707172737475767778798081[[#This Row],[Total]]&lt;0,T_T13411121314151617181920212223242526272829303132333536373839404142434445464748495051525354555657585960616263646566676869707172737475767778798081[[#This Row],[Total]]*-1,0)</f>
        <v>0</v>
      </c>
      <c r="J25" s="413"/>
    </row>
    <row r="26" spans="1:10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562</v>
      </c>
      <c r="I26" s="355">
        <f>IF(T_T13411121314151617181920212223242526272829303132333536373839404142434445464748495051525354555657585960616263646566676869707172737475767778798081[[#This Row],[Total]]&lt;0,T_T13411121314151617181920212223242526272829303132333536373839404142434445464748495051525354555657585960616263646566676869707172737475767778798081[[#This Row],[Total]]*-1,0)</f>
        <v>0</v>
      </c>
      <c r="J26" s="413"/>
    </row>
    <row r="27" spans="1:10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562</v>
      </c>
      <c r="I27" s="355">
        <f>IF(T_T13411121314151617181920212223242526272829303132333536373839404142434445464748495051525354555657585960616263646566676869707172737475767778798081[[#This Row],[Total]]&lt;0,T_T13411121314151617181920212223242526272829303132333536373839404142434445464748495051525354555657585960616263646566676869707172737475767778798081[[#This Row],[Total]]*-1,0)</f>
        <v>0</v>
      </c>
      <c r="J27" s="413"/>
    </row>
    <row r="28" spans="1:10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562</v>
      </c>
      <c r="I28" s="355">
        <f>IF(T_T13411121314151617181920212223242526272829303132333536373839404142434445464748495051525354555657585960616263646566676869707172737475767778798081[[#This Row],[Total]]&lt;0,T_T13411121314151617181920212223242526272829303132333536373839404142434445464748495051525354555657585960616263646566676869707172737475767778798081[[#This Row],[Total]]*-1,0)</f>
        <v>0</v>
      </c>
      <c r="J28" s="413"/>
    </row>
    <row r="29" spans="1:10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562</v>
      </c>
      <c r="I29" s="355">
        <f>IF(T_T13411121314151617181920212223242526272829303132333536373839404142434445464748495051525354555657585960616263646566676869707172737475767778798081[[#This Row],[Total]]&lt;0,T_T13411121314151617181920212223242526272829303132333536373839404142434445464748495051525354555657585960616263646566676869707172737475767778798081[[#This Row],[Total]]*-1,0)</f>
        <v>0</v>
      </c>
      <c r="J29" s="413"/>
    </row>
    <row r="30" spans="1:10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562</v>
      </c>
      <c r="I30" s="355">
        <f>IF(T_T13411121314151617181920212223242526272829303132333536373839404142434445464748495051525354555657585960616263646566676869707172737475767778798081[[#This Row],[Total]]&lt;0,T_T13411121314151617181920212223242526272829303132333536373839404142434445464748495051525354555657585960616263646566676869707172737475767778798081[[#This Row],[Total]]*-1,0)</f>
        <v>0</v>
      </c>
      <c r="J30" s="413"/>
    </row>
    <row r="31" spans="1:10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562</v>
      </c>
      <c r="I31" s="355">
        <f>IF(T_T13411121314151617181920212223242526272829303132333536373839404142434445464748495051525354555657585960616263646566676869707172737475767778798081[[#This Row],[Total]]&lt;0,T_T13411121314151617181920212223242526272829303132333536373839404142434445464748495051525354555657585960616263646566676869707172737475767778798081[[#This Row],[Total]]*-1,0)</f>
        <v>0</v>
      </c>
      <c r="J31" s="413"/>
    </row>
    <row r="32" spans="1:10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562</v>
      </c>
      <c r="I32" s="355">
        <f>IF(T_T13411121314151617181920212223242526272829303132333536373839404142434445464748495051525354555657585960616263646566676869707172737475767778798081[[#This Row],[Total]]&lt;0,T_T13411121314151617181920212223242526272829303132333536373839404142434445464748495051525354555657585960616263646566676869707172737475767778798081[[#This Row],[Total]]*-1,0)</f>
        <v>0</v>
      </c>
      <c r="J32" s="413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562</v>
      </c>
      <c r="I33" s="355">
        <f>IF(T_T13411121314151617181920212223242526272829303132333536373839404142434445464748495051525354555657585960616263646566676869707172737475767778798081[[#This Row],[Total]]&lt;0,T_T13411121314151617181920212223242526272829303132333536373839404142434445464748495051525354555657585960616263646566676869707172737475767778798081[[#This Row],[Total]]*-1,0)</f>
        <v>0</v>
      </c>
      <c r="J33" s="413"/>
    </row>
    <row r="34" spans="1:10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562</v>
      </c>
      <c r="I34" s="355">
        <f>IF(T_T13411121314151617181920212223242526272829303132333536373839404142434445464748495051525354555657585960616263646566676869707172737475767778798081[[#This Row],[Total]]&lt;0,T_T13411121314151617181920212223242526272829303132333536373839404142434445464748495051525354555657585960616263646566676869707172737475767778798081[[#This Row],[Total]]*-1,0)</f>
        <v>0</v>
      </c>
      <c r="J34" s="413" t="s">
        <v>461</v>
      </c>
    </row>
    <row r="35" spans="1:10" x14ac:dyDescent="0.3">
      <c r="A35" s="9">
        <v>45991</v>
      </c>
      <c r="B35" s="3" t="s">
        <v>550</v>
      </c>
      <c r="C35" s="6"/>
      <c r="D35" s="230"/>
      <c r="E35" s="230"/>
      <c r="F35" s="230"/>
      <c r="G35" s="230">
        <f t="shared" si="0"/>
        <v>0</v>
      </c>
      <c r="H35" s="233">
        <f t="shared" si="1"/>
        <v>562</v>
      </c>
      <c r="I35" s="355">
        <f>IF(T_T13411121314151617181920212223242526272829303132333536373839404142434445464748495051525354555657585960616263646566676869707172737475767778798081[[#This Row],[Total]]&lt;0,T_T13411121314151617181920212223242526272829303132333536373839404142434445464748495051525354555657585960616263646566676869707172737475767778798081[[#This Row],[Total]]*-1,0)</f>
        <v>0</v>
      </c>
      <c r="J35" s="413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562</v>
      </c>
      <c r="I36" s="355">
        <f>IF(T_T13411121314151617181920212223242526272829303132333536373839404142434445464748495051525354555657585960616263646566676869707172737475767778798081[[#This Row],[Total]]&lt;0,T_T13411121314151617181920212223242526272829303132333536373839404142434445464748495051525354555657585960616263646566676869707172737475767778798081[[#This Row],[Total]]*-1,0)</f>
        <v>0</v>
      </c>
      <c r="J36" s="413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562</v>
      </c>
      <c r="I37" s="355">
        <f>IF(T_T13411121314151617181920212223242526272829303132333536373839404142434445464748495051525354555657585960616263646566676869707172737475767778798081[[#This Row],[Total]]&lt;0,T_T13411121314151617181920212223242526272829303132333536373839404142434445464748495051525354555657585960616263646566676869707172737475767778798081[[#This Row],[Total]]*-1,0)</f>
        <v>0</v>
      </c>
      <c r="J37" s="413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562</v>
      </c>
      <c r="I38" s="355">
        <f>IF(T_T13411121314151617181920212223242526272829303132333536373839404142434445464748495051525354555657585960616263646566676869707172737475767778798081[[#This Row],[Total]]&lt;0,T_T13411121314151617181920212223242526272829303132333536373839404142434445464748495051525354555657585960616263646566676869707172737475767778798081[[#This Row],[Total]]*-1,0)</f>
        <v>0</v>
      </c>
      <c r="J38" s="413"/>
    </row>
    <row r="39" spans="1:10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562</v>
      </c>
      <c r="I39" s="355">
        <f>IF(T_T13411121314151617181920212223242526272829303132333536373839404142434445464748495051525354555657585960616263646566676869707172737475767778798081[[#This Row],[Total]]&lt;0,T_T13411121314151617181920212223242526272829303132333536373839404142434445464748495051525354555657585960616263646566676869707172737475767778798081[[#This Row],[Total]]*-1,0)</f>
        <v>0</v>
      </c>
      <c r="J39" s="413"/>
    </row>
    <row r="40" spans="1:10" x14ac:dyDescent="0.3">
      <c r="A40" s="107"/>
      <c r="B40" s="82"/>
      <c r="C40" s="229"/>
      <c r="D40" s="230"/>
      <c r="E40" s="230"/>
      <c r="F40" s="230"/>
      <c r="G40" s="230"/>
      <c r="H40" s="233"/>
      <c r="I40" s="355">
        <f>IF(T_T13411121314151617181920212223242526272829303132333536373839404142434445464748495051525354555657585960616263646566676869707172737475767778798081[[#This Row],[Total]]&lt;0,T_T13411121314151617181920212223242526272829303132333536373839404142434445464748495051525354555657585960616263646566676869707172737475767778798081[[#This Row],[Total]]*-1,0)</f>
        <v>0</v>
      </c>
      <c r="J40" s="415"/>
    </row>
    <row r="41" spans="1:10" x14ac:dyDescent="0.3">
      <c r="A41" s="17"/>
      <c r="B41" s="18"/>
      <c r="C41" s="6"/>
      <c r="D41" s="2"/>
      <c r="E41" s="2"/>
      <c r="F41" s="2"/>
      <c r="G41" s="177"/>
      <c r="H41" s="80"/>
    </row>
    <row r="42" spans="1:10" x14ac:dyDescent="0.3">
      <c r="A42" s="17"/>
      <c r="B42" s="18"/>
      <c r="C42" s="6"/>
      <c r="D42" s="2"/>
      <c r="E42" s="2"/>
      <c r="F42" s="2"/>
      <c r="G42" s="177"/>
      <c r="H42" s="80"/>
    </row>
    <row r="43" spans="1:10" x14ac:dyDescent="0.3">
      <c r="A43" s="164"/>
      <c r="B43" s="161"/>
      <c r="C43" s="6"/>
      <c r="D43" s="2"/>
      <c r="E43" s="2"/>
      <c r="F43" s="2"/>
      <c r="G43" s="177"/>
      <c r="H43" s="80"/>
    </row>
    <row r="44" spans="1:10" x14ac:dyDescent="0.3">
      <c r="A44" s="185"/>
      <c r="B44" s="3"/>
      <c r="C44" s="6"/>
      <c r="D44" s="212"/>
      <c r="E44" s="212"/>
      <c r="F44" s="212"/>
      <c r="G44" s="281"/>
      <c r="H44" s="200"/>
    </row>
    <row r="45" spans="1:10" x14ac:dyDescent="0.3">
      <c r="A45" s="188"/>
      <c r="B45" s="3"/>
      <c r="C45" s="6"/>
      <c r="D45" s="2"/>
      <c r="E45" s="2"/>
      <c r="F45" s="2"/>
      <c r="G45" s="281"/>
      <c r="H45" s="200"/>
    </row>
    <row r="46" spans="1:10" x14ac:dyDescent="0.3">
      <c r="A46" s="107"/>
      <c r="B46" s="82"/>
      <c r="C46" s="283"/>
      <c r="D46" s="2"/>
      <c r="E46" s="2"/>
      <c r="F46" s="2"/>
      <c r="G46" s="281"/>
      <c r="H46" s="200"/>
    </row>
    <row r="47" spans="1:10" x14ac:dyDescent="0.3">
      <c r="A47" s="188"/>
      <c r="B47" s="3"/>
      <c r="C47" s="169"/>
      <c r="D47" s="2"/>
      <c r="E47" s="2"/>
      <c r="F47" s="2"/>
      <c r="G47" s="281"/>
      <c r="H47" s="200"/>
    </row>
    <row r="48" spans="1:10" x14ac:dyDescent="0.3">
      <c r="A48" s="257"/>
      <c r="B48" s="110"/>
      <c r="C48" s="330"/>
      <c r="D48" s="212"/>
      <c r="E48" s="212"/>
      <c r="F48" s="212"/>
      <c r="G48" s="281"/>
      <c r="H48" s="200"/>
    </row>
    <row r="49" spans="1:8" x14ac:dyDescent="0.3">
      <c r="A49" s="188"/>
      <c r="B49" s="3"/>
      <c r="C49" s="6"/>
      <c r="D49" s="2"/>
      <c r="E49" s="2"/>
      <c r="F49" s="2"/>
      <c r="G49" s="2"/>
      <c r="H49" s="200"/>
    </row>
    <row r="50" spans="1:8" x14ac:dyDescent="0.3">
      <c r="A50" s="107"/>
      <c r="B50" s="127"/>
      <c r="C50" s="6"/>
      <c r="D50" s="2"/>
      <c r="E50" s="2"/>
      <c r="F50" s="2"/>
      <c r="G50" s="2"/>
      <c r="H50" s="200"/>
    </row>
    <row r="51" spans="1:8" x14ac:dyDescent="0.3">
      <c r="A51" s="188"/>
      <c r="B51" s="3"/>
      <c r="C51" s="6"/>
      <c r="D51" s="2"/>
      <c r="E51" s="2"/>
      <c r="F51" s="2"/>
      <c r="G51" s="2"/>
      <c r="H51" s="200"/>
    </row>
    <row r="52" spans="1:8" x14ac:dyDescent="0.3">
      <c r="A52" s="107"/>
      <c r="B52" s="127"/>
      <c r="C52" s="6"/>
      <c r="D52" s="2"/>
      <c r="E52" s="2"/>
      <c r="F52" s="2"/>
      <c r="G52" s="2"/>
      <c r="H52" s="200"/>
    </row>
    <row r="53" spans="1:8" x14ac:dyDescent="0.3">
      <c r="A53" s="107"/>
      <c r="B53" s="82"/>
      <c r="C53" s="6"/>
      <c r="D53" s="2"/>
      <c r="E53" s="2"/>
      <c r="F53" s="2"/>
      <c r="G53" s="2"/>
      <c r="H53" s="200"/>
    </row>
    <row r="54" spans="1:8" x14ac:dyDescent="0.3">
      <c r="A54" s="107"/>
      <c r="B54" s="82"/>
      <c r="C54" s="6"/>
      <c r="D54" s="2"/>
      <c r="E54" s="2"/>
      <c r="F54" s="2"/>
      <c r="G54" s="2"/>
      <c r="H54" s="200"/>
    </row>
    <row r="55" spans="1:8" x14ac:dyDescent="0.3">
      <c r="A55" s="107"/>
      <c r="B55" s="82"/>
      <c r="C55" s="6"/>
      <c r="D55" s="2"/>
      <c r="E55" s="2"/>
      <c r="F55" s="2"/>
      <c r="G55" s="2"/>
      <c r="H55" s="200"/>
    </row>
    <row r="56" spans="1:8" x14ac:dyDescent="0.3">
      <c r="A56" s="107"/>
      <c r="B56" s="82"/>
      <c r="C56" s="19"/>
      <c r="D56" s="212"/>
      <c r="E56" s="212"/>
      <c r="F56" s="212"/>
      <c r="G56" s="2"/>
      <c r="H56" s="200"/>
    </row>
    <row r="57" spans="1:8" x14ac:dyDescent="0.3">
      <c r="A57" s="188"/>
      <c r="B57" s="3"/>
      <c r="C57" s="6"/>
      <c r="D57" s="2"/>
      <c r="E57" s="2"/>
      <c r="F57" s="2"/>
      <c r="G57" s="2"/>
      <c r="H57" s="200"/>
    </row>
    <row r="58" spans="1:8" x14ac:dyDescent="0.3">
      <c r="A58" s="107"/>
      <c r="B58" s="82"/>
      <c r="C58" s="6"/>
      <c r="D58" s="2"/>
      <c r="E58" s="2"/>
      <c r="F58" s="2"/>
      <c r="G58" s="2"/>
      <c r="H58" s="200"/>
    </row>
    <row r="59" spans="1:8" x14ac:dyDescent="0.3">
      <c r="A59" s="188"/>
      <c r="B59" s="3"/>
      <c r="C59" s="6"/>
      <c r="D59" s="2"/>
      <c r="E59" s="2"/>
      <c r="F59" s="2"/>
      <c r="G59" s="2"/>
      <c r="H59" s="200"/>
    </row>
    <row r="60" spans="1:8" x14ac:dyDescent="0.3">
      <c r="A60" s="107"/>
      <c r="B60" s="82"/>
      <c r="C60" s="6"/>
      <c r="D60" s="2"/>
      <c r="E60" s="2"/>
      <c r="F60" s="2"/>
      <c r="G60" s="2"/>
      <c r="H60" s="200"/>
    </row>
    <row r="61" spans="1:8" x14ac:dyDescent="0.3">
      <c r="A61" s="188"/>
      <c r="B61" s="3"/>
      <c r="C61" s="6"/>
      <c r="D61" s="2"/>
      <c r="E61" s="2"/>
      <c r="F61" s="2"/>
      <c r="G61" s="2"/>
      <c r="H61" s="200"/>
    </row>
    <row r="62" spans="1:8" x14ac:dyDescent="0.3">
      <c r="A62" s="83"/>
      <c r="B62" s="127"/>
      <c r="C62" s="6"/>
      <c r="D62" s="2"/>
      <c r="E62" s="2"/>
      <c r="F62" s="2"/>
      <c r="G62" s="2"/>
      <c r="H62" s="200"/>
    </row>
    <row r="63" spans="1:8" x14ac:dyDescent="0.3">
      <c r="A63" s="188"/>
      <c r="B63" s="3"/>
      <c r="C63" s="6"/>
      <c r="D63" s="2"/>
      <c r="E63" s="2"/>
      <c r="F63" s="2"/>
      <c r="G63" s="2"/>
      <c r="H63" s="200"/>
    </row>
    <row r="64" spans="1:8" x14ac:dyDescent="0.3">
      <c r="A64" s="257"/>
      <c r="B64" s="110"/>
      <c r="C64" s="6"/>
      <c r="D64" s="2"/>
      <c r="E64" s="2"/>
      <c r="F64" s="2"/>
      <c r="G64" s="2"/>
      <c r="H64" s="200"/>
    </row>
    <row r="65" spans="1:8" x14ac:dyDescent="0.3">
      <c r="A65" s="164"/>
      <c r="B65" s="161"/>
      <c r="C65" s="6"/>
      <c r="D65" s="2"/>
      <c r="E65" s="2"/>
      <c r="F65" s="2"/>
      <c r="G65" s="2"/>
      <c r="H65" s="2"/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scale="70" orientation="portrait" verticalDpi="360" r:id="rId2"/>
  <drawing r:id="rId3"/>
  <tableParts count="1">
    <tablePart r:id="rId4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O40"/>
  <sheetViews>
    <sheetView showGridLines="0" topLeftCell="A2" zoomScale="85" zoomScaleNormal="85" workbookViewId="0">
      <selection activeCell="E23" sqref="E23"/>
    </sheetView>
  </sheetViews>
  <sheetFormatPr baseColWidth="10" defaultColWidth="9.109375" defaultRowHeight="14.4" x14ac:dyDescent="0.3"/>
  <cols>
    <col min="1" max="1" width="14.6640625" customWidth="1"/>
    <col min="2" max="2" width="38.109375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0" max="10" width="11" customWidth="1"/>
    <col min="14" max="15" width="10.6640625" bestFit="1" customWidth="1"/>
    <col min="16" max="16" width="17.5546875" customWidth="1"/>
  </cols>
  <sheetData>
    <row r="2" spans="1:15" ht="15.6" x14ac:dyDescent="0.3">
      <c r="A2" s="27" t="s">
        <v>36</v>
      </c>
      <c r="B2" s="41" t="s">
        <v>130</v>
      </c>
    </row>
    <row r="3" spans="1:15" hidden="1" x14ac:dyDescent="0.3">
      <c r="A3" s="27" t="s">
        <v>31</v>
      </c>
      <c r="B3" s="28" t="e">
        <f>LOOKUP(B2,#REF!,#REF!)</f>
        <v>#REF!</v>
      </c>
    </row>
    <row r="4" spans="1:15" hidden="1" x14ac:dyDescent="0.3">
      <c r="A4" s="27" t="s">
        <v>32</v>
      </c>
      <c r="B4" s="28" t="e">
        <f>LOOKUP(B2,#REF!,#REF!)</f>
        <v>#REF!</v>
      </c>
    </row>
    <row r="5" spans="1:15" hidden="1" x14ac:dyDescent="0.3">
      <c r="A5" s="27" t="s">
        <v>33</v>
      </c>
      <c r="B5" s="28" t="e">
        <f>LOOKUP(B2,#REF!,#REF!)</f>
        <v>#REF!</v>
      </c>
    </row>
    <row r="6" spans="1:15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5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5" x14ac:dyDescent="0.3">
      <c r="A8" s="21"/>
      <c r="B8" s="21" t="s">
        <v>390</v>
      </c>
    </row>
    <row r="9" spans="1:15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96" t="s">
        <v>188</v>
      </c>
      <c r="K9" s="173" t="s">
        <v>191</v>
      </c>
      <c r="L9" s="75" t="s">
        <v>262</v>
      </c>
      <c r="M9" s="75" t="s">
        <v>383</v>
      </c>
    </row>
    <row r="10" spans="1:15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IF(T_T1341112131415161718192021222324252627282930313233353637383940414243444546474849505152535455565758596061626364656667686970717273747576777879808182[[#This Row],[Total]]&lt;0,T_T1341112131415161718192021222324252627282930313233353637383940414243444546474849505152535455565758596061626364656667686970717273747576777879808182[[#This Row],[Total]]*-1,0)</f>
        <v>0</v>
      </c>
      <c r="J10" s="106"/>
      <c r="K10" s="172"/>
      <c r="L10" s="79"/>
      <c r="M10" s="79"/>
      <c r="O10" s="178"/>
    </row>
    <row r="11" spans="1:15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IF(T_T1341112131415161718192021222324252627282930313233353637383940414243444546474849505152535455565758596061626364656667686970717273747576777879808182[[#This Row],[Total]]&lt;0,T_T1341112131415161718192021222324252627282930313233353637383940414243444546474849505152535455565758596061626364656667686970717273747576777879808182[[#This Row],[Total]]*-1,0)</f>
        <v>0</v>
      </c>
      <c r="J11" s="240"/>
      <c r="K11" s="232"/>
      <c r="L11" s="232"/>
      <c r="M11" s="232"/>
    </row>
    <row r="12" spans="1:15" x14ac:dyDescent="0.3">
      <c r="A12" s="117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IF(T_T1341112131415161718192021222324252627282930313233353637383940414243444546474849505152535455565758596061626364656667686970717273747576777879808182[[#This Row],[Total]]&lt;0,T_T1341112131415161718192021222324252627282930313233353637383940414243444546474849505152535455565758596061626364656667686970717273747576777879808182[[#This Row],[Total]]*-1,0)</f>
        <v>0</v>
      </c>
      <c r="J12" s="430"/>
      <c r="K12" s="419"/>
      <c r="L12" s="419"/>
      <c r="M12" s="419"/>
    </row>
    <row r="13" spans="1:15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IF(T_T1341112131415161718192021222324252627282930313233353637383940414243444546474849505152535455565758596061626364656667686970717273747576777879808182[[#This Row],[Total]]&lt;0,T_T1341112131415161718192021222324252627282930313233353637383940414243444546474849505152535455565758596061626364656667686970717273747576777879808182[[#This Row],[Total]]*-1,0)</f>
        <v>0</v>
      </c>
      <c r="J13" s="240"/>
      <c r="K13" s="232"/>
      <c r="L13" s="232"/>
      <c r="M13" s="232"/>
    </row>
    <row r="14" spans="1:15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IF(T_T1341112131415161718192021222324252627282930313233353637383940414243444546474849505152535455565758596061626364656667686970717273747576777879808182[[#This Row],[Total]]&lt;0,T_T1341112131415161718192021222324252627282930313233353637383940414243444546474849505152535455565758596061626364656667686970717273747576777879808182[[#This Row],[Total]]*-1,0)</f>
        <v>0</v>
      </c>
      <c r="J14" s="473"/>
      <c r="K14" s="485"/>
      <c r="L14" s="485"/>
      <c r="M14" s="485"/>
    </row>
    <row r="15" spans="1:15" x14ac:dyDescent="0.3">
      <c r="A15" s="17">
        <v>45687</v>
      </c>
      <c r="B15" s="18" t="s">
        <v>530</v>
      </c>
      <c r="C15" s="6"/>
      <c r="D15" s="2">
        <v>88</v>
      </c>
      <c r="E15" s="2">
        <v>10</v>
      </c>
      <c r="F15" s="20"/>
      <c r="G15" s="20">
        <f>SUM(D15:F15)</f>
        <v>98</v>
      </c>
      <c r="H15" s="233">
        <f>+H13+T_T1341112131415161718192021222324252627282930313233353637383940414243444546474849505152535455565758596061626364656667686970717273747576777879808182[[#This Row],[Total]]</f>
        <v>98</v>
      </c>
      <c r="I15" s="240">
        <f>IF(T_T1341112131415161718192021222324252627282930313233353637383940414243444546474849505152535455565758596061626364656667686970717273747576777879808182[[#This Row],[Total]]&lt;0,T_T1341112131415161718192021222324252627282930313233353637383940414243444546474849505152535455565758596061626364656667686970717273747576777879808182[[#This Row],[Total]]*-1,0)</f>
        <v>0</v>
      </c>
      <c r="J15" s="240"/>
      <c r="K15" s="79"/>
      <c r="L15" s="232"/>
      <c r="M15" s="232"/>
    </row>
    <row r="16" spans="1:15" x14ac:dyDescent="0.3">
      <c r="A16" s="17"/>
      <c r="B16" s="18" t="s">
        <v>531</v>
      </c>
      <c r="C16" s="6">
        <v>8606</v>
      </c>
      <c r="D16" s="2">
        <v>-88</v>
      </c>
      <c r="E16" s="2">
        <v>-10</v>
      </c>
      <c r="F16" s="230"/>
      <c r="G16" s="230">
        <f t="shared" ref="G16:G38" si="0">SUM(D16:F16)</f>
        <v>-98</v>
      </c>
      <c r="H16" s="233">
        <f t="shared" ref="H16:H40" si="1">H15+G16</f>
        <v>0</v>
      </c>
      <c r="I16" s="239">
        <f>IF(T_T1341112131415161718192021222324252627282930313233353637383940414243444546474849505152535455565758596061626364656667686970717273747576777879808182[[#This Row],[Total]]&lt;0,T_T1341112131415161718192021222324252627282930313233353637383940414243444546474849505152535455565758596061626364656667686970717273747576777879808182[[#This Row],[Total]]*-1,0)</f>
        <v>98</v>
      </c>
      <c r="J16" s="239"/>
      <c r="K16" s="232"/>
      <c r="L16" s="232"/>
      <c r="M16" s="232"/>
    </row>
    <row r="17" spans="1:13" x14ac:dyDescent="0.3">
      <c r="A17" s="164">
        <v>45715</v>
      </c>
      <c r="B17" s="161" t="s">
        <v>532</v>
      </c>
      <c r="C17" s="6"/>
      <c r="D17" s="2">
        <v>88</v>
      </c>
      <c r="E17" s="2">
        <v>4</v>
      </c>
      <c r="F17" s="230"/>
      <c r="G17" s="230">
        <f t="shared" si="0"/>
        <v>92</v>
      </c>
      <c r="H17" s="233">
        <f t="shared" si="1"/>
        <v>92</v>
      </c>
      <c r="I17" s="240">
        <f>IF(T_T1341112131415161718192021222324252627282930313233353637383940414243444546474849505152535455565758596061626364656667686970717273747576777879808182[[#This Row],[Total]]&lt;0,T_T1341112131415161718192021222324252627282930313233353637383940414243444546474849505152535455565758596061626364656667686970717273747576777879808182[[#This Row],[Total]]*-1,0)</f>
        <v>0</v>
      </c>
      <c r="J17" s="240"/>
      <c r="K17" s="232"/>
      <c r="L17" s="232"/>
      <c r="M17" s="232"/>
    </row>
    <row r="18" spans="1:13" x14ac:dyDescent="0.3">
      <c r="A18" s="187"/>
      <c r="B18" s="18" t="s">
        <v>533</v>
      </c>
      <c r="C18" s="6">
        <v>8722</v>
      </c>
      <c r="D18" s="2">
        <v>-88</v>
      </c>
      <c r="E18" s="2">
        <v>-4</v>
      </c>
      <c r="F18" s="230"/>
      <c r="G18" s="230">
        <f t="shared" si="0"/>
        <v>-92</v>
      </c>
      <c r="H18" s="233">
        <f t="shared" si="1"/>
        <v>0</v>
      </c>
      <c r="I18" s="240">
        <f>IF(T_T1341112131415161718192021222324252627282930313233353637383940414243444546474849505152535455565758596061626364656667686970717273747576777879808182[[#This Row],[Total]]&lt;0,T_T1341112131415161718192021222324252627282930313233353637383940414243444546474849505152535455565758596061626364656667686970717273747576777879808182[[#This Row],[Total]]*-1,0)</f>
        <v>92</v>
      </c>
      <c r="J18" s="240"/>
      <c r="K18" s="232"/>
      <c r="L18" s="232"/>
      <c r="M18" s="232"/>
    </row>
    <row r="19" spans="1:13" x14ac:dyDescent="0.3">
      <c r="A19" s="188">
        <v>45747</v>
      </c>
      <c r="B19" s="3" t="s">
        <v>534</v>
      </c>
      <c r="C19" s="6"/>
      <c r="D19" s="2">
        <v>101</v>
      </c>
      <c r="E19" s="2"/>
      <c r="F19" s="230"/>
      <c r="G19" s="230">
        <f t="shared" si="0"/>
        <v>101</v>
      </c>
      <c r="H19" s="233">
        <f t="shared" si="1"/>
        <v>101</v>
      </c>
      <c r="I19" s="240">
        <f>IF(T_T1341112131415161718192021222324252627282930313233353637383940414243444546474849505152535455565758596061626364656667686970717273747576777879808182[[#This Row],[Total]]&lt;0,T_T1341112131415161718192021222324252627282930313233353637383940414243444546474849505152535455565758596061626364656667686970717273747576777879808182[[#This Row],[Total]]*-1,0)</f>
        <v>0</v>
      </c>
      <c r="J19" s="240"/>
      <c r="K19" s="232"/>
      <c r="L19" s="232"/>
      <c r="M19" s="232"/>
    </row>
    <row r="20" spans="1:13" x14ac:dyDescent="0.3">
      <c r="A20" s="188"/>
      <c r="B20" s="82" t="s">
        <v>535</v>
      </c>
      <c r="C20" s="6">
        <v>8787</v>
      </c>
      <c r="D20" s="2">
        <v>-101</v>
      </c>
      <c r="E20" s="2"/>
      <c r="F20" s="230"/>
      <c r="G20" s="230">
        <f t="shared" si="0"/>
        <v>-101</v>
      </c>
      <c r="H20" s="233">
        <f t="shared" si="1"/>
        <v>0</v>
      </c>
      <c r="I20" s="239">
        <f>IF(T_T1341112131415161718192021222324252627282930313233353637383940414243444546474849505152535455565758596061626364656667686970717273747576777879808182[[#This Row],[Total]]&lt;0,T_T1341112131415161718192021222324252627282930313233353637383940414243444546474849505152535455565758596061626364656667686970717273747576777879808182[[#This Row],[Total]]*-1,0)</f>
        <v>101</v>
      </c>
      <c r="J20" s="239"/>
      <c r="K20" s="232"/>
      <c r="L20" s="232"/>
      <c r="M20" s="232"/>
    </row>
    <row r="21" spans="1:13" x14ac:dyDescent="0.3">
      <c r="A21" s="188">
        <v>45777</v>
      </c>
      <c r="B21" s="3" t="s">
        <v>536</v>
      </c>
      <c r="C21" s="6"/>
      <c r="D21" s="2">
        <v>101</v>
      </c>
      <c r="E21" s="2"/>
      <c r="F21" s="230"/>
      <c r="G21" s="230">
        <f t="shared" si="0"/>
        <v>101</v>
      </c>
      <c r="H21" s="233">
        <f t="shared" si="1"/>
        <v>101</v>
      </c>
      <c r="I21" s="309">
        <f>IF(T_T1341112131415161718192021222324252627282930313233353637383940414243444546474849505152535455565758596061626364656667686970717273747576777879808182[[#This Row],[Total]]&lt;0,T_T1341112131415161718192021222324252627282930313233353637383940414243444546474849505152535455565758596061626364656667686970717273747576777879808182[[#This Row],[Total]]*-1,0)</f>
        <v>0</v>
      </c>
      <c r="J21" s="309"/>
      <c r="K21" s="313"/>
      <c r="L21" s="313"/>
      <c r="M21" s="313"/>
    </row>
    <row r="22" spans="1:13" x14ac:dyDescent="0.3">
      <c r="A22" s="83"/>
      <c r="B22" s="82" t="s">
        <v>537</v>
      </c>
      <c r="C22" s="6">
        <v>8921</v>
      </c>
      <c r="D22" s="2">
        <v>-101</v>
      </c>
      <c r="E22" s="2"/>
      <c r="F22" s="230"/>
      <c r="G22" s="230">
        <f t="shared" si="0"/>
        <v>-101</v>
      </c>
      <c r="H22" s="233">
        <f t="shared" si="1"/>
        <v>0</v>
      </c>
      <c r="I22" s="309">
        <f>IF(T_T1341112131415161718192021222324252627282930313233353637383940414243444546474849505152535455565758596061626364656667686970717273747576777879808182[[#This Row],[Total]]&lt;0,T_T1341112131415161718192021222324252627282930313233353637383940414243444546474849505152535455565758596061626364656667686970717273747576777879808182[[#This Row],[Total]]*-1,0)</f>
        <v>101</v>
      </c>
      <c r="J22" s="309"/>
      <c r="K22" s="313"/>
      <c r="L22" s="313"/>
      <c r="M22" s="313"/>
    </row>
    <row r="23" spans="1:13" x14ac:dyDescent="0.3">
      <c r="A23" s="40">
        <v>45807</v>
      </c>
      <c r="B23" s="3" t="s">
        <v>538</v>
      </c>
      <c r="C23" s="229"/>
      <c r="D23" s="230">
        <v>101</v>
      </c>
      <c r="E23" s="230"/>
      <c r="F23" s="230"/>
      <c r="G23" s="230">
        <f t="shared" si="0"/>
        <v>101</v>
      </c>
      <c r="H23" s="233">
        <f t="shared" si="1"/>
        <v>101</v>
      </c>
      <c r="I23" s="309">
        <f>IF(T_T1341112131415161718192021222324252627282930313233353637383940414243444546474849505152535455565758596061626364656667686970717273747576777879808182[[#This Row],[Total]]&lt;0,T_T1341112131415161718192021222324252627282930313233353637383940414243444546474849505152535455565758596061626364656667686970717273747576777879808182[[#This Row],[Total]]*-1,0)</f>
        <v>0</v>
      </c>
      <c r="J23" s="309"/>
      <c r="K23" s="313"/>
      <c r="L23" s="313"/>
      <c r="M23" s="313"/>
    </row>
    <row r="24" spans="1:13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101</v>
      </c>
      <c r="I24" s="311">
        <f>IF(T_T1341112131415161718192021222324252627282930313233353637383940414243444546474849505152535455565758596061626364656667686970717273747576777879808182[[#This Row],[Total]]&lt;0,T_T1341112131415161718192021222324252627282930313233353637383940414243444546474849505152535455565758596061626364656667686970717273747576777879808182[[#This Row],[Total]]*-1,0)</f>
        <v>0</v>
      </c>
      <c r="J24" s="311"/>
      <c r="K24" s="313"/>
      <c r="L24" s="313"/>
      <c r="M24" s="313"/>
    </row>
    <row r="25" spans="1:13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101</v>
      </c>
      <c r="I25" s="309">
        <f>IF(T_T1341112131415161718192021222324252627282930313233353637383940414243444546474849505152535455565758596061626364656667686970717273747576777879808182[[#This Row],[Total]]&lt;0,T_T1341112131415161718192021222324252627282930313233353637383940414243444546474849505152535455565758596061626364656667686970717273747576777879808182[[#This Row],[Total]]*-1,0)</f>
        <v>0</v>
      </c>
      <c r="J25" s="309"/>
      <c r="K25" s="313"/>
      <c r="L25" s="313"/>
      <c r="M25" s="313"/>
    </row>
    <row r="26" spans="1:13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101</v>
      </c>
      <c r="I26" s="309">
        <f>IF(T_T1341112131415161718192021222324252627282930313233353637383940414243444546474849505152535455565758596061626364656667686970717273747576777879808182[[#This Row],[Total]]&lt;0,T_T1341112131415161718192021222324252627282930313233353637383940414243444546474849505152535455565758596061626364656667686970717273747576777879808182[[#This Row],[Total]]*-1,0)</f>
        <v>0</v>
      </c>
      <c r="J26" s="309"/>
      <c r="K26" s="313"/>
      <c r="L26" s="313"/>
      <c r="M26" s="313"/>
    </row>
    <row r="27" spans="1:13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101</v>
      </c>
      <c r="I27" s="309">
        <f>IF(T_T1341112131415161718192021222324252627282930313233353637383940414243444546474849505152535455565758596061626364656667686970717273747576777879808182[[#This Row],[Total]]&lt;0,T_T1341112131415161718192021222324252627282930313233353637383940414243444546474849505152535455565758596061626364656667686970717273747576777879808182[[#This Row],[Total]]*-1,0)</f>
        <v>0</v>
      </c>
      <c r="J27" s="309"/>
      <c r="K27" s="313"/>
      <c r="L27" s="313"/>
      <c r="M27" s="313"/>
    </row>
    <row r="28" spans="1:13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101</v>
      </c>
      <c r="I28" s="311">
        <f>IF(T_T1341112131415161718192021222324252627282930313233353637383940414243444546474849505152535455565758596061626364656667686970717273747576777879808182[[#This Row],[Total]]&lt;0,T_T1341112131415161718192021222324252627282930313233353637383940414243444546474849505152535455565758596061626364656667686970717273747576777879808182[[#This Row],[Total]]*-1,0)</f>
        <v>0</v>
      </c>
      <c r="J28" s="311"/>
      <c r="K28" s="313"/>
      <c r="L28" s="313"/>
      <c r="M28" s="313"/>
    </row>
    <row r="29" spans="1:13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101</v>
      </c>
      <c r="I29" s="309">
        <f>IF(T_T1341112131415161718192021222324252627282930313233353637383940414243444546474849505152535455565758596061626364656667686970717273747576777879808182[[#This Row],[Total]]&lt;0,T_T1341112131415161718192021222324252627282930313233353637383940414243444546474849505152535455565758596061626364656667686970717273747576777879808182[[#This Row],[Total]]*-1,0)</f>
        <v>0</v>
      </c>
      <c r="J29" s="309"/>
      <c r="K29" s="313"/>
      <c r="L29" s="313"/>
      <c r="M29" s="313"/>
    </row>
    <row r="30" spans="1:13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101</v>
      </c>
      <c r="I30" s="309">
        <f>IF(T_T1341112131415161718192021222324252627282930313233353637383940414243444546474849505152535455565758596061626364656667686970717273747576777879808182[[#This Row],[Total]]&lt;0,T_T1341112131415161718192021222324252627282930313233353637383940414243444546474849505152535455565758596061626364656667686970717273747576777879808182[[#This Row],[Total]]*-1,0)</f>
        <v>0</v>
      </c>
      <c r="J30" s="309"/>
      <c r="K30" s="313"/>
      <c r="L30" s="313"/>
      <c r="M30" s="313"/>
    </row>
    <row r="31" spans="1:13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101</v>
      </c>
      <c r="I31" s="309">
        <f>IF(T_T1341112131415161718192021222324252627282930313233353637383940414243444546474849505152535455565758596061626364656667686970717273747576777879808182[[#This Row],[Total]]&lt;0,T_T1341112131415161718192021222324252627282930313233353637383940414243444546474849505152535455565758596061626364656667686970717273747576777879808182[[#This Row],[Total]]*-1,0)</f>
        <v>0</v>
      </c>
      <c r="J31" s="309"/>
      <c r="K31" s="313"/>
      <c r="L31" s="313"/>
      <c r="M31" s="313"/>
    </row>
    <row r="32" spans="1:13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101</v>
      </c>
      <c r="I32" s="309">
        <f>IF(T_T1341112131415161718192021222324252627282930313233353637383940414243444546474849505152535455565758596061626364656667686970717273747576777879808182[[#This Row],[Total]]&lt;0,T_T1341112131415161718192021222324252627282930313233353637383940414243444546474849505152535455565758596061626364656667686970717273747576777879808182[[#This Row],[Total]]*-1,0)</f>
        <v>0</v>
      </c>
      <c r="J32" s="309"/>
      <c r="K32" s="313"/>
      <c r="L32" s="313"/>
      <c r="M32" s="313"/>
    </row>
    <row r="33" spans="1:13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101</v>
      </c>
      <c r="I33" s="309">
        <f>IF(T_T1341112131415161718192021222324252627282930313233353637383940414243444546474849505152535455565758596061626364656667686970717273747576777879808182[[#This Row],[Total]]&lt;0,T_T1341112131415161718192021222324252627282930313233353637383940414243444546474849505152535455565758596061626364656667686970717273747576777879808182[[#This Row],[Total]]*-1,0)</f>
        <v>0</v>
      </c>
      <c r="J33" s="309"/>
      <c r="K33" s="313"/>
      <c r="L33" s="313"/>
      <c r="M33" s="313"/>
    </row>
    <row r="34" spans="1:13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101</v>
      </c>
      <c r="I34" s="309">
        <f>IF(T_T1341112131415161718192021222324252627282930313233353637383940414243444546474849505152535455565758596061626364656667686970717273747576777879808182[[#This Row],[Total]]&lt;0,T_T1341112131415161718192021222324252627282930313233353637383940414243444546474849505152535455565758596061626364656667686970717273747576777879808182[[#This Row],[Total]]*-1,0)</f>
        <v>0</v>
      </c>
      <c r="J34" s="309"/>
      <c r="K34" s="313"/>
      <c r="L34" s="313"/>
      <c r="M34" s="313"/>
    </row>
    <row r="35" spans="1:13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101</v>
      </c>
      <c r="I35" s="309">
        <f>IF(T_T1341112131415161718192021222324252627282930313233353637383940414243444546474849505152535455565758596061626364656667686970717273747576777879808182[[#This Row],[Total]]&lt;0,T_T1341112131415161718192021222324252627282930313233353637383940414243444546474849505152535455565758596061626364656667686970717273747576777879808182[[#This Row],[Total]]*-1,0)</f>
        <v>0</v>
      </c>
      <c r="J35" s="309"/>
      <c r="K35" s="79"/>
      <c r="L35" s="313"/>
      <c r="M35" s="313"/>
    </row>
    <row r="36" spans="1:13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101</v>
      </c>
      <c r="I36" s="311">
        <f>IF(T_T1341112131415161718192021222324252627282930313233353637383940414243444546474849505152535455565758596061626364656667686970717273747576777879808182[[#This Row],[Total]]&lt;0,T_T1341112131415161718192021222324252627282930313233353637383940414243444546474849505152535455565758596061626364656667686970717273747576777879808182[[#This Row],[Total]]*-1,0)</f>
        <v>0</v>
      </c>
      <c r="J36" s="311"/>
      <c r="K36" s="313"/>
      <c r="L36" s="313"/>
      <c r="M36" s="313"/>
    </row>
    <row r="37" spans="1:13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101</v>
      </c>
      <c r="I37" s="353">
        <f>IF(T_T1341112131415161718192021222324252627282930313233353637383940414243444546474849505152535455565758596061626364656667686970717273747576777879808182[[#This Row],[Total]]&lt;0,T_T1341112131415161718192021222324252627282930313233353637383940414243444546474849505152535455565758596061626364656667686970717273747576777879808182[[#This Row],[Total]]*-1,0)</f>
        <v>0</v>
      </c>
      <c r="J37" s="353"/>
      <c r="K37" s="354"/>
      <c r="L37" s="354"/>
      <c r="M37" s="354"/>
    </row>
    <row r="38" spans="1:13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101</v>
      </c>
      <c r="I38" s="353">
        <f>IF(T_T1341112131415161718192021222324252627282930313233353637383940414243444546474849505152535455565758596061626364656667686970717273747576777879808182[[#This Row],[Total]]&lt;0,T_T1341112131415161718192021222324252627282930313233353637383940414243444546474849505152535455565758596061626364656667686970717273747576777879808182[[#This Row],[Total]]*-1,0)</f>
        <v>0</v>
      </c>
      <c r="J38" s="353"/>
      <c r="K38" s="354"/>
      <c r="L38" s="354"/>
      <c r="M38" s="354"/>
    </row>
    <row r="39" spans="1:13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101</v>
      </c>
      <c r="I39" s="353">
        <f>IF(T_T1341112131415161718192021222324252627282930313233353637383940414243444546474849505152535455565758596061626364656667686970717273747576777879808182[[#This Row],[Total]]&lt;0,T_T1341112131415161718192021222324252627282930313233353637383940414243444546474849505152535455565758596061626364656667686970717273747576777879808182[[#This Row],[Total]]*-1,0)</f>
        <v>0</v>
      </c>
      <c r="J39" s="353"/>
      <c r="K39" s="354"/>
      <c r="L39" s="354"/>
      <c r="M39" s="354"/>
    </row>
    <row r="40" spans="1:13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101</v>
      </c>
      <c r="I40" s="353">
        <f>IF(T_T1341112131415161718192021222324252627282930313233353637383940414243444546474849505152535455565758596061626364656667686970717273747576777879808182[[#This Row],[Total]]&lt;0,T_T1341112131415161718192021222324252627282930313233353637383940414243444546474849505152535455565758596061626364656667686970717273747576777879808182[[#This Row],[Total]]*-1,0)</f>
        <v>0</v>
      </c>
      <c r="J40" s="353"/>
      <c r="K40" s="354"/>
      <c r="L40" s="354"/>
      <c r="M40" s="354"/>
    </row>
  </sheetData>
  <hyperlinks>
    <hyperlink ref="B7" r:id="rId1" display="jose.orozco@outlook.com"/>
    <hyperlink ref="H7" location="Resumen!A1" display="Rsumen         "/>
  </hyperlinks>
  <pageMargins left="0.70866141732283472" right="0.70866141732283472" top="0.74803149606299213" bottom="0.74803149606299213" header="0.31496062992125984" footer="0.31496062992125984"/>
  <pageSetup scale="57" orientation="portrait" verticalDpi="360" r:id="rId2"/>
  <drawing r:id="rId3"/>
  <tableParts count="1">
    <tablePart r:id="rId4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M40"/>
  <sheetViews>
    <sheetView showGridLines="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0.6640625" bestFit="1" customWidth="1"/>
    <col min="14" max="14" width="17.5546875" customWidth="1"/>
  </cols>
  <sheetData>
    <row r="2" spans="1:13" ht="15" customHeight="1" x14ac:dyDescent="0.3">
      <c r="A2" s="27" t="s">
        <v>36</v>
      </c>
      <c r="B2" s="41" t="s">
        <v>131</v>
      </c>
    </row>
    <row r="3" spans="1:13" hidden="1" x14ac:dyDescent="0.3">
      <c r="A3" s="27" t="s">
        <v>31</v>
      </c>
      <c r="B3" s="28" t="e">
        <f>LOOKUP(B2,#REF!,#REF!)</f>
        <v>#REF!</v>
      </c>
    </row>
    <row r="4" spans="1:13" hidden="1" x14ac:dyDescent="0.3">
      <c r="A4" s="27" t="s">
        <v>32</v>
      </c>
      <c r="B4" s="28" t="e">
        <f>LOOKUP(B2,#REF!,#REF!)</f>
        <v>#REF!</v>
      </c>
    </row>
    <row r="5" spans="1:13" hidden="1" x14ac:dyDescent="0.3">
      <c r="A5" s="27" t="s">
        <v>33</v>
      </c>
      <c r="B5" s="28" t="e">
        <f>LOOKUP(B2,#REF!,#REF!)</f>
        <v>#REF!</v>
      </c>
    </row>
    <row r="6" spans="1:13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3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3" x14ac:dyDescent="0.3">
      <c r="A8" s="21"/>
      <c r="B8" s="21" t="s">
        <v>208</v>
      </c>
    </row>
    <row r="9" spans="1:13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75" t="s">
        <v>188</v>
      </c>
    </row>
    <row r="10" spans="1:13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IF(T_T134111213141516171819202122232425262728293031323335363738394041424344454647484950515253545556575859606162636465666768697071727374757677787980818283[[#This Row],[Total]]&lt;0,T_T134111213141516171819202122232425262728293031323335363738394041424344454647484950515253545556575859606162636465666768697071727374757677787980818283[[#This Row],[Total]]*-1,0)</f>
        <v>0</v>
      </c>
      <c r="J10" s="52"/>
      <c r="M10" s="178"/>
    </row>
    <row r="11" spans="1:13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IF(T_T134111213141516171819202122232425262728293031323335363738394041424344454647484950515253545556575859606162636465666768697071727374757677787980818283[[#This Row],[Total]]&lt;0,T_T134111213141516171819202122232425262728293031323335363738394041424344454647484950515253545556575859606162636465666768697071727374757677787980818283[[#This Row],[Total]]*-1,0)</f>
        <v>0</v>
      </c>
      <c r="J11" s="51"/>
    </row>
    <row r="12" spans="1:13" x14ac:dyDescent="0.3">
      <c r="A12" s="117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IF(T_T134111213141516171819202122232425262728293031323335363738394041424344454647484950515253545556575859606162636465666768697071727374757677787980818283[[#This Row],[Total]]&lt;0,T_T134111213141516171819202122232425262728293031323335363738394041424344454647484950515253545556575859606162636465666768697071727374757677787980818283[[#This Row],[Total]]*-1,0)</f>
        <v>0</v>
      </c>
      <c r="J12" s="430"/>
    </row>
    <row r="13" spans="1:13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IF(T_T134111213141516171819202122232425262728293031323335363738394041424344454647484950515253545556575859606162636465666768697071727374757677787980818283[[#This Row],[Total]]&lt;0,T_T134111213141516171819202122232425262728293031323335363738394041424344454647484950515253545556575859606162636465666768697071727374757677787980818283[[#This Row],[Total]]*-1,0)</f>
        <v>0</v>
      </c>
      <c r="J13" s="51"/>
    </row>
    <row r="14" spans="1:13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IF(T_T134111213141516171819202122232425262728293031323335363738394041424344454647484950515253545556575859606162636465666768697071727374757677787980818283[[#This Row],[Total]]&lt;0,T_T134111213141516171819202122232425262728293031323335363738394041424344454647484950515253545556575859606162636465666768697071727374757677787980818283[[#This Row],[Total]]*-1,0)</f>
        <v>0</v>
      </c>
      <c r="J14" s="473"/>
    </row>
    <row r="15" spans="1:13" x14ac:dyDescent="0.3">
      <c r="A15" s="17">
        <v>45687</v>
      </c>
      <c r="B15" s="18" t="s">
        <v>530</v>
      </c>
      <c r="C15" s="6"/>
      <c r="D15" s="2">
        <v>399</v>
      </c>
      <c r="E15" s="2">
        <v>62</v>
      </c>
      <c r="F15" s="20"/>
      <c r="G15" s="20">
        <f>SUM(D15:F15)</f>
        <v>461</v>
      </c>
      <c r="H15" s="233">
        <f>+H13+T_T134111213141516171819202122232425262728293031323335363738394041424344454647484950515253545556575859606162636465666768697071727374757677787980818283[[#This Row],[Total]]</f>
        <v>461</v>
      </c>
      <c r="I15" s="240">
        <f>IF(T_T134111213141516171819202122232425262728293031323335363738394041424344454647484950515253545556575859606162636465666768697071727374757677787980818283[[#This Row],[Total]]&lt;0,T_T134111213141516171819202122232425262728293031323335363738394041424344454647484950515253545556575859606162636465666768697071727374757677787980818283[[#This Row],[Total]]*-1,0)</f>
        <v>0</v>
      </c>
      <c r="J15" s="308"/>
    </row>
    <row r="16" spans="1:13" x14ac:dyDescent="0.3">
      <c r="A16" s="17"/>
      <c r="B16" s="18" t="s">
        <v>531</v>
      </c>
      <c r="C16" s="6">
        <v>8615</v>
      </c>
      <c r="D16" s="2">
        <v>-399</v>
      </c>
      <c r="E16" s="2">
        <v>-62</v>
      </c>
      <c r="F16" s="230"/>
      <c r="G16" s="230">
        <f t="shared" ref="G16:G38" si="0">SUM(D16:F16)</f>
        <v>-461</v>
      </c>
      <c r="H16" s="233">
        <f t="shared" ref="H16:H40" si="1">H15+G16</f>
        <v>0</v>
      </c>
      <c r="I16" s="239">
        <f>IF(T_T134111213141516171819202122232425262728293031323335363738394041424344454647484950515253545556575859606162636465666768697071727374757677787980818283[[#This Row],[Total]]&lt;0,T_T134111213141516171819202122232425262728293031323335363738394041424344454647484950515253545556575859606162636465666768697071727374757677787980818283[[#This Row],[Total]]*-1,0)</f>
        <v>461</v>
      </c>
      <c r="J16" s="51"/>
    </row>
    <row r="17" spans="1:10" x14ac:dyDescent="0.3">
      <c r="A17" s="164">
        <v>45715</v>
      </c>
      <c r="B17" s="161" t="s">
        <v>532</v>
      </c>
      <c r="C17" s="6"/>
      <c r="D17" s="2">
        <v>399</v>
      </c>
      <c r="E17" s="2">
        <v>49</v>
      </c>
      <c r="F17" s="230"/>
      <c r="G17" s="230">
        <f t="shared" si="0"/>
        <v>448</v>
      </c>
      <c r="H17" s="233">
        <f t="shared" si="1"/>
        <v>448</v>
      </c>
      <c r="I17" s="240">
        <f>IF(T_T134111213141516171819202122232425262728293031323335363738394041424344454647484950515253545556575859606162636465666768697071727374757677787980818283[[#This Row],[Total]]&lt;0,T_T134111213141516171819202122232425262728293031323335363738394041424344454647484950515253545556575859606162636465666768697071727374757677787980818283[[#This Row],[Total]]*-1,0)</f>
        <v>0</v>
      </c>
      <c r="J17" s="51"/>
    </row>
    <row r="18" spans="1:10" x14ac:dyDescent="0.3">
      <c r="A18" s="187"/>
      <c r="B18" s="18" t="s">
        <v>533</v>
      </c>
      <c r="C18" s="6">
        <v>8695</v>
      </c>
      <c r="D18" s="2">
        <v>-399</v>
      </c>
      <c r="E18" s="2">
        <v>-49</v>
      </c>
      <c r="F18" s="230"/>
      <c r="G18" s="230">
        <f t="shared" si="0"/>
        <v>-448</v>
      </c>
      <c r="H18" s="233">
        <f t="shared" si="1"/>
        <v>0</v>
      </c>
      <c r="I18" s="240">
        <f>IF(T_T134111213141516171819202122232425262728293031323335363738394041424344454647484950515253545556575859606162636465666768697071727374757677787980818283[[#This Row],[Total]]&lt;0,T_T134111213141516171819202122232425262728293031323335363738394041424344454647484950515253545556575859606162636465666768697071727374757677787980818283[[#This Row],[Total]]*-1,0)</f>
        <v>448</v>
      </c>
      <c r="J18" s="51"/>
    </row>
    <row r="19" spans="1:10" x14ac:dyDescent="0.3">
      <c r="A19" s="188">
        <v>45747</v>
      </c>
      <c r="B19" s="3" t="s">
        <v>534</v>
      </c>
      <c r="C19" s="6"/>
      <c r="D19" s="2">
        <f>370+60+27</f>
        <v>457</v>
      </c>
      <c r="E19" s="2">
        <v>20</v>
      </c>
      <c r="F19" s="230"/>
      <c r="G19" s="230">
        <f t="shared" si="0"/>
        <v>477</v>
      </c>
      <c r="H19" s="233">
        <f t="shared" si="1"/>
        <v>477</v>
      </c>
      <c r="I19" s="240">
        <f>IF(T_T134111213141516171819202122232425262728293031323335363738394041424344454647484950515253545556575859606162636465666768697071727374757677787980818283[[#This Row],[Total]]&lt;0,T_T134111213141516171819202122232425262728293031323335363738394041424344454647484950515253545556575859606162636465666768697071727374757677787980818283[[#This Row],[Total]]*-1,0)</f>
        <v>0</v>
      </c>
      <c r="J19" s="51"/>
    </row>
    <row r="20" spans="1:10" x14ac:dyDescent="0.3">
      <c r="A20" s="188"/>
      <c r="B20" s="82" t="s">
        <v>535</v>
      </c>
      <c r="C20" s="6">
        <v>8834</v>
      </c>
      <c r="D20" s="2">
        <v>-457</v>
      </c>
      <c r="E20" s="2">
        <v>-20</v>
      </c>
      <c r="F20" s="230"/>
      <c r="G20" s="230">
        <f t="shared" si="0"/>
        <v>-477</v>
      </c>
      <c r="H20" s="233">
        <f t="shared" si="1"/>
        <v>0</v>
      </c>
      <c r="I20" s="239">
        <f>IF(T_T134111213141516171819202122232425262728293031323335363738394041424344454647484950515253545556575859606162636465666768697071727374757677787980818283[[#This Row],[Total]]&lt;0,T_T134111213141516171819202122232425262728293031323335363738394041424344454647484950515253545556575859606162636465666768697071727374757677787980818283[[#This Row],[Total]]*-1,0)</f>
        <v>477</v>
      </c>
      <c r="J20" s="53"/>
    </row>
    <row r="21" spans="1:10" x14ac:dyDescent="0.3">
      <c r="A21" s="188">
        <v>45777</v>
      </c>
      <c r="B21" s="3" t="s">
        <v>536</v>
      </c>
      <c r="C21" s="6"/>
      <c r="D21" s="2">
        <v>457</v>
      </c>
      <c r="E21" s="2">
        <v>45</v>
      </c>
      <c r="F21" s="230"/>
      <c r="G21" s="230">
        <f t="shared" si="0"/>
        <v>502</v>
      </c>
      <c r="H21" s="233">
        <f t="shared" si="1"/>
        <v>502</v>
      </c>
      <c r="I21" s="309">
        <f>IF(T_T134111213141516171819202122232425262728293031323335363738394041424344454647484950515253545556575859606162636465666768697071727374757677787980818283[[#This Row],[Total]]&lt;0,T_T134111213141516171819202122232425262728293031323335363738394041424344454647484950515253545556575859606162636465666768697071727374757677787980818283[[#This Row],[Total]]*-1,0)</f>
        <v>0</v>
      </c>
      <c r="J21" s="309"/>
    </row>
    <row r="22" spans="1:10" x14ac:dyDescent="0.3">
      <c r="A22" s="83"/>
      <c r="B22" s="82" t="s">
        <v>537</v>
      </c>
      <c r="C22" s="6">
        <v>8908</v>
      </c>
      <c r="D22" s="2">
        <v>-457</v>
      </c>
      <c r="E22" s="2">
        <v>-45</v>
      </c>
      <c r="F22" s="230"/>
      <c r="G22" s="230">
        <f t="shared" si="0"/>
        <v>-502</v>
      </c>
      <c r="H22" s="233">
        <f t="shared" si="1"/>
        <v>0</v>
      </c>
      <c r="I22" s="309">
        <f>IF(T_T134111213141516171819202122232425262728293031323335363738394041424344454647484950515253545556575859606162636465666768697071727374757677787980818283[[#This Row],[Total]]&lt;0,T_T134111213141516171819202122232425262728293031323335363738394041424344454647484950515253545556575859606162636465666768697071727374757677787980818283[[#This Row],[Total]]*-1,0)</f>
        <v>502</v>
      </c>
      <c r="J22" s="309"/>
    </row>
    <row r="23" spans="1:10" x14ac:dyDescent="0.3">
      <c r="A23" s="40">
        <v>45807</v>
      </c>
      <c r="B23" s="3" t="s">
        <v>538</v>
      </c>
      <c r="C23" s="229"/>
      <c r="D23" s="230">
        <v>457</v>
      </c>
      <c r="E23" s="230">
        <v>39</v>
      </c>
      <c r="F23" s="230"/>
      <c r="G23" s="230">
        <f t="shared" si="0"/>
        <v>496</v>
      </c>
      <c r="H23" s="233">
        <f t="shared" si="1"/>
        <v>496</v>
      </c>
      <c r="I23" s="309">
        <f>IF(T_T134111213141516171819202122232425262728293031323335363738394041424344454647484950515253545556575859606162636465666768697071727374757677787980818283[[#This Row],[Total]]&lt;0,T_T134111213141516171819202122232425262728293031323335363738394041424344454647484950515253545556575859606162636465666768697071727374757677787980818283[[#This Row],[Total]]*-1,0)</f>
        <v>0</v>
      </c>
      <c r="J23" s="309"/>
    </row>
    <row r="24" spans="1:10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496</v>
      </c>
      <c r="I24" s="311">
        <f>IF(T_T134111213141516171819202122232425262728293031323335363738394041424344454647484950515253545556575859606162636465666768697071727374757677787980818283[[#This Row],[Total]]&lt;0,T_T134111213141516171819202122232425262728293031323335363738394041424344454647484950515253545556575859606162636465666768697071727374757677787980818283[[#This Row],[Total]]*-1,0)</f>
        <v>0</v>
      </c>
      <c r="J24" s="311"/>
    </row>
    <row r="25" spans="1:10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496</v>
      </c>
      <c r="I25" s="309">
        <f>IF(T_T134111213141516171819202122232425262728293031323335363738394041424344454647484950515253545556575859606162636465666768697071727374757677787980818283[[#This Row],[Total]]&lt;0,T_T134111213141516171819202122232425262728293031323335363738394041424344454647484950515253545556575859606162636465666768697071727374757677787980818283[[#This Row],[Total]]*-1,0)</f>
        <v>0</v>
      </c>
      <c r="J25" s="309"/>
    </row>
    <row r="26" spans="1:10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496</v>
      </c>
      <c r="I26" s="309">
        <f>IF(T_T134111213141516171819202122232425262728293031323335363738394041424344454647484950515253545556575859606162636465666768697071727374757677787980818283[[#This Row],[Total]]&lt;0,T_T134111213141516171819202122232425262728293031323335363738394041424344454647484950515253545556575859606162636465666768697071727374757677787980818283[[#This Row],[Total]]*-1,0)</f>
        <v>0</v>
      </c>
      <c r="J26" s="309"/>
    </row>
    <row r="27" spans="1:10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496</v>
      </c>
      <c r="I27" s="309">
        <f>IF(T_T134111213141516171819202122232425262728293031323335363738394041424344454647484950515253545556575859606162636465666768697071727374757677787980818283[[#This Row],[Total]]&lt;0,T_T134111213141516171819202122232425262728293031323335363738394041424344454647484950515253545556575859606162636465666768697071727374757677787980818283[[#This Row],[Total]]*-1,0)</f>
        <v>0</v>
      </c>
      <c r="J27" s="309"/>
    </row>
    <row r="28" spans="1:10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496</v>
      </c>
      <c r="I28" s="311">
        <f>IF(T_T134111213141516171819202122232425262728293031323335363738394041424344454647484950515253545556575859606162636465666768697071727374757677787980818283[[#This Row],[Total]]&lt;0,T_T134111213141516171819202122232425262728293031323335363738394041424344454647484950515253545556575859606162636465666768697071727374757677787980818283[[#This Row],[Total]]*-1,0)</f>
        <v>0</v>
      </c>
      <c r="J28" s="311"/>
    </row>
    <row r="29" spans="1:10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496</v>
      </c>
      <c r="I29" s="309">
        <f>IF(T_T134111213141516171819202122232425262728293031323335363738394041424344454647484950515253545556575859606162636465666768697071727374757677787980818283[[#This Row],[Total]]&lt;0,T_T134111213141516171819202122232425262728293031323335363738394041424344454647484950515253545556575859606162636465666768697071727374757677787980818283[[#This Row],[Total]]*-1,0)</f>
        <v>0</v>
      </c>
      <c r="J29" s="309"/>
    </row>
    <row r="30" spans="1:10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496</v>
      </c>
      <c r="I30" s="309">
        <f>IF(T_T134111213141516171819202122232425262728293031323335363738394041424344454647484950515253545556575859606162636465666768697071727374757677787980818283[[#This Row],[Total]]&lt;0,T_T134111213141516171819202122232425262728293031323335363738394041424344454647484950515253545556575859606162636465666768697071727374757677787980818283[[#This Row],[Total]]*-1,0)</f>
        <v>0</v>
      </c>
      <c r="J30" s="309"/>
    </row>
    <row r="31" spans="1:10" x14ac:dyDescent="0.3">
      <c r="A31" s="9">
        <v>45930</v>
      </c>
      <c r="B31" s="3" t="s">
        <v>546</v>
      </c>
      <c r="C31" s="229"/>
      <c r="D31" s="230"/>
      <c r="E31" s="7"/>
      <c r="F31" s="230"/>
      <c r="G31" s="230">
        <f t="shared" si="0"/>
        <v>0</v>
      </c>
      <c r="H31" s="233">
        <f t="shared" si="1"/>
        <v>496</v>
      </c>
      <c r="I31" s="309">
        <f>IF(T_T134111213141516171819202122232425262728293031323335363738394041424344454647484950515253545556575859606162636465666768697071727374757677787980818283[[#This Row],[Total]]&lt;0,T_T134111213141516171819202122232425262728293031323335363738394041424344454647484950515253545556575859606162636465666768697071727374757677787980818283[[#This Row],[Total]]*-1,0)</f>
        <v>0</v>
      </c>
      <c r="J31" s="309"/>
    </row>
    <row r="32" spans="1:10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496</v>
      </c>
      <c r="I32" s="309">
        <f>IF(T_T134111213141516171819202122232425262728293031323335363738394041424344454647484950515253545556575859606162636465666768697071727374757677787980818283[[#This Row],[Total]]&lt;0,T_T134111213141516171819202122232425262728293031323335363738394041424344454647484950515253545556575859606162636465666768697071727374757677787980818283[[#This Row],[Total]]*-1,0)</f>
        <v>0</v>
      </c>
      <c r="J32" s="309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496</v>
      </c>
      <c r="I33" s="309">
        <f>IF(T_T134111213141516171819202122232425262728293031323335363738394041424344454647484950515253545556575859606162636465666768697071727374757677787980818283[[#This Row],[Total]]&lt;0,T_T134111213141516171819202122232425262728293031323335363738394041424344454647484950515253545556575859606162636465666768697071727374757677787980818283[[#This Row],[Total]]*-1,0)</f>
        <v>0</v>
      </c>
      <c r="J33" s="309"/>
    </row>
    <row r="34" spans="1:10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496</v>
      </c>
      <c r="I34" s="309">
        <f>IF(T_T134111213141516171819202122232425262728293031323335363738394041424344454647484950515253545556575859606162636465666768697071727374757677787980818283[[#This Row],[Total]]&lt;0,T_T134111213141516171819202122232425262728293031323335363738394041424344454647484950515253545556575859606162636465666768697071727374757677787980818283[[#This Row],[Total]]*-1,0)</f>
        <v>0</v>
      </c>
      <c r="J34" s="309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496</v>
      </c>
      <c r="I35" s="309">
        <f>IF(T_T134111213141516171819202122232425262728293031323335363738394041424344454647484950515253545556575859606162636465666768697071727374757677787980818283[[#This Row],[Total]]&lt;0,T_T134111213141516171819202122232425262728293031323335363738394041424344454647484950515253545556575859606162636465666768697071727374757677787980818283[[#This Row],[Total]]*-1,0)</f>
        <v>0</v>
      </c>
      <c r="J35" s="309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496</v>
      </c>
      <c r="I36" s="311">
        <f>IF(T_T134111213141516171819202122232425262728293031323335363738394041424344454647484950515253545556575859606162636465666768697071727374757677787980818283[[#This Row],[Total]]&lt;0,T_T134111213141516171819202122232425262728293031323335363738394041424344454647484950515253545556575859606162636465666768697071727374757677787980818283[[#This Row],[Total]]*-1,0)</f>
        <v>0</v>
      </c>
      <c r="J36" s="311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496</v>
      </c>
      <c r="I37" s="353">
        <f>IF(T_T134111213141516171819202122232425262728293031323335363738394041424344454647484950515253545556575859606162636465666768697071727374757677787980818283[[#This Row],[Total]]&lt;0,T_T134111213141516171819202122232425262728293031323335363738394041424344454647484950515253545556575859606162636465666768697071727374757677787980818283[[#This Row],[Total]]*-1,0)</f>
        <v>0</v>
      </c>
      <c r="J37" s="353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496</v>
      </c>
      <c r="I38" s="353">
        <f>IF(T_T134111213141516171819202122232425262728293031323335363738394041424344454647484950515253545556575859606162636465666768697071727374757677787980818283[[#This Row],[Total]]&lt;0,T_T134111213141516171819202122232425262728293031323335363738394041424344454647484950515253545556575859606162636465666768697071727374757677787980818283[[#This Row],[Total]]*-1,0)</f>
        <v>0</v>
      </c>
      <c r="J38" s="353"/>
    </row>
    <row r="39" spans="1:10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496</v>
      </c>
      <c r="I39" s="353">
        <f>IF(T_T134111213141516171819202122232425262728293031323335363738394041424344454647484950515253545556575859606162636465666768697071727374757677787980818283[[#This Row],[Total]]&lt;0,T_T134111213141516171819202122232425262728293031323335363738394041424344454647484950515253545556575859606162636465666768697071727374757677787980818283[[#This Row],[Total]]*-1,0)</f>
        <v>0</v>
      </c>
      <c r="J39" s="353"/>
    </row>
    <row r="40" spans="1:10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496</v>
      </c>
      <c r="I40" s="353">
        <f>IF(T_T134111213141516171819202122232425262728293031323335363738394041424344454647484950515253545556575859606162636465666768697071727374757677787980818283[[#This Row],[Total]]&lt;0,T_T134111213141516171819202122232425262728293031323335363738394041424344454647484950515253545556575859606162636465666768697071727374757677787980818283[[#This Row],[Total]]*-1,0)</f>
        <v>0</v>
      </c>
      <c r="J40" s="353"/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orientation="portrait" verticalDpi="360" r:id="rId2"/>
  <drawing r:id="rId3"/>
  <tableParts count="1">
    <tablePart r:id="rId4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M40"/>
  <sheetViews>
    <sheetView showGridLines="0" zoomScale="85" zoomScaleNormal="85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0.6640625" bestFit="1" customWidth="1"/>
    <col min="14" max="14" width="15.88671875" customWidth="1"/>
  </cols>
  <sheetData>
    <row r="2" spans="1:13" ht="15.6" x14ac:dyDescent="0.3">
      <c r="A2" s="27" t="s">
        <v>36</v>
      </c>
      <c r="B2" s="41" t="s">
        <v>132</v>
      </c>
    </row>
    <row r="3" spans="1:13" x14ac:dyDescent="0.3">
      <c r="A3" s="27" t="s">
        <v>31</v>
      </c>
      <c r="B3" s="28" t="s">
        <v>250</v>
      </c>
    </row>
    <row r="4" spans="1:13" x14ac:dyDescent="0.3">
      <c r="A4" s="27" t="s">
        <v>32</v>
      </c>
      <c r="B4" s="28" t="e">
        <f>LOOKUP(B2,#REF!,#REF!)</f>
        <v>#REF!</v>
      </c>
    </row>
    <row r="5" spans="1:13" hidden="1" x14ac:dyDescent="0.3">
      <c r="A5" s="27" t="s">
        <v>33</v>
      </c>
      <c r="B5" s="28" t="e">
        <f>LOOKUP(B2,#REF!,#REF!)</f>
        <v>#REF!</v>
      </c>
    </row>
    <row r="6" spans="1:13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3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3" x14ac:dyDescent="0.3">
      <c r="A8" s="21"/>
      <c r="B8" s="21"/>
    </row>
    <row r="9" spans="1:13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13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IF(T_T13411121314151617181920212223242526272829303132333536373839404142434445464748495051525354555657585960616263646566676869707172737475767778798081828384[[#This Row],[Total]]&lt;0,T_T13411121314151617181920212223242526272829303132333536373839404142434445464748495051525354555657585960616263646566676869707172737475767778798081828384[[#This Row],[Total]]*-1,0)</f>
        <v>0</v>
      </c>
      <c r="M10" s="178"/>
    </row>
    <row r="11" spans="1:13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IF(T_T13411121314151617181920212223242526272829303132333536373839404142434445464748495051525354555657585960616263646566676869707172737475767778798081828384[[#This Row],[Total]]&lt;0,T_T13411121314151617181920212223242526272829303132333536373839404142434445464748495051525354555657585960616263646566676869707172737475767778798081828384[[#This Row],[Total]]*-1,0)</f>
        <v>0</v>
      </c>
    </row>
    <row r="12" spans="1:13" x14ac:dyDescent="0.3">
      <c r="A12" s="117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IF(T_T13411121314151617181920212223242526272829303132333536373839404142434445464748495051525354555657585960616263646566676869707172737475767778798081828384[[#This Row],[Total]]&lt;0,T_T13411121314151617181920212223242526272829303132333536373839404142434445464748495051525354555657585960616263646566676869707172737475767778798081828384[[#This Row],[Total]]*-1,0)</f>
        <v>0</v>
      </c>
    </row>
    <row r="13" spans="1:13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IF(T_T13411121314151617181920212223242526272829303132333536373839404142434445464748495051525354555657585960616263646566676869707172737475767778798081828384[[#This Row],[Total]]&lt;0,T_T13411121314151617181920212223242526272829303132333536373839404142434445464748495051525354555657585960616263646566676869707172737475767778798081828384[[#This Row],[Total]]*-1,0)</f>
        <v>0</v>
      </c>
    </row>
    <row r="14" spans="1:13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IF(T_T13411121314151617181920212223242526272829303132333536373839404142434445464748495051525354555657585960616263646566676869707172737475767778798081828384[[#This Row],[Total]]&lt;0,T_T13411121314151617181920212223242526272829303132333536373839404142434445464748495051525354555657585960616263646566676869707172737475767778798081828384[[#This Row],[Total]]*-1,0)</f>
        <v>0</v>
      </c>
    </row>
    <row r="15" spans="1:13" x14ac:dyDescent="0.3">
      <c r="A15" s="17">
        <v>46052</v>
      </c>
      <c r="B15" s="18" t="s">
        <v>590</v>
      </c>
      <c r="C15" s="6"/>
      <c r="D15" s="2">
        <v>349</v>
      </c>
      <c r="E15" s="2">
        <v>9</v>
      </c>
      <c r="F15" s="20"/>
      <c r="G15" s="20">
        <f>SUM(D15:F15)</f>
        <v>358</v>
      </c>
      <c r="H15" s="233">
        <f>+H13+T_T13411121314151617181920212223242526272829303132333536373839404142434445464748495051525354555657585960616263646566676869707172737475767778798081828384[[#This Row],[Total]]</f>
        <v>358</v>
      </c>
      <c r="I15" s="240">
        <f>IF(T_T13411121314151617181920212223242526272829303132333536373839404142434445464748495051525354555657585960616263646566676869707172737475767778798081828384[[#This Row],[Total]]&lt;0,T_T13411121314151617181920212223242526272829303132333536373839404142434445464748495051525354555657585960616263646566676869707172737475767778798081828384[[#This Row],[Total]]*-1,0)</f>
        <v>0</v>
      </c>
    </row>
    <row r="16" spans="1:13" x14ac:dyDescent="0.3">
      <c r="A16" s="17"/>
      <c r="B16" s="18" t="s">
        <v>591</v>
      </c>
      <c r="C16" s="6">
        <v>8558</v>
      </c>
      <c r="D16" s="2">
        <v>-349</v>
      </c>
      <c r="E16" s="2">
        <v>-9</v>
      </c>
      <c r="F16" s="230"/>
      <c r="G16" s="230">
        <f t="shared" ref="G16:G38" si="0">SUM(D16:F16)</f>
        <v>-358</v>
      </c>
      <c r="H16" s="233">
        <f t="shared" ref="H16:H40" si="1">H15+G16</f>
        <v>0</v>
      </c>
      <c r="I16" s="239">
        <f>IF(T_T13411121314151617181920212223242526272829303132333536373839404142434445464748495051525354555657585960616263646566676869707172737475767778798081828384[[#This Row],[Total]]&lt;0,T_T13411121314151617181920212223242526272829303132333536373839404142434445464748495051525354555657585960616263646566676869707172737475767778798081828384[[#This Row],[Total]]*-1,0)</f>
        <v>358</v>
      </c>
    </row>
    <row r="17" spans="1:9" x14ac:dyDescent="0.3">
      <c r="A17" s="164">
        <v>45715</v>
      </c>
      <c r="B17" s="161" t="s">
        <v>532</v>
      </c>
      <c r="C17" s="6"/>
      <c r="D17" s="2">
        <v>349</v>
      </c>
      <c r="E17" s="2">
        <v>36</v>
      </c>
      <c r="F17" s="230"/>
      <c r="G17" s="230">
        <f t="shared" si="0"/>
        <v>385</v>
      </c>
      <c r="H17" s="233">
        <f t="shared" si="1"/>
        <v>385</v>
      </c>
      <c r="I17" s="240">
        <f>IF(T_T13411121314151617181920212223242526272829303132333536373839404142434445464748495051525354555657585960616263646566676869707172737475767778798081828384[[#This Row],[Total]]&lt;0,T_T13411121314151617181920212223242526272829303132333536373839404142434445464748495051525354555657585960616263646566676869707172737475767778798081828384[[#This Row],[Total]]*-1,0)</f>
        <v>0</v>
      </c>
    </row>
    <row r="18" spans="1:9" x14ac:dyDescent="0.3">
      <c r="A18" s="187"/>
      <c r="B18" s="18" t="s">
        <v>533</v>
      </c>
      <c r="C18" s="6">
        <v>8731</v>
      </c>
      <c r="D18" s="2">
        <v>-349</v>
      </c>
      <c r="E18" s="2">
        <v>-36</v>
      </c>
      <c r="F18" s="230"/>
      <c r="G18" s="230">
        <f t="shared" si="0"/>
        <v>-385</v>
      </c>
      <c r="H18" s="233">
        <f t="shared" si="1"/>
        <v>0</v>
      </c>
      <c r="I18" s="240">
        <f>IF(T_T13411121314151617181920212223242526272829303132333536373839404142434445464748495051525354555657585960616263646566676869707172737475767778798081828384[[#This Row],[Total]]&lt;0,T_T13411121314151617181920212223242526272829303132333536373839404142434445464748495051525354555657585960616263646566676869707172737475767778798081828384[[#This Row],[Total]]*-1,0)</f>
        <v>385</v>
      </c>
    </row>
    <row r="19" spans="1:9" x14ac:dyDescent="0.3">
      <c r="A19" s="188">
        <v>45747</v>
      </c>
      <c r="B19" s="3" t="s">
        <v>534</v>
      </c>
      <c r="C19" s="6"/>
      <c r="D19" s="2">
        <v>399</v>
      </c>
      <c r="E19" s="2">
        <v>29</v>
      </c>
      <c r="F19" s="230"/>
      <c r="G19" s="230">
        <f t="shared" si="0"/>
        <v>428</v>
      </c>
      <c r="H19" s="233">
        <f t="shared" si="1"/>
        <v>428</v>
      </c>
      <c r="I19" s="240">
        <f>IF(T_T13411121314151617181920212223242526272829303132333536373839404142434445464748495051525354555657585960616263646566676869707172737475767778798081828384[[#This Row],[Total]]&lt;0,T_T13411121314151617181920212223242526272829303132333536373839404142434445464748495051525354555657585960616263646566676869707172737475767778798081828384[[#This Row],[Total]]*-1,0)</f>
        <v>0</v>
      </c>
    </row>
    <row r="20" spans="1:9" x14ac:dyDescent="0.3">
      <c r="A20" s="188"/>
      <c r="B20" s="82" t="s">
        <v>535</v>
      </c>
      <c r="C20" s="6">
        <v>8869</v>
      </c>
      <c r="D20" s="2">
        <v>-399</v>
      </c>
      <c r="E20" s="2">
        <v>-29</v>
      </c>
      <c r="F20" s="230"/>
      <c r="G20" s="230">
        <f t="shared" si="0"/>
        <v>-428</v>
      </c>
      <c r="H20" s="233">
        <f t="shared" si="1"/>
        <v>0</v>
      </c>
      <c r="I20" s="239">
        <f>IF(T_T13411121314151617181920212223242526272829303132333536373839404142434445464748495051525354555657585960616263646566676869707172737475767778798081828384[[#This Row],[Total]]&lt;0,T_T13411121314151617181920212223242526272829303132333536373839404142434445464748495051525354555657585960616263646566676869707172737475767778798081828384[[#This Row],[Total]]*-1,0)</f>
        <v>428</v>
      </c>
    </row>
    <row r="21" spans="1:9" x14ac:dyDescent="0.3">
      <c r="A21" s="188">
        <v>45777</v>
      </c>
      <c r="B21" s="3" t="s">
        <v>536</v>
      </c>
      <c r="C21" s="6"/>
      <c r="D21" s="2">
        <v>399</v>
      </c>
      <c r="E21" s="2">
        <v>41</v>
      </c>
      <c r="F21" s="230"/>
      <c r="G21" s="230">
        <f t="shared" si="0"/>
        <v>440</v>
      </c>
      <c r="H21" s="233">
        <f t="shared" si="1"/>
        <v>440</v>
      </c>
      <c r="I21" s="309">
        <f>IF(T_T13411121314151617181920212223242526272829303132333536373839404142434445464748495051525354555657585960616263646566676869707172737475767778798081828384[[#This Row],[Total]]&lt;0,T_T13411121314151617181920212223242526272829303132333536373839404142434445464748495051525354555657585960616263646566676869707172737475767778798081828384[[#This Row],[Total]]*-1,0)</f>
        <v>0</v>
      </c>
    </row>
    <row r="22" spans="1:9" x14ac:dyDescent="0.3">
      <c r="A22" s="83"/>
      <c r="B22" s="82" t="s">
        <v>537</v>
      </c>
      <c r="C22" s="6">
        <v>8896</v>
      </c>
      <c r="D22" s="2">
        <v>-399</v>
      </c>
      <c r="E22" s="2">
        <v>-41</v>
      </c>
      <c r="F22" s="230"/>
      <c r="G22" s="230">
        <f t="shared" si="0"/>
        <v>-440</v>
      </c>
      <c r="H22" s="233">
        <f t="shared" si="1"/>
        <v>0</v>
      </c>
      <c r="I22" s="309">
        <f>IF(T_T13411121314151617181920212223242526272829303132333536373839404142434445464748495051525354555657585960616263646566676869707172737475767778798081828384[[#This Row],[Total]]&lt;0,T_T13411121314151617181920212223242526272829303132333536373839404142434445464748495051525354555657585960616263646566676869707172737475767778798081828384[[#This Row],[Total]]*-1,0)</f>
        <v>440</v>
      </c>
    </row>
    <row r="23" spans="1:9" x14ac:dyDescent="0.3">
      <c r="A23" s="40">
        <v>45807</v>
      </c>
      <c r="B23" s="3" t="s">
        <v>538</v>
      </c>
      <c r="C23" s="229"/>
      <c r="D23" s="230">
        <v>399</v>
      </c>
      <c r="E23" s="230">
        <v>24</v>
      </c>
      <c r="F23" s="230"/>
      <c r="G23" s="230">
        <f t="shared" si="0"/>
        <v>423</v>
      </c>
      <c r="H23" s="233">
        <f t="shared" si="1"/>
        <v>423</v>
      </c>
      <c r="I23" s="309">
        <f>IF(T_T13411121314151617181920212223242526272829303132333536373839404142434445464748495051525354555657585960616263646566676869707172737475767778798081828384[[#This Row],[Total]]&lt;0,T_T13411121314151617181920212223242526272829303132333536373839404142434445464748495051525354555657585960616263646566676869707172737475767778798081828384[[#This Row],[Total]]*-1,0)</f>
        <v>0</v>
      </c>
    </row>
    <row r="24" spans="1:9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423</v>
      </c>
      <c r="I24" s="311">
        <f>IF(T_T13411121314151617181920212223242526272829303132333536373839404142434445464748495051525354555657585960616263646566676869707172737475767778798081828384[[#This Row],[Total]]&lt;0,T_T13411121314151617181920212223242526272829303132333536373839404142434445464748495051525354555657585960616263646566676869707172737475767778798081828384[[#This Row],[Total]]*-1,0)</f>
        <v>0</v>
      </c>
    </row>
    <row r="25" spans="1:9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423</v>
      </c>
      <c r="I25" s="309">
        <f>IF(T_T13411121314151617181920212223242526272829303132333536373839404142434445464748495051525354555657585960616263646566676869707172737475767778798081828384[[#This Row],[Total]]&lt;0,T_T13411121314151617181920212223242526272829303132333536373839404142434445464748495051525354555657585960616263646566676869707172737475767778798081828384[[#This Row],[Total]]*-1,0)</f>
        <v>0</v>
      </c>
    </row>
    <row r="26" spans="1:9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423</v>
      </c>
      <c r="I26" s="309">
        <f>IF(T_T13411121314151617181920212223242526272829303132333536373839404142434445464748495051525354555657585960616263646566676869707172737475767778798081828384[[#This Row],[Total]]&lt;0,T_T13411121314151617181920212223242526272829303132333536373839404142434445464748495051525354555657585960616263646566676869707172737475767778798081828384[[#This Row],[Total]]*-1,0)</f>
        <v>0</v>
      </c>
    </row>
    <row r="27" spans="1:9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423</v>
      </c>
      <c r="I27" s="309">
        <f>IF(T_T13411121314151617181920212223242526272829303132333536373839404142434445464748495051525354555657585960616263646566676869707172737475767778798081828384[[#This Row],[Total]]&lt;0,T_T13411121314151617181920212223242526272829303132333536373839404142434445464748495051525354555657585960616263646566676869707172737475767778798081828384[[#This Row],[Total]]*-1,0)</f>
        <v>0</v>
      </c>
    </row>
    <row r="28" spans="1:9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423</v>
      </c>
      <c r="I28" s="311">
        <f>IF(T_T13411121314151617181920212223242526272829303132333536373839404142434445464748495051525354555657585960616263646566676869707172737475767778798081828384[[#This Row],[Total]]&lt;0,T_T13411121314151617181920212223242526272829303132333536373839404142434445464748495051525354555657585960616263646566676869707172737475767778798081828384[[#This Row],[Total]]*-1,0)</f>
        <v>0</v>
      </c>
    </row>
    <row r="29" spans="1:9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423</v>
      </c>
      <c r="I29" s="309">
        <f>IF(T_T13411121314151617181920212223242526272829303132333536373839404142434445464748495051525354555657585960616263646566676869707172737475767778798081828384[[#This Row],[Total]]&lt;0,T_T13411121314151617181920212223242526272829303132333536373839404142434445464748495051525354555657585960616263646566676869707172737475767778798081828384[[#This Row],[Total]]*-1,0)</f>
        <v>0</v>
      </c>
    </row>
    <row r="30" spans="1:9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423</v>
      </c>
      <c r="I30" s="309">
        <f>IF(T_T13411121314151617181920212223242526272829303132333536373839404142434445464748495051525354555657585960616263646566676869707172737475767778798081828384[[#This Row],[Total]]&lt;0,T_T13411121314151617181920212223242526272829303132333536373839404142434445464748495051525354555657585960616263646566676869707172737475767778798081828384[[#This Row],[Total]]*-1,0)</f>
        <v>0</v>
      </c>
    </row>
    <row r="31" spans="1:9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423</v>
      </c>
      <c r="I31" s="309">
        <f>IF(T_T13411121314151617181920212223242526272829303132333536373839404142434445464748495051525354555657585960616263646566676869707172737475767778798081828384[[#This Row],[Total]]&lt;0,T_T13411121314151617181920212223242526272829303132333536373839404142434445464748495051525354555657585960616263646566676869707172737475767778798081828384[[#This Row],[Total]]*-1,0)</f>
        <v>0</v>
      </c>
    </row>
    <row r="32" spans="1:9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423</v>
      </c>
      <c r="I32" s="309">
        <f>IF(T_T13411121314151617181920212223242526272829303132333536373839404142434445464748495051525354555657585960616263646566676869707172737475767778798081828384[[#This Row],[Total]]&lt;0,T_T13411121314151617181920212223242526272829303132333536373839404142434445464748495051525354555657585960616263646566676869707172737475767778798081828384[[#This Row],[Total]]*-1,0)</f>
        <v>0</v>
      </c>
    </row>
    <row r="33" spans="1:9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423</v>
      </c>
      <c r="I33" s="309">
        <f>IF(T_T13411121314151617181920212223242526272829303132333536373839404142434445464748495051525354555657585960616263646566676869707172737475767778798081828384[[#This Row],[Total]]&lt;0,T_T13411121314151617181920212223242526272829303132333536373839404142434445464748495051525354555657585960616263646566676869707172737475767778798081828384[[#This Row],[Total]]*-1,0)</f>
        <v>0</v>
      </c>
    </row>
    <row r="34" spans="1:9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423</v>
      </c>
      <c r="I34" s="309">
        <f>IF(T_T13411121314151617181920212223242526272829303132333536373839404142434445464748495051525354555657585960616263646566676869707172737475767778798081828384[[#This Row],[Total]]&lt;0,T_T13411121314151617181920212223242526272829303132333536373839404142434445464748495051525354555657585960616263646566676869707172737475767778798081828384[[#This Row],[Total]]*-1,0)</f>
        <v>0</v>
      </c>
    </row>
    <row r="35" spans="1:9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423</v>
      </c>
      <c r="I35" s="309">
        <f>IF(T_T13411121314151617181920212223242526272829303132333536373839404142434445464748495051525354555657585960616263646566676869707172737475767778798081828384[[#This Row],[Total]]&lt;0,T_T13411121314151617181920212223242526272829303132333536373839404142434445464748495051525354555657585960616263646566676869707172737475767778798081828384[[#This Row],[Total]]*-1,0)</f>
        <v>0</v>
      </c>
    </row>
    <row r="36" spans="1:9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423</v>
      </c>
      <c r="I36" s="311">
        <f>IF(T_T13411121314151617181920212223242526272829303132333536373839404142434445464748495051525354555657585960616263646566676869707172737475767778798081828384[[#This Row],[Total]]&lt;0,T_T13411121314151617181920212223242526272829303132333536373839404142434445464748495051525354555657585960616263646566676869707172737475767778798081828384[[#This Row],[Total]]*-1,0)</f>
        <v>0</v>
      </c>
    </row>
    <row r="37" spans="1:9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423</v>
      </c>
      <c r="I37" s="353">
        <f>IF(T_T13411121314151617181920212223242526272829303132333536373839404142434445464748495051525354555657585960616263646566676869707172737475767778798081828384[[#This Row],[Total]]&lt;0,T_T13411121314151617181920212223242526272829303132333536373839404142434445464748495051525354555657585960616263646566676869707172737475767778798081828384[[#This Row],[Total]]*-1,0)</f>
        <v>0</v>
      </c>
    </row>
    <row r="38" spans="1:9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423</v>
      </c>
      <c r="I38" s="353">
        <f>IF(T_T13411121314151617181920212223242526272829303132333536373839404142434445464748495051525354555657585960616263646566676869707172737475767778798081828384[[#This Row],[Total]]&lt;0,T_T13411121314151617181920212223242526272829303132333536373839404142434445464748495051525354555657585960616263646566676869707172737475767778798081828384[[#This Row],[Total]]*-1,0)</f>
        <v>0</v>
      </c>
    </row>
    <row r="39" spans="1:9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423</v>
      </c>
      <c r="I39" s="353">
        <f>IF(T_T13411121314151617181920212223242526272829303132333536373839404142434445464748495051525354555657585960616263646566676869707172737475767778798081828384[[#This Row],[Total]]&lt;0,T_T13411121314151617181920212223242526272829303132333536373839404142434445464748495051525354555657585960616263646566676869707172737475767778798081828384[[#This Row],[Total]]*-1,0)</f>
        <v>0</v>
      </c>
    </row>
    <row r="40" spans="1:9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423</v>
      </c>
      <c r="I40" s="353">
        <f>IF(T_T13411121314151617181920212223242526272829303132333536373839404142434445464748495051525354555657585960616263646566676869707172737475767778798081828384[[#This Row],[Total]]&lt;0,T_T13411121314151617181920212223242526272829303132333536373839404142434445464748495051525354555657585960616263646566676869707172737475767778798081828384[[#This Row],[Total]]*-1,0)</f>
        <v>0</v>
      </c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orientation="portrait" verticalDpi="360" r:id="rId2"/>
  <drawing r:id="rId3"/>
  <tableParts count="1">
    <tablePart r:id="rId4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N40"/>
  <sheetViews>
    <sheetView showGridLines="0" zoomScale="98" zoomScaleNormal="98" workbookViewId="0">
      <selection activeCell="E23" sqref="E23"/>
    </sheetView>
  </sheetViews>
  <sheetFormatPr baseColWidth="10" defaultColWidth="9.109375" defaultRowHeight="14.4" x14ac:dyDescent="0.3"/>
  <cols>
    <col min="1" max="1" width="14.6640625" customWidth="1"/>
    <col min="2" max="2" width="33.5546875" customWidth="1"/>
    <col min="3" max="3" width="9.5546875" style="4" customWidth="1"/>
    <col min="4" max="4" width="10.6640625" style="1" customWidth="1"/>
    <col min="5" max="5" width="9" style="1" customWidth="1"/>
    <col min="6" max="6" width="13.88671875" style="1" customWidth="1"/>
    <col min="7" max="7" width="11.88671875" style="1" customWidth="1"/>
    <col min="8" max="8" width="12.44140625" style="1" customWidth="1"/>
    <col min="9" max="9" width="12.88671875" hidden="1" customWidth="1"/>
    <col min="14" max="14" width="10.6640625" bestFit="1" customWidth="1"/>
  </cols>
  <sheetData>
    <row r="2" spans="1:14" ht="15.6" x14ac:dyDescent="0.3">
      <c r="A2" s="27" t="s">
        <v>36</v>
      </c>
      <c r="B2" s="41" t="s">
        <v>133</v>
      </c>
    </row>
    <row r="3" spans="1:14" hidden="1" x14ac:dyDescent="0.3">
      <c r="A3" s="27" t="s">
        <v>31</v>
      </c>
      <c r="B3" s="28" t="e">
        <f>LOOKUP(B2,#REF!,#REF!)</f>
        <v>#REF!</v>
      </c>
    </row>
    <row r="4" spans="1:14" hidden="1" x14ac:dyDescent="0.3">
      <c r="A4" s="27" t="s">
        <v>32</v>
      </c>
      <c r="B4" s="28" t="e">
        <f>LOOKUP(B2,#REF!,#REF!)</f>
        <v>#REF!</v>
      </c>
    </row>
    <row r="5" spans="1:14" hidden="1" x14ac:dyDescent="0.3">
      <c r="A5" s="27" t="s">
        <v>33</v>
      </c>
      <c r="B5" s="28" t="e">
        <f>LOOKUP(B2,#REF!,#REF!)</f>
        <v>#REF!</v>
      </c>
    </row>
    <row r="6" spans="1:14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4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4" x14ac:dyDescent="0.3">
      <c r="A8" s="21"/>
      <c r="B8" s="21" t="s">
        <v>209</v>
      </c>
    </row>
    <row r="9" spans="1:14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69" t="s">
        <v>188</v>
      </c>
    </row>
    <row r="10" spans="1:14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/>
      <c r="J10" s="68"/>
      <c r="N10" s="178"/>
    </row>
    <row r="11" spans="1:14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IF(T_T1341112131415161718192021222324252627282930313233353637383940414243444546474849505152535455565758596061626364656667686970717273747576777879808182838485[[#This Row],[Total]]&lt;0,T_T1341112131415161718192021222324252627282930313233353637383940414243444546474849505152535455565758596061626364656667686970717273747576777879808182838485[[#This Row],[Total]]*-1,0)</f>
        <v>0</v>
      </c>
      <c r="J11" s="240"/>
    </row>
    <row r="12" spans="1:14" x14ac:dyDescent="0.3">
      <c r="A12" s="117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IF(T_T1341112131415161718192021222324252627282930313233353637383940414243444546474849505152535455565758596061626364656667686970717273747576777879808182838485[[#This Row],[Total]]&lt;0,T_T1341112131415161718192021222324252627282930313233353637383940414243444546474849505152535455565758596061626364656667686970717273747576777879808182838485[[#This Row],[Total]]*-1,0)</f>
        <v>0</v>
      </c>
      <c r="J12" s="430"/>
    </row>
    <row r="13" spans="1:14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IF(T_T1341112131415161718192021222324252627282930313233353637383940414243444546474849505152535455565758596061626364656667686970717273747576777879808182838485[[#This Row],[Total]]&lt;0,T_T1341112131415161718192021222324252627282930313233353637383940414243444546474849505152535455565758596061626364656667686970717273747576777879808182838485[[#This Row],[Total]]*-1,0)</f>
        <v>0</v>
      </c>
      <c r="J13" s="240"/>
    </row>
    <row r="14" spans="1:14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IF(T_T1341112131415161718192021222324252627282930313233353637383940414243444546474849505152535455565758596061626364656667686970717273747576777879808182838485[[#This Row],[Total]]&lt;0,T_T1341112131415161718192021222324252627282930313233353637383940414243444546474849505152535455565758596061626364656667686970717273747576777879808182838485[[#This Row],[Total]]*-1,0)</f>
        <v>0</v>
      </c>
      <c r="J14" s="473"/>
    </row>
    <row r="15" spans="1:14" x14ac:dyDescent="0.3">
      <c r="A15" s="17">
        <v>46052</v>
      </c>
      <c r="B15" s="18" t="s">
        <v>590</v>
      </c>
      <c r="C15" s="6"/>
      <c r="D15" s="2">
        <v>127</v>
      </c>
      <c r="E15" s="2">
        <v>14</v>
      </c>
      <c r="F15" s="20"/>
      <c r="G15" s="20">
        <f>SUM(D15:F15)</f>
        <v>141</v>
      </c>
      <c r="H15" s="233">
        <f>+H13+T_T1341112131415161718192021222324252627282930313233353637383940414243444546474849505152535455565758596061626364656667686970717273747576777879808182838485[[#This Row],[Total]]</f>
        <v>141</v>
      </c>
      <c r="I15" s="240">
        <f>IF(T_T1341112131415161718192021222324252627282930313233353637383940414243444546474849505152535455565758596061626364656667686970717273747576777879808182838485[[#This Row],[Total]]&lt;0,T_T1341112131415161718192021222324252627282930313233353637383940414243444546474849505152535455565758596061626364656667686970717273747576777879808182838485[[#This Row],[Total]]*-1,0)</f>
        <v>0</v>
      </c>
      <c r="J15" s="240"/>
    </row>
    <row r="16" spans="1:14" x14ac:dyDescent="0.3">
      <c r="A16" s="17"/>
      <c r="B16" s="18" t="s">
        <v>591</v>
      </c>
      <c r="C16" s="6">
        <v>8735</v>
      </c>
      <c r="D16" s="2">
        <v>-127</v>
      </c>
      <c r="E16" s="2">
        <v>-14</v>
      </c>
      <c r="F16" s="230"/>
      <c r="G16" s="230">
        <f t="shared" ref="G16:G38" si="0">SUM(D16:F16)</f>
        <v>-141</v>
      </c>
      <c r="H16" s="233">
        <f t="shared" ref="H16:H40" si="1">H15+G16</f>
        <v>0</v>
      </c>
      <c r="I16" s="239">
        <f>IF(T_T1341112131415161718192021222324252627282930313233353637383940414243444546474849505152535455565758596061626364656667686970717273747576777879808182838485[[#This Row],[Total]]&lt;0,T_T1341112131415161718192021222324252627282930313233353637383940414243444546474849505152535455565758596061626364656667686970717273747576777879808182838485[[#This Row],[Total]]*-1,0)</f>
        <v>141</v>
      </c>
      <c r="J16" s="239"/>
    </row>
    <row r="17" spans="1:10" x14ac:dyDescent="0.3">
      <c r="A17" s="164">
        <v>46080</v>
      </c>
      <c r="B17" s="161" t="s">
        <v>592</v>
      </c>
      <c r="C17" s="6"/>
      <c r="D17" s="2">
        <v>127</v>
      </c>
      <c r="E17" s="2">
        <v>17</v>
      </c>
      <c r="F17" s="230"/>
      <c r="G17" s="230">
        <f t="shared" si="0"/>
        <v>144</v>
      </c>
      <c r="H17" s="233">
        <f t="shared" si="1"/>
        <v>144</v>
      </c>
      <c r="I17" s="240">
        <f>IF(T_T1341112131415161718192021222324252627282930313233353637383940414243444546474849505152535455565758596061626364656667686970717273747576777879808182838485[[#This Row],[Total]]&lt;0,T_T1341112131415161718192021222324252627282930313233353637383940414243444546474849505152535455565758596061626364656667686970717273747576777879808182838485[[#This Row],[Total]]*-1,0)</f>
        <v>0</v>
      </c>
      <c r="J17" s="240"/>
    </row>
    <row r="18" spans="1:10" x14ac:dyDescent="0.3">
      <c r="A18" s="187"/>
      <c r="B18" s="18" t="s">
        <v>593</v>
      </c>
      <c r="C18" s="6">
        <v>8725</v>
      </c>
      <c r="D18" s="2">
        <v>-127</v>
      </c>
      <c r="E18" s="2">
        <v>-17</v>
      </c>
      <c r="F18" s="230"/>
      <c r="G18" s="230">
        <f t="shared" si="0"/>
        <v>-144</v>
      </c>
      <c r="H18" s="233">
        <f t="shared" si="1"/>
        <v>0</v>
      </c>
      <c r="I18" s="240">
        <f>IF(T_T1341112131415161718192021222324252627282930313233353637383940414243444546474849505152535455565758596061626364656667686970717273747576777879808182838485[[#This Row],[Total]]&lt;0,T_T1341112131415161718192021222324252627282930313233353637383940414243444546474849505152535455565758596061626364656667686970717273747576777879808182838485[[#This Row],[Total]]*-1,0)</f>
        <v>144</v>
      </c>
      <c r="J18" s="240"/>
    </row>
    <row r="19" spans="1:10" x14ac:dyDescent="0.3">
      <c r="A19" s="188">
        <v>45747</v>
      </c>
      <c r="B19" s="3" t="s">
        <v>534</v>
      </c>
      <c r="C19" s="6"/>
      <c r="D19" s="2">
        <v>145</v>
      </c>
      <c r="E19" s="2">
        <v>15</v>
      </c>
      <c r="F19" s="230"/>
      <c r="G19" s="230">
        <f t="shared" si="0"/>
        <v>160</v>
      </c>
      <c r="H19" s="233">
        <f t="shared" si="1"/>
        <v>160</v>
      </c>
      <c r="I19" s="240">
        <f>IF(T_T1341112131415161718192021222324252627282930313233353637383940414243444546474849505152535455565758596061626364656667686970717273747576777879808182838485[[#This Row],[Total]]&lt;0,T_T1341112131415161718192021222324252627282930313233353637383940414243444546474849505152535455565758596061626364656667686970717273747576777879808182838485[[#This Row],[Total]]*-1,0)</f>
        <v>0</v>
      </c>
      <c r="J19" s="240"/>
    </row>
    <row r="20" spans="1:10" x14ac:dyDescent="0.3">
      <c r="A20" s="188"/>
      <c r="B20" s="82" t="s">
        <v>535</v>
      </c>
      <c r="C20" s="6">
        <v>8963</v>
      </c>
      <c r="D20" s="2">
        <v>-145</v>
      </c>
      <c r="E20" s="2">
        <v>-15</v>
      </c>
      <c r="F20" s="230"/>
      <c r="G20" s="230">
        <f t="shared" si="0"/>
        <v>-160</v>
      </c>
      <c r="H20" s="233">
        <f t="shared" si="1"/>
        <v>0</v>
      </c>
      <c r="I20" s="239">
        <f>IF(T_T1341112131415161718192021222324252627282930313233353637383940414243444546474849505152535455565758596061626364656667686970717273747576777879808182838485[[#This Row],[Total]]&lt;0,T_T1341112131415161718192021222324252627282930313233353637383940414243444546474849505152535455565758596061626364656667686970717273747576777879808182838485[[#This Row],[Total]]*-1,0)</f>
        <v>160</v>
      </c>
      <c r="J20" s="239"/>
    </row>
    <row r="21" spans="1:10" x14ac:dyDescent="0.3">
      <c r="A21" s="188">
        <v>45777</v>
      </c>
      <c r="B21" s="3" t="s">
        <v>536</v>
      </c>
      <c r="C21" s="6"/>
      <c r="D21" s="2">
        <v>145</v>
      </c>
      <c r="E21" s="2">
        <v>16</v>
      </c>
      <c r="F21" s="230"/>
      <c r="G21" s="230">
        <f t="shared" si="0"/>
        <v>161</v>
      </c>
      <c r="H21" s="233">
        <f t="shared" si="1"/>
        <v>161</v>
      </c>
      <c r="I21" s="309">
        <f>IF(T_T1341112131415161718192021222324252627282930313233353637383940414243444546474849505152535455565758596061626364656667686970717273747576777879808182838485[[#This Row],[Total]]&lt;0,T_T1341112131415161718192021222324252627282930313233353637383940414243444546474849505152535455565758596061626364656667686970717273747576777879808182838485[[#This Row],[Total]]*-1,0)</f>
        <v>0</v>
      </c>
      <c r="J21" s="309"/>
    </row>
    <row r="22" spans="1:10" x14ac:dyDescent="0.3">
      <c r="A22" s="83"/>
      <c r="B22" s="82" t="s">
        <v>537</v>
      </c>
      <c r="C22" s="6">
        <v>8964</v>
      </c>
      <c r="D22" s="2">
        <v>-145</v>
      </c>
      <c r="E22" s="2">
        <v>-16</v>
      </c>
      <c r="F22" s="230"/>
      <c r="G22" s="230">
        <f t="shared" si="0"/>
        <v>-161</v>
      </c>
      <c r="H22" s="233">
        <f t="shared" si="1"/>
        <v>0</v>
      </c>
      <c r="I22" s="309">
        <f>IF(T_T1341112131415161718192021222324252627282930313233353637383940414243444546474849505152535455565758596061626364656667686970717273747576777879808182838485[[#This Row],[Total]]&lt;0,T_T1341112131415161718192021222324252627282930313233353637383940414243444546474849505152535455565758596061626364656667686970717273747576777879808182838485[[#This Row],[Total]]*-1,0)</f>
        <v>161</v>
      </c>
      <c r="J22" s="309"/>
    </row>
    <row r="23" spans="1:10" x14ac:dyDescent="0.3">
      <c r="A23" s="40">
        <v>45807</v>
      </c>
      <c r="B23" s="3" t="s">
        <v>538</v>
      </c>
      <c r="C23" s="229"/>
      <c r="D23" s="230">
        <v>145</v>
      </c>
      <c r="E23" s="230">
        <v>17</v>
      </c>
      <c r="F23" s="230"/>
      <c r="G23" s="230">
        <f t="shared" si="0"/>
        <v>162</v>
      </c>
      <c r="H23" s="233">
        <f t="shared" si="1"/>
        <v>162</v>
      </c>
      <c r="I23" s="309">
        <f>IF(T_T1341112131415161718192021222324252627282930313233353637383940414243444546474849505152535455565758596061626364656667686970717273747576777879808182838485[[#This Row],[Total]]&lt;0,T_T1341112131415161718192021222324252627282930313233353637383940414243444546474849505152535455565758596061626364656667686970717273747576777879808182838485[[#This Row],[Total]]*-1,0)</f>
        <v>0</v>
      </c>
      <c r="J23" s="309"/>
    </row>
    <row r="24" spans="1:10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162</v>
      </c>
      <c r="I24" s="311">
        <f>IF(T_T1341112131415161718192021222324252627282930313233353637383940414243444546474849505152535455565758596061626364656667686970717273747576777879808182838485[[#This Row],[Total]]&lt;0,T_T1341112131415161718192021222324252627282930313233353637383940414243444546474849505152535455565758596061626364656667686970717273747576777879808182838485[[#This Row],[Total]]*-1,0)</f>
        <v>0</v>
      </c>
      <c r="J24" s="311"/>
    </row>
    <row r="25" spans="1:10" x14ac:dyDescent="0.3">
      <c r="A25" s="9">
        <v>45838</v>
      </c>
      <c r="B25" s="3" t="s">
        <v>540</v>
      </c>
      <c r="C25" s="6"/>
      <c r="D25" s="230"/>
      <c r="E25" s="230"/>
      <c r="F25" s="230"/>
      <c r="G25" s="230">
        <f t="shared" si="0"/>
        <v>0</v>
      </c>
      <c r="H25" s="233">
        <f t="shared" si="1"/>
        <v>162</v>
      </c>
      <c r="I25" s="309">
        <f>IF(T_T1341112131415161718192021222324252627282930313233353637383940414243444546474849505152535455565758596061626364656667686970717273747576777879808182838485[[#This Row],[Total]]&lt;0,T_T1341112131415161718192021222324252627282930313233353637383940414243444546474849505152535455565758596061626364656667686970717273747576777879808182838485[[#This Row],[Total]]*-1,0)</f>
        <v>0</v>
      </c>
      <c r="J25" s="309"/>
    </row>
    <row r="26" spans="1:10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162</v>
      </c>
      <c r="I26" s="309">
        <f>IF(T_T1341112131415161718192021222324252627282930313233353637383940414243444546474849505152535455565758596061626364656667686970717273747576777879808182838485[[#This Row],[Total]]&lt;0,T_T1341112131415161718192021222324252627282930313233353637383940414243444546474849505152535455565758596061626364656667686970717273747576777879808182838485[[#This Row],[Total]]*-1,0)</f>
        <v>0</v>
      </c>
      <c r="J26" s="309"/>
    </row>
    <row r="27" spans="1:10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162</v>
      </c>
      <c r="I27" s="309">
        <f>IF(T_T1341112131415161718192021222324252627282930313233353637383940414243444546474849505152535455565758596061626364656667686970717273747576777879808182838485[[#This Row],[Total]]&lt;0,T_T1341112131415161718192021222324252627282930313233353637383940414243444546474849505152535455565758596061626364656667686970717273747576777879808182838485[[#This Row],[Total]]*-1,0)</f>
        <v>0</v>
      </c>
      <c r="J27" s="309"/>
    </row>
    <row r="28" spans="1:10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162</v>
      </c>
      <c r="I28" s="311">
        <f>IF(T_T1341112131415161718192021222324252627282930313233353637383940414243444546474849505152535455565758596061626364656667686970717273747576777879808182838485[[#This Row],[Total]]&lt;0,T_T1341112131415161718192021222324252627282930313233353637383940414243444546474849505152535455565758596061626364656667686970717273747576777879808182838485[[#This Row],[Total]]*-1,0)</f>
        <v>0</v>
      </c>
      <c r="J28" s="311"/>
    </row>
    <row r="29" spans="1:10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162</v>
      </c>
      <c r="I29" s="309">
        <f>IF(T_T1341112131415161718192021222324252627282930313233353637383940414243444546474849505152535455565758596061626364656667686970717273747576777879808182838485[[#This Row],[Total]]&lt;0,T_T1341112131415161718192021222324252627282930313233353637383940414243444546474849505152535455565758596061626364656667686970717273747576777879808182838485[[#This Row],[Total]]*-1,0)</f>
        <v>0</v>
      </c>
      <c r="J29" s="309"/>
    </row>
    <row r="30" spans="1:10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162</v>
      </c>
      <c r="I30" s="309">
        <f>IF(T_T1341112131415161718192021222324252627282930313233353637383940414243444546474849505152535455565758596061626364656667686970717273747576777879808182838485[[#This Row],[Total]]&lt;0,T_T1341112131415161718192021222324252627282930313233353637383940414243444546474849505152535455565758596061626364656667686970717273747576777879808182838485[[#This Row],[Total]]*-1,0)</f>
        <v>0</v>
      </c>
      <c r="J30" s="309"/>
    </row>
    <row r="31" spans="1:10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162</v>
      </c>
      <c r="I31" s="309">
        <f>IF(T_T1341112131415161718192021222324252627282930313233353637383940414243444546474849505152535455565758596061626364656667686970717273747576777879808182838485[[#This Row],[Total]]&lt;0,T_T1341112131415161718192021222324252627282930313233353637383940414243444546474849505152535455565758596061626364656667686970717273747576777879808182838485[[#This Row],[Total]]*-1,0)</f>
        <v>0</v>
      </c>
      <c r="J31" s="309"/>
    </row>
    <row r="32" spans="1:10" x14ac:dyDescent="0.3">
      <c r="A32" s="9"/>
      <c r="B32" s="3" t="s">
        <v>547</v>
      </c>
      <c r="C32" s="6"/>
      <c r="D32" s="230"/>
      <c r="E32" s="7"/>
      <c r="F32" s="230"/>
      <c r="G32" s="230">
        <f t="shared" si="0"/>
        <v>0</v>
      </c>
      <c r="H32" s="233">
        <f t="shared" si="1"/>
        <v>162</v>
      </c>
      <c r="I32" s="309">
        <f>IF(T_T1341112131415161718192021222324252627282930313233353637383940414243444546474849505152535455565758596061626364656667686970717273747576777879808182838485[[#This Row],[Total]]&lt;0,T_T1341112131415161718192021222324252627282930313233353637383940414243444546474849505152535455565758596061626364656667686970717273747576777879808182838485[[#This Row],[Total]]*-1,0)</f>
        <v>0</v>
      </c>
      <c r="J32" s="309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162</v>
      </c>
      <c r="I33" s="309">
        <f>IF(T_T1341112131415161718192021222324252627282930313233353637383940414243444546474849505152535455565758596061626364656667686970717273747576777879808182838485[[#This Row],[Total]]&lt;0,T_T1341112131415161718192021222324252627282930313233353637383940414243444546474849505152535455565758596061626364656667686970717273747576777879808182838485[[#This Row],[Total]]*-1,0)</f>
        <v>0</v>
      </c>
      <c r="J33" s="309"/>
    </row>
    <row r="34" spans="1:10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162</v>
      </c>
      <c r="I34" s="309">
        <f>IF(T_T1341112131415161718192021222324252627282930313233353637383940414243444546474849505152535455565758596061626364656667686970717273747576777879808182838485[[#This Row],[Total]]&lt;0,T_T1341112131415161718192021222324252627282930313233353637383940414243444546474849505152535455565758596061626364656667686970717273747576777879808182838485[[#This Row],[Total]]*-1,0)</f>
        <v>0</v>
      </c>
      <c r="J34" s="309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162</v>
      </c>
      <c r="I35" s="309">
        <f>IF(T_T1341112131415161718192021222324252627282930313233353637383940414243444546474849505152535455565758596061626364656667686970717273747576777879808182838485[[#This Row],[Total]]&lt;0,T_T1341112131415161718192021222324252627282930313233353637383940414243444546474849505152535455565758596061626364656667686970717273747576777879808182838485[[#This Row],[Total]]*-1,0)</f>
        <v>0</v>
      </c>
      <c r="J35" s="309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162</v>
      </c>
      <c r="I36" s="311">
        <f>IF(T_T1341112131415161718192021222324252627282930313233353637383940414243444546474849505152535455565758596061626364656667686970717273747576777879808182838485[[#This Row],[Total]]&lt;0,T_T1341112131415161718192021222324252627282930313233353637383940414243444546474849505152535455565758596061626364656667686970717273747576777879808182838485[[#This Row],[Total]]*-1,0)</f>
        <v>0</v>
      </c>
      <c r="J36" s="311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162</v>
      </c>
      <c r="I37" s="353">
        <f>IF(T_T1341112131415161718192021222324252627282930313233353637383940414243444546474849505152535455565758596061626364656667686970717273747576777879808182838485[[#This Row],[Total]]&lt;0,T_T1341112131415161718192021222324252627282930313233353637383940414243444546474849505152535455565758596061626364656667686970717273747576777879808182838485[[#This Row],[Total]]*-1,0)</f>
        <v>0</v>
      </c>
      <c r="J37" s="353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162</v>
      </c>
      <c r="I38" s="353">
        <f>IF(T_T1341112131415161718192021222324252627282930313233353637383940414243444546474849505152535455565758596061626364656667686970717273747576777879808182838485[[#This Row],[Total]]&lt;0,T_T1341112131415161718192021222324252627282930313233353637383940414243444546474849505152535455565758596061626364656667686970717273747576777879808182838485[[#This Row],[Total]]*-1,0)</f>
        <v>0</v>
      </c>
      <c r="J38" s="353"/>
    </row>
    <row r="39" spans="1:10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162</v>
      </c>
      <c r="I39" s="353">
        <f>IF(T_T1341112131415161718192021222324252627282930313233353637383940414243444546474849505152535455565758596061626364656667686970717273747576777879808182838485[[#This Row],[Total]]&lt;0,T_T1341112131415161718192021222324252627282930313233353637383940414243444546474849505152535455565758596061626364656667686970717273747576777879808182838485[[#This Row],[Total]]*-1,0)</f>
        <v>0</v>
      </c>
      <c r="J39" s="353"/>
    </row>
    <row r="40" spans="1:10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162</v>
      </c>
      <c r="I40" s="353">
        <f>IF(T_T1341112131415161718192021222324252627282930313233353637383940414243444546474849505152535455565758596061626364656667686970717273747576777879808182838485[[#This Row],[Total]]&lt;0,T_T1341112131415161718192021222324252627282930313233353637383940414243444546474849505152535455565758596061626364656667686970717273747576777879808182838485[[#This Row],[Total]]*-1,0)</f>
        <v>0</v>
      </c>
      <c r="J40" s="353"/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orientation="portrait" verticalDpi="360" r:id="rId2"/>
  <drawing r:id="rId3"/>
  <tableParts count="1">
    <tablePart r:id="rId4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M40"/>
  <sheetViews>
    <sheetView showGridLines="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0.6640625" bestFit="1" customWidth="1"/>
    <col min="14" max="14" width="17.5546875" customWidth="1"/>
  </cols>
  <sheetData>
    <row r="2" spans="1:13" ht="15.6" x14ac:dyDescent="0.3">
      <c r="A2" s="27" t="s">
        <v>36</v>
      </c>
      <c r="B2" s="41" t="s">
        <v>134</v>
      </c>
    </row>
    <row r="3" spans="1:13" ht="3" customHeight="1" x14ac:dyDescent="0.3">
      <c r="A3" s="27" t="s">
        <v>31</v>
      </c>
      <c r="B3" s="28" t="e">
        <f>LOOKUP(B2,#REF!,#REF!)</f>
        <v>#REF!</v>
      </c>
    </row>
    <row r="4" spans="1:13" hidden="1" x14ac:dyDescent="0.3">
      <c r="A4" s="27" t="s">
        <v>32</v>
      </c>
      <c r="B4" s="28" t="e">
        <f>LOOKUP(B2,#REF!,#REF!)</f>
        <v>#REF!</v>
      </c>
    </row>
    <row r="5" spans="1:13" hidden="1" x14ac:dyDescent="0.3">
      <c r="A5" s="27" t="s">
        <v>33</v>
      </c>
      <c r="B5" s="28" t="e">
        <f>LOOKUP(B2,#REF!,#REF!)</f>
        <v>#REF!</v>
      </c>
    </row>
    <row r="6" spans="1:13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3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3" x14ac:dyDescent="0.3">
      <c r="A8" s="21"/>
      <c r="B8" s="21" t="s">
        <v>210</v>
      </c>
    </row>
    <row r="9" spans="1:13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13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IF(T_T134111213141516171819202122232425262728293031323335363738394041424344454647484950515253545556575859606162636465666768697071727374757677787980818283848586[[#This Row],[Total]]&lt;0,T_T134111213141516171819202122232425262728293031323335363738394041424344454647484950515253545556575859606162636465666768697071727374757677787980818283848586[[#This Row],[Total]]*-1,0)</f>
        <v>0</v>
      </c>
      <c r="M10" s="178"/>
    </row>
    <row r="11" spans="1:13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IF(T_T134111213141516171819202122232425262728293031323335363738394041424344454647484950515253545556575859606162636465666768697071727374757677787980818283848586[[#This Row],[Total]]&lt;0,T_T134111213141516171819202122232425262728293031323335363738394041424344454647484950515253545556575859606162636465666768697071727374757677787980818283848586[[#This Row],[Total]]*-1,0)</f>
        <v>0</v>
      </c>
    </row>
    <row r="12" spans="1:13" x14ac:dyDescent="0.3">
      <c r="A12" s="117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IF(T_T134111213141516171819202122232425262728293031323335363738394041424344454647484950515253545556575859606162636465666768697071727374757677787980818283848586[[#This Row],[Total]]&lt;0,T_T134111213141516171819202122232425262728293031323335363738394041424344454647484950515253545556575859606162636465666768697071727374757677787980818283848586[[#This Row],[Total]]*-1,0)</f>
        <v>0</v>
      </c>
    </row>
    <row r="13" spans="1:13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IF(T_T134111213141516171819202122232425262728293031323335363738394041424344454647484950515253545556575859606162636465666768697071727374757677787980818283848586[[#This Row],[Total]]&lt;0,T_T134111213141516171819202122232425262728293031323335363738394041424344454647484950515253545556575859606162636465666768697071727374757677787980818283848586[[#This Row],[Total]]*-1,0)</f>
        <v>0</v>
      </c>
    </row>
    <row r="14" spans="1:13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IF(T_T134111213141516171819202122232425262728293031323335363738394041424344454647484950515253545556575859606162636465666768697071727374757677787980818283848586[[#This Row],[Total]]&lt;0,T_T134111213141516171819202122232425262728293031323335363738394041424344454647484950515253545556575859606162636465666768697071727374757677787980818283848586[[#This Row],[Total]]*-1,0)</f>
        <v>0</v>
      </c>
    </row>
    <row r="15" spans="1:13" x14ac:dyDescent="0.3">
      <c r="A15" s="17">
        <v>45687</v>
      </c>
      <c r="B15" s="18" t="s">
        <v>530</v>
      </c>
      <c r="C15" s="6"/>
      <c r="D15" s="2">
        <v>114</v>
      </c>
      <c r="E15" s="2">
        <v>24</v>
      </c>
      <c r="F15" s="20"/>
      <c r="G15" s="20">
        <f>SUM(D15:F15)</f>
        <v>138</v>
      </c>
      <c r="H15" s="233">
        <f>+H13+T_T134111213141516171819202122232425262728293031323335363738394041424344454647484950515253545556575859606162636465666768697071727374757677787980818283848586[[#This Row],[Total]]</f>
        <v>138</v>
      </c>
      <c r="I15" s="240">
        <f>IF(T_T134111213141516171819202122232425262728293031323335363738394041424344454647484950515253545556575859606162636465666768697071727374757677787980818283848586[[#This Row],[Total]]&lt;0,T_T134111213141516171819202122232425262728293031323335363738394041424344454647484950515253545556575859606162636465666768697071727374757677787980818283848586[[#This Row],[Total]]*-1,0)</f>
        <v>0</v>
      </c>
    </row>
    <row r="16" spans="1:13" x14ac:dyDescent="0.3">
      <c r="A16" s="17"/>
      <c r="B16" s="18" t="s">
        <v>531</v>
      </c>
      <c r="C16" s="6"/>
      <c r="D16" s="2"/>
      <c r="E16" s="2"/>
      <c r="F16" s="230"/>
      <c r="G16" s="230">
        <f t="shared" ref="G16:G38" si="0">SUM(D16:F16)</f>
        <v>0</v>
      </c>
      <c r="H16" s="233">
        <f t="shared" ref="H16:H40" si="1">H15+G16</f>
        <v>138</v>
      </c>
      <c r="I16" s="239">
        <f>IF(T_T134111213141516171819202122232425262728293031323335363738394041424344454647484950515253545556575859606162636465666768697071727374757677787980818283848586[[#This Row],[Total]]&lt;0,T_T134111213141516171819202122232425262728293031323335363738394041424344454647484950515253545556575859606162636465666768697071727374757677787980818283848586[[#This Row],[Total]]*-1,0)</f>
        <v>0</v>
      </c>
    </row>
    <row r="17" spans="1:9" x14ac:dyDescent="0.3">
      <c r="A17" s="164">
        <v>45715</v>
      </c>
      <c r="B17" s="161" t="s">
        <v>532</v>
      </c>
      <c r="C17" s="6"/>
      <c r="D17" s="2">
        <v>114</v>
      </c>
      <c r="E17" s="2">
        <v>27</v>
      </c>
      <c r="F17" s="230"/>
      <c r="G17" s="230">
        <f t="shared" si="0"/>
        <v>141</v>
      </c>
      <c r="H17" s="233">
        <f t="shared" si="1"/>
        <v>279</v>
      </c>
      <c r="I17" s="240">
        <f>IF(T_T134111213141516171819202122232425262728293031323335363738394041424344454647484950515253545556575859606162636465666768697071727374757677787980818283848586[[#This Row],[Total]]&lt;0,T_T134111213141516171819202122232425262728293031323335363738394041424344454647484950515253545556575859606162636465666768697071727374757677787980818283848586[[#This Row],[Total]]*-1,0)</f>
        <v>0</v>
      </c>
    </row>
    <row r="18" spans="1:9" x14ac:dyDescent="0.3">
      <c r="A18" s="187"/>
      <c r="B18" s="18" t="s">
        <v>533</v>
      </c>
      <c r="C18" s="6"/>
      <c r="D18" s="2"/>
      <c r="E18" s="2"/>
      <c r="F18" s="230"/>
      <c r="G18" s="230">
        <f t="shared" si="0"/>
        <v>0</v>
      </c>
      <c r="H18" s="233">
        <f t="shared" si="1"/>
        <v>279</v>
      </c>
      <c r="I18" s="240">
        <f>IF(T_T134111213141516171819202122232425262728293031323335363738394041424344454647484950515253545556575859606162636465666768697071727374757677787980818283848586[[#This Row],[Total]]&lt;0,T_T134111213141516171819202122232425262728293031323335363738394041424344454647484950515253545556575859606162636465666768697071727374757677787980818283848586[[#This Row],[Total]]*-1,0)</f>
        <v>0</v>
      </c>
    </row>
    <row r="19" spans="1:9" x14ac:dyDescent="0.3">
      <c r="A19" s="188">
        <v>45747</v>
      </c>
      <c r="B19" s="3" t="s">
        <v>534</v>
      </c>
      <c r="C19" s="6"/>
      <c r="D19" s="2">
        <v>131</v>
      </c>
      <c r="E19" s="2">
        <v>23</v>
      </c>
      <c r="F19" s="230"/>
      <c r="G19" s="230">
        <f t="shared" si="0"/>
        <v>154</v>
      </c>
      <c r="H19" s="233">
        <f t="shared" si="1"/>
        <v>433</v>
      </c>
      <c r="I19" s="240">
        <f>IF(T_T134111213141516171819202122232425262728293031323335363738394041424344454647484950515253545556575859606162636465666768697071727374757677787980818283848586[[#This Row],[Total]]&lt;0,T_T134111213141516171819202122232425262728293031323335363738394041424344454647484950515253545556575859606162636465666768697071727374757677787980818283848586[[#This Row],[Total]]*-1,0)</f>
        <v>0</v>
      </c>
    </row>
    <row r="20" spans="1:9" x14ac:dyDescent="0.3">
      <c r="A20" s="188"/>
      <c r="B20" s="82" t="s">
        <v>535</v>
      </c>
      <c r="C20" s="6"/>
      <c r="D20" s="2"/>
      <c r="E20" s="2"/>
      <c r="F20" s="230"/>
      <c r="G20" s="230">
        <f t="shared" si="0"/>
        <v>0</v>
      </c>
      <c r="H20" s="233">
        <f t="shared" si="1"/>
        <v>433</v>
      </c>
      <c r="I20" s="239">
        <f>IF(T_T134111213141516171819202122232425262728293031323335363738394041424344454647484950515253545556575859606162636465666768697071727374757677787980818283848586[[#This Row],[Total]]&lt;0,T_T134111213141516171819202122232425262728293031323335363738394041424344454647484950515253545556575859606162636465666768697071727374757677787980818283848586[[#This Row],[Total]]*-1,0)</f>
        <v>0</v>
      </c>
    </row>
    <row r="21" spans="1:9" x14ac:dyDescent="0.3">
      <c r="A21" s="188">
        <v>45777</v>
      </c>
      <c r="B21" s="3" t="s">
        <v>536</v>
      </c>
      <c r="C21" s="6"/>
      <c r="D21" s="2">
        <v>131</v>
      </c>
      <c r="E21" s="2">
        <v>26</v>
      </c>
      <c r="F21" s="230"/>
      <c r="G21" s="230">
        <f t="shared" si="0"/>
        <v>157</v>
      </c>
      <c r="H21" s="233">
        <f t="shared" si="1"/>
        <v>590</v>
      </c>
      <c r="I21" s="309">
        <f>IF(T_T134111213141516171819202122232425262728293031323335363738394041424344454647484950515253545556575859606162636465666768697071727374757677787980818283848586[[#This Row],[Total]]&lt;0,T_T134111213141516171819202122232425262728293031323335363738394041424344454647484950515253545556575859606162636465666768697071727374757677787980818283848586[[#This Row],[Total]]*-1,0)</f>
        <v>0</v>
      </c>
    </row>
    <row r="22" spans="1:9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590</v>
      </c>
      <c r="I22" s="309">
        <f>IF(T_T134111213141516171819202122232425262728293031323335363738394041424344454647484950515253545556575859606162636465666768697071727374757677787980818283848586[[#This Row],[Total]]&lt;0,T_T134111213141516171819202122232425262728293031323335363738394041424344454647484950515253545556575859606162636465666768697071727374757677787980818283848586[[#This Row],[Total]]*-1,0)</f>
        <v>0</v>
      </c>
    </row>
    <row r="23" spans="1:9" x14ac:dyDescent="0.3">
      <c r="A23" s="40">
        <v>45807</v>
      </c>
      <c r="B23" s="3" t="s">
        <v>538</v>
      </c>
      <c r="C23" s="229"/>
      <c r="D23" s="230">
        <v>131</v>
      </c>
      <c r="E23" s="230">
        <v>31</v>
      </c>
      <c r="F23" s="230"/>
      <c r="G23" s="230">
        <f t="shared" si="0"/>
        <v>162</v>
      </c>
      <c r="H23" s="233">
        <f t="shared" si="1"/>
        <v>752</v>
      </c>
      <c r="I23" s="309">
        <f>IF(T_T134111213141516171819202122232425262728293031323335363738394041424344454647484950515253545556575859606162636465666768697071727374757677787980818283848586[[#This Row],[Total]]&lt;0,T_T134111213141516171819202122232425262728293031323335363738394041424344454647484950515253545556575859606162636465666768697071727374757677787980818283848586[[#This Row],[Total]]*-1,0)</f>
        <v>0</v>
      </c>
    </row>
    <row r="24" spans="1:9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752</v>
      </c>
      <c r="I24" s="311">
        <f>IF(T_T134111213141516171819202122232425262728293031323335363738394041424344454647484950515253545556575859606162636465666768697071727374757677787980818283848586[[#This Row],[Total]]&lt;0,T_T134111213141516171819202122232425262728293031323335363738394041424344454647484950515253545556575859606162636465666768697071727374757677787980818283848586[[#This Row],[Total]]*-1,0)</f>
        <v>0</v>
      </c>
    </row>
    <row r="25" spans="1:9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752</v>
      </c>
      <c r="I25" s="309">
        <f>IF(T_T134111213141516171819202122232425262728293031323335363738394041424344454647484950515253545556575859606162636465666768697071727374757677787980818283848586[[#This Row],[Total]]&lt;0,T_T134111213141516171819202122232425262728293031323335363738394041424344454647484950515253545556575859606162636465666768697071727374757677787980818283848586[[#This Row],[Total]]*-1,0)</f>
        <v>0</v>
      </c>
    </row>
    <row r="26" spans="1:9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752</v>
      </c>
      <c r="I26" s="309">
        <f>IF(T_T134111213141516171819202122232425262728293031323335363738394041424344454647484950515253545556575859606162636465666768697071727374757677787980818283848586[[#This Row],[Total]]&lt;0,T_T134111213141516171819202122232425262728293031323335363738394041424344454647484950515253545556575859606162636465666768697071727374757677787980818283848586[[#This Row],[Total]]*-1,0)</f>
        <v>0</v>
      </c>
    </row>
    <row r="27" spans="1:9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752</v>
      </c>
      <c r="I27" s="309">
        <f>IF(T_T134111213141516171819202122232425262728293031323335363738394041424344454647484950515253545556575859606162636465666768697071727374757677787980818283848586[[#This Row],[Total]]&lt;0,T_T134111213141516171819202122232425262728293031323335363738394041424344454647484950515253545556575859606162636465666768697071727374757677787980818283848586[[#This Row],[Total]]*-1,0)</f>
        <v>0</v>
      </c>
    </row>
    <row r="28" spans="1:9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752</v>
      </c>
      <c r="I28" s="311">
        <f>IF(T_T134111213141516171819202122232425262728293031323335363738394041424344454647484950515253545556575859606162636465666768697071727374757677787980818283848586[[#This Row],[Total]]&lt;0,T_T134111213141516171819202122232425262728293031323335363738394041424344454647484950515253545556575859606162636465666768697071727374757677787980818283848586[[#This Row],[Total]]*-1,0)</f>
        <v>0</v>
      </c>
    </row>
    <row r="29" spans="1:9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752</v>
      </c>
      <c r="I29" s="309">
        <f>IF(T_T134111213141516171819202122232425262728293031323335363738394041424344454647484950515253545556575859606162636465666768697071727374757677787980818283848586[[#This Row],[Total]]&lt;0,T_T134111213141516171819202122232425262728293031323335363738394041424344454647484950515253545556575859606162636465666768697071727374757677787980818283848586[[#This Row],[Total]]*-1,0)</f>
        <v>0</v>
      </c>
    </row>
    <row r="30" spans="1:9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752</v>
      </c>
      <c r="I30" s="309">
        <f>IF(T_T134111213141516171819202122232425262728293031323335363738394041424344454647484950515253545556575859606162636465666768697071727374757677787980818283848586[[#This Row],[Total]]&lt;0,T_T134111213141516171819202122232425262728293031323335363738394041424344454647484950515253545556575859606162636465666768697071727374757677787980818283848586[[#This Row],[Total]]*-1,0)</f>
        <v>0</v>
      </c>
    </row>
    <row r="31" spans="1:9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752</v>
      </c>
      <c r="I31" s="309">
        <f>IF(T_T134111213141516171819202122232425262728293031323335363738394041424344454647484950515253545556575859606162636465666768697071727374757677787980818283848586[[#This Row],[Total]]&lt;0,T_T134111213141516171819202122232425262728293031323335363738394041424344454647484950515253545556575859606162636465666768697071727374757677787980818283848586[[#This Row],[Total]]*-1,0)</f>
        <v>0</v>
      </c>
    </row>
    <row r="32" spans="1:9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752</v>
      </c>
      <c r="I32" s="309">
        <f>IF(T_T134111213141516171819202122232425262728293031323335363738394041424344454647484950515253545556575859606162636465666768697071727374757677787980818283848586[[#This Row],[Total]]&lt;0,T_T134111213141516171819202122232425262728293031323335363738394041424344454647484950515253545556575859606162636465666768697071727374757677787980818283848586[[#This Row],[Total]]*-1,0)</f>
        <v>0</v>
      </c>
    </row>
    <row r="33" spans="1:9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752</v>
      </c>
      <c r="I33" s="309">
        <f>IF(T_T134111213141516171819202122232425262728293031323335363738394041424344454647484950515253545556575859606162636465666768697071727374757677787980818283848586[[#This Row],[Total]]&lt;0,T_T134111213141516171819202122232425262728293031323335363738394041424344454647484950515253545556575859606162636465666768697071727374757677787980818283848586[[#This Row],[Total]]*-1,0)</f>
        <v>0</v>
      </c>
    </row>
    <row r="34" spans="1:9" x14ac:dyDescent="0.3">
      <c r="A34" s="9"/>
      <c r="B34" s="3" t="s">
        <v>549</v>
      </c>
      <c r="C34" s="6"/>
      <c r="D34" s="230"/>
      <c r="E34" s="230"/>
      <c r="F34" s="230"/>
      <c r="G34" s="230">
        <f t="shared" si="0"/>
        <v>0</v>
      </c>
      <c r="H34" s="233">
        <f t="shared" si="1"/>
        <v>752</v>
      </c>
      <c r="I34" s="309">
        <f>IF(T_T134111213141516171819202122232425262728293031323335363738394041424344454647484950515253545556575859606162636465666768697071727374757677787980818283848586[[#This Row],[Total]]&lt;0,T_T134111213141516171819202122232425262728293031323335363738394041424344454647484950515253545556575859606162636465666768697071727374757677787980818283848586[[#This Row],[Total]]*-1,0)</f>
        <v>0</v>
      </c>
    </row>
    <row r="35" spans="1:9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752</v>
      </c>
      <c r="I35" s="309">
        <f>IF(T_T134111213141516171819202122232425262728293031323335363738394041424344454647484950515253545556575859606162636465666768697071727374757677787980818283848586[[#This Row],[Total]]&lt;0,T_T134111213141516171819202122232425262728293031323335363738394041424344454647484950515253545556575859606162636465666768697071727374757677787980818283848586[[#This Row],[Total]]*-1,0)</f>
        <v>0</v>
      </c>
    </row>
    <row r="36" spans="1:9" x14ac:dyDescent="0.3">
      <c r="A36" s="17"/>
      <c r="B36" s="18" t="s">
        <v>551</v>
      </c>
      <c r="C36" s="6"/>
      <c r="D36" s="230"/>
      <c r="E36" s="230"/>
      <c r="F36" s="230"/>
      <c r="G36" s="230">
        <f t="shared" si="0"/>
        <v>0</v>
      </c>
      <c r="H36" s="233">
        <f t="shared" si="1"/>
        <v>752</v>
      </c>
      <c r="I36" s="311">
        <f>IF(T_T134111213141516171819202122232425262728293031323335363738394041424344454647484950515253545556575859606162636465666768697071727374757677787980818283848586[[#This Row],[Total]]&lt;0,T_T134111213141516171819202122232425262728293031323335363738394041424344454647484950515253545556575859606162636465666768697071727374757677787980818283848586[[#This Row],[Total]]*-1,0)</f>
        <v>0</v>
      </c>
    </row>
    <row r="37" spans="1:9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752</v>
      </c>
      <c r="I37" s="353">
        <f>IF(T_T134111213141516171819202122232425262728293031323335363738394041424344454647484950515253545556575859606162636465666768697071727374757677787980818283848586[[#This Row],[Total]]&lt;0,T_T134111213141516171819202122232425262728293031323335363738394041424344454647484950515253545556575859606162636465666768697071727374757677787980818283848586[[#This Row],[Total]]*-1,0)</f>
        <v>0</v>
      </c>
    </row>
    <row r="38" spans="1:9" x14ac:dyDescent="0.3">
      <c r="A38" s="257"/>
      <c r="B38" s="110" t="s">
        <v>553</v>
      </c>
      <c r="C38" s="6"/>
      <c r="D38" s="230"/>
      <c r="E38" s="230"/>
      <c r="F38" s="230"/>
      <c r="G38" s="230">
        <f t="shared" si="0"/>
        <v>0</v>
      </c>
      <c r="H38" s="233">
        <f t="shared" si="1"/>
        <v>752</v>
      </c>
      <c r="I38" s="353">
        <f>IF(T_T134111213141516171819202122232425262728293031323335363738394041424344454647484950515253545556575859606162636465666768697071727374757677787980818283848586[[#This Row],[Total]]&lt;0,T_T134111213141516171819202122232425262728293031323335363738394041424344454647484950515253545556575859606162636465666768697071727374757677787980818283848586[[#This Row],[Total]]*-1,0)</f>
        <v>0</v>
      </c>
    </row>
    <row r="39" spans="1:9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752</v>
      </c>
      <c r="I39" s="353">
        <f>IF(T_T134111213141516171819202122232425262728293031323335363738394041424344454647484950515253545556575859606162636465666768697071727374757677787980818283848586[[#This Row],[Total]]&lt;0,T_T134111213141516171819202122232425262728293031323335363738394041424344454647484950515253545556575859606162636465666768697071727374757677787980818283848586[[#This Row],[Total]]*-1,0)</f>
        <v>0</v>
      </c>
    </row>
    <row r="40" spans="1:9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752</v>
      </c>
      <c r="I40" s="353">
        <f>IF(T_T134111213141516171819202122232425262728293031323335363738394041424344454647484950515253545556575859606162636465666768697071727374757677787980818283848586[[#This Row],[Total]]&lt;0,T_T134111213141516171819202122232425262728293031323335363738394041424344454647484950515253545556575859606162636465666768697071727374757677787980818283848586[[#This Row],[Total]]*-1,0)</f>
        <v>0</v>
      </c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orientation="portrait" verticalDpi="360" r:id="rId2"/>
  <drawing r:id="rId3"/>
  <tableParts count="1">
    <tablePart r:id="rId4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N45"/>
  <sheetViews>
    <sheetView showGridLines="0" topLeftCell="A8" zoomScale="98" zoomScaleNormal="98" workbookViewId="0">
      <selection activeCell="E25" sqref="E25"/>
    </sheetView>
  </sheetViews>
  <sheetFormatPr baseColWidth="10" defaultColWidth="9.109375" defaultRowHeight="14.4" x14ac:dyDescent="0.3"/>
  <cols>
    <col min="1" max="1" width="14.6640625" customWidth="1"/>
    <col min="2" max="2" width="31.44140625" customWidth="1"/>
    <col min="3" max="3" width="10.88671875" style="4" customWidth="1"/>
    <col min="4" max="4" width="14.109375" style="1" customWidth="1"/>
    <col min="5" max="5" width="9.88671875" style="1" customWidth="1"/>
    <col min="6" max="6" width="5.33203125" style="1" customWidth="1"/>
    <col min="7" max="7" width="11.88671875" style="1" customWidth="1"/>
    <col min="8" max="8" width="12.44140625" style="1" customWidth="1"/>
    <col min="9" max="9" width="12.88671875" hidden="1" customWidth="1"/>
    <col min="10" max="10" width="6.44140625" customWidth="1"/>
    <col min="14" max="14" width="10.6640625" bestFit="1" customWidth="1"/>
    <col min="15" max="15" width="15.5546875" customWidth="1"/>
    <col min="16" max="16" width="10.33203125" customWidth="1"/>
  </cols>
  <sheetData>
    <row r="2" spans="1:14" ht="15.6" x14ac:dyDescent="0.3">
      <c r="A2" s="27" t="s">
        <v>36</v>
      </c>
      <c r="B2" s="41" t="s">
        <v>135</v>
      </c>
    </row>
    <row r="3" spans="1:14" ht="2.25" customHeight="1" x14ac:dyDescent="0.3">
      <c r="A3" s="27" t="s">
        <v>31</v>
      </c>
      <c r="B3" s="28" t="e">
        <f>LOOKUP(B2,#REF!,#REF!)</f>
        <v>#REF!</v>
      </c>
    </row>
    <row r="4" spans="1:14" hidden="1" x14ac:dyDescent="0.3">
      <c r="A4" s="27" t="s">
        <v>32</v>
      </c>
      <c r="B4" s="28" t="e">
        <f>LOOKUP(B2,#REF!,#REF!)</f>
        <v>#REF!</v>
      </c>
    </row>
    <row r="5" spans="1:14" hidden="1" x14ac:dyDescent="0.3">
      <c r="A5" s="27" t="s">
        <v>33</v>
      </c>
      <c r="B5" s="28" t="e">
        <f>LOOKUP(B2,#REF!,#REF!)</f>
        <v>#REF!</v>
      </c>
    </row>
    <row r="6" spans="1:14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4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4" x14ac:dyDescent="0.3">
      <c r="A8" s="21"/>
      <c r="B8" s="21" t="s">
        <v>211</v>
      </c>
    </row>
    <row r="9" spans="1:14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69" t="s">
        <v>188</v>
      </c>
    </row>
    <row r="10" spans="1:14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/>
      <c r="J10" s="68"/>
      <c r="N10" s="178"/>
    </row>
    <row r="11" spans="1:14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22">
        <f>IF(T_T13411121314151617181920212223242526272829303132333536373839404142434445464748495051525354555657585960616263646566676869707172737475767778798081828384858687[[#This Row],[Total]]&lt;0,T_T13411121314151617181920212223242526272829303132333536373839404142434445464748495051525354555657585960616263646566676869707172737475767778798081828384858687[[#This Row],[Total]]*-1,0)</f>
        <v>0</v>
      </c>
      <c r="J11" s="223"/>
    </row>
    <row r="12" spans="1:14" x14ac:dyDescent="0.3">
      <c r="A12" s="361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IF(T_T13411121314151617181920212223242526272829303132333536373839404142434445464748495051525354555657585960616263646566676869707172737475767778798081828384858687[[#This Row],[Total]]&lt;0,T_T13411121314151617181920212223242526272829303132333536373839404142434445464748495051525354555657585960616263646566676869707172737475767778798081828384858687[[#This Row],[Total]]*-1,0)</f>
        <v>0</v>
      </c>
      <c r="J12" s="427"/>
    </row>
    <row r="13" spans="1:14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22">
        <f>IF(T_T13411121314151617181920212223242526272829303132333536373839404142434445464748495051525354555657585960616263646566676869707172737475767778798081828384858687[[#This Row],[Total]]&lt;0,T_T13411121314151617181920212223242526272829303132333536373839404142434445464748495051525354555657585960616263646566676869707172737475767778798081828384858687[[#This Row],[Total]]*-1,0)</f>
        <v>0</v>
      </c>
      <c r="J13" s="223"/>
    </row>
    <row r="14" spans="1:14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IF(T_T13411121314151617181920212223242526272829303132333536373839404142434445464748495051525354555657585960616263646566676869707172737475767778798081828384858687[[#This Row],[Total]]&lt;0,T_T13411121314151617181920212223242526272829303132333536373839404142434445464748495051525354555657585960616263646566676869707172737475767778798081828384858687[[#This Row],[Total]]*-1,0)</f>
        <v>0</v>
      </c>
      <c r="J14" s="476"/>
    </row>
    <row r="15" spans="1:14" x14ac:dyDescent="0.3">
      <c r="A15" s="17">
        <v>46052</v>
      </c>
      <c r="B15" s="18" t="s">
        <v>590</v>
      </c>
      <c r="C15" s="6"/>
      <c r="D15" s="2">
        <v>387</v>
      </c>
      <c r="E15" s="2">
        <v>24</v>
      </c>
      <c r="F15" s="20"/>
      <c r="G15" s="20">
        <f>SUM(D15:F15)</f>
        <v>411</v>
      </c>
      <c r="H15" s="233">
        <f>+H13+T_T13411121314151617181920212223242526272829303132333536373839404142434445464748495051525354555657585960616263646566676869707172737475767778798081828384858687[[#This Row],[Total]]</f>
        <v>411</v>
      </c>
      <c r="I15" s="222">
        <f>IF(T_T13411121314151617181920212223242526272829303132333536373839404142434445464748495051525354555657585960616263646566676869707172737475767778798081828384858687[[#This Row],[Total]]&lt;0,T_T13411121314151617181920212223242526272829303132333536373839404142434445464748495051525354555657585960616263646566676869707172737475767778798081828384858687[[#This Row],[Total]]*-1,0)</f>
        <v>0</v>
      </c>
      <c r="J15" s="223"/>
    </row>
    <row r="16" spans="1:14" x14ac:dyDescent="0.3">
      <c r="A16" s="17"/>
      <c r="B16" s="18" t="s">
        <v>591</v>
      </c>
      <c r="C16" s="6">
        <v>8576</v>
      </c>
      <c r="D16" s="2">
        <v>-387</v>
      </c>
      <c r="E16" s="2">
        <v>-24</v>
      </c>
      <c r="F16" s="230"/>
      <c r="G16" s="230">
        <f t="shared" ref="G16:G38" si="0">SUM(D16:F16)</f>
        <v>-411</v>
      </c>
      <c r="H16" s="233">
        <f t="shared" ref="H16:H40" si="1">H15+G16</f>
        <v>0</v>
      </c>
      <c r="I16" s="240">
        <f>IF(T_T13411121314151617181920212223242526272829303132333536373839404142434445464748495051525354555657585960616263646566676869707172737475767778798081828384858687[[#This Row],[Total]]&lt;0,T_T13411121314151617181920212223242526272829303132333536373839404142434445464748495051525354555657585960616263646566676869707172737475767778798081828384858687[[#This Row],[Total]]*-1,0)</f>
        <v>411</v>
      </c>
      <c r="J16" s="231"/>
    </row>
    <row r="17" spans="1:10" x14ac:dyDescent="0.3">
      <c r="A17" s="164">
        <v>45715</v>
      </c>
      <c r="B17" s="161" t="s">
        <v>532</v>
      </c>
      <c r="C17" s="6"/>
      <c r="D17" s="2">
        <v>387</v>
      </c>
      <c r="E17" s="2">
        <v>40</v>
      </c>
      <c r="F17" s="230"/>
      <c r="G17" s="230">
        <f t="shared" si="0"/>
        <v>427</v>
      </c>
      <c r="H17" s="233">
        <f t="shared" si="1"/>
        <v>427</v>
      </c>
      <c r="I17" s="240">
        <f>IF(T_T13411121314151617181920212223242526272829303132333536373839404142434445464748495051525354555657585960616263646566676869707172737475767778798081828384858687[[#This Row],[Total]]&lt;0,T_T13411121314151617181920212223242526272829303132333536373839404142434445464748495051525354555657585960616263646566676869707172737475767778798081828384858687[[#This Row],[Total]]*-1,0)</f>
        <v>0</v>
      </c>
      <c r="J17" s="231"/>
    </row>
    <row r="18" spans="1:10" x14ac:dyDescent="0.3">
      <c r="A18" s="187"/>
      <c r="B18" s="18" t="s">
        <v>533</v>
      </c>
      <c r="C18" s="6">
        <v>8669</v>
      </c>
      <c r="D18" s="2">
        <v>-387</v>
      </c>
      <c r="E18" s="2">
        <v>-40</v>
      </c>
      <c r="F18" s="230"/>
      <c r="G18" s="230">
        <f t="shared" si="0"/>
        <v>-427</v>
      </c>
      <c r="H18" s="233">
        <f t="shared" si="1"/>
        <v>0</v>
      </c>
      <c r="I18" s="240">
        <f>IF(T_T13411121314151617181920212223242526272829303132333536373839404142434445464748495051525354555657585960616263646566676869707172737475767778798081828384858687[[#This Row],[Total]]&lt;0,T_T13411121314151617181920212223242526272829303132333536373839404142434445464748495051525354555657585960616263646566676869707172737475767778798081828384858687[[#This Row],[Total]]*-1,0)</f>
        <v>427</v>
      </c>
      <c r="J18" s="231"/>
    </row>
    <row r="19" spans="1:10" x14ac:dyDescent="0.3">
      <c r="A19" s="188">
        <v>45747</v>
      </c>
      <c r="B19" s="3" t="s">
        <v>534</v>
      </c>
      <c r="C19" s="6"/>
      <c r="D19" s="2">
        <v>443</v>
      </c>
      <c r="E19" s="2">
        <v>17</v>
      </c>
      <c r="F19" s="230"/>
      <c r="G19" s="230">
        <f t="shared" si="0"/>
        <v>460</v>
      </c>
      <c r="H19" s="233">
        <f t="shared" si="1"/>
        <v>460</v>
      </c>
      <c r="I19" s="240">
        <f>IF(T_T13411121314151617181920212223242526272829303132333536373839404142434445464748495051525354555657585960616263646566676869707172737475767778798081828384858687[[#This Row],[Total]]&lt;0,T_T13411121314151617181920212223242526272829303132333536373839404142434445464748495051525354555657585960616263646566676869707172737475767778798081828384858687[[#This Row],[Total]]*-1,0)</f>
        <v>0</v>
      </c>
      <c r="J19" s="231"/>
    </row>
    <row r="20" spans="1:10" x14ac:dyDescent="0.3">
      <c r="A20" s="188"/>
      <c r="B20" s="82" t="s">
        <v>535</v>
      </c>
      <c r="C20" s="6">
        <v>8765</v>
      </c>
      <c r="D20" s="2">
        <v>-443</v>
      </c>
      <c r="E20" s="2">
        <v>-17</v>
      </c>
      <c r="F20" s="230"/>
      <c r="G20" s="230">
        <f t="shared" si="0"/>
        <v>-460</v>
      </c>
      <c r="H20" s="233">
        <f t="shared" si="1"/>
        <v>0</v>
      </c>
      <c r="I20" s="240">
        <f>IF(T_T13411121314151617181920212223242526272829303132333536373839404142434445464748495051525354555657585960616263646566676869707172737475767778798081828384858687[[#This Row],[Total]]&lt;0,T_T13411121314151617181920212223242526272829303132333536373839404142434445464748495051525354555657585960616263646566676869707172737475767778798081828384858687[[#This Row],[Total]]*-1,0)</f>
        <v>460</v>
      </c>
      <c r="J20" s="231"/>
    </row>
    <row r="21" spans="1:10" x14ac:dyDescent="0.3">
      <c r="A21" s="188">
        <v>45777</v>
      </c>
      <c r="B21" s="3" t="s">
        <v>536</v>
      </c>
      <c r="C21" s="6"/>
      <c r="D21" s="2">
        <v>443</v>
      </c>
      <c r="E21" s="2">
        <v>24</v>
      </c>
      <c r="F21" s="230"/>
      <c r="G21" s="230">
        <f t="shared" si="0"/>
        <v>467</v>
      </c>
      <c r="H21" s="233">
        <f t="shared" si="1"/>
        <v>467</v>
      </c>
      <c r="I21" s="309">
        <f>IF(T_T13411121314151617181920212223242526272829303132333536373839404142434445464748495051525354555657585960616263646566676869707172737475767778798081828384858687[[#This Row],[Total]]&lt;0,T_T13411121314151617181920212223242526272829303132333536373839404142434445464748495051525354555657585960616263646566676869707172737475767778798081828384858687[[#This Row],[Total]]*-1,0)</f>
        <v>0</v>
      </c>
      <c r="J21" s="320"/>
    </row>
    <row r="22" spans="1:10" x14ac:dyDescent="0.3">
      <c r="A22" s="83"/>
      <c r="B22" s="82" t="s">
        <v>537</v>
      </c>
      <c r="C22" s="6">
        <v>8874</v>
      </c>
      <c r="D22" s="2">
        <v>-443</v>
      </c>
      <c r="E22" s="2">
        <v>-24</v>
      </c>
      <c r="F22" s="230"/>
      <c r="G22" s="230">
        <f t="shared" si="0"/>
        <v>-467</v>
      </c>
      <c r="H22" s="233">
        <f t="shared" si="1"/>
        <v>0</v>
      </c>
      <c r="I22" s="309">
        <f>IF(T_T13411121314151617181920212223242526272829303132333536373839404142434445464748495051525354555657585960616263646566676869707172737475767778798081828384858687[[#This Row],[Total]]&lt;0,T_T13411121314151617181920212223242526272829303132333536373839404142434445464748495051525354555657585960616263646566676869707172737475767778798081828384858687[[#This Row],[Total]]*-1,0)</f>
        <v>467</v>
      </c>
      <c r="J22" s="320"/>
    </row>
    <row r="23" spans="1:10" x14ac:dyDescent="0.3">
      <c r="A23" s="40">
        <v>45807</v>
      </c>
      <c r="B23" s="3" t="s">
        <v>538</v>
      </c>
      <c r="C23" s="229"/>
      <c r="D23" s="230">
        <v>443</v>
      </c>
      <c r="E23" s="230">
        <v>15</v>
      </c>
      <c r="F23" s="230"/>
      <c r="G23" s="230">
        <f t="shared" si="0"/>
        <v>458</v>
      </c>
      <c r="H23" s="233">
        <f t="shared" si="1"/>
        <v>458</v>
      </c>
      <c r="I23" s="309">
        <f>IF(T_T13411121314151617181920212223242526272829303132333536373839404142434445464748495051525354555657585960616263646566676869707172737475767778798081828384858687[[#This Row],[Total]]&lt;0,T_T13411121314151617181920212223242526272829303132333536373839404142434445464748495051525354555657585960616263646566676869707172737475767778798081828384858687[[#This Row],[Total]]*-1,0)</f>
        <v>0</v>
      </c>
      <c r="J23" s="320"/>
    </row>
    <row r="24" spans="1:10" x14ac:dyDescent="0.3">
      <c r="A24" s="9"/>
      <c r="B24" s="18" t="s">
        <v>539</v>
      </c>
      <c r="C24" s="6">
        <v>8974</v>
      </c>
      <c r="D24" s="230">
        <v>-443</v>
      </c>
      <c r="E24" s="230">
        <v>-15</v>
      </c>
      <c r="F24" s="230"/>
      <c r="G24" s="230">
        <f t="shared" si="0"/>
        <v>-458</v>
      </c>
      <c r="H24" s="233">
        <f t="shared" si="1"/>
        <v>0</v>
      </c>
      <c r="I24" s="309">
        <f>IF(T_T13411121314151617181920212223242526272829303132333536373839404142434445464748495051525354555657585960616263646566676869707172737475767778798081828384858687[[#This Row],[Total]]&lt;0,T_T13411121314151617181920212223242526272829303132333536373839404142434445464748495051525354555657585960616263646566676869707172737475767778798081828384858687[[#This Row],[Total]]*-1,0)</f>
        <v>458</v>
      </c>
      <c r="J24" s="320"/>
    </row>
    <row r="25" spans="1:10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0</v>
      </c>
      <c r="I25" s="309">
        <f>IF(T_T13411121314151617181920212223242526272829303132333536373839404142434445464748495051525354555657585960616263646566676869707172737475767778798081828384858687[[#This Row],[Total]]&lt;0,T_T13411121314151617181920212223242526272829303132333536373839404142434445464748495051525354555657585960616263646566676869707172737475767778798081828384858687[[#This Row],[Total]]*-1,0)</f>
        <v>0</v>
      </c>
      <c r="J25" s="320"/>
    </row>
    <row r="26" spans="1:10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0</v>
      </c>
      <c r="I26" s="309">
        <f>IF(T_T13411121314151617181920212223242526272829303132333536373839404142434445464748495051525354555657585960616263646566676869707172737475767778798081828384858687[[#This Row],[Total]]&lt;0,T_T13411121314151617181920212223242526272829303132333536373839404142434445464748495051525354555657585960616263646566676869707172737475767778798081828384858687[[#This Row],[Total]]*-1,0)</f>
        <v>0</v>
      </c>
      <c r="J26" s="320"/>
    </row>
    <row r="27" spans="1:10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0</v>
      </c>
      <c r="I27" s="309">
        <f>IF(T_T13411121314151617181920212223242526272829303132333536373839404142434445464748495051525354555657585960616263646566676869707172737475767778798081828384858687[[#This Row],[Total]]&lt;0,T_T13411121314151617181920212223242526272829303132333536373839404142434445464748495051525354555657585960616263646566676869707172737475767778798081828384858687[[#This Row],[Total]]*-1,0)</f>
        <v>0</v>
      </c>
      <c r="J27" s="320"/>
    </row>
    <row r="28" spans="1:10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0</v>
      </c>
      <c r="I28" s="309">
        <f>IF(T_T13411121314151617181920212223242526272829303132333536373839404142434445464748495051525354555657585960616263646566676869707172737475767778798081828384858687[[#This Row],[Total]]&lt;0,T_T13411121314151617181920212223242526272829303132333536373839404142434445464748495051525354555657585960616263646566676869707172737475767778798081828384858687[[#This Row],[Total]]*-1,0)</f>
        <v>0</v>
      </c>
      <c r="J28" s="320"/>
    </row>
    <row r="29" spans="1:10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0</v>
      </c>
      <c r="I29" s="309">
        <f>IF(T_T13411121314151617181920212223242526272829303132333536373839404142434445464748495051525354555657585960616263646566676869707172737475767778798081828384858687[[#This Row],[Total]]&lt;0,T_T13411121314151617181920212223242526272829303132333536373839404142434445464748495051525354555657585960616263646566676869707172737475767778798081828384858687[[#This Row],[Total]]*-1,0)</f>
        <v>0</v>
      </c>
      <c r="J29" s="320"/>
    </row>
    <row r="30" spans="1:10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0</v>
      </c>
      <c r="I30" s="309">
        <f>IF(T_T13411121314151617181920212223242526272829303132333536373839404142434445464748495051525354555657585960616263646566676869707172737475767778798081828384858687[[#This Row],[Total]]&lt;0,T_T13411121314151617181920212223242526272829303132333536373839404142434445464748495051525354555657585960616263646566676869707172737475767778798081828384858687[[#This Row],[Total]]*-1,0)</f>
        <v>0</v>
      </c>
      <c r="J30" s="320"/>
    </row>
    <row r="31" spans="1:10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0</v>
      </c>
      <c r="I31" s="309">
        <f>IF(T_T13411121314151617181920212223242526272829303132333536373839404142434445464748495051525354555657585960616263646566676869707172737475767778798081828384858687[[#This Row],[Total]]&lt;0,T_T13411121314151617181920212223242526272829303132333536373839404142434445464748495051525354555657585960616263646566676869707172737475767778798081828384858687[[#This Row],[Total]]*-1,0)</f>
        <v>0</v>
      </c>
      <c r="J31" s="320"/>
    </row>
    <row r="32" spans="1:10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0</v>
      </c>
      <c r="I32" s="309">
        <f>IF(T_T13411121314151617181920212223242526272829303132333536373839404142434445464748495051525354555657585960616263646566676869707172737475767778798081828384858687[[#This Row],[Total]]&lt;0,T_T13411121314151617181920212223242526272829303132333536373839404142434445464748495051525354555657585960616263646566676869707172737475767778798081828384858687[[#This Row],[Total]]*-1,0)</f>
        <v>0</v>
      </c>
      <c r="J32" s="320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0</v>
      </c>
      <c r="I33" s="309">
        <f>IF(T_T13411121314151617181920212223242526272829303132333536373839404142434445464748495051525354555657585960616263646566676869707172737475767778798081828384858687[[#This Row],[Total]]&lt;0,T_T13411121314151617181920212223242526272829303132333536373839404142434445464748495051525354555657585960616263646566676869707172737475767778798081828384858687[[#This Row],[Total]]*-1,0)</f>
        <v>0</v>
      </c>
      <c r="J33" s="320"/>
    </row>
    <row r="34" spans="1:10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0</v>
      </c>
      <c r="I34" s="309">
        <f>IF(T_T13411121314151617181920212223242526272829303132333536373839404142434445464748495051525354555657585960616263646566676869707172737475767778798081828384858687[[#This Row],[Total]]&lt;0,T_T13411121314151617181920212223242526272829303132333536373839404142434445464748495051525354555657585960616263646566676869707172737475767778798081828384858687[[#This Row],[Total]]*-1,0)</f>
        <v>0</v>
      </c>
      <c r="J34" s="320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0</v>
      </c>
      <c r="I35" s="309">
        <f>IF(T_T13411121314151617181920212223242526272829303132333536373839404142434445464748495051525354555657585960616263646566676869707172737475767778798081828384858687[[#This Row],[Total]]&lt;0,T_T13411121314151617181920212223242526272829303132333536373839404142434445464748495051525354555657585960616263646566676869707172737475767778798081828384858687[[#This Row],[Total]]*-1,0)</f>
        <v>0</v>
      </c>
      <c r="J35" s="320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0</v>
      </c>
      <c r="I36" s="309">
        <f>IF(T_T13411121314151617181920212223242526272829303132333536373839404142434445464748495051525354555657585960616263646566676869707172737475767778798081828384858687[[#This Row],[Total]]&lt;0,T_T13411121314151617181920212223242526272829303132333536373839404142434445464748495051525354555657585960616263646566676869707172737475767778798081828384858687[[#This Row],[Total]]*-1,0)</f>
        <v>0</v>
      </c>
      <c r="J36" s="320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0</v>
      </c>
      <c r="I37" s="353">
        <f>IF(T_T13411121314151617181920212223242526272829303132333536373839404142434445464748495051525354555657585960616263646566676869707172737475767778798081828384858687[[#This Row],[Total]]&lt;0,T_T13411121314151617181920212223242526272829303132333536373839404142434445464748495051525354555657585960616263646566676869707172737475767778798081828384858687[[#This Row],[Total]]*-1,0)</f>
        <v>0</v>
      </c>
      <c r="J37" s="355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0</v>
      </c>
      <c r="I38" s="353">
        <f>IF(T_T13411121314151617181920212223242526272829303132333536373839404142434445464748495051525354555657585960616263646566676869707172737475767778798081828384858687[[#This Row],[Total]]&lt;0,T_T13411121314151617181920212223242526272829303132333536373839404142434445464748495051525354555657585960616263646566676869707172737475767778798081828384858687[[#This Row],[Total]]*-1,0)</f>
        <v>0</v>
      </c>
      <c r="J38" s="355"/>
    </row>
    <row r="39" spans="1:10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0</v>
      </c>
      <c r="I39" s="353">
        <f>IF(T_T13411121314151617181920212223242526272829303132333536373839404142434445464748495051525354555657585960616263646566676869707172737475767778798081828384858687[[#This Row],[Total]]&lt;0,T_T13411121314151617181920212223242526272829303132333536373839404142434445464748495051525354555657585960616263646566676869707172737475767778798081828384858687[[#This Row],[Total]]*-1,0)</f>
        <v>0</v>
      </c>
      <c r="J39" s="355"/>
    </row>
    <row r="40" spans="1:10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0</v>
      </c>
      <c r="I40" s="353">
        <f>IF(T_T13411121314151617181920212223242526272829303132333536373839404142434445464748495051525354555657585960616263646566676869707172737475767778798081828384858687[[#This Row],[Total]]&lt;0,T_T13411121314151617181920212223242526272829303132333536373839404142434445464748495051525354555657585960616263646566676869707172737475767778798081828384858687[[#This Row],[Total]]*-1,0)</f>
        <v>0</v>
      </c>
      <c r="J40" s="355"/>
    </row>
    <row r="41" spans="1:10" x14ac:dyDescent="0.3">
      <c r="A41" s="17"/>
      <c r="B41" s="18"/>
      <c r="C41" s="466"/>
      <c r="D41" s="467"/>
      <c r="E41" s="467"/>
      <c r="F41" s="467"/>
      <c r="G41" s="467"/>
      <c r="H41" s="474"/>
      <c r="I41" s="475"/>
      <c r="J41" s="507"/>
    </row>
    <row r="42" spans="1:10" x14ac:dyDescent="0.3">
      <c r="A42" s="40"/>
      <c r="B42" s="3"/>
      <c r="C42" s="6" t="s">
        <v>366</v>
      </c>
      <c r="D42" s="81"/>
      <c r="E42" s="81"/>
      <c r="F42" s="81"/>
      <c r="G42" s="81"/>
      <c r="H42" s="84"/>
      <c r="I42" s="67"/>
      <c r="J42" s="3"/>
    </row>
    <row r="43" spans="1:10" x14ac:dyDescent="0.3">
      <c r="A43" s="3"/>
      <c r="B43" s="3"/>
      <c r="C43" s="6"/>
      <c r="D43" s="2"/>
      <c r="E43" s="2"/>
      <c r="F43" s="2"/>
      <c r="G43" s="2"/>
      <c r="H43" s="84"/>
      <c r="I43" s="3"/>
      <c r="J43" s="3"/>
    </row>
    <row r="44" spans="1:10" x14ac:dyDescent="0.3">
      <c r="A44" s="3"/>
      <c r="B44" s="3"/>
      <c r="C44" s="6"/>
      <c r="D44" s="2"/>
      <c r="E44" s="2"/>
      <c r="F44" s="2"/>
      <c r="G44" s="2"/>
      <c r="H44" s="2"/>
      <c r="I44" s="3"/>
      <c r="J44" s="3"/>
    </row>
    <row r="45" spans="1:10" x14ac:dyDescent="0.3">
      <c r="A45" s="3"/>
      <c r="B45" s="3"/>
      <c r="C45" s="6"/>
      <c r="D45" s="2"/>
      <c r="E45" s="2"/>
      <c r="F45" s="2"/>
      <c r="G45" s="2"/>
      <c r="H45" s="2"/>
      <c r="I45" s="3"/>
      <c r="J45" s="3"/>
    </row>
  </sheetData>
  <hyperlinks>
    <hyperlink ref="B7" r:id="rId1" display="jose.orozco@outlook.com"/>
    <hyperlink ref="H7" location="Resumen!A1" display="Rsumen         "/>
  </hyperlinks>
  <pageMargins left="0.7" right="0.7" top="0.36" bottom="0.54" header="0.3" footer="0.3"/>
  <pageSetup scale="65" orientation="portrait" verticalDpi="360" r:id="rId2"/>
  <drawing r:id="rId3"/>
  <tableParts count="1">
    <tablePart r:id="rId4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N40"/>
  <sheetViews>
    <sheetView showGridLines="0" topLeftCell="A2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0" max="10" width="9.109375" customWidth="1"/>
    <col min="14" max="14" width="10.6640625" bestFit="1" customWidth="1"/>
    <col min="15" max="15" width="14.6640625" customWidth="1"/>
  </cols>
  <sheetData>
    <row r="2" spans="1:14" ht="15.6" x14ac:dyDescent="0.3">
      <c r="A2" s="27" t="s">
        <v>36</v>
      </c>
      <c r="B2" s="41" t="s">
        <v>136</v>
      </c>
    </row>
    <row r="3" spans="1:14" hidden="1" x14ac:dyDescent="0.3">
      <c r="A3" s="27" t="s">
        <v>31</v>
      </c>
      <c r="B3" s="28" t="e">
        <f>LOOKUP(B2,#REF!,#REF!)</f>
        <v>#REF!</v>
      </c>
    </row>
    <row r="4" spans="1:14" hidden="1" x14ac:dyDescent="0.3">
      <c r="A4" s="27" t="s">
        <v>32</v>
      </c>
      <c r="B4" s="28" t="e">
        <f>LOOKUP(B2,#REF!,#REF!)</f>
        <v>#REF!</v>
      </c>
    </row>
    <row r="5" spans="1:14" hidden="1" x14ac:dyDescent="0.3">
      <c r="A5" s="27" t="s">
        <v>33</v>
      </c>
      <c r="B5" s="28" t="e">
        <f>LOOKUP(B2,#REF!,#REF!)</f>
        <v>#REF!</v>
      </c>
    </row>
    <row r="6" spans="1:14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4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4" x14ac:dyDescent="0.3">
      <c r="A8" s="21"/>
      <c r="B8" s="21" t="s">
        <v>212</v>
      </c>
    </row>
    <row r="9" spans="1:14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226" t="s">
        <v>188</v>
      </c>
      <c r="K9" s="75" t="s">
        <v>191</v>
      </c>
    </row>
    <row r="10" spans="1:14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IF(T_T1341112131415161718192021222324252627282930313233353637383940414243444546474849505152535455565758596061626364656667686970717273747576777879808182838485868788[[#This Row],[Total]]&lt;0,T_T1341112131415161718192021222324252627282930313233353637383940414243444546474849505152535455565758596061626364656667686970717273747576777879808182838485868788[[#This Row],[Total]]*-1,0)</f>
        <v>0</v>
      </c>
      <c r="J10" s="225"/>
      <c r="K10" s="79"/>
      <c r="N10" s="178"/>
    </row>
    <row r="11" spans="1:14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IF(T_T1341112131415161718192021222324252627282930313233353637383940414243444546474849505152535455565758596061626364656667686970717273747576777879808182838485868788[[#This Row],[Total]]&lt;0,T_T1341112131415161718192021222324252627282930313233353637383940414243444546474849505152535455565758596061626364656667686970717273747576777879808182838485868788[[#This Row],[Total]]*-1,0)</f>
        <v>0</v>
      </c>
      <c r="J11" s="240"/>
      <c r="K11" s="79"/>
    </row>
    <row r="12" spans="1:14" x14ac:dyDescent="0.3">
      <c r="A12" s="117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IF(T_T1341112131415161718192021222324252627282930313233353637383940414243444546474849505152535455565758596061626364656667686970717273747576777879808182838485868788[[#This Row],[Total]]&lt;0,T_T1341112131415161718192021222324252627282930313233353637383940414243444546474849505152535455565758596061626364656667686970717273747576777879808182838485868788[[#This Row],[Total]]*-1,0)</f>
        <v>0</v>
      </c>
      <c r="J12" s="430"/>
      <c r="K12" s="419"/>
    </row>
    <row r="13" spans="1:14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IF(T_T1341112131415161718192021222324252627282930313233353637383940414243444546474849505152535455565758596061626364656667686970717273747576777879808182838485868788[[#This Row],[Total]]&lt;0,T_T1341112131415161718192021222324252627282930313233353637383940414243444546474849505152535455565758596061626364656667686970717273747576777879808182838485868788[[#This Row],[Total]]*-1,0)</f>
        <v>0</v>
      </c>
      <c r="J13" s="240"/>
      <c r="K13" s="79"/>
    </row>
    <row r="14" spans="1:14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IF(T_T1341112131415161718192021222324252627282930313233353637383940414243444546474849505152535455565758596061626364656667686970717273747576777879808182838485868788[[#This Row],[Total]]&lt;0,T_T1341112131415161718192021222324252627282930313233353637383940414243444546474849505152535455565758596061626364656667686970717273747576777879808182838485868788[[#This Row],[Total]]*-1,0)</f>
        <v>0</v>
      </c>
      <c r="J14" s="473"/>
      <c r="K14" s="485"/>
    </row>
    <row r="15" spans="1:14" x14ac:dyDescent="0.3">
      <c r="A15" s="17">
        <v>46052</v>
      </c>
      <c r="B15" s="18" t="s">
        <v>590</v>
      </c>
      <c r="C15" s="6"/>
      <c r="D15" s="2">
        <f>311+26+16</f>
        <v>353</v>
      </c>
      <c r="E15" s="2">
        <v>69</v>
      </c>
      <c r="F15" s="20"/>
      <c r="G15" s="20">
        <f>SUM(D15:F15)</f>
        <v>422</v>
      </c>
      <c r="H15" s="233">
        <f>+H13+T_T1341112131415161718192021222324252627282930313233353637383940414243444546474849505152535455565758596061626364656667686970717273747576777879808182838485868788[[#This Row],[Total]]</f>
        <v>422</v>
      </c>
      <c r="I15" s="240">
        <f>IF(T_T1341112131415161718192021222324252627282930313233353637383940414243444546474849505152535455565758596061626364656667686970717273747576777879808182838485868788[[#This Row],[Total]]&lt;0,T_T1341112131415161718192021222324252627282930313233353637383940414243444546474849505152535455565758596061626364656667686970717273747576777879808182838485868788[[#This Row],[Total]]*-1,0)</f>
        <v>0</v>
      </c>
      <c r="J15" s="240"/>
      <c r="K15" s="79"/>
    </row>
    <row r="16" spans="1:14" x14ac:dyDescent="0.3">
      <c r="A16" s="17"/>
      <c r="B16" s="18" t="s">
        <v>591</v>
      </c>
      <c r="C16" s="6">
        <v>8545</v>
      </c>
      <c r="D16" s="2">
        <v>-353</v>
      </c>
      <c r="E16" s="2">
        <v>-69</v>
      </c>
      <c r="F16" s="230"/>
      <c r="G16" s="230">
        <f t="shared" ref="G16:G38" si="0">SUM(D16:F16)</f>
        <v>-422</v>
      </c>
      <c r="H16" s="233">
        <f t="shared" ref="H16:H40" si="1">H15+G16</f>
        <v>0</v>
      </c>
      <c r="I16" s="239">
        <f>IF(T_T1341112131415161718192021222324252627282930313233353637383940414243444546474849505152535455565758596061626364656667686970717273747576777879808182838485868788[[#This Row],[Total]]&lt;0,T_T1341112131415161718192021222324252627282930313233353637383940414243444546474849505152535455565758596061626364656667686970717273747576777879808182838485868788[[#This Row],[Total]]*-1,0)</f>
        <v>422</v>
      </c>
      <c r="J16" s="239"/>
      <c r="K16" s="79"/>
    </row>
    <row r="17" spans="1:11" x14ac:dyDescent="0.3">
      <c r="A17" s="164">
        <v>45715</v>
      </c>
      <c r="B17" s="161" t="s">
        <v>532</v>
      </c>
      <c r="C17" s="6"/>
      <c r="D17" s="2">
        <v>353</v>
      </c>
      <c r="E17" s="2">
        <v>69</v>
      </c>
      <c r="F17" s="230"/>
      <c r="G17" s="230">
        <f t="shared" si="0"/>
        <v>422</v>
      </c>
      <c r="H17" s="233">
        <f t="shared" si="1"/>
        <v>422</v>
      </c>
      <c r="I17" s="240">
        <f>IF(T_T1341112131415161718192021222324252627282930313233353637383940414243444546474849505152535455565758596061626364656667686970717273747576777879808182838485868788[[#This Row],[Total]]&lt;0,T_T1341112131415161718192021222324252627282930313233353637383940414243444546474849505152535455565758596061626364656667686970717273747576777879808182838485868788[[#This Row],[Total]]*-1,0)</f>
        <v>0</v>
      </c>
      <c r="J17" s="240"/>
      <c r="K17" s="79"/>
    </row>
    <row r="18" spans="1:11" x14ac:dyDescent="0.3">
      <c r="A18" s="187"/>
      <c r="B18" s="18" t="s">
        <v>533</v>
      </c>
      <c r="C18" s="6">
        <v>8698</v>
      </c>
      <c r="D18" s="2">
        <v>-353</v>
      </c>
      <c r="E18" s="2">
        <v>-69</v>
      </c>
      <c r="F18" s="230"/>
      <c r="G18" s="230">
        <f t="shared" si="0"/>
        <v>-422</v>
      </c>
      <c r="H18" s="233">
        <f t="shared" si="1"/>
        <v>0</v>
      </c>
      <c r="I18" s="240">
        <f>IF(T_T1341112131415161718192021222324252627282930313233353637383940414243444546474849505152535455565758596061626364656667686970717273747576777879808182838485868788[[#This Row],[Total]]&lt;0,T_T1341112131415161718192021222324252627282930313233353637383940414243444546474849505152535455565758596061626364656667686970717273747576777879808182838485868788[[#This Row],[Total]]*-1,0)</f>
        <v>422</v>
      </c>
      <c r="J18" s="240"/>
      <c r="K18" s="79"/>
    </row>
    <row r="19" spans="1:11" x14ac:dyDescent="0.3">
      <c r="A19" s="188">
        <v>45747</v>
      </c>
      <c r="B19" s="3" t="s">
        <v>534</v>
      </c>
      <c r="C19" s="6"/>
      <c r="D19" s="2">
        <f>355+30+18</f>
        <v>403</v>
      </c>
      <c r="E19" s="2">
        <v>54</v>
      </c>
      <c r="F19" s="230"/>
      <c r="G19" s="230">
        <f t="shared" si="0"/>
        <v>457</v>
      </c>
      <c r="H19" s="233">
        <f t="shared" si="1"/>
        <v>457</v>
      </c>
      <c r="I19" s="240">
        <f>IF(T_T1341112131415161718192021222324252627282930313233353637383940414243444546474849505152535455565758596061626364656667686970717273747576777879808182838485868788[[#This Row],[Total]]&lt;0,T_T1341112131415161718192021222324252627282930313233353637383940414243444546474849505152535455565758596061626364656667686970717273747576777879808182838485868788[[#This Row],[Total]]*-1,0)</f>
        <v>0</v>
      </c>
      <c r="J19" s="240"/>
      <c r="K19" s="79"/>
    </row>
    <row r="20" spans="1:11" x14ac:dyDescent="0.3">
      <c r="A20" s="188"/>
      <c r="B20" s="82" t="s">
        <v>535</v>
      </c>
      <c r="C20" s="6">
        <v>8798</v>
      </c>
      <c r="D20" s="2">
        <v>-403</v>
      </c>
      <c r="E20" s="2">
        <v>-54</v>
      </c>
      <c r="F20" s="230"/>
      <c r="G20" s="230">
        <f t="shared" si="0"/>
        <v>-457</v>
      </c>
      <c r="H20" s="233">
        <f t="shared" si="1"/>
        <v>0</v>
      </c>
      <c r="I20" s="239">
        <f>IF(T_T1341112131415161718192021222324252627282930313233353637383940414243444546474849505152535455565758596061626364656667686970717273747576777879808182838485868788[[#This Row],[Total]]&lt;0,T_T1341112131415161718192021222324252627282930313233353637383940414243444546474849505152535455565758596061626364656667686970717273747576777879808182838485868788[[#This Row],[Total]]*-1,0)</f>
        <v>457</v>
      </c>
      <c r="J20" s="239"/>
      <c r="K20" s="79"/>
    </row>
    <row r="21" spans="1:11" x14ac:dyDescent="0.3">
      <c r="A21" s="188">
        <v>45777</v>
      </c>
      <c r="B21" s="3" t="s">
        <v>536</v>
      </c>
      <c r="C21" s="6"/>
      <c r="D21" s="2">
        <v>403</v>
      </c>
      <c r="E21" s="2">
        <v>64</v>
      </c>
      <c r="F21" s="230"/>
      <c r="G21" s="230">
        <f t="shared" si="0"/>
        <v>467</v>
      </c>
      <c r="H21" s="233">
        <f t="shared" si="1"/>
        <v>467</v>
      </c>
      <c r="I21" s="309">
        <f>IF(T_T1341112131415161718192021222324252627282930313233353637383940414243444546474849505152535455565758596061626364656667686970717273747576777879808182838485868788[[#This Row],[Total]]&lt;0,T_T1341112131415161718192021222324252627282930313233353637383940414243444546474849505152535455565758596061626364656667686970717273747576777879808182838485868788[[#This Row],[Total]]*-1,0)</f>
        <v>0</v>
      </c>
      <c r="J21" s="309"/>
      <c r="K21" s="313"/>
    </row>
    <row r="22" spans="1:11" x14ac:dyDescent="0.3">
      <c r="A22" s="83"/>
      <c r="B22" s="82" t="s">
        <v>537</v>
      </c>
      <c r="C22" s="6">
        <v>8879</v>
      </c>
      <c r="D22" s="2">
        <v>-403</v>
      </c>
      <c r="E22" s="2">
        <v>-64</v>
      </c>
      <c r="F22" s="230"/>
      <c r="G22" s="230">
        <f t="shared" si="0"/>
        <v>-467</v>
      </c>
      <c r="H22" s="233">
        <f t="shared" si="1"/>
        <v>0</v>
      </c>
      <c r="I22" s="309">
        <f>IF(T_T1341112131415161718192021222324252627282930313233353637383940414243444546474849505152535455565758596061626364656667686970717273747576777879808182838485868788[[#This Row],[Total]]&lt;0,T_T1341112131415161718192021222324252627282930313233353637383940414243444546474849505152535455565758596061626364656667686970717273747576777879808182838485868788[[#This Row],[Total]]*-1,0)</f>
        <v>467</v>
      </c>
      <c r="J22" s="309"/>
      <c r="K22" s="313"/>
    </row>
    <row r="23" spans="1:11" x14ac:dyDescent="0.3">
      <c r="A23" s="40">
        <v>45807</v>
      </c>
      <c r="B23" s="3" t="s">
        <v>538</v>
      </c>
      <c r="C23" s="229"/>
      <c r="D23" s="230">
        <v>403</v>
      </c>
      <c r="E23" s="230">
        <v>62</v>
      </c>
      <c r="F23" s="230"/>
      <c r="G23" s="230">
        <f t="shared" si="0"/>
        <v>465</v>
      </c>
      <c r="H23" s="233">
        <f t="shared" si="1"/>
        <v>465</v>
      </c>
      <c r="I23" s="309">
        <f>IF(T_T1341112131415161718192021222324252627282930313233353637383940414243444546474849505152535455565758596061626364656667686970717273747576777879808182838485868788[[#This Row],[Total]]&lt;0,T_T1341112131415161718192021222324252627282930313233353637383940414243444546474849505152535455565758596061626364656667686970717273747576777879808182838485868788[[#This Row],[Total]]*-1,0)</f>
        <v>0</v>
      </c>
      <c r="J23" s="309"/>
      <c r="K23" s="313"/>
    </row>
    <row r="24" spans="1:11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465</v>
      </c>
      <c r="I24" s="311">
        <f>IF(T_T1341112131415161718192021222324252627282930313233353637383940414243444546474849505152535455565758596061626364656667686970717273747576777879808182838485868788[[#This Row],[Total]]&lt;0,T_T1341112131415161718192021222324252627282930313233353637383940414243444546474849505152535455565758596061626364656667686970717273747576777879808182838485868788[[#This Row],[Total]]*-1,0)</f>
        <v>0</v>
      </c>
      <c r="J24" s="311"/>
      <c r="K24" s="313"/>
    </row>
    <row r="25" spans="1:11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465</v>
      </c>
      <c r="I25" s="309">
        <f>IF(T_T1341112131415161718192021222324252627282930313233353637383940414243444546474849505152535455565758596061626364656667686970717273747576777879808182838485868788[[#This Row],[Total]]&lt;0,T_T1341112131415161718192021222324252627282930313233353637383940414243444546474849505152535455565758596061626364656667686970717273747576777879808182838485868788[[#This Row],[Total]]*-1,0)</f>
        <v>0</v>
      </c>
      <c r="J25" s="309"/>
      <c r="K25" s="313"/>
    </row>
    <row r="26" spans="1:11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465</v>
      </c>
      <c r="I26" s="309">
        <f>IF(T_T1341112131415161718192021222324252627282930313233353637383940414243444546474849505152535455565758596061626364656667686970717273747576777879808182838485868788[[#This Row],[Total]]&lt;0,T_T1341112131415161718192021222324252627282930313233353637383940414243444546474849505152535455565758596061626364656667686970717273747576777879808182838485868788[[#This Row],[Total]]*-1,0)</f>
        <v>0</v>
      </c>
      <c r="J26" s="309"/>
      <c r="K26" s="313"/>
    </row>
    <row r="27" spans="1:11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465</v>
      </c>
      <c r="I27" s="309">
        <f>IF(T_T1341112131415161718192021222324252627282930313233353637383940414243444546474849505152535455565758596061626364656667686970717273747576777879808182838485868788[[#This Row],[Total]]&lt;0,T_T1341112131415161718192021222324252627282930313233353637383940414243444546474849505152535455565758596061626364656667686970717273747576777879808182838485868788[[#This Row],[Total]]*-1,0)</f>
        <v>0</v>
      </c>
      <c r="J27" s="309"/>
      <c r="K27" s="313"/>
    </row>
    <row r="28" spans="1:11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465</v>
      </c>
      <c r="I28" s="311">
        <f>IF(T_T1341112131415161718192021222324252627282930313233353637383940414243444546474849505152535455565758596061626364656667686970717273747576777879808182838485868788[[#This Row],[Total]]&lt;0,T_T1341112131415161718192021222324252627282930313233353637383940414243444546474849505152535455565758596061626364656667686970717273747576777879808182838485868788[[#This Row],[Total]]*-1,0)</f>
        <v>0</v>
      </c>
      <c r="J28" s="311"/>
      <c r="K28" s="313"/>
    </row>
    <row r="29" spans="1:11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465</v>
      </c>
      <c r="I29" s="309">
        <f>IF(T_T1341112131415161718192021222324252627282930313233353637383940414243444546474849505152535455565758596061626364656667686970717273747576777879808182838485868788[[#This Row],[Total]]&lt;0,T_T1341112131415161718192021222324252627282930313233353637383940414243444546474849505152535455565758596061626364656667686970717273747576777879808182838485868788[[#This Row],[Total]]*-1,0)</f>
        <v>0</v>
      </c>
      <c r="J29" s="309"/>
      <c r="K29" s="313"/>
    </row>
    <row r="30" spans="1:11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465</v>
      </c>
      <c r="I30" s="309">
        <f>IF(T_T1341112131415161718192021222324252627282930313233353637383940414243444546474849505152535455565758596061626364656667686970717273747576777879808182838485868788[[#This Row],[Total]]&lt;0,T_T1341112131415161718192021222324252627282930313233353637383940414243444546474849505152535455565758596061626364656667686970717273747576777879808182838485868788[[#This Row],[Total]]*-1,0)</f>
        <v>0</v>
      </c>
      <c r="J30" s="309"/>
      <c r="K30" s="313"/>
    </row>
    <row r="31" spans="1:11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465</v>
      </c>
      <c r="I31" s="309">
        <f>IF(T_T1341112131415161718192021222324252627282930313233353637383940414243444546474849505152535455565758596061626364656667686970717273747576777879808182838485868788[[#This Row],[Total]]&lt;0,T_T1341112131415161718192021222324252627282930313233353637383940414243444546474849505152535455565758596061626364656667686970717273747576777879808182838485868788[[#This Row],[Total]]*-1,0)</f>
        <v>0</v>
      </c>
      <c r="J31" s="309"/>
      <c r="K31" s="313"/>
    </row>
    <row r="32" spans="1:11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465</v>
      </c>
      <c r="I32" s="309">
        <f>IF(T_T1341112131415161718192021222324252627282930313233353637383940414243444546474849505152535455565758596061626364656667686970717273747576777879808182838485868788[[#This Row],[Total]]&lt;0,T_T1341112131415161718192021222324252627282930313233353637383940414243444546474849505152535455565758596061626364656667686970717273747576777879808182838485868788[[#This Row],[Total]]*-1,0)</f>
        <v>0</v>
      </c>
      <c r="J32" s="309"/>
      <c r="K32" s="313"/>
    </row>
    <row r="33" spans="1:11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465</v>
      </c>
      <c r="I33" s="309">
        <f>IF(T_T1341112131415161718192021222324252627282930313233353637383940414243444546474849505152535455565758596061626364656667686970717273747576777879808182838485868788[[#This Row],[Total]]&lt;0,T_T1341112131415161718192021222324252627282930313233353637383940414243444546474849505152535455565758596061626364656667686970717273747576777879808182838485868788[[#This Row],[Total]]*-1,0)</f>
        <v>0</v>
      </c>
      <c r="J33" s="309"/>
      <c r="K33" s="313"/>
    </row>
    <row r="34" spans="1:11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465</v>
      </c>
      <c r="I34" s="309">
        <f>IF(T_T1341112131415161718192021222324252627282930313233353637383940414243444546474849505152535455565758596061626364656667686970717273747576777879808182838485868788[[#This Row],[Total]]&lt;0,T_T1341112131415161718192021222324252627282930313233353637383940414243444546474849505152535455565758596061626364656667686970717273747576777879808182838485868788[[#This Row],[Total]]*-1,0)</f>
        <v>0</v>
      </c>
      <c r="J34" s="309"/>
      <c r="K34" s="313"/>
    </row>
    <row r="35" spans="1:11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465</v>
      </c>
      <c r="I35" s="309">
        <f>IF(T_T1341112131415161718192021222324252627282930313233353637383940414243444546474849505152535455565758596061626364656667686970717273747576777879808182838485868788[[#This Row],[Total]]&lt;0,T_T1341112131415161718192021222324252627282930313233353637383940414243444546474849505152535455565758596061626364656667686970717273747576777879808182838485868788[[#This Row],[Total]]*-1,0)</f>
        <v>0</v>
      </c>
      <c r="J35" s="309"/>
      <c r="K35" s="313"/>
    </row>
    <row r="36" spans="1:11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465</v>
      </c>
      <c r="I36" s="311">
        <f>IF(T_T1341112131415161718192021222324252627282930313233353637383940414243444546474849505152535455565758596061626364656667686970717273747576777879808182838485868788[[#This Row],[Total]]&lt;0,T_T1341112131415161718192021222324252627282930313233353637383940414243444546474849505152535455565758596061626364656667686970717273747576777879808182838485868788[[#This Row],[Total]]*-1,0)</f>
        <v>0</v>
      </c>
      <c r="J36" s="311"/>
      <c r="K36" s="313"/>
    </row>
    <row r="37" spans="1:11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465</v>
      </c>
      <c r="I37" s="353">
        <f>IF(T_T1341112131415161718192021222324252627282930313233353637383940414243444546474849505152535455565758596061626364656667686970717273747576777879808182838485868788[[#This Row],[Total]]&lt;0,T_T1341112131415161718192021222324252627282930313233353637383940414243444546474849505152535455565758596061626364656667686970717273747576777879808182838485868788[[#This Row],[Total]]*-1,0)</f>
        <v>0</v>
      </c>
      <c r="J37" s="353"/>
      <c r="K37" s="354"/>
    </row>
    <row r="38" spans="1:11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465</v>
      </c>
      <c r="I38" s="353">
        <f>IF(T_T1341112131415161718192021222324252627282930313233353637383940414243444546474849505152535455565758596061626364656667686970717273747576777879808182838485868788[[#This Row],[Total]]&lt;0,T_T1341112131415161718192021222324252627282930313233353637383940414243444546474849505152535455565758596061626364656667686970717273747576777879808182838485868788[[#This Row],[Total]]*-1,0)</f>
        <v>0</v>
      </c>
      <c r="J38" s="353"/>
      <c r="K38" s="354"/>
    </row>
    <row r="39" spans="1:11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465</v>
      </c>
      <c r="I39" s="353">
        <f>IF(T_T1341112131415161718192021222324252627282930313233353637383940414243444546474849505152535455565758596061626364656667686970717273747576777879808182838485868788[[#This Row],[Total]]&lt;0,T_T1341112131415161718192021222324252627282930313233353637383940414243444546474849505152535455565758596061626364656667686970717273747576777879808182838485868788[[#This Row],[Total]]*-1,0)</f>
        <v>0</v>
      </c>
      <c r="J39" s="353"/>
      <c r="K39" s="354"/>
    </row>
    <row r="40" spans="1:11" x14ac:dyDescent="0.3">
      <c r="A40" s="107"/>
      <c r="B40" s="82"/>
      <c r="C40" s="229"/>
      <c r="D40" s="230"/>
      <c r="E40" s="7" t="s">
        <v>366</v>
      </c>
      <c r="F40" s="230"/>
      <c r="G40" s="230">
        <f>SUM(D40:F47)</f>
        <v>0</v>
      </c>
      <c r="H40" s="233">
        <f t="shared" si="1"/>
        <v>465</v>
      </c>
      <c r="I40" s="353">
        <f>IF(T_T1341112131415161718192021222324252627282930313233353637383940414243444546474849505152535455565758596061626364656667686970717273747576777879808182838485868788[[#This Row],[Total]]&lt;0,T_T1341112131415161718192021222324252627282930313233353637383940414243444546474849505152535455565758596061626364656667686970717273747576777879808182838485868788[[#This Row],[Total]]*-1,0)</f>
        <v>0</v>
      </c>
      <c r="J40" s="353"/>
      <c r="K40" s="354"/>
    </row>
  </sheetData>
  <hyperlinks>
    <hyperlink ref="B7" r:id="rId1" display="jose.orozco@outlook.com"/>
    <hyperlink ref="H7" location="Resumen!A1" display="Rsumen         "/>
  </hyperlinks>
  <pageMargins left="0.70866141732283472" right="0.43307086614173229" top="0.2" bottom="0.22" header="0.31496062992125984" footer="0.31496062992125984"/>
  <pageSetup scale="66" orientation="portrait" verticalDpi="360" r:id="rId2"/>
  <drawing r:id="rId3"/>
  <tableParts count="1">
    <tablePart r:id="rId4"/>
  </tablePart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M40"/>
  <sheetViews>
    <sheetView showGridLines="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0.6640625" bestFit="1" customWidth="1"/>
    <col min="14" max="14" width="12.44140625" customWidth="1"/>
  </cols>
  <sheetData>
    <row r="1" spans="1:13" ht="11.25" customHeight="1" x14ac:dyDescent="0.3"/>
    <row r="2" spans="1:13" ht="13.5" customHeight="1" x14ac:dyDescent="0.3">
      <c r="A2" s="27" t="s">
        <v>36</v>
      </c>
      <c r="B2" s="41" t="s">
        <v>137</v>
      </c>
    </row>
    <row r="3" spans="1:13" hidden="1" x14ac:dyDescent="0.3">
      <c r="A3" s="27" t="s">
        <v>31</v>
      </c>
      <c r="B3" s="28" t="e">
        <f>LOOKUP(B2,#REF!,#REF!)</f>
        <v>#REF!</v>
      </c>
    </row>
    <row r="4" spans="1:13" hidden="1" x14ac:dyDescent="0.3">
      <c r="A4" s="27" t="s">
        <v>32</v>
      </c>
      <c r="B4" s="28" t="e">
        <f>LOOKUP(B2,#REF!,#REF!)</f>
        <v>#REF!</v>
      </c>
    </row>
    <row r="5" spans="1:13" hidden="1" x14ac:dyDescent="0.3">
      <c r="A5" s="27" t="s">
        <v>33</v>
      </c>
      <c r="B5" s="28" t="e">
        <f>LOOKUP(B2,#REF!,#REF!)</f>
        <v>#REF!</v>
      </c>
    </row>
    <row r="6" spans="1:13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3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3" x14ac:dyDescent="0.3">
      <c r="A8" s="21"/>
      <c r="B8" s="21" t="s">
        <v>213</v>
      </c>
    </row>
    <row r="9" spans="1:13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13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IF(T_T134111213141516171819202122232425262728293031323335363738394041424344454647484950515253545556575859606162636465666768697071727374757677787980818283848586878889[[#This Row],[Total]]&lt;0,T_T134111213141516171819202122232425262728293031323335363738394041424344454647484950515253545556575859606162636465666768697071727374757677787980818283848586878889[[#This Row],[Total]]*-1,0)</f>
        <v>0</v>
      </c>
      <c r="M10" s="178"/>
    </row>
    <row r="11" spans="1:13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IF(T_T134111213141516171819202122232425262728293031323335363738394041424344454647484950515253545556575859606162636465666768697071727374757677787980818283848586878889[[#This Row],[Total]]&lt;0,T_T134111213141516171819202122232425262728293031323335363738394041424344454647484950515253545556575859606162636465666768697071727374757677787980818283848586878889[[#This Row],[Total]]*-1,0)</f>
        <v>0</v>
      </c>
    </row>
    <row r="12" spans="1:13" x14ac:dyDescent="0.3">
      <c r="A12" s="117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IF(T_T134111213141516171819202122232425262728293031323335363738394041424344454647484950515253545556575859606162636465666768697071727374757677787980818283848586878889[[#This Row],[Total]]&lt;0,T_T134111213141516171819202122232425262728293031323335363738394041424344454647484950515253545556575859606162636465666768697071727374757677787980818283848586878889[[#This Row],[Total]]*-1,0)</f>
        <v>0</v>
      </c>
    </row>
    <row r="13" spans="1:13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IF(T_T134111213141516171819202122232425262728293031323335363738394041424344454647484950515253545556575859606162636465666768697071727374757677787980818283848586878889[[#This Row],[Total]]&lt;0,T_T134111213141516171819202122232425262728293031323335363738394041424344454647484950515253545556575859606162636465666768697071727374757677787980818283848586878889[[#This Row],[Total]]*-1,0)</f>
        <v>0</v>
      </c>
    </row>
    <row r="14" spans="1:13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IF(T_T134111213141516171819202122232425262728293031323335363738394041424344454647484950515253545556575859606162636465666768697071727374757677787980818283848586878889[[#This Row],[Total]]&lt;0,T_T134111213141516171819202122232425262728293031323335363738394041424344454647484950515253545556575859606162636465666768697071727374757677787980818283848586878889[[#This Row],[Total]]*-1,0)</f>
        <v>0</v>
      </c>
    </row>
    <row r="15" spans="1:13" x14ac:dyDescent="0.3">
      <c r="A15" s="17">
        <v>46052</v>
      </c>
      <c r="B15" s="18" t="s">
        <v>590</v>
      </c>
      <c r="C15" s="6"/>
      <c r="D15" s="2">
        <v>101</v>
      </c>
      <c r="E15" s="2">
        <v>20</v>
      </c>
      <c r="F15" s="20"/>
      <c r="G15" s="20">
        <f>SUM(D15:F15)</f>
        <v>121</v>
      </c>
      <c r="H15" s="233">
        <f>+H13+T_T134111213141516171819202122232425262728293031323335363738394041424344454647484950515253545556575859606162636465666768697071727374757677787980818283848586878889[[#This Row],[Total]]</f>
        <v>121</v>
      </c>
      <c r="I15" s="240">
        <f>IF(T_T134111213141516171819202122232425262728293031323335363738394041424344454647484950515253545556575859606162636465666768697071727374757677787980818283848586878889[[#This Row],[Total]]&lt;0,T_T134111213141516171819202122232425262728293031323335363738394041424344454647484950515253545556575859606162636465666768697071727374757677787980818283848586878889[[#This Row],[Total]]*-1,0)</f>
        <v>0</v>
      </c>
    </row>
    <row r="16" spans="1:13" x14ac:dyDescent="0.3">
      <c r="A16" s="17"/>
      <c r="B16" s="18" t="s">
        <v>591</v>
      </c>
      <c r="C16" s="6">
        <v>8639</v>
      </c>
      <c r="D16" s="2">
        <v>-101</v>
      </c>
      <c r="E16" s="2">
        <v>-20</v>
      </c>
      <c r="F16" s="230"/>
      <c r="G16" s="230">
        <f t="shared" ref="G16:G38" si="0">SUM(D16:F16)</f>
        <v>-121</v>
      </c>
      <c r="H16" s="233">
        <f t="shared" ref="H16:H40" si="1">H15+G16</f>
        <v>0</v>
      </c>
      <c r="I16" s="239">
        <f>IF(T_T134111213141516171819202122232425262728293031323335363738394041424344454647484950515253545556575859606162636465666768697071727374757677787980818283848586878889[[#This Row],[Total]]&lt;0,T_T134111213141516171819202122232425262728293031323335363738394041424344454647484950515253545556575859606162636465666768697071727374757677787980818283848586878889[[#This Row],[Total]]*-1,0)</f>
        <v>121</v>
      </c>
    </row>
    <row r="17" spans="1:9" x14ac:dyDescent="0.3">
      <c r="A17" s="164">
        <v>45715</v>
      </c>
      <c r="B17" s="161" t="s">
        <v>532</v>
      </c>
      <c r="C17" s="6"/>
      <c r="D17" s="2">
        <v>101</v>
      </c>
      <c r="E17" s="2">
        <v>25</v>
      </c>
      <c r="F17" s="230"/>
      <c r="G17" s="230">
        <f t="shared" si="0"/>
        <v>126</v>
      </c>
      <c r="H17" s="233">
        <f t="shared" si="1"/>
        <v>126</v>
      </c>
      <c r="I17" s="240">
        <f>IF(T_T134111213141516171819202122232425262728293031323335363738394041424344454647484950515253545556575859606162636465666768697071727374757677787980818283848586878889[[#This Row],[Total]]&lt;0,T_T134111213141516171819202122232425262728293031323335363738394041424344454647484950515253545556575859606162636465666768697071727374757677787980818283848586878889[[#This Row],[Total]]*-1,0)</f>
        <v>0</v>
      </c>
    </row>
    <row r="18" spans="1:9" x14ac:dyDescent="0.3">
      <c r="A18" s="187"/>
      <c r="B18" s="18" t="s">
        <v>533</v>
      </c>
      <c r="C18" s="6">
        <v>8761</v>
      </c>
      <c r="D18" s="2">
        <v>-101</v>
      </c>
      <c r="E18" s="2">
        <v>-25</v>
      </c>
      <c r="F18" s="230"/>
      <c r="G18" s="230">
        <f t="shared" si="0"/>
        <v>-126</v>
      </c>
      <c r="H18" s="233">
        <f t="shared" si="1"/>
        <v>0</v>
      </c>
      <c r="I18" s="240">
        <f>IF(T_T134111213141516171819202122232425262728293031323335363738394041424344454647484950515253545556575859606162636465666768697071727374757677787980818283848586878889[[#This Row],[Total]]&lt;0,T_T134111213141516171819202122232425262728293031323335363738394041424344454647484950515253545556575859606162636465666768697071727374757677787980818283848586878889[[#This Row],[Total]]*-1,0)</f>
        <v>126</v>
      </c>
    </row>
    <row r="19" spans="1:9" x14ac:dyDescent="0.3">
      <c r="A19" s="188">
        <v>45747</v>
      </c>
      <c r="B19" s="3" t="s">
        <v>534</v>
      </c>
      <c r="C19" s="6"/>
      <c r="D19" s="2">
        <v>115</v>
      </c>
      <c r="E19" s="2">
        <v>19</v>
      </c>
      <c r="F19" s="230"/>
      <c r="G19" s="230">
        <f t="shared" si="0"/>
        <v>134</v>
      </c>
      <c r="H19" s="233">
        <f t="shared" si="1"/>
        <v>134</v>
      </c>
      <c r="I19" s="240">
        <f>IF(T_T134111213141516171819202122232425262728293031323335363738394041424344454647484950515253545556575859606162636465666768697071727374757677787980818283848586878889[[#This Row],[Total]]&lt;0,T_T134111213141516171819202122232425262728293031323335363738394041424344454647484950515253545556575859606162636465666768697071727374757677787980818283848586878889[[#This Row],[Total]]*-1,0)</f>
        <v>0</v>
      </c>
    </row>
    <row r="20" spans="1:9" x14ac:dyDescent="0.3">
      <c r="A20" s="188"/>
      <c r="B20" s="82" t="s">
        <v>535</v>
      </c>
      <c r="C20" s="6">
        <v>8878</v>
      </c>
      <c r="D20" s="2">
        <v>-115</v>
      </c>
      <c r="E20" s="2">
        <v>-19</v>
      </c>
      <c r="F20" s="230"/>
      <c r="G20" s="230">
        <f t="shared" si="0"/>
        <v>-134</v>
      </c>
      <c r="H20" s="233">
        <f t="shared" si="1"/>
        <v>0</v>
      </c>
      <c r="I20" s="239">
        <f>IF(T_T134111213141516171819202122232425262728293031323335363738394041424344454647484950515253545556575859606162636465666768697071727374757677787980818283848586878889[[#This Row],[Total]]&lt;0,T_T134111213141516171819202122232425262728293031323335363738394041424344454647484950515253545556575859606162636465666768697071727374757677787980818283848586878889[[#This Row],[Total]]*-1,0)</f>
        <v>134</v>
      </c>
    </row>
    <row r="21" spans="1:9" x14ac:dyDescent="0.3">
      <c r="A21" s="188">
        <v>45777</v>
      </c>
      <c r="B21" s="3" t="s">
        <v>536</v>
      </c>
      <c r="C21" s="6"/>
      <c r="D21" s="2">
        <v>115</v>
      </c>
      <c r="E21" s="2">
        <v>23</v>
      </c>
      <c r="F21" s="230"/>
      <c r="G21" s="230">
        <f t="shared" si="0"/>
        <v>138</v>
      </c>
      <c r="H21" s="233">
        <f t="shared" si="1"/>
        <v>138</v>
      </c>
      <c r="I21" s="309">
        <f>IF(T_T134111213141516171819202122232425262728293031323335363738394041424344454647484950515253545556575859606162636465666768697071727374757677787980818283848586878889[[#This Row],[Total]]&lt;0,T_T134111213141516171819202122232425262728293031323335363738394041424344454647484950515253545556575859606162636465666768697071727374757677787980818283848586878889[[#This Row],[Total]]*-1,0)</f>
        <v>0</v>
      </c>
    </row>
    <row r="22" spans="1:9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138</v>
      </c>
      <c r="I22" s="309">
        <f>IF(T_T134111213141516171819202122232425262728293031323335363738394041424344454647484950515253545556575859606162636465666768697071727374757677787980818283848586878889[[#This Row],[Total]]&lt;0,T_T134111213141516171819202122232425262728293031323335363738394041424344454647484950515253545556575859606162636465666768697071727374757677787980818283848586878889[[#This Row],[Total]]*-1,0)</f>
        <v>0</v>
      </c>
    </row>
    <row r="23" spans="1:9" x14ac:dyDescent="0.3">
      <c r="A23" s="40">
        <v>45807</v>
      </c>
      <c r="B23" s="3" t="s">
        <v>538</v>
      </c>
      <c r="C23" s="229"/>
      <c r="D23" s="230">
        <v>115</v>
      </c>
      <c r="E23" s="230">
        <v>20</v>
      </c>
      <c r="F23" s="230"/>
      <c r="G23" s="230">
        <f t="shared" si="0"/>
        <v>135</v>
      </c>
      <c r="H23" s="233">
        <f t="shared" si="1"/>
        <v>273</v>
      </c>
      <c r="I23" s="309">
        <f>IF(T_T134111213141516171819202122232425262728293031323335363738394041424344454647484950515253545556575859606162636465666768697071727374757677787980818283848586878889[[#This Row],[Total]]&lt;0,T_T134111213141516171819202122232425262728293031323335363738394041424344454647484950515253545556575859606162636465666768697071727374757677787980818283848586878889[[#This Row],[Total]]*-1,0)</f>
        <v>0</v>
      </c>
    </row>
    <row r="24" spans="1:9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273</v>
      </c>
      <c r="I24" s="311">
        <f>IF(T_T134111213141516171819202122232425262728293031323335363738394041424344454647484950515253545556575859606162636465666768697071727374757677787980818283848586878889[[#This Row],[Total]]&lt;0,T_T134111213141516171819202122232425262728293031323335363738394041424344454647484950515253545556575859606162636465666768697071727374757677787980818283848586878889[[#This Row],[Total]]*-1,0)</f>
        <v>0</v>
      </c>
    </row>
    <row r="25" spans="1:9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273</v>
      </c>
      <c r="I25" s="309">
        <f>IF(T_T134111213141516171819202122232425262728293031323335363738394041424344454647484950515253545556575859606162636465666768697071727374757677787980818283848586878889[[#This Row],[Total]]&lt;0,T_T134111213141516171819202122232425262728293031323335363738394041424344454647484950515253545556575859606162636465666768697071727374757677787980818283848586878889[[#This Row],[Total]]*-1,0)</f>
        <v>0</v>
      </c>
    </row>
    <row r="26" spans="1:9" x14ac:dyDescent="0.3">
      <c r="A26" s="9"/>
      <c r="B26" s="18" t="s">
        <v>541</v>
      </c>
      <c r="C26" s="6"/>
      <c r="D26" s="230"/>
      <c r="E26" s="7"/>
      <c r="F26" s="230"/>
      <c r="G26" s="230">
        <f t="shared" si="0"/>
        <v>0</v>
      </c>
      <c r="H26" s="233">
        <f t="shared" si="1"/>
        <v>273</v>
      </c>
      <c r="I26" s="309">
        <f>IF(T_T134111213141516171819202122232425262728293031323335363738394041424344454647484950515253545556575859606162636465666768697071727374757677787980818283848586878889[[#This Row],[Total]]&lt;0,T_T134111213141516171819202122232425262728293031323335363738394041424344454647484950515253545556575859606162636465666768697071727374757677787980818283848586878889[[#This Row],[Total]]*-1,0)</f>
        <v>0</v>
      </c>
    </row>
    <row r="27" spans="1:9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273</v>
      </c>
      <c r="I27" s="309">
        <f>IF(T_T134111213141516171819202122232425262728293031323335363738394041424344454647484950515253545556575859606162636465666768697071727374757677787980818283848586878889[[#This Row],[Total]]&lt;0,T_T134111213141516171819202122232425262728293031323335363738394041424344454647484950515253545556575859606162636465666768697071727374757677787980818283848586878889[[#This Row],[Total]]*-1,0)</f>
        <v>0</v>
      </c>
    </row>
    <row r="28" spans="1:9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273</v>
      </c>
      <c r="I28" s="311">
        <f>IF(T_T134111213141516171819202122232425262728293031323335363738394041424344454647484950515253545556575859606162636465666768697071727374757677787980818283848586878889[[#This Row],[Total]]&lt;0,T_T134111213141516171819202122232425262728293031323335363738394041424344454647484950515253545556575859606162636465666768697071727374757677787980818283848586878889[[#This Row],[Total]]*-1,0)</f>
        <v>0</v>
      </c>
    </row>
    <row r="29" spans="1:9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273</v>
      </c>
      <c r="I29" s="309">
        <f>IF(T_T134111213141516171819202122232425262728293031323335363738394041424344454647484950515253545556575859606162636465666768697071727374757677787980818283848586878889[[#This Row],[Total]]&lt;0,T_T134111213141516171819202122232425262728293031323335363738394041424344454647484950515253545556575859606162636465666768697071727374757677787980818283848586878889[[#This Row],[Total]]*-1,0)</f>
        <v>0</v>
      </c>
    </row>
    <row r="30" spans="1:9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273</v>
      </c>
      <c r="I30" s="309">
        <f>IF(T_T134111213141516171819202122232425262728293031323335363738394041424344454647484950515253545556575859606162636465666768697071727374757677787980818283848586878889[[#This Row],[Total]]&lt;0,T_T134111213141516171819202122232425262728293031323335363738394041424344454647484950515253545556575859606162636465666768697071727374757677787980818283848586878889[[#This Row],[Total]]*-1,0)</f>
        <v>0</v>
      </c>
    </row>
    <row r="31" spans="1:9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273</v>
      </c>
      <c r="I31" s="309">
        <f>IF(T_T134111213141516171819202122232425262728293031323335363738394041424344454647484950515253545556575859606162636465666768697071727374757677787980818283848586878889[[#This Row],[Total]]&lt;0,T_T134111213141516171819202122232425262728293031323335363738394041424344454647484950515253545556575859606162636465666768697071727374757677787980818283848586878889[[#This Row],[Total]]*-1,0)</f>
        <v>0</v>
      </c>
    </row>
    <row r="32" spans="1:9" x14ac:dyDescent="0.3">
      <c r="A32" s="9"/>
      <c r="B32" s="3" t="s">
        <v>547</v>
      </c>
      <c r="C32" s="6"/>
      <c r="D32" s="7"/>
      <c r="E32" s="230"/>
      <c r="F32" s="230"/>
      <c r="G32" s="230">
        <f t="shared" si="0"/>
        <v>0</v>
      </c>
      <c r="H32" s="233">
        <f t="shared" si="1"/>
        <v>273</v>
      </c>
      <c r="I32" s="309">
        <f>IF(T_T134111213141516171819202122232425262728293031323335363738394041424344454647484950515253545556575859606162636465666768697071727374757677787980818283848586878889[[#This Row],[Total]]&lt;0,T_T134111213141516171819202122232425262728293031323335363738394041424344454647484950515253545556575859606162636465666768697071727374757677787980818283848586878889[[#This Row],[Total]]*-1,0)</f>
        <v>0</v>
      </c>
    </row>
    <row r="33" spans="1:9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273</v>
      </c>
      <c r="I33" s="309">
        <f>IF(T_T134111213141516171819202122232425262728293031323335363738394041424344454647484950515253545556575859606162636465666768697071727374757677787980818283848586878889[[#This Row],[Total]]&lt;0,T_T134111213141516171819202122232425262728293031323335363738394041424344454647484950515253545556575859606162636465666768697071727374757677787980818283848586878889[[#This Row],[Total]]*-1,0)</f>
        <v>0</v>
      </c>
    </row>
    <row r="34" spans="1:9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273</v>
      </c>
      <c r="I34" s="309">
        <f>IF(T_T134111213141516171819202122232425262728293031323335363738394041424344454647484950515253545556575859606162636465666768697071727374757677787980818283848586878889[[#This Row],[Total]]&lt;0,T_T134111213141516171819202122232425262728293031323335363738394041424344454647484950515253545556575859606162636465666768697071727374757677787980818283848586878889[[#This Row],[Total]]*-1,0)</f>
        <v>0</v>
      </c>
    </row>
    <row r="35" spans="1:9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273</v>
      </c>
      <c r="I35" s="309">
        <f>IF(T_T134111213141516171819202122232425262728293031323335363738394041424344454647484950515253545556575859606162636465666768697071727374757677787980818283848586878889[[#This Row],[Total]]&lt;0,T_T134111213141516171819202122232425262728293031323335363738394041424344454647484950515253545556575859606162636465666768697071727374757677787980818283848586878889[[#This Row],[Total]]*-1,0)</f>
        <v>0</v>
      </c>
    </row>
    <row r="36" spans="1:9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273</v>
      </c>
      <c r="I36" s="311">
        <f>IF(T_T134111213141516171819202122232425262728293031323335363738394041424344454647484950515253545556575859606162636465666768697071727374757677787980818283848586878889[[#This Row],[Total]]&lt;0,T_T134111213141516171819202122232425262728293031323335363738394041424344454647484950515253545556575859606162636465666768697071727374757677787980818283848586878889[[#This Row],[Total]]*-1,0)</f>
        <v>0</v>
      </c>
    </row>
    <row r="37" spans="1:9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273</v>
      </c>
      <c r="I37" s="353">
        <f>IF(T_T134111213141516171819202122232425262728293031323335363738394041424344454647484950515253545556575859606162636465666768697071727374757677787980818283848586878889[[#This Row],[Total]]&lt;0,T_T134111213141516171819202122232425262728293031323335363738394041424344454647484950515253545556575859606162636465666768697071727374757677787980818283848586878889[[#This Row],[Total]]*-1,0)</f>
        <v>0</v>
      </c>
    </row>
    <row r="38" spans="1:9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273</v>
      </c>
      <c r="I38" s="353">
        <f>IF(T_T134111213141516171819202122232425262728293031323335363738394041424344454647484950515253545556575859606162636465666768697071727374757677787980818283848586878889[[#This Row],[Total]]&lt;0,T_T134111213141516171819202122232425262728293031323335363738394041424344454647484950515253545556575859606162636465666768697071727374757677787980818283848586878889[[#This Row],[Total]]*-1,0)</f>
        <v>0</v>
      </c>
    </row>
    <row r="39" spans="1:9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273</v>
      </c>
      <c r="I39" s="353">
        <f>IF(T_T134111213141516171819202122232425262728293031323335363738394041424344454647484950515253545556575859606162636465666768697071727374757677787980818283848586878889[[#This Row],[Total]]&lt;0,T_T134111213141516171819202122232425262728293031323335363738394041424344454647484950515253545556575859606162636465666768697071727374757677787980818283848586878889[[#This Row],[Total]]*-1,0)</f>
        <v>0</v>
      </c>
    </row>
    <row r="40" spans="1:9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273</v>
      </c>
      <c r="I40" s="353">
        <f>IF(T_T134111213141516171819202122232425262728293031323335363738394041424344454647484950515253545556575859606162636465666768697071727374757677787980818283848586878889[[#This Row],[Total]]&lt;0,T_T134111213141516171819202122232425262728293031323335363738394041424344454647484950515253545556575859606162636465666768697071727374757677787980818283848586878889[[#This Row],[Total]]*-1,0)</f>
        <v>0</v>
      </c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scale="60" orientation="portrait" verticalDpi="360" r:id="rId2"/>
  <drawing r:id="rId3"/>
  <tableParts count="1">
    <tablePart r:id="rId4"/>
  </tablePart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N54"/>
  <sheetViews>
    <sheetView showGridLines="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3" customWidth="1"/>
    <col min="3" max="3" width="10.88671875" style="4" customWidth="1"/>
    <col min="4" max="4" width="12.6640625" style="1" customWidth="1"/>
    <col min="5" max="5" width="10" style="1" customWidth="1"/>
    <col min="6" max="6" width="8" style="1" customWidth="1"/>
    <col min="7" max="7" width="10.5546875" style="1" customWidth="1"/>
    <col min="8" max="8" width="12.44140625" style="1" customWidth="1"/>
    <col min="9" max="9" width="12.88671875" hidden="1" customWidth="1"/>
    <col min="11" max="11" width="10.6640625" bestFit="1" customWidth="1"/>
    <col min="14" max="14" width="10.6640625" bestFit="1" customWidth="1"/>
    <col min="15" max="15" width="14.5546875" customWidth="1"/>
  </cols>
  <sheetData>
    <row r="2" spans="1:14" ht="15.6" x14ac:dyDescent="0.3">
      <c r="A2" s="27" t="s">
        <v>36</v>
      </c>
      <c r="B2" s="41" t="s">
        <v>138</v>
      </c>
      <c r="C2" s="333"/>
    </row>
    <row r="3" spans="1:14" hidden="1" x14ac:dyDescent="0.3">
      <c r="A3" s="27" t="s">
        <v>31</v>
      </c>
      <c r="B3" s="28" t="e">
        <f>LOOKUP(B2,#REF!,#REF!)</f>
        <v>#REF!</v>
      </c>
    </row>
    <row r="4" spans="1:14" hidden="1" x14ac:dyDescent="0.3">
      <c r="A4" s="27" t="s">
        <v>32</v>
      </c>
      <c r="B4" s="28" t="e">
        <f>LOOKUP(B2,#REF!,#REF!)</f>
        <v>#REF!</v>
      </c>
    </row>
    <row r="5" spans="1:14" hidden="1" x14ac:dyDescent="0.3">
      <c r="A5" s="27" t="s">
        <v>33</v>
      </c>
      <c r="B5" s="28" t="e">
        <f>LOOKUP(B2,#REF!,#REF!)</f>
        <v>#REF!</v>
      </c>
    </row>
    <row r="6" spans="1:14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4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4" x14ac:dyDescent="0.3">
      <c r="A8" s="21"/>
      <c r="B8" s="21" t="s">
        <v>423</v>
      </c>
    </row>
    <row r="9" spans="1:14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75" t="s">
        <v>188</v>
      </c>
    </row>
    <row r="10" spans="1:14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IF(T_T13411121314151617181920212223242526272829303132333536373839404142434445464748495051525354555657585960616263646566676869707172737475767778798081828384858687888990[[#This Row],[Total]]&lt;0,T_T13411121314151617181920212223242526272829303132333536373839404142434445464748495051525354555657585960616263646566676869707172737475767778798081828384858687888990[[#This Row],[Total]]*-1,0)</f>
        <v>0</v>
      </c>
      <c r="J10" s="74"/>
      <c r="N10" s="178"/>
    </row>
    <row r="11" spans="1:14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IF(T_T13411121314151617181920212223242526272829303132333536373839404142434445464748495051525354555657585960616263646566676869707172737475767778798081828384858687888990[[#This Row],[Total]]&lt;0,T_T13411121314151617181920212223242526272829303132333536373839404142434445464748495051525354555657585960616263646566676869707172737475767778798081828384858687888990[[#This Row],[Total]]*-1,0)</f>
        <v>0</v>
      </c>
      <c r="J11" s="231"/>
    </row>
    <row r="12" spans="1:14" x14ac:dyDescent="0.3">
      <c r="A12" s="361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IF(T_T13411121314151617181920212223242526272829303132333536373839404142434445464748495051525354555657585960616263646566676869707172737475767778798081828384858687888990[[#This Row],[Total]]&lt;0,T_T13411121314151617181920212223242526272829303132333536373839404142434445464748495051525354555657585960616263646566676869707172737475767778798081828384858687888990[[#This Row],[Total]]*-1,0)</f>
        <v>0</v>
      </c>
      <c r="J12" s="427"/>
    </row>
    <row r="13" spans="1:14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IF(T_T13411121314151617181920212223242526272829303132333536373839404142434445464748495051525354555657585960616263646566676869707172737475767778798081828384858687888990[[#This Row],[Total]]&lt;0,T_T13411121314151617181920212223242526272829303132333536373839404142434445464748495051525354555657585960616263646566676869707172737475767778798081828384858687888990[[#This Row],[Total]]*-1,0)</f>
        <v>0</v>
      </c>
      <c r="J13" s="231"/>
    </row>
    <row r="14" spans="1:14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IF(T_T13411121314151617181920212223242526272829303132333536373839404142434445464748495051525354555657585960616263646566676869707172737475767778798081828384858687888990[[#This Row],[Total]]&lt;0,T_T13411121314151617181920212223242526272829303132333536373839404142434445464748495051525354555657585960616263646566676869707172737475767778798081828384858687888990[[#This Row],[Total]]*-1,0)</f>
        <v>0</v>
      </c>
      <c r="J14" s="476"/>
    </row>
    <row r="15" spans="1:14" x14ac:dyDescent="0.3">
      <c r="A15" s="17">
        <v>46052</v>
      </c>
      <c r="B15" s="18" t="s">
        <v>590</v>
      </c>
      <c r="C15" s="6"/>
      <c r="D15" s="2">
        <v>88</v>
      </c>
      <c r="E15" s="2">
        <v>13</v>
      </c>
      <c r="F15" s="20"/>
      <c r="G15" s="20">
        <f>SUM(D15:F15)</f>
        <v>101</v>
      </c>
      <c r="H15" s="233">
        <f>+H13+T_T13411121314151617181920212223242526272829303132333536373839404142434445464748495051525354555657585960616263646566676869707172737475767778798081828384858687888990[[#This Row],[Total]]</f>
        <v>101</v>
      </c>
      <c r="I15" s="240">
        <f>IF(T_T13411121314151617181920212223242526272829303132333536373839404142434445464748495051525354555657585960616263646566676869707172737475767778798081828384858687888990[[#This Row],[Total]]&lt;0,T_T13411121314151617181920212223242526272829303132333536373839404142434445464748495051525354555657585960616263646566676869707172737475767778798081828384858687888990[[#This Row],[Total]]*-1,0)</f>
        <v>0</v>
      </c>
      <c r="J15" s="231"/>
    </row>
    <row r="16" spans="1:14" x14ac:dyDescent="0.3">
      <c r="A16" s="17"/>
      <c r="B16" s="18" t="s">
        <v>591</v>
      </c>
      <c r="C16" s="6">
        <v>8604</v>
      </c>
      <c r="D16" s="2">
        <v>-88</v>
      </c>
      <c r="E16" s="2">
        <v>-13</v>
      </c>
      <c r="F16" s="230"/>
      <c r="G16" s="230">
        <f t="shared" ref="G16:G38" si="0">SUM(D16:F16)</f>
        <v>-101</v>
      </c>
      <c r="H16" s="233">
        <f t="shared" ref="H16:H40" si="1">H15+G16</f>
        <v>0</v>
      </c>
      <c r="I16" s="240">
        <f>IF(T_T13411121314151617181920212223242526272829303132333536373839404142434445464748495051525354555657585960616263646566676869707172737475767778798081828384858687888990[[#This Row],[Total]]&lt;0,T_T13411121314151617181920212223242526272829303132333536373839404142434445464748495051525354555657585960616263646566676869707172737475767778798081828384858687888990[[#This Row],[Total]]*-1,0)</f>
        <v>101</v>
      </c>
      <c r="J16" s="231"/>
    </row>
    <row r="17" spans="1:10" x14ac:dyDescent="0.3">
      <c r="A17" s="164">
        <v>45715</v>
      </c>
      <c r="B17" s="161" t="s">
        <v>532</v>
      </c>
      <c r="C17" s="6"/>
      <c r="D17" s="2">
        <v>88</v>
      </c>
      <c r="E17" s="2">
        <v>24</v>
      </c>
      <c r="F17" s="230"/>
      <c r="G17" s="230">
        <f t="shared" si="0"/>
        <v>112</v>
      </c>
      <c r="H17" s="233">
        <f t="shared" si="1"/>
        <v>112</v>
      </c>
      <c r="I17" s="240">
        <f>IF(T_T13411121314151617181920212223242526272829303132333536373839404142434445464748495051525354555657585960616263646566676869707172737475767778798081828384858687888990[[#This Row],[Total]]&lt;0,T_T13411121314151617181920212223242526272829303132333536373839404142434445464748495051525354555657585960616263646566676869707172737475767778798081828384858687888990[[#This Row],[Total]]*-1,0)</f>
        <v>0</v>
      </c>
      <c r="J17" s="231"/>
    </row>
    <row r="18" spans="1:10" x14ac:dyDescent="0.3">
      <c r="A18" s="187"/>
      <c r="B18" s="18" t="s">
        <v>533</v>
      </c>
      <c r="C18" s="6">
        <v>8789</v>
      </c>
      <c r="D18" s="2">
        <v>-88</v>
      </c>
      <c r="E18" s="2">
        <v>-24</v>
      </c>
      <c r="F18" s="230"/>
      <c r="G18" s="230">
        <f t="shared" si="0"/>
        <v>-112</v>
      </c>
      <c r="H18" s="233">
        <f t="shared" si="1"/>
        <v>0</v>
      </c>
      <c r="I18" s="240">
        <f>IF(T_T13411121314151617181920212223242526272829303132333536373839404142434445464748495051525354555657585960616263646566676869707172737475767778798081828384858687888990[[#This Row],[Total]]&lt;0,T_T13411121314151617181920212223242526272829303132333536373839404142434445464748495051525354555657585960616263646566676869707172737475767778798081828384858687888990[[#This Row],[Total]]*-1,0)</f>
        <v>112</v>
      </c>
      <c r="J18" s="231"/>
    </row>
    <row r="19" spans="1:10" x14ac:dyDescent="0.3">
      <c r="A19" s="188">
        <v>45747</v>
      </c>
      <c r="B19" s="3" t="s">
        <v>534</v>
      </c>
      <c r="C19" s="6"/>
      <c r="D19" s="2">
        <v>101</v>
      </c>
      <c r="E19" s="2">
        <v>35</v>
      </c>
      <c r="F19" s="230"/>
      <c r="G19" s="230">
        <f t="shared" si="0"/>
        <v>136</v>
      </c>
      <c r="H19" s="233">
        <f t="shared" si="1"/>
        <v>136</v>
      </c>
      <c r="I19" s="240">
        <f>IF(T_T13411121314151617181920212223242526272829303132333536373839404142434445464748495051525354555657585960616263646566676869707172737475767778798081828384858687888990[[#This Row],[Total]]&lt;0,T_T13411121314151617181920212223242526272829303132333536373839404142434445464748495051525354555657585960616263646566676869707172737475767778798081828384858687888990[[#This Row],[Total]]*-1,0)</f>
        <v>0</v>
      </c>
      <c r="J19" s="231"/>
    </row>
    <row r="20" spans="1:10" x14ac:dyDescent="0.3">
      <c r="A20" s="188"/>
      <c r="B20" s="82" t="s">
        <v>535</v>
      </c>
      <c r="C20" s="6">
        <v>8849</v>
      </c>
      <c r="D20" s="2">
        <v>-101</v>
      </c>
      <c r="E20" s="2">
        <v>-35</v>
      </c>
      <c r="F20" s="230"/>
      <c r="G20" s="230">
        <f t="shared" si="0"/>
        <v>-136</v>
      </c>
      <c r="H20" s="233">
        <f t="shared" si="1"/>
        <v>0</v>
      </c>
      <c r="I20" s="240">
        <f>IF(T_T13411121314151617181920212223242526272829303132333536373839404142434445464748495051525354555657585960616263646566676869707172737475767778798081828384858687888990[[#This Row],[Total]]&lt;0,T_T13411121314151617181920212223242526272829303132333536373839404142434445464748495051525354555657585960616263646566676869707172737475767778798081828384858687888990[[#This Row],[Total]]*-1,0)</f>
        <v>136</v>
      </c>
      <c r="J20" s="231"/>
    </row>
    <row r="21" spans="1:10" x14ac:dyDescent="0.3">
      <c r="A21" s="188">
        <v>45777</v>
      </c>
      <c r="B21" s="3" t="s">
        <v>536</v>
      </c>
      <c r="C21" s="6"/>
      <c r="D21" s="2">
        <v>101</v>
      </c>
      <c r="E21" s="2">
        <v>15</v>
      </c>
      <c r="F21" s="230"/>
      <c r="G21" s="230">
        <f t="shared" si="0"/>
        <v>116</v>
      </c>
      <c r="H21" s="233">
        <f t="shared" si="1"/>
        <v>116</v>
      </c>
      <c r="I21" s="309">
        <f>IF(T_T13411121314151617181920212223242526272829303132333536373839404142434445464748495051525354555657585960616263646566676869707172737475767778798081828384858687888990[[#This Row],[Total]]&lt;0,T_T13411121314151617181920212223242526272829303132333536373839404142434445464748495051525354555657585960616263646566676869707172737475767778798081828384858687888990[[#This Row],[Total]]*-1,0)</f>
        <v>0</v>
      </c>
      <c r="J21" s="320"/>
    </row>
    <row r="22" spans="1:10" x14ac:dyDescent="0.3">
      <c r="A22" s="83"/>
      <c r="B22" s="82" t="s">
        <v>537</v>
      </c>
      <c r="C22" s="6">
        <v>8901</v>
      </c>
      <c r="D22" s="2">
        <v>-101</v>
      </c>
      <c r="E22" s="2">
        <v>-15</v>
      </c>
      <c r="F22" s="230"/>
      <c r="G22" s="230">
        <f t="shared" si="0"/>
        <v>-116</v>
      </c>
      <c r="H22" s="233">
        <f t="shared" si="1"/>
        <v>0</v>
      </c>
      <c r="I22" s="309">
        <f>IF(T_T13411121314151617181920212223242526272829303132333536373839404142434445464748495051525354555657585960616263646566676869707172737475767778798081828384858687888990[[#This Row],[Total]]&lt;0,T_T13411121314151617181920212223242526272829303132333536373839404142434445464748495051525354555657585960616263646566676869707172737475767778798081828384858687888990[[#This Row],[Total]]*-1,0)</f>
        <v>116</v>
      </c>
      <c r="J22" s="320"/>
    </row>
    <row r="23" spans="1:10" x14ac:dyDescent="0.3">
      <c r="A23" s="40">
        <v>45807</v>
      </c>
      <c r="B23" s="3" t="s">
        <v>538</v>
      </c>
      <c r="C23" s="229"/>
      <c r="D23" s="230">
        <v>101</v>
      </c>
      <c r="E23" s="230">
        <v>20</v>
      </c>
      <c r="F23" s="230"/>
      <c r="G23" s="230">
        <f t="shared" si="0"/>
        <v>121</v>
      </c>
      <c r="H23" s="233">
        <f t="shared" si="1"/>
        <v>121</v>
      </c>
      <c r="I23" s="309">
        <f>IF(T_T13411121314151617181920212223242526272829303132333536373839404142434445464748495051525354555657585960616263646566676869707172737475767778798081828384858687888990[[#This Row],[Total]]&lt;0,T_T13411121314151617181920212223242526272829303132333536373839404142434445464748495051525354555657585960616263646566676869707172737475767778798081828384858687888990[[#This Row],[Total]]*-1,0)</f>
        <v>0</v>
      </c>
      <c r="J23" s="320"/>
    </row>
    <row r="24" spans="1:10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121</v>
      </c>
      <c r="I24" s="309">
        <f>IF(T_T13411121314151617181920212223242526272829303132333536373839404142434445464748495051525354555657585960616263646566676869707172737475767778798081828384858687888990[[#This Row],[Total]]&lt;0,T_T13411121314151617181920212223242526272829303132333536373839404142434445464748495051525354555657585960616263646566676869707172737475767778798081828384858687888990[[#This Row],[Total]]*-1,0)</f>
        <v>0</v>
      </c>
      <c r="J24" s="320"/>
    </row>
    <row r="25" spans="1:10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121</v>
      </c>
      <c r="I25" s="309">
        <f>IF(T_T13411121314151617181920212223242526272829303132333536373839404142434445464748495051525354555657585960616263646566676869707172737475767778798081828384858687888990[[#This Row],[Total]]&lt;0,T_T13411121314151617181920212223242526272829303132333536373839404142434445464748495051525354555657585960616263646566676869707172737475767778798081828384858687888990[[#This Row],[Total]]*-1,0)</f>
        <v>0</v>
      </c>
      <c r="J25" s="320"/>
    </row>
    <row r="26" spans="1:10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121</v>
      </c>
      <c r="I26" s="309">
        <f>IF(T_T13411121314151617181920212223242526272829303132333536373839404142434445464748495051525354555657585960616263646566676869707172737475767778798081828384858687888990[[#This Row],[Total]]&lt;0,T_T13411121314151617181920212223242526272829303132333536373839404142434445464748495051525354555657585960616263646566676869707172737475767778798081828384858687888990[[#This Row],[Total]]*-1,0)</f>
        <v>0</v>
      </c>
      <c r="J26" s="320"/>
    </row>
    <row r="27" spans="1:10" x14ac:dyDescent="0.3">
      <c r="A27" s="107">
        <v>45868</v>
      </c>
      <c r="B27" s="82" t="s">
        <v>542</v>
      </c>
      <c r="C27" s="6"/>
      <c r="D27" s="230"/>
      <c r="E27" s="230"/>
      <c r="F27" s="230"/>
      <c r="G27" s="230">
        <f t="shared" si="0"/>
        <v>0</v>
      </c>
      <c r="H27" s="233">
        <f t="shared" si="1"/>
        <v>121</v>
      </c>
      <c r="I27" s="309">
        <f>IF(T_T13411121314151617181920212223242526272829303132333536373839404142434445464748495051525354555657585960616263646566676869707172737475767778798081828384858687888990[[#This Row],[Total]]&lt;0,T_T13411121314151617181920212223242526272829303132333536373839404142434445464748495051525354555657585960616263646566676869707172737475767778798081828384858687888990[[#This Row],[Total]]*-1,0)</f>
        <v>0</v>
      </c>
      <c r="J27" s="320"/>
    </row>
    <row r="28" spans="1:10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121</v>
      </c>
      <c r="I28" s="309">
        <f>IF(T_T13411121314151617181920212223242526272829303132333536373839404142434445464748495051525354555657585960616263646566676869707172737475767778798081828384858687888990[[#This Row],[Total]]&lt;0,T_T13411121314151617181920212223242526272829303132333536373839404142434445464748495051525354555657585960616263646566676869707172737475767778798081828384858687888990[[#This Row],[Total]]*-1,0)</f>
        <v>0</v>
      </c>
      <c r="J28" s="320"/>
    </row>
    <row r="29" spans="1:10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121</v>
      </c>
      <c r="I29" s="309">
        <f>IF(T_T13411121314151617181920212223242526272829303132333536373839404142434445464748495051525354555657585960616263646566676869707172737475767778798081828384858687888990[[#This Row],[Total]]&lt;0,T_T13411121314151617181920212223242526272829303132333536373839404142434445464748495051525354555657585960616263646566676869707172737475767778798081828384858687888990[[#This Row],[Total]]*-1,0)</f>
        <v>0</v>
      </c>
      <c r="J29" s="320"/>
    </row>
    <row r="30" spans="1:10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121</v>
      </c>
      <c r="I30" s="309">
        <f>IF(T_T13411121314151617181920212223242526272829303132333536373839404142434445464748495051525354555657585960616263646566676869707172737475767778798081828384858687888990[[#This Row],[Total]]&lt;0,T_T13411121314151617181920212223242526272829303132333536373839404142434445464748495051525354555657585960616263646566676869707172737475767778798081828384858687888990[[#This Row],[Total]]*-1,0)</f>
        <v>0</v>
      </c>
      <c r="J30" s="320"/>
    </row>
    <row r="31" spans="1:10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121</v>
      </c>
      <c r="I31" s="309">
        <f>IF(T_T13411121314151617181920212223242526272829303132333536373839404142434445464748495051525354555657585960616263646566676869707172737475767778798081828384858687888990[[#This Row],[Total]]&lt;0,T_T13411121314151617181920212223242526272829303132333536373839404142434445464748495051525354555657585960616263646566676869707172737475767778798081828384858687888990[[#This Row],[Total]]*-1,0)</f>
        <v>0</v>
      </c>
      <c r="J31" s="320"/>
    </row>
    <row r="32" spans="1:10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121</v>
      </c>
      <c r="I32" s="309">
        <f>IF(T_T13411121314151617181920212223242526272829303132333536373839404142434445464748495051525354555657585960616263646566676869707172737475767778798081828384858687888990[[#This Row],[Total]]&lt;0,T_T13411121314151617181920212223242526272829303132333536373839404142434445464748495051525354555657585960616263646566676869707172737475767778798081828384858687888990[[#This Row],[Total]]*-1,0)</f>
        <v>0</v>
      </c>
      <c r="J32" s="320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121</v>
      </c>
      <c r="I33" s="309">
        <f>IF(T_T13411121314151617181920212223242526272829303132333536373839404142434445464748495051525354555657585960616263646566676869707172737475767778798081828384858687888990[[#This Row],[Total]]&lt;0,T_T13411121314151617181920212223242526272829303132333536373839404142434445464748495051525354555657585960616263646566676869707172737475767778798081828384858687888990[[#This Row],[Total]]*-1,0)</f>
        <v>0</v>
      </c>
      <c r="J33" s="320"/>
    </row>
    <row r="34" spans="1:10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121</v>
      </c>
      <c r="I34" s="309">
        <f>IF(T_T13411121314151617181920212223242526272829303132333536373839404142434445464748495051525354555657585960616263646566676869707172737475767778798081828384858687888990[[#This Row],[Total]]&lt;0,T_T13411121314151617181920212223242526272829303132333536373839404142434445464748495051525354555657585960616263646566676869707172737475767778798081828384858687888990[[#This Row],[Total]]*-1,0)</f>
        <v>0</v>
      </c>
      <c r="J34" s="320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121</v>
      </c>
      <c r="I35" s="309">
        <f>IF(T_T13411121314151617181920212223242526272829303132333536373839404142434445464748495051525354555657585960616263646566676869707172737475767778798081828384858687888990[[#This Row],[Total]]&lt;0,T_T13411121314151617181920212223242526272829303132333536373839404142434445464748495051525354555657585960616263646566676869707172737475767778798081828384858687888990[[#This Row],[Total]]*-1,0)</f>
        <v>0</v>
      </c>
      <c r="J35" s="320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121</v>
      </c>
      <c r="I36" s="309">
        <f>IF(T_T13411121314151617181920212223242526272829303132333536373839404142434445464748495051525354555657585960616263646566676869707172737475767778798081828384858687888990[[#This Row],[Total]]&lt;0,T_T13411121314151617181920212223242526272829303132333536373839404142434445464748495051525354555657585960616263646566676869707172737475767778798081828384858687888990[[#This Row],[Total]]*-1,0)</f>
        <v>0</v>
      </c>
      <c r="J36" s="320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121</v>
      </c>
      <c r="I37" s="353">
        <f>IF(T_T13411121314151617181920212223242526272829303132333536373839404142434445464748495051525354555657585960616263646566676869707172737475767778798081828384858687888990[[#This Row],[Total]]&lt;0,T_T13411121314151617181920212223242526272829303132333536373839404142434445464748495051525354555657585960616263646566676869707172737475767778798081828384858687888990[[#This Row],[Total]]*-1,0)</f>
        <v>0</v>
      </c>
      <c r="J37" s="355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121</v>
      </c>
      <c r="I38" s="353">
        <f>IF(T_T13411121314151617181920212223242526272829303132333536373839404142434445464748495051525354555657585960616263646566676869707172737475767778798081828384858687888990[[#This Row],[Total]]&lt;0,T_T13411121314151617181920212223242526272829303132333536373839404142434445464748495051525354555657585960616263646566676869707172737475767778798081828384858687888990[[#This Row],[Total]]*-1,0)</f>
        <v>0</v>
      </c>
      <c r="J38" s="355"/>
    </row>
    <row r="39" spans="1:10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121</v>
      </c>
      <c r="I39" s="353">
        <f>IF(T_T13411121314151617181920212223242526272829303132333536373839404142434445464748495051525354555657585960616263646566676869707172737475767778798081828384858687888990[[#This Row],[Total]]&lt;0,T_T13411121314151617181920212223242526272829303132333536373839404142434445464748495051525354555657585960616263646566676869707172737475767778798081828384858687888990[[#This Row],[Total]]*-1,0)</f>
        <v>0</v>
      </c>
      <c r="J39" s="355"/>
    </row>
    <row r="40" spans="1:10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121</v>
      </c>
      <c r="I40" s="353">
        <f>IF(T_T13411121314151617181920212223242526272829303132333536373839404142434445464748495051525354555657585960616263646566676869707172737475767778798081828384858687888990[[#This Row],[Total]]&lt;0,T_T13411121314151617181920212223242526272829303132333536373839404142434445464748495051525354555657585960616263646566676869707172737475767778798081828384858687888990[[#This Row],[Total]]*-1,0)</f>
        <v>0</v>
      </c>
      <c r="J40" s="355"/>
    </row>
    <row r="41" spans="1:10" x14ac:dyDescent="0.3">
      <c r="A41" s="17"/>
      <c r="B41" s="18"/>
      <c r="C41" s="466"/>
      <c r="D41" s="467"/>
      <c r="E41" s="467"/>
      <c r="F41" s="467"/>
      <c r="G41" s="467"/>
      <c r="H41" s="474"/>
      <c r="I41" s="475"/>
      <c r="J41" s="480"/>
    </row>
    <row r="42" spans="1:10" x14ac:dyDescent="0.3">
      <c r="A42" s="3"/>
      <c r="B42" s="3"/>
      <c r="C42" s="6"/>
      <c r="D42" s="2"/>
      <c r="E42" s="2"/>
      <c r="F42" s="2"/>
      <c r="G42" s="2"/>
      <c r="H42" s="2"/>
    </row>
    <row r="43" spans="1:10" x14ac:dyDescent="0.3">
      <c r="A43" s="3"/>
      <c r="B43" s="3"/>
      <c r="C43" s="6"/>
      <c r="D43" s="2"/>
      <c r="E43" s="2"/>
      <c r="F43" s="2"/>
      <c r="G43" s="2"/>
      <c r="H43" s="2"/>
    </row>
    <row r="54" spans="2:2" x14ac:dyDescent="0.3">
      <c r="B54" s="332"/>
    </row>
  </sheetData>
  <hyperlinks>
    <hyperlink ref="B7" r:id="rId1" display="jose.orozco@outlook.com"/>
    <hyperlink ref="H7" location="Resumen!A1" display="Rsumen         "/>
  </hyperlinks>
  <pageMargins left="0.43" right="0.49" top="0.59055118110236227" bottom="0.51181102362204722" header="0.35" footer="0.31496062992125984"/>
  <pageSetup scale="85" orientation="portrait" verticalDpi="360" r:id="rId2"/>
  <drawing r:id="rId3"/>
  <tableParts count="1">
    <tablePart r:id="rId4"/>
  </tablePart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M40"/>
  <sheetViews>
    <sheetView showGridLines="0" zoomScale="91" zoomScaleNormal="91" workbookViewId="0">
      <selection activeCell="D24" sqref="D24"/>
    </sheetView>
  </sheetViews>
  <sheetFormatPr baseColWidth="10" defaultColWidth="9.109375" defaultRowHeight="14.4" x14ac:dyDescent="0.3"/>
  <cols>
    <col min="1" max="1" width="14.6640625" customWidth="1"/>
    <col min="2" max="2" width="40.88671875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1.44140625" bestFit="1" customWidth="1"/>
    <col min="14" max="14" width="18.109375" customWidth="1"/>
  </cols>
  <sheetData>
    <row r="2" spans="1:13" ht="15.6" x14ac:dyDescent="0.3">
      <c r="A2" s="27" t="s">
        <v>36</v>
      </c>
      <c r="B2" s="41" t="s">
        <v>139</v>
      </c>
    </row>
    <row r="3" spans="1:13" ht="3" customHeight="1" x14ac:dyDescent="0.3">
      <c r="A3" s="27" t="s">
        <v>31</v>
      </c>
      <c r="B3" s="28" t="e">
        <f>LOOKUP(B2,#REF!,#REF!)</f>
        <v>#REF!</v>
      </c>
    </row>
    <row r="4" spans="1:13" hidden="1" x14ac:dyDescent="0.3">
      <c r="A4" s="27" t="s">
        <v>32</v>
      </c>
      <c r="B4" s="28" t="e">
        <f>LOOKUP(B2,#REF!,#REF!)</f>
        <v>#REF!</v>
      </c>
    </row>
    <row r="5" spans="1:13" hidden="1" x14ac:dyDescent="0.3">
      <c r="A5" s="27" t="s">
        <v>33</v>
      </c>
      <c r="B5" s="28" t="e">
        <f>LOOKUP(B2,#REF!,#REF!)</f>
        <v>#REF!</v>
      </c>
    </row>
    <row r="6" spans="1:13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3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3" x14ac:dyDescent="0.3">
      <c r="A8" s="21"/>
      <c r="B8" s="21" t="s">
        <v>214</v>
      </c>
    </row>
    <row r="9" spans="1:13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13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IF(T_T1341112131415161718192021222324252627282930313233353637383940414243444546474849505152535455565758596061626364656667686970717273747576777879808182838485868788899091[[#This Row],[Total]]&lt;0,T_T1341112131415161718192021222324252627282930313233353637383940414243444546474849505152535455565758596061626364656667686970717273747576777879808182838485868788899091[[#This Row],[Total]]*-1,0)</f>
        <v>0</v>
      </c>
      <c r="M10" s="178"/>
    </row>
    <row r="11" spans="1:13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IF(T_T1341112131415161718192021222324252627282930313233353637383940414243444546474849505152535455565758596061626364656667686970717273747576777879808182838485868788899091[[#This Row],[Total]]&lt;0,T_T1341112131415161718192021222324252627282930313233353637383940414243444546474849505152535455565758596061626364656667686970717273747576777879808182838485868788899091[[#This Row],[Total]]*-1,0)</f>
        <v>0</v>
      </c>
    </row>
    <row r="12" spans="1:13" x14ac:dyDescent="0.3">
      <c r="A12" s="117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IF(T_T1341112131415161718192021222324252627282930313233353637383940414243444546474849505152535455565758596061626364656667686970717273747576777879808182838485868788899091[[#This Row],[Total]]&lt;0,T_T1341112131415161718192021222324252627282930313233353637383940414243444546474849505152535455565758596061626364656667686970717273747576777879808182838485868788899091[[#This Row],[Total]]*-1,0)</f>
        <v>0</v>
      </c>
    </row>
    <row r="13" spans="1:13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IF(T_T1341112131415161718192021222324252627282930313233353637383940414243444546474849505152535455565758596061626364656667686970717273747576777879808182838485868788899091[[#This Row],[Total]]&lt;0,T_T1341112131415161718192021222324252627282930313233353637383940414243444546474849505152535455565758596061626364656667686970717273747576777879808182838485868788899091[[#This Row],[Total]]*-1,0)</f>
        <v>0</v>
      </c>
    </row>
    <row r="14" spans="1:13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IF(T_T1341112131415161718192021222324252627282930313233353637383940414243444546474849505152535455565758596061626364656667686970717273747576777879808182838485868788899091[[#This Row],[Total]]&lt;0,T_T1341112131415161718192021222324252627282930313233353637383940414243444546474849505152535455565758596061626364656667686970717273747576777879808182838485868788899091[[#This Row],[Total]]*-1,0)</f>
        <v>0</v>
      </c>
    </row>
    <row r="15" spans="1:13" x14ac:dyDescent="0.3">
      <c r="A15" s="17">
        <v>45687</v>
      </c>
      <c r="B15" s="18" t="s">
        <v>530</v>
      </c>
      <c r="C15" s="6"/>
      <c r="D15" s="2">
        <v>350</v>
      </c>
      <c r="E15" s="2"/>
      <c r="F15" s="20"/>
      <c r="G15" s="20">
        <f>SUM(D15:F15)</f>
        <v>350</v>
      </c>
      <c r="H15" s="233">
        <f>+H13+T_T1341112131415161718192021222324252627282930313233353637383940414243444546474849505152535455565758596061626364656667686970717273747576777879808182838485868788899091[[#This Row],[Total]]</f>
        <v>350</v>
      </c>
      <c r="I15" s="240">
        <f>IF(T_T1341112131415161718192021222324252627282930313233353637383940414243444546474849505152535455565758596061626364656667686970717273747576777879808182838485868788899091[[#This Row],[Total]]&lt;0,T_T1341112131415161718192021222324252627282930313233353637383940414243444546474849505152535455565758596061626364656667686970717273747576777879808182838485868788899091[[#This Row],[Total]]*-1,0)</f>
        <v>0</v>
      </c>
    </row>
    <row r="16" spans="1:13" x14ac:dyDescent="0.3">
      <c r="A16" s="17"/>
      <c r="B16" s="18" t="s">
        <v>531</v>
      </c>
      <c r="C16" s="6">
        <v>8658</v>
      </c>
      <c r="D16" s="2">
        <v>-350</v>
      </c>
      <c r="E16" s="2"/>
      <c r="F16" s="230"/>
      <c r="G16" s="230">
        <f t="shared" ref="G16:G38" si="0">SUM(D16:F16)</f>
        <v>-350</v>
      </c>
      <c r="H16" s="233">
        <f t="shared" ref="H16:H40" si="1">H15+G16</f>
        <v>0</v>
      </c>
      <c r="I16" s="239">
        <f>IF(T_T1341112131415161718192021222324252627282930313233353637383940414243444546474849505152535455565758596061626364656667686970717273747576777879808182838485868788899091[[#This Row],[Total]]&lt;0,T_T1341112131415161718192021222324252627282930313233353637383940414243444546474849505152535455565758596061626364656667686970717273747576777879808182838485868788899091[[#This Row],[Total]]*-1,0)</f>
        <v>350</v>
      </c>
    </row>
    <row r="17" spans="1:9" x14ac:dyDescent="0.3">
      <c r="A17" s="164">
        <v>45715</v>
      </c>
      <c r="B17" s="161" t="s">
        <v>532</v>
      </c>
      <c r="C17" s="6"/>
      <c r="D17" s="2">
        <v>350</v>
      </c>
      <c r="E17" s="2"/>
      <c r="F17" s="230"/>
      <c r="G17" s="230">
        <f t="shared" si="0"/>
        <v>350</v>
      </c>
      <c r="H17" s="233">
        <f t="shared" si="1"/>
        <v>350</v>
      </c>
      <c r="I17" s="240">
        <f>IF(T_T1341112131415161718192021222324252627282930313233353637383940414243444546474849505152535455565758596061626364656667686970717273747576777879808182838485868788899091[[#This Row],[Total]]&lt;0,T_T1341112131415161718192021222324252627282930313233353637383940414243444546474849505152535455565758596061626364656667686970717273747576777879808182838485868788899091[[#This Row],[Total]]*-1,0)</f>
        <v>0</v>
      </c>
    </row>
    <row r="18" spans="1:9" x14ac:dyDescent="0.3">
      <c r="A18" s="187"/>
      <c r="B18" s="18" t="s">
        <v>533</v>
      </c>
      <c r="C18" s="6">
        <v>8658</v>
      </c>
      <c r="D18" s="2">
        <v>-350</v>
      </c>
      <c r="E18" s="2"/>
      <c r="F18" s="230"/>
      <c r="G18" s="230">
        <f t="shared" si="0"/>
        <v>-350</v>
      </c>
      <c r="H18" s="233">
        <f t="shared" si="1"/>
        <v>0</v>
      </c>
      <c r="I18" s="240">
        <f>IF(T_T1341112131415161718192021222324252627282930313233353637383940414243444546474849505152535455565758596061626364656667686970717273747576777879808182838485868788899091[[#This Row],[Total]]&lt;0,T_T1341112131415161718192021222324252627282930313233353637383940414243444546474849505152535455565758596061626364656667686970717273747576777879808182838485868788899091[[#This Row],[Total]]*-1,0)</f>
        <v>350</v>
      </c>
    </row>
    <row r="19" spans="1:9" x14ac:dyDescent="0.3">
      <c r="A19" s="188">
        <v>45747</v>
      </c>
      <c r="B19" s="3" t="s">
        <v>534</v>
      </c>
      <c r="C19" s="6"/>
      <c r="D19" s="2">
        <v>400</v>
      </c>
      <c r="E19" s="2"/>
      <c r="F19" s="230"/>
      <c r="G19" s="230">
        <f t="shared" si="0"/>
        <v>400</v>
      </c>
      <c r="H19" s="233">
        <f t="shared" si="1"/>
        <v>400</v>
      </c>
      <c r="I19" s="240">
        <f>IF(T_T1341112131415161718192021222324252627282930313233353637383940414243444546474849505152535455565758596061626364656667686970717273747576777879808182838485868788899091[[#This Row],[Total]]&lt;0,T_T1341112131415161718192021222324252627282930313233353637383940414243444546474849505152535455565758596061626364656667686970717273747576777879808182838485868788899091[[#This Row],[Total]]*-1,0)</f>
        <v>0</v>
      </c>
    </row>
    <row r="20" spans="1:9" x14ac:dyDescent="0.3">
      <c r="A20" s="188"/>
      <c r="B20" s="82" t="s">
        <v>535</v>
      </c>
      <c r="C20" s="6"/>
      <c r="D20" s="2"/>
      <c r="E20" s="2"/>
      <c r="F20" s="230"/>
      <c r="G20" s="230">
        <f t="shared" si="0"/>
        <v>0</v>
      </c>
      <c r="H20" s="233">
        <f t="shared" si="1"/>
        <v>400</v>
      </c>
      <c r="I20" s="239">
        <f>IF(T_T1341112131415161718192021222324252627282930313233353637383940414243444546474849505152535455565758596061626364656667686970717273747576777879808182838485868788899091[[#This Row],[Total]]&lt;0,T_T1341112131415161718192021222324252627282930313233353637383940414243444546474849505152535455565758596061626364656667686970717273747576777879808182838485868788899091[[#This Row],[Total]]*-1,0)</f>
        <v>0</v>
      </c>
    </row>
    <row r="21" spans="1:9" x14ac:dyDescent="0.3">
      <c r="A21" s="188">
        <v>45777</v>
      </c>
      <c r="B21" s="3" t="s">
        <v>536</v>
      </c>
      <c r="C21" s="6"/>
      <c r="D21" s="2">
        <v>400</v>
      </c>
      <c r="E21" s="2"/>
      <c r="F21" s="230"/>
      <c r="G21" s="230">
        <f t="shared" si="0"/>
        <v>400</v>
      </c>
      <c r="H21" s="233">
        <f t="shared" si="1"/>
        <v>800</v>
      </c>
      <c r="I21" s="309">
        <f>IF(T_T1341112131415161718192021222324252627282930313233353637383940414243444546474849505152535455565758596061626364656667686970717273747576777879808182838485868788899091[[#This Row],[Total]]&lt;0,T_T1341112131415161718192021222324252627282930313233353637383940414243444546474849505152535455565758596061626364656667686970717273747576777879808182838485868788899091[[#This Row],[Total]]*-1,0)</f>
        <v>0</v>
      </c>
    </row>
    <row r="22" spans="1:9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800</v>
      </c>
      <c r="I22" s="309">
        <f>IF(T_T1341112131415161718192021222324252627282930313233353637383940414243444546474849505152535455565758596061626364656667686970717273747576777879808182838485868788899091[[#This Row],[Total]]&lt;0,T_T1341112131415161718192021222324252627282930313233353637383940414243444546474849505152535455565758596061626364656667686970717273747576777879808182838485868788899091[[#This Row],[Total]]*-1,0)</f>
        <v>0</v>
      </c>
    </row>
    <row r="23" spans="1:9" x14ac:dyDescent="0.3">
      <c r="A23" s="40">
        <v>45807</v>
      </c>
      <c r="B23" s="3" t="s">
        <v>538</v>
      </c>
      <c r="C23" s="229"/>
      <c r="D23" s="230">
        <v>400</v>
      </c>
      <c r="E23" s="230"/>
      <c r="F23" s="230"/>
      <c r="G23" s="230">
        <f t="shared" si="0"/>
        <v>400</v>
      </c>
      <c r="H23" s="233">
        <f t="shared" si="1"/>
        <v>1200</v>
      </c>
      <c r="I23" s="309">
        <f>IF(T_T1341112131415161718192021222324252627282930313233353637383940414243444546474849505152535455565758596061626364656667686970717273747576777879808182838485868788899091[[#This Row],[Total]]&lt;0,T_T1341112131415161718192021222324252627282930313233353637383940414243444546474849505152535455565758596061626364656667686970717273747576777879808182838485868788899091[[#This Row],[Total]]*-1,0)</f>
        <v>0</v>
      </c>
    </row>
    <row r="24" spans="1:9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1200</v>
      </c>
      <c r="I24" s="311">
        <f>IF(T_T1341112131415161718192021222324252627282930313233353637383940414243444546474849505152535455565758596061626364656667686970717273747576777879808182838485868788899091[[#This Row],[Total]]&lt;0,T_T1341112131415161718192021222324252627282930313233353637383940414243444546474849505152535455565758596061626364656667686970717273747576777879808182838485868788899091[[#This Row],[Total]]*-1,0)</f>
        <v>0</v>
      </c>
    </row>
    <row r="25" spans="1:9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1200</v>
      </c>
      <c r="I25" s="309">
        <f>IF(T_T1341112131415161718192021222324252627282930313233353637383940414243444546474849505152535455565758596061626364656667686970717273747576777879808182838485868788899091[[#This Row],[Total]]&lt;0,T_T1341112131415161718192021222324252627282930313233353637383940414243444546474849505152535455565758596061626364656667686970717273747576777879808182838485868788899091[[#This Row],[Total]]*-1,0)</f>
        <v>0</v>
      </c>
    </row>
    <row r="26" spans="1:9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1200</v>
      </c>
      <c r="I26" s="309">
        <f>IF(T_T1341112131415161718192021222324252627282930313233353637383940414243444546474849505152535455565758596061626364656667686970717273747576777879808182838485868788899091[[#This Row],[Total]]&lt;0,T_T1341112131415161718192021222324252627282930313233353637383940414243444546474849505152535455565758596061626364656667686970717273747576777879808182838485868788899091[[#This Row],[Total]]*-1,0)</f>
        <v>0</v>
      </c>
    </row>
    <row r="27" spans="1:9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1200</v>
      </c>
      <c r="I27" s="309">
        <f>IF(T_T1341112131415161718192021222324252627282930313233353637383940414243444546474849505152535455565758596061626364656667686970717273747576777879808182838485868788899091[[#This Row],[Total]]&lt;0,T_T1341112131415161718192021222324252627282930313233353637383940414243444546474849505152535455565758596061626364656667686970717273747576777879808182838485868788899091[[#This Row],[Total]]*-1,0)</f>
        <v>0</v>
      </c>
    </row>
    <row r="28" spans="1:9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1200</v>
      </c>
      <c r="I28" s="311">
        <f>IF(T_T1341112131415161718192021222324252627282930313233353637383940414243444546474849505152535455565758596061626364656667686970717273747576777879808182838485868788899091[[#This Row],[Total]]&lt;0,T_T1341112131415161718192021222324252627282930313233353637383940414243444546474849505152535455565758596061626364656667686970717273747576777879808182838485868788899091[[#This Row],[Total]]*-1,0)</f>
        <v>0</v>
      </c>
    </row>
    <row r="29" spans="1:9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1200</v>
      </c>
      <c r="I29" s="309">
        <f>IF(T_T1341112131415161718192021222324252627282930313233353637383940414243444546474849505152535455565758596061626364656667686970717273747576777879808182838485868788899091[[#This Row],[Total]]&lt;0,T_T1341112131415161718192021222324252627282930313233353637383940414243444546474849505152535455565758596061626364656667686970717273747576777879808182838485868788899091[[#This Row],[Total]]*-1,0)</f>
        <v>0</v>
      </c>
    </row>
    <row r="30" spans="1:9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1200</v>
      </c>
      <c r="I30" s="309">
        <f>IF(T_T1341112131415161718192021222324252627282930313233353637383940414243444546474849505152535455565758596061626364656667686970717273747576777879808182838485868788899091[[#This Row],[Total]]&lt;0,T_T1341112131415161718192021222324252627282930313233353637383940414243444546474849505152535455565758596061626364656667686970717273747576777879808182838485868788899091[[#This Row],[Total]]*-1,0)</f>
        <v>0</v>
      </c>
    </row>
    <row r="31" spans="1:9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1200</v>
      </c>
      <c r="I31" s="309">
        <f>IF(T_T1341112131415161718192021222324252627282930313233353637383940414243444546474849505152535455565758596061626364656667686970717273747576777879808182838485868788899091[[#This Row],[Total]]&lt;0,T_T1341112131415161718192021222324252627282930313233353637383940414243444546474849505152535455565758596061626364656667686970717273747576777879808182838485868788899091[[#This Row],[Total]]*-1,0)</f>
        <v>0</v>
      </c>
    </row>
    <row r="32" spans="1:9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1200</v>
      </c>
      <c r="I32" s="309">
        <f>IF(T_T1341112131415161718192021222324252627282930313233353637383940414243444546474849505152535455565758596061626364656667686970717273747576777879808182838485868788899091[[#This Row],[Total]]&lt;0,T_T1341112131415161718192021222324252627282930313233353637383940414243444546474849505152535455565758596061626364656667686970717273747576777879808182838485868788899091[[#This Row],[Total]]*-1,0)</f>
        <v>0</v>
      </c>
    </row>
    <row r="33" spans="1:9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1200</v>
      </c>
      <c r="I33" s="309">
        <f>IF(T_T1341112131415161718192021222324252627282930313233353637383940414243444546474849505152535455565758596061626364656667686970717273747576777879808182838485868788899091[[#This Row],[Total]]&lt;0,T_T1341112131415161718192021222324252627282930313233353637383940414243444546474849505152535455565758596061626364656667686970717273747576777879808182838485868788899091[[#This Row],[Total]]*-1,0)</f>
        <v>0</v>
      </c>
    </row>
    <row r="34" spans="1:9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1200</v>
      </c>
      <c r="I34" s="309">
        <f>IF(T_T1341112131415161718192021222324252627282930313233353637383940414243444546474849505152535455565758596061626364656667686970717273747576777879808182838485868788899091[[#This Row],[Total]]&lt;0,T_T1341112131415161718192021222324252627282930313233353637383940414243444546474849505152535455565758596061626364656667686970717273747576777879808182838485868788899091[[#This Row],[Total]]*-1,0)</f>
        <v>0</v>
      </c>
    </row>
    <row r="35" spans="1:9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1200</v>
      </c>
      <c r="I35" s="309">
        <f>IF(T_T1341112131415161718192021222324252627282930313233353637383940414243444546474849505152535455565758596061626364656667686970717273747576777879808182838485868788899091[[#This Row],[Total]]&lt;0,T_T1341112131415161718192021222324252627282930313233353637383940414243444546474849505152535455565758596061626364656667686970717273747576777879808182838485868788899091[[#This Row],[Total]]*-1,0)</f>
        <v>0</v>
      </c>
    </row>
    <row r="36" spans="1:9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1200</v>
      </c>
      <c r="I36" s="311">
        <f>IF(T_T1341112131415161718192021222324252627282930313233353637383940414243444546474849505152535455565758596061626364656667686970717273747576777879808182838485868788899091[[#This Row],[Total]]&lt;0,T_T1341112131415161718192021222324252627282930313233353637383940414243444546474849505152535455565758596061626364656667686970717273747576777879808182838485868788899091[[#This Row],[Total]]*-1,0)</f>
        <v>0</v>
      </c>
    </row>
    <row r="37" spans="1:9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1200</v>
      </c>
      <c r="I37" s="353">
        <f>IF(T_T1341112131415161718192021222324252627282930313233353637383940414243444546474849505152535455565758596061626364656667686970717273747576777879808182838485868788899091[[#This Row],[Total]]&lt;0,T_T1341112131415161718192021222324252627282930313233353637383940414243444546474849505152535455565758596061626364656667686970717273747576777879808182838485868788899091[[#This Row],[Total]]*-1,0)</f>
        <v>0</v>
      </c>
    </row>
    <row r="38" spans="1:9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1200</v>
      </c>
      <c r="I38" s="353">
        <f>IF(T_T1341112131415161718192021222324252627282930313233353637383940414243444546474849505152535455565758596061626364656667686970717273747576777879808182838485868788899091[[#This Row],[Total]]&lt;0,T_T1341112131415161718192021222324252627282930313233353637383940414243444546474849505152535455565758596061626364656667686970717273747576777879808182838485868788899091[[#This Row],[Total]]*-1,0)</f>
        <v>0</v>
      </c>
    </row>
    <row r="39" spans="1:9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1200</v>
      </c>
      <c r="I39" s="353">
        <f>IF(T_T1341112131415161718192021222324252627282930313233353637383940414243444546474849505152535455565758596061626364656667686970717273747576777879808182838485868788899091[[#This Row],[Total]]&lt;0,T_T1341112131415161718192021222324252627282930313233353637383940414243444546474849505152535455565758596061626364656667686970717273747576777879808182838485868788899091[[#This Row],[Total]]*-1,0)</f>
        <v>0</v>
      </c>
    </row>
    <row r="40" spans="1:9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1200</v>
      </c>
      <c r="I40" s="353">
        <f>IF(T_T1341112131415161718192021222324252627282930313233353637383940414243444546474849505152535455565758596061626364656667686970717273747576777879808182838485868788899091[[#This Row],[Total]]&lt;0,T_T1341112131415161718192021222324252627282930313233353637383940414243444546474849505152535455565758596061626364656667686970717273747576777879808182838485868788899091[[#This Row],[Total]]*-1,0)</f>
        <v>0</v>
      </c>
    </row>
  </sheetData>
  <hyperlinks>
    <hyperlink ref="B7" r:id="rId1" display="jose.orozco@outlook.com"/>
    <hyperlink ref="H7" location="Resumen!A1" display="Rsumen         "/>
  </hyperlinks>
  <pageMargins left="0.70866141732283472" right="0.70866141732283472" top="1.04" bottom="0.31496062992125984" header="1.06" footer="0.31496062992125984"/>
  <pageSetup scale="65" orientation="portrait" verticalDpi="360" r:id="rId2"/>
  <drawing r:id="rId3"/>
  <tableParts count="1">
    <tablePart r:id="rId4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M40"/>
  <sheetViews>
    <sheetView showGridLines="0" zoomScale="85" zoomScaleNormal="85" workbookViewId="0">
      <selection activeCell="E24" sqref="E24"/>
    </sheetView>
  </sheetViews>
  <sheetFormatPr baseColWidth="10" defaultColWidth="9.109375" defaultRowHeight="14.4" x14ac:dyDescent="0.3"/>
  <cols>
    <col min="1" max="1" width="13.109375" customWidth="1"/>
    <col min="2" max="2" width="37.44140625" customWidth="1"/>
    <col min="3" max="3" width="10.44140625" style="4" customWidth="1"/>
    <col min="4" max="4" width="11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0.88671875" bestFit="1" customWidth="1"/>
    <col min="14" max="14" width="19.6640625" customWidth="1"/>
  </cols>
  <sheetData>
    <row r="2" spans="1:13" ht="15" customHeight="1" x14ac:dyDescent="0.3">
      <c r="A2" s="27" t="s">
        <v>36</v>
      </c>
      <c r="B2" s="41" t="s">
        <v>140</v>
      </c>
    </row>
    <row r="3" spans="1:13" hidden="1" x14ac:dyDescent="0.3">
      <c r="A3" s="27" t="s">
        <v>31</v>
      </c>
      <c r="B3" s="28" t="e">
        <f>LOOKUP(B2,#REF!,#REF!)</f>
        <v>#REF!</v>
      </c>
    </row>
    <row r="4" spans="1:13" hidden="1" x14ac:dyDescent="0.3">
      <c r="A4" s="27" t="s">
        <v>32</v>
      </c>
      <c r="B4" s="28" t="e">
        <f>LOOKUP(B2,#REF!,#REF!)</f>
        <v>#REF!</v>
      </c>
    </row>
    <row r="5" spans="1:13" hidden="1" x14ac:dyDescent="0.3">
      <c r="A5" s="27" t="s">
        <v>33</v>
      </c>
      <c r="B5" s="28" t="e">
        <f>LOOKUP(B2,#REF!,#REF!)</f>
        <v>#REF!</v>
      </c>
    </row>
    <row r="6" spans="1:13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3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3" x14ac:dyDescent="0.3">
      <c r="A8" s="21"/>
      <c r="B8" s="21" t="s">
        <v>215</v>
      </c>
    </row>
    <row r="9" spans="1:13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13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/>
      <c r="M10" s="178"/>
    </row>
    <row r="11" spans="1:13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IF(T_T134111213141516171819202122232425262728293031323335363738394041424344454647484950515253545556575859606162636465666768697071727374757677787980818283848586878889909192[[#This Row],[Total]]&lt;0,T_T134111213141516171819202122232425262728293031323335363738394041424344454647484950515253545556575859606162636465666768697071727374757677787980818283848586878889909192[[#This Row],[Total]]*-1,0)</f>
        <v>0</v>
      </c>
    </row>
    <row r="12" spans="1:13" x14ac:dyDescent="0.3">
      <c r="A12" s="117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IF(T_T134111213141516171819202122232425262728293031323335363738394041424344454647484950515253545556575859606162636465666768697071727374757677787980818283848586878889909192[[#This Row],[Total]]&lt;0,T_T134111213141516171819202122232425262728293031323335363738394041424344454647484950515253545556575859606162636465666768697071727374757677787980818283848586878889909192[[#This Row],[Total]]*-1,0)</f>
        <v>0</v>
      </c>
    </row>
    <row r="13" spans="1:13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IF(T_T134111213141516171819202122232425262728293031323335363738394041424344454647484950515253545556575859606162636465666768697071727374757677787980818283848586878889909192[[#This Row],[Total]]&lt;0,T_T134111213141516171819202122232425262728293031323335363738394041424344454647484950515253545556575859606162636465666768697071727374757677787980818283848586878889909192[[#This Row],[Total]]*-1,0)</f>
        <v>0</v>
      </c>
    </row>
    <row r="14" spans="1:13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IF(T_T134111213141516171819202122232425262728293031323335363738394041424344454647484950515253545556575859606162636465666768697071727374757677787980818283848586878889909192[[#This Row],[Total]]&lt;0,T_T134111213141516171819202122232425262728293031323335363738394041424344454647484950515253545556575859606162636465666768697071727374757677787980818283848586878889909192[[#This Row],[Total]]*-1,0)</f>
        <v>0</v>
      </c>
    </row>
    <row r="15" spans="1:13" x14ac:dyDescent="0.3">
      <c r="A15" s="17">
        <v>45687</v>
      </c>
      <c r="B15" s="18" t="s">
        <v>530</v>
      </c>
      <c r="C15" s="6"/>
      <c r="D15" s="2">
        <v>388</v>
      </c>
      <c r="E15" s="2">
        <v>103</v>
      </c>
      <c r="F15" s="20"/>
      <c r="G15" s="20">
        <f>SUM(D15:F15)</f>
        <v>491</v>
      </c>
      <c r="H15" s="233">
        <f>+H13+T_T134111213141516171819202122232425262728293031323335363738394041424344454647484950515253545556575859606162636465666768697071727374757677787980818283848586878889909192[[#This Row],[Total]]</f>
        <v>491</v>
      </c>
      <c r="I15" s="240">
        <f>IF(T_T134111213141516171819202122232425262728293031323335363738394041424344454647484950515253545556575859606162636465666768697071727374757677787980818283848586878889909192[[#This Row],[Total]]&lt;0,T_T134111213141516171819202122232425262728293031323335363738394041424344454647484950515253545556575859606162636465666768697071727374757677787980818283848586878889909192[[#This Row],[Total]]*-1,0)</f>
        <v>0</v>
      </c>
    </row>
    <row r="16" spans="1:13" x14ac:dyDescent="0.3">
      <c r="A16" s="17"/>
      <c r="B16" s="18" t="s">
        <v>531</v>
      </c>
      <c r="C16" s="6">
        <v>8696</v>
      </c>
      <c r="D16" s="2">
        <v>-388</v>
      </c>
      <c r="E16" s="2">
        <v>-103</v>
      </c>
      <c r="F16" s="230"/>
      <c r="G16" s="230">
        <f t="shared" ref="G16:G38" si="0">SUM(D16:F16)</f>
        <v>-491</v>
      </c>
      <c r="H16" s="233">
        <f t="shared" ref="H16:H40" si="1">H15+G16</f>
        <v>0</v>
      </c>
      <c r="I16" s="239">
        <f>IF(T_T134111213141516171819202122232425262728293031323335363738394041424344454647484950515253545556575859606162636465666768697071727374757677787980818283848586878889909192[[#This Row],[Total]]&lt;0,T_T134111213141516171819202122232425262728293031323335363738394041424344454647484950515253545556575859606162636465666768697071727374757677787980818283848586878889909192[[#This Row],[Total]]*-1,0)</f>
        <v>491</v>
      </c>
    </row>
    <row r="17" spans="1:9" x14ac:dyDescent="0.3">
      <c r="A17" s="164">
        <v>45715</v>
      </c>
      <c r="B17" s="161" t="s">
        <v>532</v>
      </c>
      <c r="C17" s="6"/>
      <c r="D17" s="2">
        <v>388</v>
      </c>
      <c r="E17" s="2">
        <v>109</v>
      </c>
      <c r="F17" s="230"/>
      <c r="G17" s="230">
        <f t="shared" si="0"/>
        <v>497</v>
      </c>
      <c r="H17" s="233">
        <f t="shared" si="1"/>
        <v>497</v>
      </c>
      <c r="I17" s="240">
        <f>IF(T_T134111213141516171819202122232425262728293031323335363738394041424344454647484950515253545556575859606162636465666768697071727374757677787980818283848586878889909192[[#This Row],[Total]]&lt;0,T_T134111213141516171819202122232425262728293031323335363738394041424344454647484950515253545556575859606162636465666768697071727374757677787980818283848586878889909192[[#This Row],[Total]]*-1,0)</f>
        <v>0</v>
      </c>
    </row>
    <row r="18" spans="1:9" x14ac:dyDescent="0.3">
      <c r="A18" s="187"/>
      <c r="B18" s="18" t="s">
        <v>533</v>
      </c>
      <c r="C18" s="6"/>
      <c r="D18" s="2"/>
      <c r="E18" s="2"/>
      <c r="F18" s="230"/>
      <c r="G18" s="230">
        <f t="shared" si="0"/>
        <v>0</v>
      </c>
      <c r="H18" s="233">
        <f t="shared" si="1"/>
        <v>497</v>
      </c>
      <c r="I18" s="240">
        <f>IF(T_T134111213141516171819202122232425262728293031323335363738394041424344454647484950515253545556575859606162636465666768697071727374757677787980818283848586878889909192[[#This Row],[Total]]&lt;0,T_T134111213141516171819202122232425262728293031323335363738394041424344454647484950515253545556575859606162636465666768697071727374757677787980818283848586878889909192[[#This Row],[Total]]*-1,0)</f>
        <v>0</v>
      </c>
    </row>
    <row r="19" spans="1:9" x14ac:dyDescent="0.3">
      <c r="A19" s="188">
        <v>45747</v>
      </c>
      <c r="B19" s="3" t="s">
        <v>534</v>
      </c>
      <c r="C19" s="6"/>
      <c r="D19" s="2">
        <v>442</v>
      </c>
      <c r="E19" s="2">
        <v>95</v>
      </c>
      <c r="F19" s="230"/>
      <c r="G19" s="230">
        <f t="shared" si="0"/>
        <v>537</v>
      </c>
      <c r="H19" s="233">
        <f t="shared" si="1"/>
        <v>1034</v>
      </c>
      <c r="I19" s="240">
        <f>IF(T_T134111213141516171819202122232425262728293031323335363738394041424344454647484950515253545556575859606162636465666768697071727374757677787980818283848586878889909192[[#This Row],[Total]]&lt;0,T_T134111213141516171819202122232425262728293031323335363738394041424344454647484950515253545556575859606162636465666768697071727374757677787980818283848586878889909192[[#This Row],[Total]]*-1,0)</f>
        <v>0</v>
      </c>
    </row>
    <row r="20" spans="1:9" x14ac:dyDescent="0.3">
      <c r="A20" s="188"/>
      <c r="B20" s="82" t="s">
        <v>535</v>
      </c>
      <c r="C20" s="6"/>
      <c r="D20" s="2"/>
      <c r="E20" s="2"/>
      <c r="F20" s="230"/>
      <c r="G20" s="230">
        <f t="shared" si="0"/>
        <v>0</v>
      </c>
      <c r="H20" s="233">
        <f t="shared" si="1"/>
        <v>1034</v>
      </c>
      <c r="I20" s="239">
        <f>IF(T_T134111213141516171819202122232425262728293031323335363738394041424344454647484950515253545556575859606162636465666768697071727374757677787980818283848586878889909192[[#This Row],[Total]]&lt;0,T_T134111213141516171819202122232425262728293031323335363738394041424344454647484950515253545556575859606162636465666768697071727374757677787980818283848586878889909192[[#This Row],[Total]]*-1,0)</f>
        <v>0</v>
      </c>
    </row>
    <row r="21" spans="1:9" x14ac:dyDescent="0.3">
      <c r="A21" s="188">
        <v>45777</v>
      </c>
      <c r="B21" s="3" t="s">
        <v>536</v>
      </c>
      <c r="C21" s="6"/>
      <c r="D21" s="2">
        <v>442</v>
      </c>
      <c r="E21" s="2">
        <v>109</v>
      </c>
      <c r="F21" s="230"/>
      <c r="G21" s="230">
        <f t="shared" si="0"/>
        <v>551</v>
      </c>
      <c r="H21" s="233">
        <f t="shared" si="1"/>
        <v>1585</v>
      </c>
      <c r="I21" s="309">
        <f>IF(T_T134111213141516171819202122232425262728293031323335363738394041424344454647484950515253545556575859606162636465666768697071727374757677787980818283848586878889909192[[#This Row],[Total]]&lt;0,T_T134111213141516171819202122232425262728293031323335363738394041424344454647484950515253545556575859606162636465666768697071727374757677787980818283848586878889909192[[#This Row],[Total]]*-1,0)</f>
        <v>0</v>
      </c>
    </row>
    <row r="22" spans="1:9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1585</v>
      </c>
      <c r="I22" s="309">
        <f>IF(T_T134111213141516171819202122232425262728293031323335363738394041424344454647484950515253545556575859606162636465666768697071727374757677787980818283848586878889909192[[#This Row],[Total]]&lt;0,T_T134111213141516171819202122232425262728293031323335363738394041424344454647484950515253545556575859606162636465666768697071727374757677787980818283848586878889909192[[#This Row],[Total]]*-1,0)</f>
        <v>0</v>
      </c>
    </row>
    <row r="23" spans="1:9" x14ac:dyDescent="0.3">
      <c r="A23" s="40">
        <v>45807</v>
      </c>
      <c r="B23" s="3" t="s">
        <v>538</v>
      </c>
      <c r="C23" s="229"/>
      <c r="D23" s="230">
        <v>442</v>
      </c>
      <c r="E23" s="230">
        <v>107</v>
      </c>
      <c r="F23" s="230"/>
      <c r="G23" s="230">
        <f t="shared" si="0"/>
        <v>549</v>
      </c>
      <c r="H23" s="233">
        <f t="shared" si="1"/>
        <v>2134</v>
      </c>
      <c r="I23" s="309">
        <f>IF(T_T134111213141516171819202122232425262728293031323335363738394041424344454647484950515253545556575859606162636465666768697071727374757677787980818283848586878889909192[[#This Row],[Total]]&lt;0,T_T134111213141516171819202122232425262728293031323335363738394041424344454647484950515253545556575859606162636465666768697071727374757677787980818283848586878889909192[[#This Row],[Total]]*-1,0)</f>
        <v>0</v>
      </c>
    </row>
    <row r="24" spans="1:9" x14ac:dyDescent="0.3">
      <c r="A24" s="9"/>
      <c r="B24" s="18" t="s">
        <v>539</v>
      </c>
      <c r="C24" s="6"/>
      <c r="D24" s="230"/>
      <c r="E24" s="7"/>
      <c r="F24" s="230"/>
      <c r="G24" s="230">
        <f t="shared" si="0"/>
        <v>0</v>
      </c>
      <c r="H24" s="233">
        <f t="shared" si="1"/>
        <v>2134</v>
      </c>
      <c r="I24" s="311">
        <f>IF(T_T134111213141516171819202122232425262728293031323335363738394041424344454647484950515253545556575859606162636465666768697071727374757677787980818283848586878889909192[[#This Row],[Total]]&lt;0,T_T134111213141516171819202122232425262728293031323335363738394041424344454647484950515253545556575859606162636465666768697071727374757677787980818283848586878889909192[[#This Row],[Total]]*-1,0)</f>
        <v>0</v>
      </c>
    </row>
    <row r="25" spans="1:9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2134</v>
      </c>
      <c r="I25" s="309">
        <f>IF(T_T134111213141516171819202122232425262728293031323335363738394041424344454647484950515253545556575859606162636465666768697071727374757677787980818283848586878889909192[[#This Row],[Total]]&lt;0,T_T134111213141516171819202122232425262728293031323335363738394041424344454647484950515253545556575859606162636465666768697071727374757677787980818283848586878889909192[[#This Row],[Total]]*-1,0)</f>
        <v>0</v>
      </c>
    </row>
    <row r="26" spans="1:9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2134</v>
      </c>
      <c r="I26" s="309">
        <f>IF(T_T134111213141516171819202122232425262728293031323335363738394041424344454647484950515253545556575859606162636465666768697071727374757677787980818283848586878889909192[[#This Row],[Total]]&lt;0,T_T134111213141516171819202122232425262728293031323335363738394041424344454647484950515253545556575859606162636465666768697071727374757677787980818283848586878889909192[[#This Row],[Total]]*-1,0)</f>
        <v>0</v>
      </c>
    </row>
    <row r="27" spans="1:9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2134</v>
      </c>
      <c r="I27" s="309">
        <f>IF(T_T134111213141516171819202122232425262728293031323335363738394041424344454647484950515253545556575859606162636465666768697071727374757677787980818283848586878889909192[[#This Row],[Total]]&lt;0,T_T134111213141516171819202122232425262728293031323335363738394041424344454647484950515253545556575859606162636465666768697071727374757677787980818283848586878889909192[[#This Row],[Total]]*-1,0)</f>
        <v>0</v>
      </c>
    </row>
    <row r="28" spans="1:9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2134</v>
      </c>
      <c r="I28" s="311">
        <f>IF(T_T134111213141516171819202122232425262728293031323335363738394041424344454647484950515253545556575859606162636465666768697071727374757677787980818283848586878889909192[[#This Row],[Total]]&lt;0,T_T134111213141516171819202122232425262728293031323335363738394041424344454647484950515253545556575859606162636465666768697071727374757677787980818283848586878889909192[[#This Row],[Total]]*-1,0)</f>
        <v>0</v>
      </c>
    </row>
    <row r="29" spans="1:9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2134</v>
      </c>
      <c r="I29" s="309">
        <f>IF(T_T134111213141516171819202122232425262728293031323335363738394041424344454647484950515253545556575859606162636465666768697071727374757677787980818283848586878889909192[[#This Row],[Total]]&lt;0,T_T134111213141516171819202122232425262728293031323335363738394041424344454647484950515253545556575859606162636465666768697071727374757677787980818283848586878889909192[[#This Row],[Total]]*-1,0)</f>
        <v>0</v>
      </c>
    </row>
    <row r="30" spans="1:9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2134</v>
      </c>
      <c r="I30" s="309">
        <f>IF(T_T134111213141516171819202122232425262728293031323335363738394041424344454647484950515253545556575859606162636465666768697071727374757677787980818283848586878889909192[[#This Row],[Total]]&lt;0,T_T134111213141516171819202122232425262728293031323335363738394041424344454647484950515253545556575859606162636465666768697071727374757677787980818283848586878889909192[[#This Row],[Total]]*-1,0)</f>
        <v>0</v>
      </c>
    </row>
    <row r="31" spans="1:9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2134</v>
      </c>
      <c r="I31" s="309">
        <f>IF(T_T134111213141516171819202122232425262728293031323335363738394041424344454647484950515253545556575859606162636465666768697071727374757677787980818283848586878889909192[[#This Row],[Total]]&lt;0,T_T134111213141516171819202122232425262728293031323335363738394041424344454647484950515253545556575859606162636465666768697071727374757677787980818283848586878889909192[[#This Row],[Total]]*-1,0)</f>
        <v>0</v>
      </c>
    </row>
    <row r="32" spans="1:9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2134</v>
      </c>
      <c r="I32" s="309">
        <f>IF(T_T134111213141516171819202122232425262728293031323335363738394041424344454647484950515253545556575859606162636465666768697071727374757677787980818283848586878889909192[[#This Row],[Total]]&lt;0,T_T134111213141516171819202122232425262728293031323335363738394041424344454647484950515253545556575859606162636465666768697071727374757677787980818283848586878889909192[[#This Row],[Total]]*-1,0)</f>
        <v>0</v>
      </c>
    </row>
    <row r="33" spans="1:9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2134</v>
      </c>
      <c r="I33" s="309">
        <f>IF(T_T134111213141516171819202122232425262728293031323335363738394041424344454647484950515253545556575859606162636465666768697071727374757677787980818283848586878889909192[[#This Row],[Total]]&lt;0,T_T134111213141516171819202122232425262728293031323335363738394041424344454647484950515253545556575859606162636465666768697071727374757677787980818283848586878889909192[[#This Row],[Total]]*-1,0)</f>
        <v>0</v>
      </c>
    </row>
    <row r="34" spans="1:9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2134</v>
      </c>
      <c r="I34" s="309">
        <f>IF(T_T134111213141516171819202122232425262728293031323335363738394041424344454647484950515253545556575859606162636465666768697071727374757677787980818283848586878889909192[[#This Row],[Total]]&lt;0,T_T134111213141516171819202122232425262728293031323335363738394041424344454647484950515253545556575859606162636465666768697071727374757677787980818283848586878889909192[[#This Row],[Total]]*-1,0)</f>
        <v>0</v>
      </c>
    </row>
    <row r="35" spans="1:9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2134</v>
      </c>
      <c r="I35" s="309">
        <f>IF(T_T134111213141516171819202122232425262728293031323335363738394041424344454647484950515253545556575859606162636465666768697071727374757677787980818283848586878889909192[[#This Row],[Total]]&lt;0,T_T134111213141516171819202122232425262728293031323335363738394041424344454647484950515253545556575859606162636465666768697071727374757677787980818283848586878889909192[[#This Row],[Total]]*-1,0)</f>
        <v>0</v>
      </c>
    </row>
    <row r="36" spans="1:9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2134</v>
      </c>
      <c r="I36" s="311">
        <f>IF(T_T134111213141516171819202122232425262728293031323335363738394041424344454647484950515253545556575859606162636465666768697071727374757677787980818283848586878889909192[[#This Row],[Total]]&lt;0,T_T134111213141516171819202122232425262728293031323335363738394041424344454647484950515253545556575859606162636465666768697071727374757677787980818283848586878889909192[[#This Row],[Total]]*-1,0)</f>
        <v>0</v>
      </c>
    </row>
    <row r="37" spans="1:9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2134</v>
      </c>
      <c r="I37" s="353">
        <f>IF(T_T134111213141516171819202122232425262728293031323335363738394041424344454647484950515253545556575859606162636465666768697071727374757677787980818283848586878889909192[[#This Row],[Total]]&lt;0,T_T134111213141516171819202122232425262728293031323335363738394041424344454647484950515253545556575859606162636465666768697071727374757677787980818283848586878889909192[[#This Row],[Total]]*-1,0)</f>
        <v>0</v>
      </c>
    </row>
    <row r="38" spans="1:9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2134</v>
      </c>
      <c r="I38" s="353">
        <f>IF(T_T134111213141516171819202122232425262728293031323335363738394041424344454647484950515253545556575859606162636465666768697071727374757677787980818283848586878889909192[[#This Row],[Total]]&lt;0,T_T134111213141516171819202122232425262728293031323335363738394041424344454647484950515253545556575859606162636465666768697071727374757677787980818283848586878889909192[[#This Row],[Total]]*-1,0)</f>
        <v>0</v>
      </c>
    </row>
    <row r="39" spans="1:9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2134</v>
      </c>
      <c r="I39" s="353">
        <f>IF(T_T134111213141516171819202122232425262728293031323335363738394041424344454647484950515253545556575859606162636465666768697071727374757677787980818283848586878889909192[[#This Row],[Total]]&lt;0,T_T134111213141516171819202122232425262728293031323335363738394041424344454647484950515253545556575859606162636465666768697071727374757677787980818283848586878889909192[[#This Row],[Total]]*-1,0)</f>
        <v>0</v>
      </c>
    </row>
    <row r="40" spans="1:9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2134</v>
      </c>
      <c r="I40" s="353">
        <f>IF(T_T134111213141516171819202122232425262728293031323335363738394041424344454647484950515253545556575859606162636465666768697071727374757677787980818283848586878889909192[[#This Row],[Total]]&lt;0,T_T134111213141516171819202122232425262728293031323335363738394041424344454647484950515253545556575859606162636465666768697071727374757677787980818283848586878889909192[[#This Row],[Total]]*-1,0)</f>
        <v>0</v>
      </c>
    </row>
  </sheetData>
  <hyperlinks>
    <hyperlink ref="B7" r:id="rId1" display="jose.orozco@outlook.com"/>
    <hyperlink ref="H7" location="Resumen!A1" display="Rsumen         "/>
  </hyperlinks>
  <pageMargins left="0.70866141732283472" right="0.74803149606299213" top="0.27559055118110237" bottom="0.19685039370078741" header="0.23622047244094491" footer="0.23622047244094491"/>
  <pageSetup scale="60" orientation="portrait" verticalDpi="360" r:id="rId2"/>
  <drawing r:id="rId3"/>
  <tableParts count="1">
    <tablePart r:id="rId4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N40"/>
  <sheetViews>
    <sheetView showGridLines="0" topLeftCell="A2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4" max="14" width="10.6640625" bestFit="1" customWidth="1"/>
    <col min="15" max="15" width="14.5546875" customWidth="1"/>
  </cols>
  <sheetData>
    <row r="2" spans="1:14" ht="14.25" customHeight="1" x14ac:dyDescent="0.3">
      <c r="A2" s="27" t="s">
        <v>36</v>
      </c>
      <c r="B2" s="41" t="s">
        <v>141</v>
      </c>
    </row>
    <row r="3" spans="1:14" hidden="1" x14ac:dyDescent="0.3">
      <c r="A3" s="27" t="s">
        <v>31</v>
      </c>
      <c r="B3" s="28" t="e">
        <f>LOOKUP(B2,#REF!,#REF!)</f>
        <v>#REF!</v>
      </c>
    </row>
    <row r="4" spans="1:14" hidden="1" x14ac:dyDescent="0.3">
      <c r="A4" s="27" t="s">
        <v>32</v>
      </c>
      <c r="B4" s="28" t="e">
        <f>LOOKUP(B2,#REF!,#REF!)</f>
        <v>#REF!</v>
      </c>
    </row>
    <row r="5" spans="1:14" hidden="1" x14ac:dyDescent="0.3">
      <c r="A5" s="27" t="s">
        <v>33</v>
      </c>
      <c r="B5" s="28" t="e">
        <f>LOOKUP(B2,#REF!,#REF!)</f>
        <v>#REF!</v>
      </c>
    </row>
    <row r="6" spans="1:14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4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4" x14ac:dyDescent="0.3">
      <c r="A8" s="21"/>
      <c r="B8" s="21" t="s">
        <v>368</v>
      </c>
    </row>
    <row r="9" spans="1:14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182" t="s">
        <v>188</v>
      </c>
      <c r="K9" s="242" t="s">
        <v>191</v>
      </c>
      <c r="L9" s="312" t="s">
        <v>262</v>
      </c>
    </row>
    <row r="10" spans="1:14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IF(T_T13411121314151617181920212223242526272829303132333536373839404142434445464748495051525354555657585960616263646566676869707172737475767778798081828384858687888990919293[[#This Row],[Total]]&lt;0,T_T13411121314151617181920212223242526272829303132333536373839404142434445464748495051525354555657585960616263646566676869707172737475767778798081828384858687888990919293[[#This Row],[Total]]*-1,0)</f>
        <v>0</v>
      </c>
      <c r="J10" s="201"/>
      <c r="K10" s="232"/>
      <c r="L10" s="313"/>
      <c r="N10" s="178"/>
    </row>
    <row r="11" spans="1:14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IF(T_T13411121314151617181920212223242526272829303132333536373839404142434445464748495051525354555657585960616263646566676869707172737475767778798081828384858687888990919293[[#This Row],[Total]]&lt;0,T_T13411121314151617181920212223242526272829303132333536373839404142434445464748495051525354555657585960616263646566676869707172737475767778798081828384858687888990919293[[#This Row],[Total]]*-1,0)</f>
        <v>0</v>
      </c>
      <c r="J11" s="240"/>
      <c r="K11" s="232"/>
      <c r="L11" s="313"/>
    </row>
    <row r="12" spans="1:14" x14ac:dyDescent="0.3">
      <c r="A12" s="117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IF(T_T13411121314151617181920212223242526272829303132333536373839404142434445464748495051525354555657585960616263646566676869707172737475767778798081828384858687888990919293[[#This Row],[Total]]&lt;0,T_T13411121314151617181920212223242526272829303132333536373839404142434445464748495051525354555657585960616263646566676869707172737475767778798081828384858687888990919293[[#This Row],[Total]]*-1,0)</f>
        <v>0</v>
      </c>
      <c r="J12" s="430"/>
      <c r="K12" s="419"/>
      <c r="L12" s="419"/>
    </row>
    <row r="13" spans="1:14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IF(T_T13411121314151617181920212223242526272829303132333536373839404142434445464748495051525354555657585960616263646566676869707172737475767778798081828384858687888990919293[[#This Row],[Total]]&lt;0,T_T13411121314151617181920212223242526272829303132333536373839404142434445464748495051525354555657585960616263646566676869707172737475767778798081828384858687888990919293[[#This Row],[Total]]*-1,0)</f>
        <v>0</v>
      </c>
      <c r="J13" s="240"/>
      <c r="K13" s="232"/>
      <c r="L13" s="313"/>
    </row>
    <row r="14" spans="1:14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IF(T_T13411121314151617181920212223242526272829303132333536373839404142434445464748495051525354555657585960616263646566676869707172737475767778798081828384858687888990919293[[#This Row],[Total]]&lt;0,T_T13411121314151617181920212223242526272829303132333536373839404142434445464748495051525354555657585960616263646566676869707172737475767778798081828384858687888990919293[[#This Row],[Total]]*-1,0)</f>
        <v>0</v>
      </c>
      <c r="J14" s="473"/>
      <c r="K14" s="485"/>
      <c r="L14" s="485"/>
    </row>
    <row r="15" spans="1:14" x14ac:dyDescent="0.3">
      <c r="A15" s="17">
        <v>46052</v>
      </c>
      <c r="B15" s="18" t="s">
        <v>590</v>
      </c>
      <c r="C15" s="6"/>
      <c r="D15" s="2">
        <v>88</v>
      </c>
      <c r="E15" s="2">
        <v>9</v>
      </c>
      <c r="F15" s="20"/>
      <c r="G15" s="20">
        <f>SUM(D15:F15)</f>
        <v>97</v>
      </c>
      <c r="H15" s="233">
        <f>+H13+T_T13411121314151617181920212223242526272829303132333536373839404142434445464748495051525354555657585960616263646566676869707172737475767778798081828384858687888990919293[[#This Row],[Total]]</f>
        <v>97</v>
      </c>
      <c r="I15" s="240">
        <f>IF(T_T13411121314151617181920212223242526272829303132333536373839404142434445464748495051525354555657585960616263646566676869707172737475767778798081828384858687888990919293[[#This Row],[Total]]&lt;0,T_T13411121314151617181920212223242526272829303132333536373839404142434445464748495051525354555657585960616263646566676869707172737475767778798081828384858687888990919293[[#This Row],[Total]]*-1,0)</f>
        <v>0</v>
      </c>
      <c r="J15" s="240"/>
      <c r="K15" s="79"/>
      <c r="L15" s="313"/>
    </row>
    <row r="16" spans="1:14" x14ac:dyDescent="0.3">
      <c r="A16" s="17"/>
      <c r="B16" s="18" t="s">
        <v>591</v>
      </c>
      <c r="C16" s="6">
        <v>8619</v>
      </c>
      <c r="D16" s="2">
        <v>-88</v>
      </c>
      <c r="E16" s="2">
        <v>-9</v>
      </c>
      <c r="F16" s="230"/>
      <c r="G16" s="230">
        <f t="shared" ref="G16:G38" si="0">SUM(D16:F16)</f>
        <v>-97</v>
      </c>
      <c r="H16" s="233">
        <f t="shared" ref="H16:H40" si="1">H15+G16</f>
        <v>0</v>
      </c>
      <c r="I16" s="239">
        <f>IF(T_T13411121314151617181920212223242526272829303132333536373839404142434445464748495051525354555657585960616263646566676869707172737475767778798081828384858687888990919293[[#This Row],[Total]]&lt;0,T_T13411121314151617181920212223242526272829303132333536373839404142434445464748495051525354555657585960616263646566676869707172737475767778798081828384858687888990919293[[#This Row],[Total]]*-1,0)</f>
        <v>97</v>
      </c>
      <c r="J16" s="239"/>
      <c r="K16" s="232"/>
      <c r="L16" s="313"/>
    </row>
    <row r="17" spans="1:14" x14ac:dyDescent="0.3">
      <c r="A17" s="164">
        <v>45715</v>
      </c>
      <c r="B17" s="161" t="s">
        <v>532</v>
      </c>
      <c r="C17" s="6"/>
      <c r="D17" s="2">
        <v>88</v>
      </c>
      <c r="E17" s="2">
        <v>14</v>
      </c>
      <c r="F17" s="230"/>
      <c r="G17" s="230">
        <f t="shared" si="0"/>
        <v>102</v>
      </c>
      <c r="H17" s="233">
        <f t="shared" si="1"/>
        <v>102</v>
      </c>
      <c r="I17" s="240">
        <f>IF(T_T13411121314151617181920212223242526272829303132333536373839404142434445464748495051525354555657585960616263646566676869707172737475767778798081828384858687888990919293[[#This Row],[Total]]&lt;0,T_T13411121314151617181920212223242526272829303132333536373839404142434445464748495051525354555657585960616263646566676869707172737475767778798081828384858687888990919293[[#This Row],[Total]]*-1,0)</f>
        <v>0</v>
      </c>
      <c r="J17" s="240"/>
      <c r="K17" s="232"/>
      <c r="L17" s="313"/>
    </row>
    <row r="18" spans="1:14" x14ac:dyDescent="0.3">
      <c r="A18" s="187"/>
      <c r="B18" s="18" t="s">
        <v>533</v>
      </c>
      <c r="C18" s="6">
        <v>8749</v>
      </c>
      <c r="D18" s="2">
        <v>-88</v>
      </c>
      <c r="E18" s="2">
        <v>-14</v>
      </c>
      <c r="F18" s="230"/>
      <c r="G18" s="230">
        <f t="shared" si="0"/>
        <v>-102</v>
      </c>
      <c r="H18" s="233">
        <f t="shared" si="1"/>
        <v>0</v>
      </c>
      <c r="I18" s="240">
        <f>IF(T_T13411121314151617181920212223242526272829303132333536373839404142434445464748495051525354555657585960616263646566676869707172737475767778798081828384858687888990919293[[#This Row],[Total]]&lt;0,T_T13411121314151617181920212223242526272829303132333536373839404142434445464748495051525354555657585960616263646566676869707172737475767778798081828384858687888990919293[[#This Row],[Total]]*-1,0)</f>
        <v>102</v>
      </c>
      <c r="J18" s="240"/>
      <c r="K18" s="79"/>
      <c r="L18" s="313"/>
    </row>
    <row r="19" spans="1:14" x14ac:dyDescent="0.3">
      <c r="A19" s="188">
        <v>45747</v>
      </c>
      <c r="B19" s="3" t="s">
        <v>534</v>
      </c>
      <c r="C19" s="6"/>
      <c r="D19" s="2">
        <v>101</v>
      </c>
      <c r="E19" s="2">
        <v>5</v>
      </c>
      <c r="F19" s="230"/>
      <c r="G19" s="230">
        <f t="shared" si="0"/>
        <v>106</v>
      </c>
      <c r="H19" s="233">
        <f t="shared" si="1"/>
        <v>106</v>
      </c>
      <c r="I19" s="240">
        <f>IF(T_T13411121314151617181920212223242526272829303132333536373839404142434445464748495051525354555657585960616263646566676869707172737475767778798081828384858687888990919293[[#This Row],[Total]]&lt;0,T_T13411121314151617181920212223242526272829303132333536373839404142434445464748495051525354555657585960616263646566676869707172737475767778798081828384858687888990919293[[#This Row],[Total]]*-1,0)</f>
        <v>0</v>
      </c>
      <c r="J19" s="240"/>
      <c r="K19" s="232"/>
      <c r="L19" s="313"/>
    </row>
    <row r="20" spans="1:14" x14ac:dyDescent="0.3">
      <c r="A20" s="188"/>
      <c r="B20" s="82" t="s">
        <v>535</v>
      </c>
      <c r="C20" s="6">
        <v>8828</v>
      </c>
      <c r="D20" s="2">
        <v>-101</v>
      </c>
      <c r="E20" s="2">
        <v>-5</v>
      </c>
      <c r="F20" s="230"/>
      <c r="G20" s="230">
        <f t="shared" si="0"/>
        <v>-106</v>
      </c>
      <c r="H20" s="233">
        <f t="shared" si="1"/>
        <v>0</v>
      </c>
      <c r="I20" s="239">
        <f>IF(T_T13411121314151617181920212223242526272829303132333536373839404142434445464748495051525354555657585960616263646566676869707172737475767778798081828384858687888990919293[[#This Row],[Total]]&lt;0,T_T13411121314151617181920212223242526272829303132333536373839404142434445464748495051525354555657585960616263646566676869707172737475767778798081828384858687888990919293[[#This Row],[Total]]*-1,0)</f>
        <v>106</v>
      </c>
      <c r="J20" s="239"/>
      <c r="K20" s="232"/>
      <c r="L20" s="313"/>
    </row>
    <row r="21" spans="1:14" x14ac:dyDescent="0.3">
      <c r="A21" s="188">
        <v>45777</v>
      </c>
      <c r="B21" s="3" t="s">
        <v>536</v>
      </c>
      <c r="C21" s="6"/>
      <c r="D21" s="2">
        <v>101</v>
      </c>
      <c r="E21" s="2">
        <v>10</v>
      </c>
      <c r="F21" s="230"/>
      <c r="G21" s="230">
        <f t="shared" si="0"/>
        <v>111</v>
      </c>
      <c r="H21" s="233">
        <f t="shared" si="1"/>
        <v>111</v>
      </c>
      <c r="I21" s="309">
        <f>IF(T_T13411121314151617181920212223242526272829303132333536373839404142434445464748495051525354555657585960616263646566676869707172737475767778798081828384858687888990919293[[#This Row],[Total]]&lt;0,T_T13411121314151617181920212223242526272829303132333536373839404142434445464748495051525354555657585960616263646566676869707172737475767778798081828384858687888990919293[[#This Row],[Total]]*-1,0)</f>
        <v>0</v>
      </c>
      <c r="J21" s="309"/>
      <c r="K21" s="313"/>
      <c r="L21" s="313"/>
    </row>
    <row r="22" spans="1:14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111</v>
      </c>
      <c r="I22" s="309">
        <f>IF(T_T13411121314151617181920212223242526272829303132333536373839404142434445464748495051525354555657585960616263646566676869707172737475767778798081828384858687888990919293[[#This Row],[Total]]&lt;0,T_T13411121314151617181920212223242526272829303132333536373839404142434445464748495051525354555657585960616263646566676869707172737475767778798081828384858687888990919293[[#This Row],[Total]]*-1,0)</f>
        <v>0</v>
      </c>
      <c r="J22" s="309"/>
      <c r="K22" s="313"/>
      <c r="L22" s="313"/>
    </row>
    <row r="23" spans="1:14" x14ac:dyDescent="0.3">
      <c r="A23" s="40">
        <v>45807</v>
      </c>
      <c r="B23" s="3" t="s">
        <v>538</v>
      </c>
      <c r="C23" s="229"/>
      <c r="D23" s="230">
        <v>101</v>
      </c>
      <c r="E23" s="230">
        <v>3</v>
      </c>
      <c r="F23" s="230"/>
      <c r="G23" s="230">
        <f t="shared" si="0"/>
        <v>104</v>
      </c>
      <c r="H23" s="233">
        <f t="shared" si="1"/>
        <v>215</v>
      </c>
      <c r="I23" s="309">
        <f>IF(T_T13411121314151617181920212223242526272829303132333536373839404142434445464748495051525354555657585960616263646566676869707172737475767778798081828384858687888990919293[[#This Row],[Total]]&lt;0,T_T13411121314151617181920212223242526272829303132333536373839404142434445464748495051525354555657585960616263646566676869707172737475767778798081828384858687888990919293[[#This Row],[Total]]*-1,0)</f>
        <v>0</v>
      </c>
      <c r="J23" s="309"/>
      <c r="K23" s="313"/>
      <c r="L23" s="313"/>
    </row>
    <row r="24" spans="1:14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215</v>
      </c>
      <c r="I24" s="311">
        <f>IF(T_T13411121314151617181920212223242526272829303132333536373839404142434445464748495051525354555657585960616263646566676869707172737475767778798081828384858687888990919293[[#This Row],[Total]]&lt;0,T_T13411121314151617181920212223242526272829303132333536373839404142434445464748495051525354555657585960616263646566676869707172737475767778798081828384858687888990919293[[#This Row],[Total]]*-1,0)</f>
        <v>0</v>
      </c>
      <c r="J24" s="311"/>
      <c r="K24" s="313"/>
      <c r="L24" s="313"/>
    </row>
    <row r="25" spans="1:14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215</v>
      </c>
      <c r="I25" s="309">
        <f>IF(T_T13411121314151617181920212223242526272829303132333536373839404142434445464748495051525354555657585960616263646566676869707172737475767778798081828384858687888990919293[[#This Row],[Total]]&lt;0,T_T13411121314151617181920212223242526272829303132333536373839404142434445464748495051525354555657585960616263646566676869707172737475767778798081828384858687888990919293[[#This Row],[Total]]*-1,0)</f>
        <v>0</v>
      </c>
      <c r="J25" s="309"/>
      <c r="K25" s="313"/>
      <c r="L25" s="313"/>
    </row>
    <row r="26" spans="1:14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215</v>
      </c>
      <c r="I26" s="309">
        <f>IF(T_T13411121314151617181920212223242526272829303132333536373839404142434445464748495051525354555657585960616263646566676869707172737475767778798081828384858687888990919293[[#This Row],[Total]]&lt;0,T_T13411121314151617181920212223242526272829303132333536373839404142434445464748495051525354555657585960616263646566676869707172737475767778798081828384858687888990919293[[#This Row],[Total]]*-1,0)</f>
        <v>0</v>
      </c>
      <c r="J26" s="309"/>
      <c r="K26" s="313"/>
      <c r="L26" s="313"/>
    </row>
    <row r="27" spans="1:14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215</v>
      </c>
      <c r="I27" s="309">
        <f>IF(T_T13411121314151617181920212223242526272829303132333536373839404142434445464748495051525354555657585960616263646566676869707172737475767778798081828384858687888990919293[[#This Row],[Total]]&lt;0,T_T13411121314151617181920212223242526272829303132333536373839404142434445464748495051525354555657585960616263646566676869707172737475767778798081828384858687888990919293[[#This Row],[Total]]*-1,0)</f>
        <v>0</v>
      </c>
      <c r="J27" s="309"/>
      <c r="K27" s="313"/>
      <c r="L27" s="313"/>
    </row>
    <row r="28" spans="1:14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215</v>
      </c>
      <c r="I28" s="311">
        <f>IF(T_T13411121314151617181920212223242526272829303132333536373839404142434445464748495051525354555657585960616263646566676869707172737475767778798081828384858687888990919293[[#This Row],[Total]]&lt;0,T_T13411121314151617181920212223242526272829303132333536373839404142434445464748495051525354555657585960616263646566676869707172737475767778798081828384858687888990919293[[#This Row],[Total]]*-1,0)</f>
        <v>0</v>
      </c>
      <c r="J28" s="311"/>
      <c r="K28" s="313"/>
      <c r="L28" s="79"/>
    </row>
    <row r="29" spans="1:14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215</v>
      </c>
      <c r="I29" s="309">
        <f>IF(T_T13411121314151617181920212223242526272829303132333536373839404142434445464748495051525354555657585960616263646566676869707172737475767778798081828384858687888990919293[[#This Row],[Total]]&lt;0,T_T13411121314151617181920212223242526272829303132333536373839404142434445464748495051525354555657585960616263646566676869707172737475767778798081828384858687888990919293[[#This Row],[Total]]*-1,0)</f>
        <v>0</v>
      </c>
      <c r="J29" s="309"/>
      <c r="K29" s="313"/>
      <c r="L29" s="313"/>
    </row>
    <row r="30" spans="1:14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215</v>
      </c>
      <c r="I30" s="309">
        <f>IF(T_T13411121314151617181920212223242526272829303132333536373839404142434445464748495051525354555657585960616263646566676869707172737475767778798081828384858687888990919293[[#This Row],[Total]]&lt;0,T_T13411121314151617181920212223242526272829303132333536373839404142434445464748495051525354555657585960616263646566676869707172737475767778798081828384858687888990919293[[#This Row],[Total]]*-1,0)</f>
        <v>0</v>
      </c>
      <c r="J30" s="309"/>
      <c r="K30" s="313"/>
      <c r="L30" s="313"/>
    </row>
    <row r="31" spans="1:14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215</v>
      </c>
      <c r="I31" s="309">
        <f>IF(T_T13411121314151617181920212223242526272829303132333536373839404142434445464748495051525354555657585960616263646566676869707172737475767778798081828384858687888990919293[[#This Row],[Total]]&lt;0,T_T13411121314151617181920212223242526272829303132333536373839404142434445464748495051525354555657585960616263646566676869707172737475767778798081828384858687888990919293[[#This Row],[Total]]*-1,0)</f>
        <v>0</v>
      </c>
      <c r="J31" s="309"/>
      <c r="K31" s="313"/>
      <c r="L31" s="313"/>
      <c r="N31" t="s">
        <v>579</v>
      </c>
    </row>
    <row r="32" spans="1:14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215</v>
      </c>
      <c r="I32" s="309">
        <f>IF(T_T13411121314151617181920212223242526272829303132333536373839404142434445464748495051525354555657585960616263646566676869707172737475767778798081828384858687888990919293[[#This Row],[Total]]&lt;0,T_T13411121314151617181920212223242526272829303132333536373839404142434445464748495051525354555657585960616263646566676869707172737475767778798081828384858687888990919293[[#This Row],[Total]]*-1,0)</f>
        <v>0</v>
      </c>
      <c r="J32" s="309"/>
      <c r="K32" s="313"/>
      <c r="L32" s="313"/>
    </row>
    <row r="33" spans="1:13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215</v>
      </c>
      <c r="I33" s="309">
        <f>IF(T_T13411121314151617181920212223242526272829303132333536373839404142434445464748495051525354555657585960616263646566676869707172737475767778798081828384858687888990919293[[#This Row],[Total]]&lt;0,T_T13411121314151617181920212223242526272829303132333536373839404142434445464748495051525354555657585960616263646566676869707172737475767778798081828384858687888990919293[[#This Row],[Total]]*-1,0)</f>
        <v>0</v>
      </c>
      <c r="J33" s="309"/>
      <c r="K33" s="313"/>
      <c r="L33" s="313"/>
    </row>
    <row r="34" spans="1:13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215</v>
      </c>
      <c r="I34" s="309">
        <f>IF(T_T13411121314151617181920212223242526272829303132333536373839404142434445464748495051525354555657585960616263646566676869707172737475767778798081828384858687888990919293[[#This Row],[Total]]&lt;0,T_T13411121314151617181920212223242526272829303132333536373839404142434445464748495051525354555657585960616263646566676869707172737475767778798081828384858687888990919293[[#This Row],[Total]]*-1,0)</f>
        <v>0</v>
      </c>
      <c r="J34" s="309"/>
      <c r="K34" s="313"/>
      <c r="L34" s="313"/>
    </row>
    <row r="35" spans="1:13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215</v>
      </c>
      <c r="I35" s="309">
        <f>IF(T_T13411121314151617181920212223242526272829303132333536373839404142434445464748495051525354555657585960616263646566676869707172737475767778798081828384858687888990919293[[#This Row],[Total]]&lt;0,T_T13411121314151617181920212223242526272829303132333536373839404142434445464748495051525354555657585960616263646566676869707172737475767778798081828384858687888990919293[[#This Row],[Total]]*-1,0)</f>
        <v>0</v>
      </c>
      <c r="J35" s="309"/>
      <c r="K35" s="313"/>
      <c r="L35" s="313"/>
    </row>
    <row r="36" spans="1:13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215</v>
      </c>
      <c r="I36" s="311">
        <f>IF(T_T13411121314151617181920212223242526272829303132333536373839404142434445464748495051525354555657585960616263646566676869707172737475767778798081828384858687888990919293[[#This Row],[Total]]&lt;0,T_T13411121314151617181920212223242526272829303132333536373839404142434445464748495051525354555657585960616263646566676869707172737475767778798081828384858687888990919293[[#This Row],[Total]]*-1,0)</f>
        <v>0</v>
      </c>
      <c r="J36" s="311"/>
      <c r="K36" s="313"/>
      <c r="L36" s="313"/>
    </row>
    <row r="37" spans="1:13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215</v>
      </c>
      <c r="I37" s="353">
        <f>IF(T_T13411121314151617181920212223242526272829303132333536373839404142434445464748495051525354555657585960616263646566676869707172737475767778798081828384858687888990919293[[#This Row],[Total]]&lt;0,T_T13411121314151617181920212223242526272829303132333536373839404142434445464748495051525354555657585960616263646566676869707172737475767778798081828384858687888990919293[[#This Row],[Total]]*-1,0)</f>
        <v>0</v>
      </c>
      <c r="J37" s="353"/>
      <c r="K37" s="354"/>
      <c r="L37" s="354"/>
    </row>
    <row r="38" spans="1:13" x14ac:dyDescent="0.3">
      <c r="A38" s="257"/>
      <c r="B38" s="110" t="s">
        <v>553</v>
      </c>
      <c r="C38" s="6"/>
      <c r="D38" s="230"/>
      <c r="E38" s="230"/>
      <c r="F38" s="230"/>
      <c r="G38" s="230">
        <f t="shared" si="0"/>
        <v>0</v>
      </c>
      <c r="H38" s="233">
        <f t="shared" si="1"/>
        <v>215</v>
      </c>
      <c r="I38" s="353">
        <f>IF(T_T13411121314151617181920212223242526272829303132333536373839404142434445464748495051525354555657585960616263646566676869707172737475767778798081828384858687888990919293[[#This Row],[Total]]&lt;0,T_T13411121314151617181920212223242526272829303132333536373839404142434445464748495051525354555657585960616263646566676869707172737475767778798081828384858687888990919293[[#This Row],[Total]]*-1,0)</f>
        <v>0</v>
      </c>
      <c r="J38" s="353"/>
      <c r="K38" s="354"/>
      <c r="L38" s="354"/>
      <c r="M38" t="s">
        <v>586</v>
      </c>
    </row>
    <row r="39" spans="1:13" x14ac:dyDescent="0.3">
      <c r="A39" s="107"/>
      <c r="B39" s="515" t="s">
        <v>587</v>
      </c>
      <c r="C39" s="6"/>
      <c r="D39" s="230"/>
      <c r="E39" s="230"/>
      <c r="F39" s="230"/>
      <c r="G39" s="230">
        <f>SUM(D39:F46)</f>
        <v>0</v>
      </c>
      <c r="H39" s="233">
        <f t="shared" si="1"/>
        <v>215</v>
      </c>
      <c r="I39" s="353">
        <f>IF(T_T13411121314151617181920212223242526272829303132333536373839404142434445464748495051525354555657585960616263646566676869707172737475767778798081828384858687888990919293[[#This Row],[Total]]&lt;0,T_T13411121314151617181920212223242526272829303132333536373839404142434445464748495051525354555657585960616263646566676869707172737475767778798081828384858687888990919293[[#This Row],[Total]]*-1,0)</f>
        <v>0</v>
      </c>
      <c r="J39" s="353"/>
      <c r="K39" s="354"/>
      <c r="L39" s="354"/>
    </row>
    <row r="40" spans="1:13" x14ac:dyDescent="0.3">
      <c r="A40" s="107"/>
      <c r="B40" s="515"/>
      <c r="C40" s="229"/>
      <c r="D40" s="230"/>
      <c r="E40" s="230"/>
      <c r="F40" s="230"/>
      <c r="G40" s="230">
        <f>SUM(D40:F47)</f>
        <v>0</v>
      </c>
      <c r="H40" s="233">
        <f t="shared" si="1"/>
        <v>215</v>
      </c>
      <c r="I40" s="353">
        <f>IF(T_T13411121314151617181920212223242526272829303132333536373839404142434445464748495051525354555657585960616263646566676869707172737475767778798081828384858687888990919293[[#This Row],[Total]]&lt;0,T_T13411121314151617181920212223242526272829303132333536373839404142434445464748495051525354555657585960616263646566676869707172737475767778798081828384858687888990919293[[#This Row],[Total]]*-1,0)</f>
        <v>0</v>
      </c>
      <c r="J40" s="353"/>
      <c r="K40" s="354"/>
      <c r="L40" s="354"/>
    </row>
  </sheetData>
  <phoneticPr fontId="92" type="noConversion"/>
  <hyperlinks>
    <hyperlink ref="B7" r:id="rId1" display="jose.orozco@outlook.com"/>
    <hyperlink ref="H7" location="Resumen!A1" display="Rsumen         "/>
  </hyperlinks>
  <pageMargins left="0.70866141732283472" right="0.70866141732283472" top="0.37" bottom="0.51" header="0.31496062992125984" footer="0.31496062992125984"/>
  <pageSetup scale="68" orientation="portrait" verticalDpi="360" r:id="rId2"/>
  <drawing r:id="rId3"/>
  <tableParts count="1">
    <tablePart r:id="rId4"/>
  </tablePart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M40"/>
  <sheetViews>
    <sheetView showGridLines="0" zoomScale="89" zoomScaleNormal="89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41.109375" customWidth="1"/>
    <col min="3" max="3" width="14.33203125" style="4" customWidth="1"/>
    <col min="4" max="4" width="12" style="1" customWidth="1"/>
    <col min="5" max="5" width="9.88671875" style="1" customWidth="1"/>
    <col min="6" max="6" width="9.6640625" style="1" customWidth="1"/>
    <col min="7" max="7" width="11.88671875" style="1" customWidth="1"/>
    <col min="8" max="8" width="12.44140625" style="1" customWidth="1"/>
    <col min="9" max="9" width="12.88671875" hidden="1" customWidth="1"/>
    <col min="10" max="10" width="14.6640625" customWidth="1"/>
    <col min="11" max="11" width="10.109375" customWidth="1"/>
    <col min="13" max="13" width="13.88671875" customWidth="1"/>
    <col min="14" max="14" width="19" customWidth="1"/>
    <col min="16" max="16" width="13.44140625" customWidth="1"/>
  </cols>
  <sheetData>
    <row r="1" spans="1:13" x14ac:dyDescent="0.3">
      <c r="E1" s="1" t="s">
        <v>374</v>
      </c>
    </row>
    <row r="2" spans="1:13" ht="15.6" x14ac:dyDescent="0.3">
      <c r="A2" s="27" t="s">
        <v>36</v>
      </c>
      <c r="B2" s="41" t="s">
        <v>142</v>
      </c>
    </row>
    <row r="3" spans="1:13" hidden="1" x14ac:dyDescent="0.3">
      <c r="A3" s="27" t="s">
        <v>31</v>
      </c>
      <c r="B3" s="28" t="e">
        <f>LOOKUP(B2,#REF!,#REF!)</f>
        <v>#REF!</v>
      </c>
    </row>
    <row r="4" spans="1:13" hidden="1" x14ac:dyDescent="0.3">
      <c r="A4" s="27" t="s">
        <v>32</v>
      </c>
      <c r="B4" s="28" t="e">
        <f>LOOKUP(B2,#REF!,#REF!)</f>
        <v>#REF!</v>
      </c>
    </row>
    <row r="5" spans="1:13" hidden="1" x14ac:dyDescent="0.3">
      <c r="A5" s="27" t="s">
        <v>33</v>
      </c>
      <c r="B5" s="28" t="e">
        <f>LOOKUP(B2,#REF!,#REF!)</f>
        <v>#REF!</v>
      </c>
    </row>
    <row r="6" spans="1:13" hidden="1" x14ac:dyDescent="0.3">
      <c r="A6" s="27" t="s">
        <v>34</v>
      </c>
      <c r="B6" s="28">
        <v>835</v>
      </c>
      <c r="G6" s="25"/>
      <c r="H6" s="25"/>
    </row>
    <row r="7" spans="1:13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3" x14ac:dyDescent="0.3">
      <c r="A8" s="21"/>
      <c r="B8" s="21" t="s">
        <v>428</v>
      </c>
    </row>
    <row r="9" spans="1:13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13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IF(T_T1341112131415161718192021222324252627282930313233353637383940414243444546474849505152535455565758596061626364656667686970717273747576777879808182838485868788899091929394[[#This Row],[Total]]&lt;0,T_T1341112131415161718192021222324252627282930313233353637383940414243444546474849505152535455565758596061626364656667686970717273747576777879808182838485868788899091929394[[#This Row],[Total]]*-1,0)</f>
        <v>0</v>
      </c>
      <c r="M10" s="238"/>
    </row>
    <row r="11" spans="1:13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IF(T_T1341112131415161718192021222324252627282930313233353637383940414243444546474849505152535455565758596061626364656667686970717273747576777879808182838485868788899091929394[[#This Row],[Total]]&lt;0,T_T1341112131415161718192021222324252627282930313233353637383940414243444546474849505152535455565758596061626364656667686970717273747576777879808182838485868788899091929394[[#This Row],[Total]]*-1,0)</f>
        <v>0</v>
      </c>
    </row>
    <row r="12" spans="1:13" x14ac:dyDescent="0.3">
      <c r="A12" s="117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IF(T_T1341112131415161718192021222324252627282930313233353637383940414243444546474849505152535455565758596061626364656667686970717273747576777879808182838485868788899091929394[[#This Row],[Total]]&lt;0,T_T1341112131415161718192021222324252627282930313233353637383940414243444546474849505152535455565758596061626364656667686970717273747576777879808182838485868788899091929394[[#This Row],[Total]]*-1,0)</f>
        <v>0</v>
      </c>
    </row>
    <row r="13" spans="1:13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IF(T_T1341112131415161718192021222324252627282930313233353637383940414243444546474849505152535455565758596061626364656667686970717273747576777879808182838485868788899091929394[[#This Row],[Total]]&lt;0,T_T1341112131415161718192021222324252627282930313233353637383940414243444546474849505152535455565758596061626364656667686970717273747576777879808182838485868788899091929394[[#This Row],[Total]]*-1,0)</f>
        <v>0</v>
      </c>
    </row>
    <row r="14" spans="1:13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IF(T_T1341112131415161718192021222324252627282930313233353637383940414243444546474849505152535455565758596061626364656667686970717273747576777879808182838485868788899091929394[[#This Row],[Total]]&lt;0,T_T1341112131415161718192021222324252627282930313233353637383940414243444546474849505152535455565758596061626364656667686970717273747576777879808182838485868788899091929394[[#This Row],[Total]]*-1,0)</f>
        <v>0</v>
      </c>
    </row>
    <row r="15" spans="1:13" x14ac:dyDescent="0.3">
      <c r="A15" s="17">
        <v>45687</v>
      </c>
      <c r="B15" s="18" t="s">
        <v>530</v>
      </c>
      <c r="C15" s="6">
        <v>8701</v>
      </c>
      <c r="D15" s="2">
        <v>114</v>
      </c>
      <c r="E15" s="2">
        <v>16</v>
      </c>
      <c r="F15" s="20"/>
      <c r="G15" s="20">
        <f>SUM(D15:F15)</f>
        <v>130</v>
      </c>
      <c r="H15" s="233">
        <f>+H13+T_T1341112131415161718192021222324252627282930313233353637383940414243444546474849505152535455565758596061626364656667686970717273747576777879808182838485868788899091929394[[#This Row],[Total]]</f>
        <v>130</v>
      </c>
      <c r="I15" s="240">
        <f>IF(T_T1341112131415161718192021222324252627282930313233353637383940414243444546474849505152535455565758596061626364656667686970717273747576777879808182838485868788899091929394[[#This Row],[Total]]&lt;0,T_T1341112131415161718192021222324252627282930313233353637383940414243444546474849505152535455565758596061626364656667686970717273747576777879808182838485868788899091929394[[#This Row],[Total]]*-1,0)</f>
        <v>0</v>
      </c>
    </row>
    <row r="16" spans="1:13" x14ac:dyDescent="0.3">
      <c r="A16" s="17"/>
      <c r="B16" s="18" t="s">
        <v>531</v>
      </c>
      <c r="C16" s="6"/>
      <c r="D16" s="2">
        <v>-114</v>
      </c>
      <c r="E16" s="2">
        <v>-16</v>
      </c>
      <c r="F16" s="230"/>
      <c r="G16" s="230">
        <f t="shared" ref="G16:G38" si="0">SUM(D16:F16)</f>
        <v>-130</v>
      </c>
      <c r="H16" s="233">
        <f t="shared" ref="H16:H40" si="1">H15+G16</f>
        <v>0</v>
      </c>
      <c r="I16" s="239">
        <f>IF(T_T1341112131415161718192021222324252627282930313233353637383940414243444546474849505152535455565758596061626364656667686970717273747576777879808182838485868788899091929394[[#This Row],[Total]]&lt;0,T_T1341112131415161718192021222324252627282930313233353637383940414243444546474849505152535455565758596061626364656667686970717273747576777879808182838485868788899091929394[[#This Row],[Total]]*-1,0)</f>
        <v>130</v>
      </c>
    </row>
    <row r="17" spans="1:9" x14ac:dyDescent="0.3">
      <c r="A17" s="164">
        <v>45715</v>
      </c>
      <c r="B17" s="161" t="s">
        <v>532</v>
      </c>
      <c r="C17" s="6"/>
      <c r="D17" s="2">
        <v>114</v>
      </c>
      <c r="E17" s="2">
        <v>14</v>
      </c>
      <c r="F17" s="230"/>
      <c r="G17" s="230">
        <f t="shared" si="0"/>
        <v>128</v>
      </c>
      <c r="H17" s="233">
        <f t="shared" si="1"/>
        <v>128</v>
      </c>
      <c r="I17" s="240">
        <f>IF(T_T1341112131415161718192021222324252627282930313233353637383940414243444546474849505152535455565758596061626364656667686970717273747576777879808182838485868788899091929394[[#This Row],[Total]]&lt;0,T_T1341112131415161718192021222324252627282930313233353637383940414243444546474849505152535455565758596061626364656667686970717273747576777879808182838485868788899091929394[[#This Row],[Total]]*-1,0)</f>
        <v>0</v>
      </c>
    </row>
    <row r="18" spans="1:9" x14ac:dyDescent="0.3">
      <c r="A18" s="187"/>
      <c r="B18" s="18" t="s">
        <v>533</v>
      </c>
      <c r="C18" s="6">
        <v>8701</v>
      </c>
      <c r="D18" s="2">
        <v>-114</v>
      </c>
      <c r="E18" s="2">
        <v>-14</v>
      </c>
      <c r="F18" s="230"/>
      <c r="G18" s="230">
        <f t="shared" si="0"/>
        <v>-128</v>
      </c>
      <c r="H18" s="233">
        <f t="shared" si="1"/>
        <v>0</v>
      </c>
      <c r="I18" s="240">
        <f>IF(T_T1341112131415161718192021222324252627282930313233353637383940414243444546474849505152535455565758596061626364656667686970717273747576777879808182838485868788899091929394[[#This Row],[Total]]&lt;0,T_T1341112131415161718192021222324252627282930313233353637383940414243444546474849505152535455565758596061626364656667686970717273747576777879808182838485868788899091929394[[#This Row],[Total]]*-1,0)</f>
        <v>128</v>
      </c>
    </row>
    <row r="19" spans="1:9" x14ac:dyDescent="0.3">
      <c r="A19" s="188">
        <v>45747</v>
      </c>
      <c r="B19" s="3" t="s">
        <v>534</v>
      </c>
      <c r="C19" s="6"/>
      <c r="D19" s="2">
        <v>131</v>
      </c>
      <c r="E19" s="2">
        <v>24</v>
      </c>
      <c r="F19" s="230"/>
      <c r="G19" s="230">
        <f t="shared" si="0"/>
        <v>155</v>
      </c>
      <c r="H19" s="233">
        <f t="shared" si="1"/>
        <v>155</v>
      </c>
      <c r="I19" s="240">
        <f>IF(T_T1341112131415161718192021222324252627282930313233353637383940414243444546474849505152535455565758596061626364656667686970717273747576777879808182838485868788899091929394[[#This Row],[Total]]&lt;0,T_T1341112131415161718192021222324252627282930313233353637383940414243444546474849505152535455565758596061626364656667686970717273747576777879808182838485868788899091929394[[#This Row],[Total]]*-1,0)</f>
        <v>0</v>
      </c>
    </row>
    <row r="20" spans="1:9" x14ac:dyDescent="0.3">
      <c r="A20" s="188"/>
      <c r="B20" s="82" t="s">
        <v>535</v>
      </c>
      <c r="C20" s="6"/>
      <c r="D20" s="2"/>
      <c r="E20" s="2"/>
      <c r="F20" s="230"/>
      <c r="G20" s="230">
        <f t="shared" si="0"/>
        <v>0</v>
      </c>
      <c r="H20" s="233">
        <f t="shared" si="1"/>
        <v>155</v>
      </c>
      <c r="I20" s="239">
        <f>IF(T_T1341112131415161718192021222324252627282930313233353637383940414243444546474849505152535455565758596061626364656667686970717273747576777879808182838485868788899091929394[[#This Row],[Total]]&lt;0,T_T1341112131415161718192021222324252627282930313233353637383940414243444546474849505152535455565758596061626364656667686970717273747576777879808182838485868788899091929394[[#This Row],[Total]]*-1,0)</f>
        <v>0</v>
      </c>
    </row>
    <row r="21" spans="1:9" x14ac:dyDescent="0.3">
      <c r="A21" s="188">
        <v>45777</v>
      </c>
      <c r="B21" s="3" t="s">
        <v>536</v>
      </c>
      <c r="C21" s="6"/>
      <c r="D21" s="2">
        <v>131</v>
      </c>
      <c r="E21" s="2">
        <v>32</v>
      </c>
      <c r="F21" s="230"/>
      <c r="G21" s="230">
        <f t="shared" si="0"/>
        <v>163</v>
      </c>
      <c r="H21" s="233">
        <f t="shared" si="1"/>
        <v>318</v>
      </c>
      <c r="I21" s="309">
        <f>IF(T_T1341112131415161718192021222324252627282930313233353637383940414243444546474849505152535455565758596061626364656667686970717273747576777879808182838485868788899091929394[[#This Row],[Total]]&lt;0,T_T1341112131415161718192021222324252627282930313233353637383940414243444546474849505152535455565758596061626364656667686970717273747576777879808182838485868788899091929394[[#This Row],[Total]]*-1,0)</f>
        <v>0</v>
      </c>
    </row>
    <row r="22" spans="1:9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318</v>
      </c>
      <c r="I22" s="309">
        <f>IF(T_T1341112131415161718192021222324252627282930313233353637383940414243444546474849505152535455565758596061626364656667686970717273747576777879808182838485868788899091929394[[#This Row],[Total]]&lt;0,T_T1341112131415161718192021222324252627282930313233353637383940414243444546474849505152535455565758596061626364656667686970717273747576777879808182838485868788899091929394[[#This Row],[Total]]*-1,0)</f>
        <v>0</v>
      </c>
    </row>
    <row r="23" spans="1:9" x14ac:dyDescent="0.3">
      <c r="A23" s="40">
        <v>45807</v>
      </c>
      <c r="B23" s="3" t="s">
        <v>538</v>
      </c>
      <c r="C23" s="229"/>
      <c r="D23" s="230">
        <v>131</v>
      </c>
      <c r="E23" s="230">
        <v>38</v>
      </c>
      <c r="F23" s="230"/>
      <c r="G23" s="230">
        <f t="shared" si="0"/>
        <v>169</v>
      </c>
      <c r="H23" s="233">
        <f t="shared" si="1"/>
        <v>487</v>
      </c>
      <c r="I23" s="309">
        <f>IF(T_T1341112131415161718192021222324252627282930313233353637383940414243444546474849505152535455565758596061626364656667686970717273747576777879808182838485868788899091929394[[#This Row],[Total]]&lt;0,T_T1341112131415161718192021222324252627282930313233353637383940414243444546474849505152535455565758596061626364656667686970717273747576777879808182838485868788899091929394[[#This Row],[Total]]*-1,0)</f>
        <v>0</v>
      </c>
    </row>
    <row r="24" spans="1:9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487</v>
      </c>
      <c r="I24" s="311">
        <f>IF(T_T1341112131415161718192021222324252627282930313233353637383940414243444546474849505152535455565758596061626364656667686970717273747576777879808182838485868788899091929394[[#This Row],[Total]]&lt;0,T_T1341112131415161718192021222324252627282930313233353637383940414243444546474849505152535455565758596061626364656667686970717273747576777879808182838485868788899091929394[[#This Row],[Total]]*-1,0)</f>
        <v>0</v>
      </c>
    </row>
    <row r="25" spans="1:9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487</v>
      </c>
      <c r="I25" s="309">
        <f>IF(T_T1341112131415161718192021222324252627282930313233353637383940414243444546474849505152535455565758596061626364656667686970717273747576777879808182838485868788899091929394[[#This Row],[Total]]&lt;0,T_T1341112131415161718192021222324252627282930313233353637383940414243444546474849505152535455565758596061626364656667686970717273747576777879808182838485868788899091929394[[#This Row],[Total]]*-1,0)</f>
        <v>0</v>
      </c>
    </row>
    <row r="26" spans="1:9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487</v>
      </c>
      <c r="I26" s="309">
        <f>IF(T_T1341112131415161718192021222324252627282930313233353637383940414243444546474849505152535455565758596061626364656667686970717273747576777879808182838485868788899091929394[[#This Row],[Total]]&lt;0,T_T1341112131415161718192021222324252627282930313233353637383940414243444546474849505152535455565758596061626364656667686970717273747576777879808182838485868788899091929394[[#This Row],[Total]]*-1,0)</f>
        <v>0</v>
      </c>
    </row>
    <row r="27" spans="1:9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487</v>
      </c>
      <c r="I27" s="309">
        <f>IF(T_T1341112131415161718192021222324252627282930313233353637383940414243444546474849505152535455565758596061626364656667686970717273747576777879808182838485868788899091929394[[#This Row],[Total]]&lt;0,T_T1341112131415161718192021222324252627282930313233353637383940414243444546474849505152535455565758596061626364656667686970717273747576777879808182838485868788899091929394[[#This Row],[Total]]*-1,0)</f>
        <v>0</v>
      </c>
    </row>
    <row r="28" spans="1:9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487</v>
      </c>
      <c r="I28" s="311">
        <f>IF(T_T1341112131415161718192021222324252627282930313233353637383940414243444546474849505152535455565758596061626364656667686970717273747576777879808182838485868788899091929394[[#This Row],[Total]]&lt;0,T_T1341112131415161718192021222324252627282930313233353637383940414243444546474849505152535455565758596061626364656667686970717273747576777879808182838485868788899091929394[[#This Row],[Total]]*-1,0)</f>
        <v>0</v>
      </c>
    </row>
    <row r="29" spans="1:9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487</v>
      </c>
      <c r="I29" s="309">
        <f>IF(T_T1341112131415161718192021222324252627282930313233353637383940414243444546474849505152535455565758596061626364656667686970717273747576777879808182838485868788899091929394[[#This Row],[Total]]&lt;0,T_T1341112131415161718192021222324252627282930313233353637383940414243444546474849505152535455565758596061626364656667686970717273747576777879808182838485868788899091929394[[#This Row],[Total]]*-1,0)</f>
        <v>0</v>
      </c>
    </row>
    <row r="30" spans="1:9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487</v>
      </c>
      <c r="I30" s="309">
        <f>IF(T_T1341112131415161718192021222324252627282930313233353637383940414243444546474849505152535455565758596061626364656667686970717273747576777879808182838485868788899091929394[[#This Row],[Total]]&lt;0,T_T1341112131415161718192021222324252627282930313233353637383940414243444546474849505152535455565758596061626364656667686970717273747576777879808182838485868788899091929394[[#This Row],[Total]]*-1,0)</f>
        <v>0</v>
      </c>
    </row>
    <row r="31" spans="1:9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487</v>
      </c>
      <c r="I31" s="309">
        <f>IF(T_T1341112131415161718192021222324252627282930313233353637383940414243444546474849505152535455565758596061626364656667686970717273747576777879808182838485868788899091929394[[#This Row],[Total]]&lt;0,T_T1341112131415161718192021222324252627282930313233353637383940414243444546474849505152535455565758596061626364656667686970717273747576777879808182838485868788899091929394[[#This Row],[Total]]*-1,0)</f>
        <v>0</v>
      </c>
    </row>
    <row r="32" spans="1:9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487</v>
      </c>
      <c r="I32" s="309">
        <f>IF(T_T1341112131415161718192021222324252627282930313233353637383940414243444546474849505152535455565758596061626364656667686970717273747576777879808182838485868788899091929394[[#This Row],[Total]]&lt;0,T_T1341112131415161718192021222324252627282930313233353637383940414243444546474849505152535455565758596061626364656667686970717273747576777879808182838485868788899091929394[[#This Row],[Total]]*-1,0)</f>
        <v>0</v>
      </c>
    </row>
    <row r="33" spans="1:9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487</v>
      </c>
      <c r="I33" s="309">
        <f>IF(T_T1341112131415161718192021222324252627282930313233353637383940414243444546474849505152535455565758596061626364656667686970717273747576777879808182838485868788899091929394[[#This Row],[Total]]&lt;0,T_T1341112131415161718192021222324252627282930313233353637383940414243444546474849505152535455565758596061626364656667686970717273747576777879808182838485868788899091929394[[#This Row],[Total]]*-1,0)</f>
        <v>0</v>
      </c>
    </row>
    <row r="34" spans="1:9" x14ac:dyDescent="0.3">
      <c r="A34" s="9"/>
      <c r="B34" s="3" t="s">
        <v>549</v>
      </c>
      <c r="C34" s="6"/>
      <c r="D34" s="230"/>
      <c r="E34" s="230"/>
      <c r="F34" s="230"/>
      <c r="G34" s="230">
        <f t="shared" si="0"/>
        <v>0</v>
      </c>
      <c r="H34" s="233">
        <f t="shared" si="1"/>
        <v>487</v>
      </c>
      <c r="I34" s="309">
        <f>IF(T_T1341112131415161718192021222324252627282930313233353637383940414243444546474849505152535455565758596061626364656667686970717273747576777879808182838485868788899091929394[[#This Row],[Total]]&lt;0,T_T1341112131415161718192021222324252627282930313233353637383940414243444546474849505152535455565758596061626364656667686970717273747576777879808182838485868788899091929394[[#This Row],[Total]]*-1,0)</f>
        <v>0</v>
      </c>
    </row>
    <row r="35" spans="1:9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487</v>
      </c>
      <c r="I35" s="309">
        <f>IF(T_T1341112131415161718192021222324252627282930313233353637383940414243444546474849505152535455565758596061626364656667686970717273747576777879808182838485868788899091929394[[#This Row],[Total]]&lt;0,T_T1341112131415161718192021222324252627282930313233353637383940414243444546474849505152535455565758596061626364656667686970717273747576777879808182838485868788899091929394[[#This Row],[Total]]*-1,0)</f>
        <v>0</v>
      </c>
    </row>
    <row r="36" spans="1:9" x14ac:dyDescent="0.3">
      <c r="A36" s="17"/>
      <c r="B36" s="18" t="s">
        <v>551</v>
      </c>
      <c r="C36" s="6"/>
      <c r="D36" s="230"/>
      <c r="E36" s="230"/>
      <c r="F36" s="230"/>
      <c r="G36" s="230">
        <f t="shared" si="0"/>
        <v>0</v>
      </c>
      <c r="H36" s="233">
        <f t="shared" si="1"/>
        <v>487</v>
      </c>
      <c r="I36" s="311">
        <f>IF(T_T1341112131415161718192021222324252627282930313233353637383940414243444546474849505152535455565758596061626364656667686970717273747576777879808182838485868788899091929394[[#This Row],[Total]]&lt;0,T_T1341112131415161718192021222324252627282930313233353637383940414243444546474849505152535455565758596061626364656667686970717273747576777879808182838485868788899091929394[[#This Row],[Total]]*-1,0)</f>
        <v>0</v>
      </c>
    </row>
    <row r="37" spans="1:9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487</v>
      </c>
      <c r="I37" s="353">
        <f>IF(T_T1341112131415161718192021222324252627282930313233353637383940414243444546474849505152535455565758596061626364656667686970717273747576777879808182838485868788899091929394[[#This Row],[Total]]&lt;0,T_T1341112131415161718192021222324252627282930313233353637383940414243444546474849505152535455565758596061626364656667686970717273747576777879808182838485868788899091929394[[#This Row],[Total]]*-1,0)</f>
        <v>0</v>
      </c>
    </row>
    <row r="38" spans="1:9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487</v>
      </c>
      <c r="I38" s="353">
        <f>IF(T_T1341112131415161718192021222324252627282930313233353637383940414243444546474849505152535455565758596061626364656667686970717273747576777879808182838485868788899091929394[[#This Row],[Total]]&lt;0,T_T1341112131415161718192021222324252627282930313233353637383940414243444546474849505152535455565758596061626364656667686970717273747576777879808182838485868788899091929394[[#This Row],[Total]]*-1,0)</f>
        <v>0</v>
      </c>
    </row>
    <row r="39" spans="1:9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487</v>
      </c>
      <c r="I39" s="353">
        <f>IF(T_T1341112131415161718192021222324252627282930313233353637383940414243444546474849505152535455565758596061626364656667686970717273747576777879808182838485868788899091929394[[#This Row],[Total]]&lt;0,T_T1341112131415161718192021222324252627282930313233353637383940414243444546474849505152535455565758596061626364656667686970717273747576777879808182838485868788899091929394[[#This Row],[Total]]*-1,0)</f>
        <v>0</v>
      </c>
    </row>
    <row r="40" spans="1:9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487</v>
      </c>
      <c r="I40" s="353">
        <f>IF(T_T1341112131415161718192021222324252627282930313233353637383940414243444546474849505152535455565758596061626364656667686970717273747576777879808182838485868788899091929394[[#This Row],[Total]]&lt;0,T_T1341112131415161718192021222324252627282930313233353637383940414243444546474849505152535455565758596061626364656667686970717273747576777879808182838485868788899091929394[[#This Row],[Total]]*-1,0)</f>
        <v>0</v>
      </c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scale="80" orientation="portrait" verticalDpi="360" r:id="rId2"/>
  <drawing r:id="rId3"/>
  <tableParts count="1">
    <tablePart r:id="rId4"/>
  </tablePart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M42"/>
  <sheetViews>
    <sheetView showGridLines="0" topLeftCell="A2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0.6640625" bestFit="1" customWidth="1"/>
    <col min="14" max="14" width="15.6640625" customWidth="1"/>
  </cols>
  <sheetData>
    <row r="2" spans="1:13" ht="15.6" x14ac:dyDescent="0.3">
      <c r="A2" s="27" t="s">
        <v>36</v>
      </c>
      <c r="B2" s="41" t="s">
        <v>143</v>
      </c>
    </row>
    <row r="3" spans="1:13" ht="0.75" customHeight="1" x14ac:dyDescent="0.3">
      <c r="A3" s="27" t="s">
        <v>31</v>
      </c>
      <c r="B3" s="28" t="e">
        <f>LOOKUP(B2,#REF!,#REF!)</f>
        <v>#REF!</v>
      </c>
    </row>
    <row r="4" spans="1:13" hidden="1" x14ac:dyDescent="0.3">
      <c r="A4" s="27" t="s">
        <v>32</v>
      </c>
      <c r="B4" s="28" t="e">
        <f>LOOKUP(B2,#REF!,#REF!)</f>
        <v>#REF!</v>
      </c>
    </row>
    <row r="5" spans="1:13" hidden="1" x14ac:dyDescent="0.3">
      <c r="A5" s="27" t="s">
        <v>33</v>
      </c>
      <c r="B5" s="28" t="e">
        <f>LOOKUP(B2,#REF!,#REF!)</f>
        <v>#REF!</v>
      </c>
    </row>
    <row r="6" spans="1:13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3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3" x14ac:dyDescent="0.3">
      <c r="A8" s="21"/>
      <c r="B8" s="21" t="s">
        <v>491</v>
      </c>
    </row>
    <row r="9" spans="1:13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13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/>
      <c r="M10" s="178"/>
    </row>
    <row r="11" spans="1:13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IF(T_T134111213141516171819202122232425262728293031323335363738394041424344454647484950515253545556575859606162636465666768697071727374757677787980818283848586878889909192939495[[#This Row],[Total]]&lt;0,T_T134111213141516171819202122232425262728293031323335363738394041424344454647484950515253545556575859606162636465666768697071727374757677787980818283848586878889909192939495[[#This Row],[Total]]*-1,0)</f>
        <v>0</v>
      </c>
    </row>
    <row r="12" spans="1:13" x14ac:dyDescent="0.3">
      <c r="A12" s="117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IF(T_T134111213141516171819202122232425262728293031323335363738394041424344454647484950515253545556575859606162636465666768697071727374757677787980818283848586878889909192939495[[#This Row],[Total]]&lt;0,T_T134111213141516171819202122232425262728293031323335363738394041424344454647484950515253545556575859606162636465666768697071727374757677787980818283848586878889909192939495[[#This Row],[Total]]*-1,0)</f>
        <v>0</v>
      </c>
    </row>
    <row r="13" spans="1:13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IF(T_T134111213141516171819202122232425262728293031323335363738394041424344454647484950515253545556575859606162636465666768697071727374757677787980818283848586878889909192939495[[#This Row],[Total]]&lt;0,T_T134111213141516171819202122232425262728293031323335363738394041424344454647484950515253545556575859606162636465666768697071727374757677787980818283848586878889909192939495[[#This Row],[Total]]*-1,0)</f>
        <v>0</v>
      </c>
    </row>
    <row r="14" spans="1:13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IF(T_T134111213141516171819202122232425262728293031323335363738394041424344454647484950515253545556575859606162636465666768697071727374757677787980818283848586878889909192939495[[#This Row],[Total]]&lt;0,T_T134111213141516171819202122232425262728293031323335363738394041424344454647484950515253545556575859606162636465666768697071727374757677787980818283848586878889909192939495[[#This Row],[Total]]*-1,0)</f>
        <v>0</v>
      </c>
    </row>
    <row r="15" spans="1:13" x14ac:dyDescent="0.3">
      <c r="A15" s="17">
        <v>46052</v>
      </c>
      <c r="B15" s="18" t="s">
        <v>590</v>
      </c>
      <c r="C15" s="6"/>
      <c r="D15" s="2">
        <v>361</v>
      </c>
      <c r="E15" s="2">
        <v>62</v>
      </c>
      <c r="F15" s="20"/>
      <c r="G15" s="20">
        <f>SUM(D15:F15)</f>
        <v>423</v>
      </c>
      <c r="H15" s="233">
        <f>+H13+T_T134111213141516171819202122232425262728293031323335363738394041424344454647484950515253545556575859606162636465666768697071727374757677787980818283848586878889909192939495[[#This Row],[Total]]</f>
        <v>423</v>
      </c>
      <c r="I15" s="240">
        <f>IF(T_T134111213141516171819202122232425262728293031323335363738394041424344454647484950515253545556575859606162636465666768697071727374757677787980818283848586878889909192939495[[#This Row],[Total]]&lt;0,T_T134111213141516171819202122232425262728293031323335363738394041424344454647484950515253545556575859606162636465666768697071727374757677787980818283848586878889909192939495[[#This Row],[Total]]*-1,0)</f>
        <v>0</v>
      </c>
    </row>
    <row r="16" spans="1:13" x14ac:dyDescent="0.3">
      <c r="A16" s="17"/>
      <c r="B16" s="18" t="s">
        <v>591</v>
      </c>
      <c r="C16" s="6">
        <v>8581</v>
      </c>
      <c r="D16" s="2">
        <v>-361</v>
      </c>
      <c r="E16" s="2">
        <v>-62</v>
      </c>
      <c r="F16" s="230"/>
      <c r="G16" s="230">
        <f t="shared" ref="G16:G40" si="0">SUM(D16:F16)</f>
        <v>-423</v>
      </c>
      <c r="H16" s="233">
        <f t="shared" ref="H16:H42" si="1">H15+G16</f>
        <v>0</v>
      </c>
      <c r="I16" s="239">
        <f>IF(T_T134111213141516171819202122232425262728293031323335363738394041424344454647484950515253545556575859606162636465666768697071727374757677787980818283848586878889909192939495[[#This Row],[Total]]&lt;0,T_T134111213141516171819202122232425262728293031323335363738394041424344454647484950515253545556575859606162636465666768697071727374757677787980818283848586878889909192939495[[#This Row],[Total]]*-1,0)</f>
        <v>423</v>
      </c>
    </row>
    <row r="17" spans="1:11" x14ac:dyDescent="0.3">
      <c r="A17" s="164">
        <v>45715</v>
      </c>
      <c r="B17" s="161" t="s">
        <v>532</v>
      </c>
      <c r="C17" s="6"/>
      <c r="D17" s="2">
        <v>361</v>
      </c>
      <c r="E17" s="2">
        <v>87</v>
      </c>
      <c r="F17" s="230"/>
      <c r="G17" s="230">
        <f t="shared" si="0"/>
        <v>448</v>
      </c>
      <c r="H17" s="233">
        <f t="shared" si="1"/>
        <v>448</v>
      </c>
      <c r="I17" s="240">
        <f>IF(T_T134111213141516171819202122232425262728293031323335363738394041424344454647484950515253545556575859606162636465666768697071727374757677787980818283848586878889909192939495[[#This Row],[Total]]&lt;0,T_T134111213141516171819202122232425262728293031323335363738394041424344454647484950515253545556575859606162636465666768697071727374757677787980818283848586878889909192939495[[#This Row],[Total]]*-1,0)</f>
        <v>0</v>
      </c>
    </row>
    <row r="18" spans="1:11" x14ac:dyDescent="0.3">
      <c r="A18" s="187"/>
      <c r="B18" s="18" t="s">
        <v>533</v>
      </c>
      <c r="C18" s="6">
        <v>8673</v>
      </c>
      <c r="D18" s="2">
        <v>-361</v>
      </c>
      <c r="E18" s="2">
        <v>-87</v>
      </c>
      <c r="F18" s="230"/>
      <c r="G18" s="230">
        <f t="shared" si="0"/>
        <v>-448</v>
      </c>
      <c r="H18" s="233">
        <f t="shared" si="1"/>
        <v>0</v>
      </c>
      <c r="I18" s="240">
        <f>IF(T_T134111213141516171819202122232425262728293031323335363738394041424344454647484950515253545556575859606162636465666768697071727374757677787980818283848586878889909192939495[[#This Row],[Total]]&lt;0,T_T134111213141516171819202122232425262728293031323335363738394041424344454647484950515253545556575859606162636465666768697071727374757677787980818283848586878889909192939495[[#This Row],[Total]]*-1,0)</f>
        <v>448</v>
      </c>
    </row>
    <row r="19" spans="1:11" x14ac:dyDescent="0.3">
      <c r="A19" s="188">
        <v>45747</v>
      </c>
      <c r="B19" s="3" t="s">
        <v>534</v>
      </c>
      <c r="C19" s="6"/>
      <c r="D19" s="2">
        <f>369+30+13</f>
        <v>412</v>
      </c>
      <c r="E19" s="2">
        <v>85</v>
      </c>
      <c r="F19" s="230"/>
      <c r="G19" s="230">
        <f t="shared" si="0"/>
        <v>497</v>
      </c>
      <c r="H19" s="233">
        <f t="shared" si="1"/>
        <v>497</v>
      </c>
      <c r="I19" s="240">
        <f>IF(T_T134111213141516171819202122232425262728293031323335363738394041424344454647484950515253545556575859606162636465666768697071727374757677787980818283848586878889909192939495[[#This Row],[Total]]&lt;0,T_T134111213141516171819202122232425262728293031323335363738394041424344454647484950515253545556575859606162636465666768697071727374757677787980818283848586878889909192939495[[#This Row],[Total]]*-1,0)</f>
        <v>0</v>
      </c>
    </row>
    <row r="20" spans="1:11" x14ac:dyDescent="0.3">
      <c r="A20" s="188"/>
      <c r="B20" s="82" t="s">
        <v>535</v>
      </c>
      <c r="C20" s="6">
        <v>8832</v>
      </c>
      <c r="D20" s="2">
        <v>-412</v>
      </c>
      <c r="E20" s="2">
        <v>-85</v>
      </c>
      <c r="F20" s="230"/>
      <c r="G20" s="230">
        <f t="shared" si="0"/>
        <v>-497</v>
      </c>
      <c r="H20" s="233">
        <f t="shared" si="1"/>
        <v>0</v>
      </c>
      <c r="I20" s="239">
        <f>IF(T_T134111213141516171819202122232425262728293031323335363738394041424344454647484950515253545556575859606162636465666768697071727374757677787980818283848586878889909192939495[[#This Row],[Total]]&lt;0,T_T134111213141516171819202122232425262728293031323335363738394041424344454647484950515253545556575859606162636465666768697071727374757677787980818283848586878889909192939495[[#This Row],[Total]]*-1,0)</f>
        <v>497</v>
      </c>
    </row>
    <row r="21" spans="1:11" x14ac:dyDescent="0.3">
      <c r="A21" s="188">
        <v>45777</v>
      </c>
      <c r="B21" s="3" t="s">
        <v>536</v>
      </c>
      <c r="C21" s="6"/>
      <c r="D21" s="2">
        <v>412</v>
      </c>
      <c r="E21" s="2">
        <v>102</v>
      </c>
      <c r="F21" s="230"/>
      <c r="G21" s="230">
        <f t="shared" si="0"/>
        <v>514</v>
      </c>
      <c r="H21" s="233">
        <f t="shared" si="1"/>
        <v>514</v>
      </c>
      <c r="I21" s="309">
        <f>IF(T_T134111213141516171819202122232425262728293031323335363738394041424344454647484950515253545556575859606162636465666768697071727374757677787980818283848586878889909192939495[[#This Row],[Total]]&lt;0,T_T134111213141516171819202122232425262728293031323335363738394041424344454647484950515253545556575859606162636465666768697071727374757677787980818283848586878889909192939495[[#This Row],[Total]]*-1,0)</f>
        <v>0</v>
      </c>
    </row>
    <row r="22" spans="1:11" x14ac:dyDescent="0.3">
      <c r="A22" s="83"/>
      <c r="B22" s="82" t="s">
        <v>537</v>
      </c>
      <c r="C22" s="6">
        <v>8938</v>
      </c>
      <c r="D22" s="2">
        <v>-412</v>
      </c>
      <c r="E22" s="2">
        <v>-102</v>
      </c>
      <c r="F22" s="230"/>
      <c r="G22" s="230">
        <f t="shared" si="0"/>
        <v>-514</v>
      </c>
      <c r="H22" s="233">
        <f t="shared" si="1"/>
        <v>0</v>
      </c>
      <c r="I22" s="309">
        <f>IF(T_T134111213141516171819202122232425262728293031323335363738394041424344454647484950515253545556575859606162636465666768697071727374757677787980818283848586878889909192939495[[#This Row],[Total]]&lt;0,T_T134111213141516171819202122232425262728293031323335363738394041424344454647484950515253545556575859606162636465666768697071727374757677787980818283848586878889909192939495[[#This Row],[Total]]*-1,0)</f>
        <v>514</v>
      </c>
    </row>
    <row r="23" spans="1:11" x14ac:dyDescent="0.3">
      <c r="A23" s="40">
        <v>45807</v>
      </c>
      <c r="B23" s="3" t="s">
        <v>538</v>
      </c>
      <c r="C23" s="229"/>
      <c r="D23" s="230">
        <v>412</v>
      </c>
      <c r="E23" s="230">
        <v>92</v>
      </c>
      <c r="F23" s="230"/>
      <c r="G23" s="230">
        <f t="shared" si="0"/>
        <v>504</v>
      </c>
      <c r="H23" s="233">
        <f t="shared" si="1"/>
        <v>504</v>
      </c>
      <c r="I23" s="309">
        <f>IF(T_T134111213141516171819202122232425262728293031323335363738394041424344454647484950515253545556575859606162636465666768697071727374757677787980818283848586878889909192939495[[#This Row],[Total]]&lt;0,T_T134111213141516171819202122232425262728293031323335363738394041424344454647484950515253545556575859606162636465666768697071727374757677787980818283848586878889909192939495[[#This Row],[Total]]*-1,0)</f>
        <v>0</v>
      </c>
    </row>
    <row r="24" spans="1:11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504</v>
      </c>
      <c r="I24" s="311">
        <f>IF(T_T134111213141516171819202122232425262728293031323335363738394041424344454647484950515253545556575859606162636465666768697071727374757677787980818283848586878889909192939495[[#This Row],[Total]]&lt;0,T_T134111213141516171819202122232425262728293031323335363738394041424344454647484950515253545556575859606162636465666768697071727374757677787980818283848586878889909192939495[[#This Row],[Total]]*-1,0)</f>
        <v>0</v>
      </c>
      <c r="K24" t="s">
        <v>490</v>
      </c>
    </row>
    <row r="25" spans="1:11" x14ac:dyDescent="0.3">
      <c r="A25" s="9">
        <v>45838</v>
      </c>
      <c r="B25" s="3" t="s">
        <v>540</v>
      </c>
      <c r="C25" s="443"/>
      <c r="D25" s="444"/>
      <c r="E25" s="444"/>
      <c r="F25" s="444"/>
      <c r="G25" s="230">
        <f t="shared" si="0"/>
        <v>0</v>
      </c>
      <c r="H25" s="233">
        <f t="shared" si="1"/>
        <v>504</v>
      </c>
      <c r="I25" s="430">
        <f>IF(T_T134111213141516171819202122232425262728293031323335363738394041424344454647484950515253545556575859606162636465666768697071727374757677787980818283848586878889909192939495[[#This Row],[Total]]&lt;0,T_T134111213141516171819202122232425262728293031323335363738394041424344454647484950515253545556575859606162636465666768697071727374757677787980818283848586878889909192939495[[#This Row],[Total]]*-1,0)</f>
        <v>0</v>
      </c>
    </row>
    <row r="26" spans="1:11" x14ac:dyDescent="0.3">
      <c r="A26" s="9"/>
      <c r="B26" s="18" t="s">
        <v>541</v>
      </c>
      <c r="C26" s="443"/>
      <c r="D26" s="444"/>
      <c r="E26" s="444"/>
      <c r="F26" s="444"/>
      <c r="G26" s="230">
        <f t="shared" si="0"/>
        <v>0</v>
      </c>
      <c r="H26" s="233">
        <f t="shared" si="1"/>
        <v>504</v>
      </c>
      <c r="I26" s="430">
        <f>IF(T_T134111213141516171819202122232425262728293031323335363738394041424344454647484950515253545556575859606162636465666768697071727374757677787980818283848586878889909192939495[[#This Row],[Total]]&lt;0,T_T134111213141516171819202122232425262728293031323335363738394041424344454647484950515253545556575859606162636465666768697071727374757677787980818283848586878889909192939495[[#This Row],[Total]]*-1,0)</f>
        <v>0</v>
      </c>
    </row>
    <row r="27" spans="1:11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504</v>
      </c>
      <c r="I27" s="309">
        <f>IF(T_T134111213141516171819202122232425262728293031323335363738394041424344454647484950515253545556575859606162636465666768697071727374757677787980818283848586878889909192939495[[#This Row],[Total]]&lt;0,T_T134111213141516171819202122232425262728293031323335363738394041424344454647484950515253545556575859606162636465666768697071727374757677787980818283848586878889909192939495[[#This Row],[Total]]*-1,0)</f>
        <v>0</v>
      </c>
    </row>
    <row r="28" spans="1:11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504</v>
      </c>
      <c r="I28" s="309">
        <f>IF(T_T134111213141516171819202122232425262728293031323335363738394041424344454647484950515253545556575859606162636465666768697071727374757677787980818283848586878889909192939495[[#This Row],[Total]]&lt;0,T_T134111213141516171819202122232425262728293031323335363738394041424344454647484950515253545556575859606162636465666768697071727374757677787980818283848586878889909192939495[[#This Row],[Total]]*-1,0)</f>
        <v>0</v>
      </c>
    </row>
    <row r="29" spans="1:11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504</v>
      </c>
      <c r="I29" s="309">
        <f>IF(T_T134111213141516171819202122232425262728293031323335363738394041424344454647484950515253545556575859606162636465666768697071727374757677787980818283848586878889909192939495[[#This Row],[Total]]&lt;0,T_T134111213141516171819202122232425262728293031323335363738394041424344454647484950515253545556575859606162636465666768697071727374757677787980818283848586878889909192939495[[#This Row],[Total]]*-1,0)</f>
        <v>0</v>
      </c>
    </row>
    <row r="30" spans="1:11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504</v>
      </c>
      <c r="I30" s="311">
        <f>IF(T_T134111213141516171819202122232425262728293031323335363738394041424344454647484950515253545556575859606162636465666768697071727374757677787980818283848586878889909192939495[[#This Row],[Total]]&lt;0,T_T134111213141516171819202122232425262728293031323335363738394041424344454647484950515253545556575859606162636465666768697071727374757677787980818283848586878889909192939495[[#This Row],[Total]]*-1,0)</f>
        <v>0</v>
      </c>
    </row>
    <row r="31" spans="1:11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504</v>
      </c>
      <c r="I31" s="309">
        <f>IF(T_T134111213141516171819202122232425262728293031323335363738394041424344454647484950515253545556575859606162636465666768697071727374757677787980818283848586878889909192939495[[#This Row],[Total]]&lt;0,T_T134111213141516171819202122232425262728293031323335363738394041424344454647484950515253545556575859606162636465666768697071727374757677787980818283848586878889909192939495[[#This Row],[Total]]*-1,0)</f>
        <v>0</v>
      </c>
    </row>
    <row r="32" spans="1:11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504</v>
      </c>
      <c r="I32" s="309">
        <f>IF(T_T134111213141516171819202122232425262728293031323335363738394041424344454647484950515253545556575859606162636465666768697071727374757677787980818283848586878889909192939495[[#This Row],[Total]]&lt;0,T_T134111213141516171819202122232425262728293031323335363738394041424344454647484950515253545556575859606162636465666768697071727374757677787980818283848586878889909192939495[[#This Row],[Total]]*-1,0)</f>
        <v>0</v>
      </c>
    </row>
    <row r="33" spans="1:9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504</v>
      </c>
      <c r="I33" s="309">
        <f>IF(T_T134111213141516171819202122232425262728293031323335363738394041424344454647484950515253545556575859606162636465666768697071727374757677787980818283848586878889909192939495[[#This Row],[Total]]&lt;0,T_T134111213141516171819202122232425262728293031323335363738394041424344454647484950515253545556575859606162636465666768697071727374757677787980818283848586878889909192939495[[#This Row],[Total]]*-1,0)</f>
        <v>0</v>
      </c>
    </row>
    <row r="34" spans="1:9" x14ac:dyDescent="0.3">
      <c r="A34" s="9"/>
      <c r="B34" s="3" t="s">
        <v>549</v>
      </c>
      <c r="C34" s="6"/>
      <c r="D34" s="230"/>
      <c r="E34" s="230"/>
      <c r="F34" s="230"/>
      <c r="G34" s="230">
        <f t="shared" si="0"/>
        <v>0</v>
      </c>
      <c r="H34" s="233">
        <f t="shared" si="1"/>
        <v>504</v>
      </c>
      <c r="I34" s="309">
        <f>IF(T_T134111213141516171819202122232425262728293031323335363738394041424344454647484950515253545556575859606162636465666768697071727374757677787980818283848586878889909192939495[[#This Row],[Total]]&lt;0,T_T134111213141516171819202122232425262728293031323335363738394041424344454647484950515253545556575859606162636465666768697071727374757677787980818283848586878889909192939495[[#This Row],[Total]]*-1,0)</f>
        <v>0</v>
      </c>
    </row>
    <row r="35" spans="1:9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504</v>
      </c>
      <c r="I35" s="309">
        <f>IF(T_T134111213141516171819202122232425262728293031323335363738394041424344454647484950515253545556575859606162636465666768697071727374757677787980818283848586878889909192939495[[#This Row],[Total]]&lt;0,T_T134111213141516171819202122232425262728293031323335363738394041424344454647484950515253545556575859606162636465666768697071727374757677787980818283848586878889909192939495[[#This Row],[Total]]*-1,0)</f>
        <v>0</v>
      </c>
    </row>
    <row r="36" spans="1:9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504</v>
      </c>
      <c r="I36" s="309">
        <f>IF(T_T134111213141516171819202122232425262728293031323335363738394041424344454647484950515253545556575859606162636465666768697071727374757677787980818283848586878889909192939495[[#This Row],[Total]]&lt;0,T_T134111213141516171819202122232425262728293031323335363738394041424344454647484950515253545556575859606162636465666768697071727374757677787980818283848586878889909192939495[[#This Row],[Total]]*-1,0)</f>
        <v>0</v>
      </c>
    </row>
    <row r="37" spans="1:9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504</v>
      </c>
      <c r="I37" s="309">
        <f>IF(T_T134111213141516171819202122232425262728293031323335363738394041424344454647484950515253545556575859606162636465666768697071727374757677787980818283848586878889909192939495[[#This Row],[Total]]&lt;0,T_T134111213141516171819202122232425262728293031323335363738394041424344454647484950515253545556575859606162636465666768697071727374757677787980818283848586878889909192939495[[#This Row],[Total]]*-1,0)</f>
        <v>0</v>
      </c>
    </row>
    <row r="38" spans="1:9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504</v>
      </c>
      <c r="I38" s="311">
        <f>IF(T_T134111213141516171819202122232425262728293031323335363738394041424344454647484950515253545556575859606162636465666768697071727374757677787980818283848586878889909192939495[[#This Row],[Total]]&lt;0,T_T134111213141516171819202122232425262728293031323335363738394041424344454647484950515253545556575859606162636465666768697071727374757677787980818283848586878889909192939495[[#This Row],[Total]]*-1,0)</f>
        <v>0</v>
      </c>
    </row>
    <row r="39" spans="1:9" x14ac:dyDescent="0.3">
      <c r="A39" s="107"/>
      <c r="B39" s="82"/>
      <c r="C39" s="229"/>
      <c r="D39" s="230"/>
      <c r="E39" s="230"/>
      <c r="F39" s="230"/>
      <c r="G39" s="230">
        <f t="shared" si="0"/>
        <v>0</v>
      </c>
      <c r="H39" s="233">
        <f t="shared" si="1"/>
        <v>504</v>
      </c>
      <c r="I39" s="353">
        <f>IF(T_T134111213141516171819202122232425262728293031323335363738394041424344454647484950515253545556575859606162636465666768697071727374757677787980818283848586878889909192939495[[#This Row],[Total]]&lt;0,T_T134111213141516171819202122232425262728293031323335363738394041424344454647484950515253545556575859606162636465666768697071727374757677787980818283848586878889909192939495[[#This Row],[Total]]*-1,0)</f>
        <v>0</v>
      </c>
    </row>
    <row r="40" spans="1:9" x14ac:dyDescent="0.3">
      <c r="A40" s="107"/>
      <c r="B40" s="82"/>
      <c r="C40" s="229"/>
      <c r="D40" s="230"/>
      <c r="E40" s="230"/>
      <c r="F40" s="230"/>
      <c r="G40" s="230">
        <f t="shared" si="0"/>
        <v>0</v>
      </c>
      <c r="H40" s="233">
        <f t="shared" si="1"/>
        <v>504</v>
      </c>
      <c r="I40" s="353">
        <f>IF(T_T134111213141516171819202122232425262728293031323335363738394041424344454647484950515253545556575859606162636465666768697071727374757677787980818283848586878889909192939495[[#This Row],[Total]]&lt;0,T_T134111213141516171819202122232425262728293031323335363738394041424344454647484950515253545556575859606162636465666768697071727374757677787980818283848586878889909192939495[[#This Row],[Total]]*-1,0)</f>
        <v>0</v>
      </c>
    </row>
    <row r="41" spans="1:9" x14ac:dyDescent="0.3">
      <c r="A41" s="107"/>
      <c r="B41" s="82"/>
      <c r="C41" s="229"/>
      <c r="D41" s="230"/>
      <c r="E41" s="230"/>
      <c r="F41" s="230"/>
      <c r="G41" s="230">
        <f>SUM(D41:F48)</f>
        <v>0</v>
      </c>
      <c r="H41" s="233">
        <f t="shared" si="1"/>
        <v>504</v>
      </c>
      <c r="I41" s="353">
        <f>IF(T_T134111213141516171819202122232425262728293031323335363738394041424344454647484950515253545556575859606162636465666768697071727374757677787980818283848586878889909192939495[[#This Row],[Total]]&lt;0,T_T134111213141516171819202122232425262728293031323335363738394041424344454647484950515253545556575859606162636465666768697071727374757677787980818283848586878889909192939495[[#This Row],[Total]]*-1,0)</f>
        <v>0</v>
      </c>
    </row>
    <row r="42" spans="1:9" x14ac:dyDescent="0.3">
      <c r="A42" s="107"/>
      <c r="B42" s="82"/>
      <c r="C42" s="229"/>
      <c r="D42" s="230"/>
      <c r="E42" s="230"/>
      <c r="F42" s="230"/>
      <c r="G42" s="230">
        <f>SUM(D42:F49)</f>
        <v>0</v>
      </c>
      <c r="H42" s="233">
        <f t="shared" si="1"/>
        <v>504</v>
      </c>
      <c r="I42" s="353">
        <f>IF(T_T134111213141516171819202122232425262728293031323335363738394041424344454647484950515253545556575859606162636465666768697071727374757677787980818283848586878889909192939495[[#This Row],[Total]]&lt;0,T_T134111213141516171819202122232425262728293031323335363738394041424344454647484950515253545556575859606162636465666768697071727374757677787980818283848586878889909192939495[[#This Row],[Total]]*-1,0)</f>
        <v>0</v>
      </c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scale="60" orientation="portrait" verticalDpi="360" r:id="rId2"/>
  <drawing r:id="rId3"/>
  <tableParts count="1">
    <tablePart r:id="rId4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N40"/>
  <sheetViews>
    <sheetView showGridLines="0" zoomScale="85" zoomScaleNormal="85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7.88671875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4" max="14" width="10.6640625" bestFit="1" customWidth="1"/>
    <col min="15" max="15" width="16" customWidth="1"/>
  </cols>
  <sheetData>
    <row r="2" spans="1:14" ht="15" customHeight="1" x14ac:dyDescent="0.3">
      <c r="A2" s="27" t="s">
        <v>36</v>
      </c>
      <c r="B2" s="41" t="s">
        <v>144</v>
      </c>
    </row>
    <row r="3" spans="1:14" ht="15" customHeight="1" x14ac:dyDescent="0.3">
      <c r="A3" s="27" t="s">
        <v>31</v>
      </c>
      <c r="B3" s="28" t="s">
        <v>256</v>
      </c>
    </row>
    <row r="4" spans="1:14" ht="11.25" customHeight="1" x14ac:dyDescent="0.3">
      <c r="A4" s="27" t="s">
        <v>32</v>
      </c>
      <c r="B4" s="28" t="e">
        <f>LOOKUP(B2,#REF!,#REF!)</f>
        <v>#REF!</v>
      </c>
    </row>
    <row r="5" spans="1:14" ht="11.25" hidden="1" customHeight="1" x14ac:dyDescent="0.3">
      <c r="A5" s="27"/>
      <c r="B5" s="28"/>
    </row>
    <row r="6" spans="1:14" ht="11.25" hidden="1" customHeight="1" x14ac:dyDescent="0.3">
      <c r="A6" s="27"/>
      <c r="B6" s="28"/>
    </row>
    <row r="7" spans="1:14" ht="11.25" hidden="1" customHeight="1" x14ac:dyDescent="0.3">
      <c r="A7" s="27"/>
      <c r="B7" s="28"/>
    </row>
    <row r="8" spans="1:14" x14ac:dyDescent="0.3">
      <c r="A8" s="21"/>
      <c r="B8" s="21"/>
    </row>
    <row r="9" spans="1:14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69" t="s">
        <v>188</v>
      </c>
      <c r="K9" s="416" t="s">
        <v>191</v>
      </c>
    </row>
    <row r="10" spans="1:14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IF(T_T13411121314151617181920212223242526272829303132333536373839404142434445464748495051525354555657585960616263646566676869707172737475767778798081828384858687888990919293949596[[#This Row],[Total]]&lt;0,T_T13411121314151617181920212223242526272829303132333536373839404142434445464748495051525354555657585960616263646566676869707172737475767778798081828384858687888990919293949596[[#This Row],[Total]]*-1,0)</f>
        <v>0</v>
      </c>
      <c r="J10" s="68"/>
      <c r="K10" s="419"/>
      <c r="M10">
        <v>1688</v>
      </c>
      <c r="N10" s="178"/>
    </row>
    <row r="11" spans="1:14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IF(T_T13411121314151617181920212223242526272829303132333536373839404142434445464748495051525354555657585960616263646566676869707172737475767778798081828384858687888990919293949596[[#This Row],[Total]]&lt;0,T_T13411121314151617181920212223242526272829303132333536373839404142434445464748495051525354555657585960616263646566676869707172737475767778798081828384858687888990919293949596[[#This Row],[Total]]*-1,0)</f>
        <v>0</v>
      </c>
      <c r="J11" s="240"/>
      <c r="K11" s="419"/>
      <c r="N11" t="s">
        <v>366</v>
      </c>
    </row>
    <row r="12" spans="1:14" x14ac:dyDescent="0.3">
      <c r="A12" s="117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IF(T_T13411121314151617181920212223242526272829303132333536373839404142434445464748495051525354555657585960616263646566676869707172737475767778798081828384858687888990919293949596[[#This Row],[Total]]&lt;0,T_T13411121314151617181920212223242526272829303132333536373839404142434445464748495051525354555657585960616263646566676869707172737475767778798081828384858687888990919293949596[[#This Row],[Total]]*-1,0)</f>
        <v>0</v>
      </c>
      <c r="J12" s="430"/>
      <c r="K12" s="419"/>
    </row>
    <row r="13" spans="1:14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IF(T_T13411121314151617181920212223242526272829303132333536373839404142434445464748495051525354555657585960616263646566676869707172737475767778798081828384858687888990919293949596[[#This Row],[Total]]&lt;0,T_T13411121314151617181920212223242526272829303132333536373839404142434445464748495051525354555657585960616263646566676869707172737475767778798081828384858687888990919293949596[[#This Row],[Total]]*-1,0)</f>
        <v>0</v>
      </c>
      <c r="J13" s="240"/>
      <c r="K13" s="419"/>
    </row>
    <row r="14" spans="1:14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IF(T_T13411121314151617181920212223242526272829303132333536373839404142434445464748495051525354555657585960616263646566676869707172737475767778798081828384858687888990919293949596[[#This Row],[Total]]&lt;0,T_T13411121314151617181920212223242526272829303132333536373839404142434445464748495051525354555657585960616263646566676869707172737475767778798081828384858687888990919293949596[[#This Row],[Total]]*-1,0)</f>
        <v>0</v>
      </c>
      <c r="J14" s="473"/>
      <c r="K14" s="485"/>
    </row>
    <row r="15" spans="1:14" x14ac:dyDescent="0.3">
      <c r="A15" s="17">
        <v>45687</v>
      </c>
      <c r="B15" s="18" t="s">
        <v>530</v>
      </c>
      <c r="C15" s="6"/>
      <c r="D15" s="2">
        <v>352</v>
      </c>
      <c r="E15" s="2">
        <v>21</v>
      </c>
      <c r="F15" s="20"/>
      <c r="G15" s="20">
        <f>SUM(D15:F15)</f>
        <v>373</v>
      </c>
      <c r="H15" s="233">
        <f>+H13+H12+H11+H10+T_T13411121314151617181920212223242526272829303132333536373839404142434445464748495051525354555657585960616263646566676869707172737475767778798081828384858687888990919293949596[[#This Row],[Total]]</f>
        <v>373</v>
      </c>
      <c r="I15" s="240">
        <f>IF(T_T13411121314151617181920212223242526272829303132333536373839404142434445464748495051525354555657585960616263646566676869707172737475767778798081828384858687888990919293949596[[#This Row],[Total]]&lt;0,T_T13411121314151617181920212223242526272829303132333536373839404142434445464748495051525354555657585960616263646566676869707172737475767778798081828384858687888990919293949596[[#This Row],[Total]]*-1,0)</f>
        <v>0</v>
      </c>
      <c r="J15" s="240"/>
      <c r="K15" s="419"/>
    </row>
    <row r="16" spans="1:14" x14ac:dyDescent="0.3">
      <c r="A16" s="17"/>
      <c r="B16" s="18" t="s">
        <v>531</v>
      </c>
      <c r="C16" s="6">
        <v>8733</v>
      </c>
      <c r="D16" s="2">
        <v>-352</v>
      </c>
      <c r="E16" s="2">
        <v>-21</v>
      </c>
      <c r="F16" s="230"/>
      <c r="G16" s="230">
        <f t="shared" ref="G16:G38" si="0">SUM(D16:F16)</f>
        <v>-373</v>
      </c>
      <c r="H16" s="233">
        <f t="shared" ref="H16:H40" si="1">H15+G16</f>
        <v>0</v>
      </c>
      <c r="I16" s="239">
        <f>IF(T_T13411121314151617181920212223242526272829303132333536373839404142434445464748495051525354555657585960616263646566676869707172737475767778798081828384858687888990919293949596[[#This Row],[Total]]&lt;0,T_T13411121314151617181920212223242526272829303132333536373839404142434445464748495051525354555657585960616263646566676869707172737475767778798081828384858687888990919293949596[[#This Row],[Total]]*-1,0)</f>
        <v>373</v>
      </c>
      <c r="J16" s="239"/>
      <c r="K16" s="419"/>
    </row>
    <row r="17" spans="1:11" x14ac:dyDescent="0.3">
      <c r="A17" s="164">
        <v>45715</v>
      </c>
      <c r="B17" s="161" t="s">
        <v>532</v>
      </c>
      <c r="C17" s="6"/>
      <c r="D17" s="2">
        <v>352</v>
      </c>
      <c r="E17" s="2">
        <v>35</v>
      </c>
      <c r="F17" s="230"/>
      <c r="G17" s="230">
        <f t="shared" si="0"/>
        <v>387</v>
      </c>
      <c r="H17" s="233">
        <f t="shared" si="1"/>
        <v>387</v>
      </c>
      <c r="I17" s="240">
        <f>IF(T_T13411121314151617181920212223242526272829303132333536373839404142434445464748495051525354555657585960616263646566676869707172737475767778798081828384858687888990919293949596[[#This Row],[Total]]&lt;0,T_T13411121314151617181920212223242526272829303132333536373839404142434445464748495051525354555657585960616263646566676869707172737475767778798081828384858687888990919293949596[[#This Row],[Total]]*-1,0)</f>
        <v>0</v>
      </c>
      <c r="J17" s="240"/>
      <c r="K17" s="419"/>
    </row>
    <row r="18" spans="1:11" x14ac:dyDescent="0.3">
      <c r="A18" s="187"/>
      <c r="B18" s="18" t="s">
        <v>533</v>
      </c>
      <c r="C18" s="6" t="s">
        <v>623</v>
      </c>
      <c r="D18" s="2">
        <f>-233-26-15-78</f>
        <v>-352</v>
      </c>
      <c r="E18" s="2">
        <v>-35</v>
      </c>
      <c r="F18" s="230"/>
      <c r="G18" s="230">
        <f t="shared" si="0"/>
        <v>-387</v>
      </c>
      <c r="H18" s="233">
        <f t="shared" si="1"/>
        <v>0</v>
      </c>
      <c r="I18" s="240">
        <f>IF(T_T13411121314151617181920212223242526272829303132333536373839404142434445464748495051525354555657585960616263646566676869707172737475767778798081828384858687888990919293949596[[#This Row],[Total]]&lt;0,T_T13411121314151617181920212223242526272829303132333536373839404142434445464748495051525354555657585960616263646566676869707172737475767778798081828384858687888990919293949596[[#This Row],[Total]]*-1,0)</f>
        <v>387</v>
      </c>
      <c r="J18" s="240"/>
      <c r="K18" s="419"/>
    </row>
    <row r="19" spans="1:11" x14ac:dyDescent="0.3">
      <c r="A19" s="188">
        <v>45747</v>
      </c>
      <c r="B19" s="3" t="s">
        <v>534</v>
      </c>
      <c r="C19" s="6"/>
      <c r="D19" s="2">
        <v>402</v>
      </c>
      <c r="E19" s="2">
        <v>28</v>
      </c>
      <c r="F19" s="230"/>
      <c r="G19" s="230">
        <f t="shared" si="0"/>
        <v>430</v>
      </c>
      <c r="H19" s="233">
        <f t="shared" si="1"/>
        <v>430</v>
      </c>
      <c r="I19" s="240">
        <f>IF(T_T13411121314151617181920212223242526272829303132333536373839404142434445464748495051525354555657585960616263646566676869707172737475767778798081828384858687888990919293949596[[#This Row],[Total]]&lt;0,T_T13411121314151617181920212223242526272829303132333536373839404142434445464748495051525354555657585960616263646566676869707172737475767778798081828384858687888990919293949596[[#This Row],[Total]]*-1,0)</f>
        <v>0</v>
      </c>
      <c r="J19" s="240"/>
      <c r="K19" s="79"/>
    </row>
    <row r="20" spans="1:11" x14ac:dyDescent="0.3">
      <c r="A20" s="188"/>
      <c r="B20" s="82" t="s">
        <v>535</v>
      </c>
      <c r="C20" s="6"/>
      <c r="D20" s="2"/>
      <c r="E20" s="2"/>
      <c r="F20" s="230"/>
      <c r="G20" s="230">
        <f t="shared" si="0"/>
        <v>0</v>
      </c>
      <c r="H20" s="233">
        <f t="shared" si="1"/>
        <v>430</v>
      </c>
      <c r="I20" s="239">
        <f>IF(T_T13411121314151617181920212223242526272829303132333536373839404142434445464748495051525354555657585960616263646566676869707172737475767778798081828384858687888990919293949596[[#This Row],[Total]]&lt;0,T_T13411121314151617181920212223242526272829303132333536373839404142434445464748495051525354555657585960616263646566676869707172737475767778798081828384858687888990919293949596[[#This Row],[Total]]*-1,0)</f>
        <v>0</v>
      </c>
      <c r="J20" s="239"/>
      <c r="K20" s="419"/>
    </row>
    <row r="21" spans="1:11" x14ac:dyDescent="0.3">
      <c r="A21" s="188">
        <v>45777</v>
      </c>
      <c r="B21" s="3" t="s">
        <v>536</v>
      </c>
      <c r="C21" s="6"/>
      <c r="D21" s="2">
        <v>402</v>
      </c>
      <c r="E21" s="2">
        <v>33</v>
      </c>
      <c r="F21" s="230"/>
      <c r="G21" s="230">
        <f t="shared" si="0"/>
        <v>435</v>
      </c>
      <c r="H21" s="233">
        <f t="shared" si="1"/>
        <v>865</v>
      </c>
      <c r="I21" s="309">
        <f>IF(T_T13411121314151617181920212223242526272829303132333536373839404142434445464748495051525354555657585960616263646566676869707172737475767778798081828384858687888990919293949596[[#This Row],[Total]]&lt;0,T_T13411121314151617181920212223242526272829303132333536373839404142434445464748495051525354555657585960616263646566676869707172737475767778798081828384858687888990919293949596[[#This Row],[Total]]*-1,0)</f>
        <v>0</v>
      </c>
      <c r="J21" s="309"/>
      <c r="K21" s="419"/>
    </row>
    <row r="22" spans="1:11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865</v>
      </c>
      <c r="I22" s="309">
        <f>IF(T_T13411121314151617181920212223242526272829303132333536373839404142434445464748495051525354555657585960616263646566676869707172737475767778798081828384858687888990919293949596[[#This Row],[Total]]&lt;0,T_T13411121314151617181920212223242526272829303132333536373839404142434445464748495051525354555657585960616263646566676869707172737475767778798081828384858687888990919293949596[[#This Row],[Total]]*-1,0)</f>
        <v>0</v>
      </c>
      <c r="J22" s="309"/>
      <c r="K22" s="419"/>
    </row>
    <row r="23" spans="1:11" x14ac:dyDescent="0.3">
      <c r="A23" s="40">
        <v>45807</v>
      </c>
      <c r="B23" s="3" t="s">
        <v>538</v>
      </c>
      <c r="C23" s="229"/>
      <c r="D23" s="230">
        <v>402</v>
      </c>
      <c r="E23" s="230">
        <v>23</v>
      </c>
      <c r="F23" s="230"/>
      <c r="G23" s="230">
        <f t="shared" si="0"/>
        <v>425</v>
      </c>
      <c r="H23" s="233">
        <f t="shared" si="1"/>
        <v>1290</v>
      </c>
      <c r="I23" s="309">
        <f>IF(T_T13411121314151617181920212223242526272829303132333536373839404142434445464748495051525354555657585960616263646566676869707172737475767778798081828384858687888990919293949596[[#This Row],[Total]]&lt;0,T_T13411121314151617181920212223242526272829303132333536373839404142434445464748495051525354555657585960616263646566676869707172737475767778798081828384858687888990919293949596[[#This Row],[Total]]*-1,0)</f>
        <v>0</v>
      </c>
      <c r="J23" s="309"/>
      <c r="K23" s="419"/>
    </row>
    <row r="24" spans="1:11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1290</v>
      </c>
      <c r="I24" s="311">
        <f>IF(T_T13411121314151617181920212223242526272829303132333536373839404142434445464748495051525354555657585960616263646566676869707172737475767778798081828384858687888990919293949596[[#This Row],[Total]]&lt;0,T_T13411121314151617181920212223242526272829303132333536373839404142434445464748495051525354555657585960616263646566676869707172737475767778798081828384858687888990919293949596[[#This Row],[Total]]*-1,0)</f>
        <v>0</v>
      </c>
      <c r="J24" s="311"/>
      <c r="K24" s="419"/>
    </row>
    <row r="25" spans="1:11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1290</v>
      </c>
      <c r="I25" s="309">
        <f>IF(T_T13411121314151617181920212223242526272829303132333536373839404142434445464748495051525354555657585960616263646566676869707172737475767778798081828384858687888990919293949596[[#This Row],[Total]]&lt;0,T_T13411121314151617181920212223242526272829303132333536373839404142434445464748495051525354555657585960616263646566676869707172737475767778798081828384858687888990919293949596[[#This Row],[Total]]*-1,0)</f>
        <v>0</v>
      </c>
      <c r="J25" s="309"/>
      <c r="K25" s="419"/>
    </row>
    <row r="26" spans="1:11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1290</v>
      </c>
      <c r="I26" s="309">
        <f>IF(T_T13411121314151617181920212223242526272829303132333536373839404142434445464748495051525354555657585960616263646566676869707172737475767778798081828384858687888990919293949596[[#This Row],[Total]]&lt;0,T_T13411121314151617181920212223242526272829303132333536373839404142434445464748495051525354555657585960616263646566676869707172737475767778798081828384858687888990919293949596[[#This Row],[Total]]*-1,0)</f>
        <v>0</v>
      </c>
      <c r="J26" s="309"/>
      <c r="K26" s="419"/>
    </row>
    <row r="27" spans="1:11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1290</v>
      </c>
      <c r="I27" s="309">
        <f>IF(T_T13411121314151617181920212223242526272829303132333536373839404142434445464748495051525354555657585960616263646566676869707172737475767778798081828384858687888990919293949596[[#This Row],[Total]]&lt;0,T_T13411121314151617181920212223242526272829303132333536373839404142434445464748495051525354555657585960616263646566676869707172737475767778798081828384858687888990919293949596[[#This Row],[Total]]*-1,0)</f>
        <v>0</v>
      </c>
      <c r="J27" s="309"/>
      <c r="K27" s="419"/>
    </row>
    <row r="28" spans="1:11" x14ac:dyDescent="0.3">
      <c r="A28" s="107"/>
      <c r="B28" s="82" t="s">
        <v>543</v>
      </c>
      <c r="C28" s="6"/>
      <c r="D28" s="230"/>
      <c r="E28" s="7"/>
      <c r="F28" s="230"/>
      <c r="G28" s="230">
        <f t="shared" si="0"/>
        <v>0</v>
      </c>
      <c r="H28" s="233">
        <f t="shared" si="1"/>
        <v>1290</v>
      </c>
      <c r="I28" s="311">
        <f>IF(T_T13411121314151617181920212223242526272829303132333536373839404142434445464748495051525354555657585960616263646566676869707172737475767778798081828384858687888990919293949596[[#This Row],[Total]]&lt;0,T_T13411121314151617181920212223242526272829303132333536373839404142434445464748495051525354555657585960616263646566676869707172737475767778798081828384858687888990919293949596[[#This Row],[Total]]*-1,0)</f>
        <v>0</v>
      </c>
      <c r="J28" s="311"/>
      <c r="K28" s="419"/>
    </row>
    <row r="29" spans="1:11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1290</v>
      </c>
      <c r="I29" s="309">
        <f>IF(T_T13411121314151617181920212223242526272829303132333536373839404142434445464748495051525354555657585960616263646566676869707172737475767778798081828384858687888990919293949596[[#This Row],[Total]]&lt;0,T_T13411121314151617181920212223242526272829303132333536373839404142434445464748495051525354555657585960616263646566676869707172737475767778798081828384858687888990919293949596[[#This Row],[Total]]*-1,0)</f>
        <v>0</v>
      </c>
      <c r="J29" s="309"/>
      <c r="K29" s="419"/>
    </row>
    <row r="30" spans="1:11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1290</v>
      </c>
      <c r="I30" s="309">
        <f>IF(T_T13411121314151617181920212223242526272829303132333536373839404142434445464748495051525354555657585960616263646566676869707172737475767778798081828384858687888990919293949596[[#This Row],[Total]]&lt;0,T_T13411121314151617181920212223242526272829303132333536373839404142434445464748495051525354555657585960616263646566676869707172737475767778798081828384858687888990919293949596[[#This Row],[Total]]*-1,0)</f>
        <v>0</v>
      </c>
      <c r="J30" s="309"/>
      <c r="K30" s="419"/>
    </row>
    <row r="31" spans="1:11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1290</v>
      </c>
      <c r="I31" s="309">
        <f>IF(T_T13411121314151617181920212223242526272829303132333536373839404142434445464748495051525354555657585960616263646566676869707172737475767778798081828384858687888990919293949596[[#This Row],[Total]]&lt;0,T_T13411121314151617181920212223242526272829303132333536373839404142434445464748495051525354555657585960616263646566676869707172737475767778798081828384858687888990919293949596[[#This Row],[Total]]*-1,0)</f>
        <v>0</v>
      </c>
      <c r="J31" s="309"/>
      <c r="K31" s="419"/>
    </row>
    <row r="32" spans="1:11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1290</v>
      </c>
      <c r="I32" s="309">
        <f>IF(T_T13411121314151617181920212223242526272829303132333536373839404142434445464748495051525354555657585960616263646566676869707172737475767778798081828384858687888990919293949596[[#This Row],[Total]]&lt;0,T_T13411121314151617181920212223242526272829303132333536373839404142434445464748495051525354555657585960616263646566676869707172737475767778798081828384858687888990919293949596[[#This Row],[Total]]*-1,0)</f>
        <v>0</v>
      </c>
      <c r="J32" s="309"/>
      <c r="K32" s="419"/>
    </row>
    <row r="33" spans="1:12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1290</v>
      </c>
      <c r="I33" s="309">
        <f>IF(T_T13411121314151617181920212223242526272829303132333536373839404142434445464748495051525354555657585960616263646566676869707172737475767778798081828384858687888990919293949596[[#This Row],[Total]]&lt;0,T_T13411121314151617181920212223242526272829303132333536373839404142434445464748495051525354555657585960616263646566676869707172737475767778798081828384858687888990919293949596[[#This Row],[Total]]*-1,0)</f>
        <v>0</v>
      </c>
      <c r="J33" s="309"/>
      <c r="K33" s="419"/>
    </row>
    <row r="34" spans="1:12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1290</v>
      </c>
      <c r="I34" s="309">
        <f>IF(T_T13411121314151617181920212223242526272829303132333536373839404142434445464748495051525354555657585960616263646566676869707172737475767778798081828384858687888990919293949596[[#This Row],[Total]]&lt;0,T_T13411121314151617181920212223242526272829303132333536373839404142434445464748495051525354555657585960616263646566676869707172737475767778798081828384858687888990919293949596[[#This Row],[Total]]*-1,0)</f>
        <v>0</v>
      </c>
      <c r="J34" s="309"/>
      <c r="K34" s="419"/>
    </row>
    <row r="35" spans="1:12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1290</v>
      </c>
      <c r="I35" s="309">
        <f>IF(T_T13411121314151617181920212223242526272829303132333536373839404142434445464748495051525354555657585960616263646566676869707172737475767778798081828384858687888990919293949596[[#This Row],[Total]]&lt;0,T_T13411121314151617181920212223242526272829303132333536373839404142434445464748495051525354555657585960616263646566676869707172737475767778798081828384858687888990919293949596[[#This Row],[Total]]*-1,0)</f>
        <v>0</v>
      </c>
      <c r="J35" s="309"/>
      <c r="K35" s="419"/>
      <c r="L35" t="s">
        <v>465</v>
      </c>
    </row>
    <row r="36" spans="1:12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1290</v>
      </c>
      <c r="I36" s="311">
        <f>IF(T_T13411121314151617181920212223242526272829303132333536373839404142434445464748495051525354555657585960616263646566676869707172737475767778798081828384858687888990919293949596[[#This Row],[Total]]&lt;0,T_T13411121314151617181920212223242526272829303132333536373839404142434445464748495051525354555657585960616263646566676869707172737475767778798081828384858687888990919293949596[[#This Row],[Total]]*-1,0)</f>
        <v>0</v>
      </c>
      <c r="J36" s="311"/>
      <c r="K36" s="419"/>
    </row>
    <row r="37" spans="1:12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1290</v>
      </c>
      <c r="I37" s="353">
        <f>IF(T_T13411121314151617181920212223242526272829303132333536373839404142434445464748495051525354555657585960616263646566676869707172737475767778798081828384858687888990919293949596[[#This Row],[Total]]&lt;0,T_T13411121314151617181920212223242526272829303132333536373839404142434445464748495051525354555657585960616263646566676869707172737475767778798081828384858687888990919293949596[[#This Row],[Total]]*-1,0)</f>
        <v>0</v>
      </c>
      <c r="J37" s="353"/>
      <c r="K37" s="419"/>
    </row>
    <row r="38" spans="1:12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1290</v>
      </c>
      <c r="I38" s="353">
        <f>IF(T_T13411121314151617181920212223242526272829303132333536373839404142434445464748495051525354555657585960616263646566676869707172737475767778798081828384858687888990919293949596[[#This Row],[Total]]&lt;0,T_T13411121314151617181920212223242526272829303132333536373839404142434445464748495051525354555657585960616263646566676869707172737475767778798081828384858687888990919293949596[[#This Row],[Total]]*-1,0)</f>
        <v>0</v>
      </c>
      <c r="J38" s="353"/>
      <c r="K38" s="419"/>
    </row>
    <row r="39" spans="1:12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1290</v>
      </c>
      <c r="I39" s="353">
        <f>IF(T_T13411121314151617181920212223242526272829303132333536373839404142434445464748495051525354555657585960616263646566676869707172737475767778798081828384858687888990919293949596[[#This Row],[Total]]&lt;0,T_T13411121314151617181920212223242526272829303132333536373839404142434445464748495051525354555657585960616263646566676869707172737475767778798081828384858687888990919293949596[[#This Row],[Total]]*-1,0)</f>
        <v>0</v>
      </c>
      <c r="J39" s="353"/>
      <c r="K39" s="419"/>
    </row>
    <row r="40" spans="1:12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1290</v>
      </c>
      <c r="I40" s="353">
        <f>IF(T_T13411121314151617181920212223242526272829303132333536373839404142434445464748495051525354555657585960616263646566676869707172737475767778798081828384858687888990919293949596[[#This Row],[Total]]&lt;0,T_T13411121314151617181920212223242526272829303132333536373839404142434445464748495051525354555657585960616263646566676869707172737475767778798081828384858687888990919293949596[[#This Row],[Total]]*-1,0)</f>
        <v>0</v>
      </c>
      <c r="J40" s="353"/>
      <c r="K40" s="419"/>
    </row>
  </sheetData>
  <pageMargins left="0.28999999999999998" right="0.39370078740157483" top="6.2" bottom="0.15748031496062992" header="0.9055118110236221" footer="0.19"/>
  <pageSetup scale="80" orientation="portrait" verticalDpi="360" r:id="rId1"/>
  <tableParts count="1">
    <tablePart r:id="rId2"/>
  </tablePart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J44"/>
  <sheetViews>
    <sheetView showGridLines="0" topLeftCell="A14" zoomScale="98" zoomScaleNormal="98" workbookViewId="0">
      <selection activeCell="E19" sqref="E19"/>
    </sheetView>
  </sheetViews>
  <sheetFormatPr baseColWidth="10" defaultColWidth="9.109375" defaultRowHeight="14.4" x14ac:dyDescent="0.3"/>
  <cols>
    <col min="1" max="1" width="14.6640625" customWidth="1"/>
    <col min="2" max="2" width="28.44140625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2.33203125" style="1" customWidth="1"/>
    <col min="7" max="7" width="11.88671875" style="1" customWidth="1"/>
    <col min="8" max="8" width="12.44140625" style="1" customWidth="1"/>
    <col min="9" max="9" width="12.88671875" hidden="1" customWidth="1"/>
    <col min="15" max="15" width="16" customWidth="1"/>
  </cols>
  <sheetData>
    <row r="2" spans="1:10" ht="15.6" x14ac:dyDescent="0.3">
      <c r="A2" s="27" t="s">
        <v>36</v>
      </c>
      <c r="B2" s="41" t="s">
        <v>145</v>
      </c>
    </row>
    <row r="3" spans="1:10" hidden="1" x14ac:dyDescent="0.3">
      <c r="A3" s="27" t="s">
        <v>31</v>
      </c>
      <c r="B3" s="28" t="e">
        <f>LOOKUP(B2,#REF!,#REF!)</f>
        <v>#REF!</v>
      </c>
    </row>
    <row r="4" spans="1:10" hidden="1" x14ac:dyDescent="0.3">
      <c r="A4" s="27" t="s">
        <v>32</v>
      </c>
      <c r="B4" s="28" t="e">
        <f>LOOKUP(B2,#REF!,#REF!)</f>
        <v>#REF!</v>
      </c>
    </row>
    <row r="5" spans="1:10" hidden="1" x14ac:dyDescent="0.3">
      <c r="A5" s="27" t="s">
        <v>33</v>
      </c>
      <c r="B5" s="28" t="e">
        <f>LOOKUP(B2,#REF!,#REF!)</f>
        <v>#REF!</v>
      </c>
    </row>
    <row r="6" spans="1:10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0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0" x14ac:dyDescent="0.3">
      <c r="A8" s="21"/>
      <c r="B8" s="21" t="s">
        <v>216</v>
      </c>
    </row>
    <row r="9" spans="1:10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69" t="s">
        <v>188</v>
      </c>
    </row>
    <row r="10" spans="1:10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/>
      <c r="J10" s="68"/>
    </row>
    <row r="11" spans="1:10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IF(T_T1341112131415161718192021222324252627282930313233353637383940414243444546474849505152535455565758596061626364656667686970717273747576777879808182838485868788899091929394959697[[#This Row],[Total]]&lt;0,T_T1341112131415161718192021222324252627282930313233353637383940414243444546474849505152535455565758596061626364656667686970717273747576777879808182838485868788899091929394959697[[#This Row],[Total]]*-1,0)</f>
        <v>0</v>
      </c>
      <c r="J11" s="240"/>
    </row>
    <row r="12" spans="1:10" x14ac:dyDescent="0.3">
      <c r="A12" s="117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IF(T_T1341112131415161718192021222324252627282930313233353637383940414243444546474849505152535455565758596061626364656667686970717273747576777879808182838485868788899091929394959697[[#This Row],[Total]]&lt;0,T_T1341112131415161718192021222324252627282930313233353637383940414243444546474849505152535455565758596061626364656667686970717273747576777879808182838485868788899091929394959697[[#This Row],[Total]]*-1,0)</f>
        <v>0</v>
      </c>
      <c r="J12" s="430"/>
    </row>
    <row r="13" spans="1:10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IF(T_T1341112131415161718192021222324252627282930313233353637383940414243444546474849505152535455565758596061626364656667686970717273747576777879808182838485868788899091929394959697[[#This Row],[Total]]&lt;0,T_T1341112131415161718192021222324252627282930313233353637383940414243444546474849505152535455565758596061626364656667686970717273747576777879808182838485868788899091929394959697[[#This Row],[Total]]*-1,0)</f>
        <v>0</v>
      </c>
      <c r="J13" s="240"/>
    </row>
    <row r="14" spans="1:10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IF(T_T1341112131415161718192021222324252627282930313233353637383940414243444546474849505152535455565758596061626364656667686970717273747576777879808182838485868788899091929394959697[[#This Row],[Total]]&lt;0,T_T1341112131415161718192021222324252627282930313233353637383940414243444546474849505152535455565758596061626364656667686970717273747576777879808182838485868788899091929394959697[[#This Row],[Total]]*-1,0)</f>
        <v>0</v>
      </c>
      <c r="J14" s="473"/>
    </row>
    <row r="15" spans="1:10" x14ac:dyDescent="0.3">
      <c r="A15" s="17">
        <v>46052</v>
      </c>
      <c r="B15" s="18" t="s">
        <v>590</v>
      </c>
      <c r="C15" s="6"/>
      <c r="D15" s="2">
        <v>101</v>
      </c>
      <c r="E15" s="2">
        <v>22</v>
      </c>
      <c r="F15" s="20"/>
      <c r="G15" s="20">
        <f>SUM(D15:F15)</f>
        <v>123</v>
      </c>
      <c r="H15" s="233">
        <f>+H13+T_T1341112131415161718192021222324252627282930313233353637383940414243444546474849505152535455565758596061626364656667686970717273747576777879808182838485868788899091929394959697[[#This Row],[Total]]</f>
        <v>123</v>
      </c>
      <c r="I15" s="240">
        <f>IF(T_T1341112131415161718192021222324252627282930313233353637383940414243444546474849505152535455565758596061626364656667686970717273747576777879808182838485868788899091929394959697[[#This Row],[Total]]&lt;0,T_T1341112131415161718192021222324252627282930313233353637383940414243444546474849505152535455565758596061626364656667686970717273747576777879808182838485868788899091929394959697[[#This Row],[Total]]*-1,0)</f>
        <v>0</v>
      </c>
      <c r="J15" s="240"/>
    </row>
    <row r="16" spans="1:10" x14ac:dyDescent="0.3">
      <c r="A16" s="17"/>
      <c r="B16" s="18" t="s">
        <v>591</v>
      </c>
      <c r="C16" s="6">
        <v>8752</v>
      </c>
      <c r="D16" s="2">
        <v>-101</v>
      </c>
      <c r="E16" s="2">
        <v>-22</v>
      </c>
      <c r="F16" s="230"/>
      <c r="G16" s="230">
        <f t="shared" ref="G16:G40" si="0">SUM(D16:F16)</f>
        <v>-123</v>
      </c>
      <c r="H16" s="233">
        <f t="shared" ref="H16:H42" si="1">H15+G16</f>
        <v>0</v>
      </c>
      <c r="I16" s="239">
        <f>IF(T_T1341112131415161718192021222324252627282930313233353637383940414243444546474849505152535455565758596061626364656667686970717273747576777879808182838485868788899091929394959697[[#This Row],[Total]]&lt;0,T_T1341112131415161718192021222324252627282930313233353637383940414243444546474849505152535455565758596061626364656667686970717273747576777879808182838485868788899091929394959697[[#This Row],[Total]]*-1,0)</f>
        <v>123</v>
      </c>
      <c r="J16" s="239"/>
    </row>
    <row r="17" spans="1:10" x14ac:dyDescent="0.3">
      <c r="A17" s="164">
        <v>45715</v>
      </c>
      <c r="B17" s="161" t="s">
        <v>532</v>
      </c>
      <c r="C17" s="6"/>
      <c r="D17" s="2">
        <v>101</v>
      </c>
      <c r="E17" s="2">
        <v>24</v>
      </c>
      <c r="F17" s="230"/>
      <c r="G17" s="230">
        <f t="shared" si="0"/>
        <v>125</v>
      </c>
      <c r="H17" s="233">
        <f t="shared" si="1"/>
        <v>125</v>
      </c>
      <c r="I17" s="240">
        <f>IF(T_T1341112131415161718192021222324252627282930313233353637383940414243444546474849505152535455565758596061626364656667686970717273747576777879808182838485868788899091929394959697[[#This Row],[Total]]&lt;0,T_T1341112131415161718192021222324252627282930313233353637383940414243444546474849505152535455565758596061626364656667686970717273747576777879808182838485868788899091929394959697[[#This Row],[Total]]*-1,0)</f>
        <v>0</v>
      </c>
      <c r="J17" s="240"/>
    </row>
    <row r="18" spans="1:10" x14ac:dyDescent="0.3">
      <c r="A18" s="187"/>
      <c r="B18" s="18" t="s">
        <v>533</v>
      </c>
      <c r="C18" s="6" t="s">
        <v>685</v>
      </c>
      <c r="D18" s="2">
        <v>-101</v>
      </c>
      <c r="E18" s="2">
        <f>-17-7</f>
        <v>-24</v>
      </c>
      <c r="F18" s="230"/>
      <c r="G18" s="230">
        <f t="shared" si="0"/>
        <v>-125</v>
      </c>
      <c r="H18" s="233">
        <f t="shared" si="1"/>
        <v>0</v>
      </c>
      <c r="I18" s="240">
        <f>IF(T_T1341112131415161718192021222324252627282930313233353637383940414243444546474849505152535455565758596061626364656667686970717273747576777879808182838485868788899091929394959697[[#This Row],[Total]]&lt;0,T_T1341112131415161718192021222324252627282930313233353637383940414243444546474849505152535455565758596061626364656667686970717273747576777879808182838485868788899091929394959697[[#This Row],[Total]]*-1,0)</f>
        <v>125</v>
      </c>
      <c r="J18" s="240"/>
    </row>
    <row r="19" spans="1:10" x14ac:dyDescent="0.3">
      <c r="A19" s="188">
        <v>45747</v>
      </c>
      <c r="B19" s="3" t="s">
        <v>534</v>
      </c>
      <c r="C19" s="6"/>
      <c r="D19" s="2">
        <v>115</v>
      </c>
      <c r="E19" s="2">
        <v>17</v>
      </c>
      <c r="F19" s="230"/>
      <c r="G19" s="230">
        <f t="shared" si="0"/>
        <v>132</v>
      </c>
      <c r="H19" s="233">
        <f t="shared" si="1"/>
        <v>132</v>
      </c>
      <c r="I19" s="240">
        <f>IF(T_T1341112131415161718192021222324252627282930313233353637383940414243444546474849505152535455565758596061626364656667686970717273747576777879808182838485868788899091929394959697[[#This Row],[Total]]&lt;0,T_T1341112131415161718192021222324252627282930313233353637383940414243444546474849505152535455565758596061626364656667686970717273747576777879808182838485868788899091929394959697[[#This Row],[Total]]*-1,0)</f>
        <v>0</v>
      </c>
      <c r="J19" s="240"/>
    </row>
    <row r="20" spans="1:10" x14ac:dyDescent="0.3">
      <c r="A20" s="188"/>
      <c r="B20" s="82" t="s">
        <v>535</v>
      </c>
      <c r="C20" s="6">
        <v>8968</v>
      </c>
      <c r="D20" s="2">
        <v>-115</v>
      </c>
      <c r="E20" s="2">
        <v>-17</v>
      </c>
      <c r="F20" s="230"/>
      <c r="G20" s="230">
        <f t="shared" si="0"/>
        <v>-132</v>
      </c>
      <c r="H20" s="233">
        <f t="shared" si="1"/>
        <v>0</v>
      </c>
      <c r="I20" s="239">
        <f>IF(T_T1341112131415161718192021222324252627282930313233353637383940414243444546474849505152535455565758596061626364656667686970717273747576777879808182838485868788899091929394959697[[#This Row],[Total]]&lt;0,T_T1341112131415161718192021222324252627282930313233353637383940414243444546474849505152535455565758596061626364656667686970717273747576777879808182838485868788899091929394959697[[#This Row],[Total]]*-1,0)</f>
        <v>132</v>
      </c>
      <c r="J20" s="239"/>
    </row>
    <row r="21" spans="1:10" x14ac:dyDescent="0.3">
      <c r="A21" s="188">
        <v>45777</v>
      </c>
      <c r="B21" s="3" t="s">
        <v>536</v>
      </c>
      <c r="C21" s="6"/>
      <c r="D21" s="2">
        <v>115</v>
      </c>
      <c r="E21" s="2">
        <v>18</v>
      </c>
      <c r="F21" s="230"/>
      <c r="G21" s="230">
        <f t="shared" si="0"/>
        <v>133</v>
      </c>
      <c r="H21" s="233">
        <f t="shared" si="1"/>
        <v>133</v>
      </c>
      <c r="I21" s="309">
        <f>IF(T_T1341112131415161718192021222324252627282930313233353637383940414243444546474849505152535455565758596061626364656667686970717273747576777879808182838485868788899091929394959697[[#This Row],[Total]]&lt;0,T_T1341112131415161718192021222324252627282930313233353637383940414243444546474849505152535455565758596061626364656667686970717273747576777879808182838485868788899091929394959697[[#This Row],[Total]]*-1,0)</f>
        <v>0</v>
      </c>
      <c r="J21" s="309"/>
    </row>
    <row r="22" spans="1:10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133</v>
      </c>
      <c r="I22" s="309">
        <f>IF(T_T1341112131415161718192021222324252627282930313233353637383940414243444546474849505152535455565758596061626364656667686970717273747576777879808182838485868788899091929394959697[[#This Row],[Total]]&lt;0,T_T1341112131415161718192021222324252627282930313233353637383940414243444546474849505152535455565758596061626364656667686970717273747576777879808182838485868788899091929394959697[[#This Row],[Total]]*-1,0)</f>
        <v>0</v>
      </c>
      <c r="J22" s="309"/>
    </row>
    <row r="23" spans="1:10" x14ac:dyDescent="0.3">
      <c r="A23" s="40">
        <v>45807</v>
      </c>
      <c r="B23" s="3" t="s">
        <v>538</v>
      </c>
      <c r="C23" s="229"/>
      <c r="D23" s="230">
        <v>115</v>
      </c>
      <c r="E23" s="230">
        <v>14</v>
      </c>
      <c r="F23" s="230"/>
      <c r="G23" s="230">
        <f t="shared" si="0"/>
        <v>129</v>
      </c>
      <c r="H23" s="233">
        <f t="shared" si="1"/>
        <v>262</v>
      </c>
      <c r="I23" s="309">
        <f>IF(T_T1341112131415161718192021222324252627282930313233353637383940414243444546474849505152535455565758596061626364656667686970717273747576777879808182838485868788899091929394959697[[#This Row],[Total]]&lt;0,T_T1341112131415161718192021222324252627282930313233353637383940414243444546474849505152535455565758596061626364656667686970717273747576777879808182838485868788899091929394959697[[#This Row],[Total]]*-1,0)</f>
        <v>0</v>
      </c>
      <c r="J23" s="309"/>
    </row>
    <row r="24" spans="1:10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262</v>
      </c>
      <c r="I24" s="311">
        <f>IF(T_T1341112131415161718192021222324252627282930313233353637383940414243444546474849505152535455565758596061626364656667686970717273747576777879808182838485868788899091929394959697[[#This Row],[Total]]&lt;0,T_T1341112131415161718192021222324252627282930313233353637383940414243444546474849505152535455565758596061626364656667686970717273747576777879808182838485868788899091929394959697[[#This Row],[Total]]*-1,0)</f>
        <v>0</v>
      </c>
      <c r="J24" s="311"/>
    </row>
    <row r="25" spans="1:10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262</v>
      </c>
      <c r="I25" s="309">
        <f>IF(T_T1341112131415161718192021222324252627282930313233353637383940414243444546474849505152535455565758596061626364656667686970717273747576777879808182838485868788899091929394959697[[#This Row],[Total]]&lt;0,T_T1341112131415161718192021222324252627282930313233353637383940414243444546474849505152535455565758596061626364656667686970717273747576777879808182838485868788899091929394959697[[#This Row],[Total]]*-1,0)</f>
        <v>0</v>
      </c>
      <c r="J25" s="309"/>
    </row>
    <row r="26" spans="1:10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262</v>
      </c>
      <c r="I26" s="309">
        <f>IF(T_T1341112131415161718192021222324252627282930313233353637383940414243444546474849505152535455565758596061626364656667686970717273747576777879808182838485868788899091929394959697[[#This Row],[Total]]&lt;0,T_T1341112131415161718192021222324252627282930313233353637383940414243444546474849505152535455565758596061626364656667686970717273747576777879808182838485868788899091929394959697[[#This Row],[Total]]*-1,0)</f>
        <v>0</v>
      </c>
      <c r="J26" s="309"/>
    </row>
    <row r="27" spans="1:10" x14ac:dyDescent="0.3">
      <c r="A27" s="509"/>
      <c r="B27" s="3" t="s">
        <v>557</v>
      </c>
      <c r="C27" s="512"/>
      <c r="D27" s="513"/>
      <c r="E27" s="513"/>
      <c r="F27" s="513"/>
      <c r="G27" s="230">
        <f t="shared" si="0"/>
        <v>0</v>
      </c>
      <c r="H27" s="233">
        <f t="shared" si="1"/>
        <v>262</v>
      </c>
      <c r="I27" s="514">
        <f>IF(T_T1341112131415161718192021222324252627282930313233353637383940414243444546474849505152535455565758596061626364656667686970717273747576777879808182838485868788899091929394959697[[#This Row],[Total]]&lt;0,T_T1341112131415161718192021222324252627282930313233353637383940414243444546474849505152535455565758596061626364656667686970717273747576777879808182838485868788899091929394959697[[#This Row],[Total]]*-1,0)</f>
        <v>0</v>
      </c>
      <c r="J27" s="514"/>
    </row>
    <row r="28" spans="1:10" x14ac:dyDescent="0.3">
      <c r="A28" s="509"/>
      <c r="B28" s="3" t="s">
        <v>558</v>
      </c>
      <c r="C28" s="512"/>
      <c r="D28" s="513"/>
      <c r="E28" s="513"/>
      <c r="F28" s="513"/>
      <c r="G28" s="230">
        <f t="shared" si="0"/>
        <v>0</v>
      </c>
      <c r="H28" s="233">
        <f t="shared" si="1"/>
        <v>262</v>
      </c>
      <c r="I28" s="514">
        <f>IF(T_T1341112131415161718192021222324252627282930313233353637383940414243444546474849505152535455565758596061626364656667686970717273747576777879808182838485868788899091929394959697[[#This Row],[Total]]&lt;0,T_T1341112131415161718192021222324252627282930313233353637383940414243444546474849505152535455565758596061626364656667686970717273747576777879808182838485868788899091929394959697[[#This Row],[Total]]*-1,0)</f>
        <v>0</v>
      </c>
      <c r="J28" s="514"/>
    </row>
    <row r="29" spans="1:10" x14ac:dyDescent="0.3">
      <c r="A29" s="107">
        <v>45868</v>
      </c>
      <c r="B29" s="82" t="s">
        <v>542</v>
      </c>
      <c r="C29" s="229"/>
      <c r="D29" s="230"/>
      <c r="E29" s="230"/>
      <c r="F29" s="230"/>
      <c r="G29" s="230">
        <f t="shared" si="0"/>
        <v>0</v>
      </c>
      <c r="H29" s="233">
        <f t="shared" si="1"/>
        <v>262</v>
      </c>
      <c r="I29" s="309">
        <f>IF(T_T1341112131415161718192021222324252627282930313233353637383940414243444546474849505152535455565758596061626364656667686970717273747576777879808182838485868788899091929394959697[[#This Row],[Total]]&lt;0,T_T1341112131415161718192021222324252627282930313233353637383940414243444546474849505152535455565758596061626364656667686970717273747576777879808182838485868788899091929394959697[[#This Row],[Total]]*-1,0)</f>
        <v>0</v>
      </c>
      <c r="J29" s="309"/>
    </row>
    <row r="30" spans="1:10" x14ac:dyDescent="0.3">
      <c r="A30" s="107"/>
      <c r="B30" s="82" t="s">
        <v>543</v>
      </c>
      <c r="C30" s="6"/>
      <c r="D30" s="230"/>
      <c r="E30" s="230"/>
      <c r="F30" s="230"/>
      <c r="G30" s="230">
        <f t="shared" si="0"/>
        <v>0</v>
      </c>
      <c r="H30" s="233">
        <f t="shared" si="1"/>
        <v>262</v>
      </c>
      <c r="I30" s="311">
        <f>IF(T_T1341112131415161718192021222324252627282930313233353637383940414243444546474849505152535455565758596061626364656667686970717273747576777879808182838485868788899091929394959697[[#This Row],[Total]]&lt;0,T_T1341112131415161718192021222324252627282930313233353637383940414243444546474849505152535455565758596061626364656667686970717273747576777879808182838485868788899091929394959697[[#This Row],[Total]]*-1,0)</f>
        <v>0</v>
      </c>
      <c r="J30" s="311"/>
    </row>
    <row r="31" spans="1:10" x14ac:dyDescent="0.3">
      <c r="A31" s="107">
        <v>45899</v>
      </c>
      <c r="B31" s="82" t="s">
        <v>544</v>
      </c>
      <c r="C31" s="229"/>
      <c r="D31" s="230"/>
      <c r="E31" s="230"/>
      <c r="F31" s="230"/>
      <c r="G31" s="230">
        <f t="shared" si="0"/>
        <v>0</v>
      </c>
      <c r="H31" s="233">
        <f t="shared" si="1"/>
        <v>262</v>
      </c>
      <c r="I31" s="309">
        <f>IF(T_T1341112131415161718192021222324252627282930313233353637383940414243444546474849505152535455565758596061626364656667686970717273747576777879808182838485868788899091929394959697[[#This Row],[Total]]&lt;0,T_T1341112131415161718192021222324252627282930313233353637383940414243444546474849505152535455565758596061626364656667686970717273747576777879808182838485868788899091929394959697[[#This Row],[Total]]*-1,0)</f>
        <v>0</v>
      </c>
      <c r="J31" s="309"/>
    </row>
    <row r="32" spans="1:10" x14ac:dyDescent="0.3">
      <c r="A32" s="107"/>
      <c r="B32" s="82" t="s">
        <v>545</v>
      </c>
      <c r="C32" s="6"/>
      <c r="D32" s="230"/>
      <c r="E32" s="230"/>
      <c r="F32" s="230"/>
      <c r="G32" s="230">
        <f t="shared" si="0"/>
        <v>0</v>
      </c>
      <c r="H32" s="233">
        <f t="shared" si="1"/>
        <v>262</v>
      </c>
      <c r="I32" s="309">
        <f>IF(T_T1341112131415161718192021222324252627282930313233353637383940414243444546474849505152535455565758596061626364656667686970717273747576777879808182838485868788899091929394959697[[#This Row],[Total]]&lt;0,T_T1341112131415161718192021222324252627282930313233353637383940414243444546474849505152535455565758596061626364656667686970717273747576777879808182838485868788899091929394959697[[#This Row],[Total]]*-1,0)</f>
        <v>0</v>
      </c>
      <c r="J32" s="309"/>
    </row>
    <row r="33" spans="1:10" x14ac:dyDescent="0.3">
      <c r="A33" s="9">
        <v>45930</v>
      </c>
      <c r="B33" s="3" t="s">
        <v>546</v>
      </c>
      <c r="C33" s="229"/>
      <c r="D33" s="230"/>
      <c r="E33" s="230"/>
      <c r="F33" s="230"/>
      <c r="G33" s="230">
        <f t="shared" si="0"/>
        <v>0</v>
      </c>
      <c r="H33" s="233">
        <f t="shared" si="1"/>
        <v>262</v>
      </c>
      <c r="I33" s="309">
        <f>IF(T_T1341112131415161718192021222324252627282930313233353637383940414243444546474849505152535455565758596061626364656667686970717273747576777879808182838485868788899091929394959697[[#This Row],[Total]]&lt;0,T_T1341112131415161718192021222324252627282930313233353637383940414243444546474849505152535455565758596061626364656667686970717273747576777879808182838485868788899091929394959697[[#This Row],[Total]]*-1,0)</f>
        <v>0</v>
      </c>
      <c r="J33" s="309"/>
    </row>
    <row r="34" spans="1:10" x14ac:dyDescent="0.3">
      <c r="A34" s="9"/>
      <c r="B34" s="3" t="s">
        <v>547</v>
      </c>
      <c r="C34" s="6"/>
      <c r="D34" s="230"/>
      <c r="E34" s="230"/>
      <c r="F34" s="230"/>
      <c r="G34" s="230">
        <f t="shared" si="0"/>
        <v>0</v>
      </c>
      <c r="H34" s="233">
        <f t="shared" si="1"/>
        <v>262</v>
      </c>
      <c r="I34" s="309">
        <f>IF(T_T1341112131415161718192021222324252627282930313233353637383940414243444546474849505152535455565758596061626364656667686970717273747576777879808182838485868788899091929394959697[[#This Row],[Total]]&lt;0,T_T1341112131415161718192021222324252627282930313233353637383940414243444546474849505152535455565758596061626364656667686970717273747576777879808182838485868788899091929394959697[[#This Row],[Total]]*-1,0)</f>
        <v>0</v>
      </c>
      <c r="J34" s="309"/>
    </row>
    <row r="35" spans="1:10" x14ac:dyDescent="0.3">
      <c r="A35" s="9">
        <v>45960</v>
      </c>
      <c r="B35" s="3" t="s">
        <v>548</v>
      </c>
      <c r="C35" s="229"/>
      <c r="D35" s="230"/>
      <c r="E35" s="230"/>
      <c r="F35" s="230"/>
      <c r="G35" s="230">
        <f t="shared" si="0"/>
        <v>0</v>
      </c>
      <c r="H35" s="233">
        <f t="shared" si="1"/>
        <v>262</v>
      </c>
      <c r="I35" s="309">
        <f>IF(T_T1341112131415161718192021222324252627282930313233353637383940414243444546474849505152535455565758596061626364656667686970717273747576777879808182838485868788899091929394959697[[#This Row],[Total]]&lt;0,T_T1341112131415161718192021222324252627282930313233353637383940414243444546474849505152535455565758596061626364656667686970717273747576777879808182838485868788899091929394959697[[#This Row],[Total]]*-1,0)</f>
        <v>0</v>
      </c>
      <c r="J35" s="309"/>
    </row>
    <row r="36" spans="1:10" x14ac:dyDescent="0.3">
      <c r="A36" s="9"/>
      <c r="B36" s="3" t="s">
        <v>549</v>
      </c>
      <c r="C36" s="229"/>
      <c r="D36" s="230"/>
      <c r="E36" s="230"/>
      <c r="F36" s="230"/>
      <c r="G36" s="230">
        <f t="shared" si="0"/>
        <v>0</v>
      </c>
      <c r="H36" s="233">
        <f t="shared" si="1"/>
        <v>262</v>
      </c>
      <c r="I36" s="309">
        <f>IF(T_T1341112131415161718192021222324252627282930313233353637383940414243444546474849505152535455565758596061626364656667686970717273747576777879808182838485868788899091929394959697[[#This Row],[Total]]&lt;0,T_T1341112131415161718192021222324252627282930313233353637383940414243444546474849505152535455565758596061626364656667686970717273747576777879808182838485868788899091929394959697[[#This Row],[Total]]*-1,0)</f>
        <v>0</v>
      </c>
      <c r="J36" s="309"/>
    </row>
    <row r="37" spans="1:10" x14ac:dyDescent="0.3">
      <c r="A37" s="9">
        <v>45991</v>
      </c>
      <c r="B37" s="3" t="s">
        <v>550</v>
      </c>
      <c r="C37" s="229"/>
      <c r="D37" s="230"/>
      <c r="E37" s="230"/>
      <c r="F37" s="230"/>
      <c r="G37" s="230">
        <f t="shared" si="0"/>
        <v>0</v>
      </c>
      <c r="H37" s="233">
        <f t="shared" si="1"/>
        <v>262</v>
      </c>
      <c r="I37" s="309">
        <f>IF(T_T1341112131415161718192021222324252627282930313233353637383940414243444546474849505152535455565758596061626364656667686970717273747576777879808182838485868788899091929394959697[[#This Row],[Total]]&lt;0,T_T1341112131415161718192021222324252627282930313233353637383940414243444546474849505152535455565758596061626364656667686970717273747576777879808182838485868788899091929394959697[[#This Row],[Total]]*-1,0)</f>
        <v>0</v>
      </c>
      <c r="J37" s="309"/>
    </row>
    <row r="38" spans="1:10" x14ac:dyDescent="0.3">
      <c r="A38" s="17"/>
      <c r="B38" s="18" t="s">
        <v>551</v>
      </c>
      <c r="C38" s="229"/>
      <c r="D38" s="230"/>
      <c r="E38" s="230"/>
      <c r="F38" s="230"/>
      <c r="G38" s="230">
        <f t="shared" si="0"/>
        <v>0</v>
      </c>
      <c r="H38" s="233">
        <f t="shared" si="1"/>
        <v>262</v>
      </c>
      <c r="I38" s="311">
        <f>IF(T_T1341112131415161718192021222324252627282930313233353637383940414243444546474849505152535455565758596061626364656667686970717273747576777879808182838485868788899091929394959697[[#This Row],[Total]]&lt;0,T_T1341112131415161718192021222324252627282930313233353637383940414243444546474849505152535455565758596061626364656667686970717273747576777879808182838485868788899091929394959697[[#This Row],[Total]]*-1,0)</f>
        <v>0</v>
      </c>
      <c r="J38" s="311"/>
    </row>
    <row r="39" spans="1:10" x14ac:dyDescent="0.3">
      <c r="A39" s="188">
        <v>46021</v>
      </c>
      <c r="B39" s="3" t="s">
        <v>552</v>
      </c>
      <c r="C39" s="229"/>
      <c r="D39" s="230"/>
      <c r="E39" s="230"/>
      <c r="F39" s="230"/>
      <c r="G39" s="230">
        <f t="shared" si="0"/>
        <v>0</v>
      </c>
      <c r="H39" s="233">
        <f t="shared" si="1"/>
        <v>262</v>
      </c>
      <c r="I39" s="353">
        <f>IF(T_T1341112131415161718192021222324252627282930313233353637383940414243444546474849505152535455565758596061626364656667686970717273747576777879808182838485868788899091929394959697[[#This Row],[Total]]&lt;0,T_T1341112131415161718192021222324252627282930313233353637383940414243444546474849505152535455565758596061626364656667686970717273747576777879808182838485868788899091929394959697[[#This Row],[Total]]*-1,0)</f>
        <v>0</v>
      </c>
      <c r="J39" s="353"/>
    </row>
    <row r="40" spans="1:10" x14ac:dyDescent="0.3">
      <c r="A40" s="257"/>
      <c r="B40" s="110" t="s">
        <v>553</v>
      </c>
      <c r="C40" s="229"/>
      <c r="D40" s="230"/>
      <c r="E40" s="230"/>
      <c r="F40" s="230"/>
      <c r="G40" s="230">
        <f t="shared" si="0"/>
        <v>0</v>
      </c>
      <c r="H40" s="233">
        <f t="shared" si="1"/>
        <v>262</v>
      </c>
      <c r="I40" s="353">
        <f>IF(T_T1341112131415161718192021222324252627282930313233353637383940414243444546474849505152535455565758596061626364656667686970717273747576777879808182838485868788899091929394959697[[#This Row],[Total]]&lt;0,T_T1341112131415161718192021222324252627282930313233353637383940414243444546474849505152535455565758596061626364656667686970717273747576777879808182838485868788899091929394959697[[#This Row],[Total]]*-1,0)</f>
        <v>0</v>
      </c>
      <c r="J40" s="353"/>
    </row>
    <row r="41" spans="1:10" x14ac:dyDescent="0.3">
      <c r="A41" s="107"/>
      <c r="B41" s="82"/>
      <c r="C41" s="229"/>
      <c r="D41" s="230"/>
      <c r="E41" s="230"/>
      <c r="F41" s="230"/>
      <c r="G41" s="230">
        <f>SUM(D41:F48)</f>
        <v>0</v>
      </c>
      <c r="H41" s="233">
        <f t="shared" si="1"/>
        <v>262</v>
      </c>
      <c r="I41" s="353">
        <f>IF(T_T1341112131415161718192021222324252627282930313233353637383940414243444546474849505152535455565758596061626364656667686970717273747576777879808182838485868788899091929394959697[[#This Row],[Total]]&lt;0,T_T1341112131415161718192021222324252627282930313233353637383940414243444546474849505152535455565758596061626364656667686970717273747576777879808182838485868788899091929394959697[[#This Row],[Total]]*-1,0)</f>
        <v>0</v>
      </c>
      <c r="J41" s="353"/>
    </row>
    <row r="42" spans="1:10" x14ac:dyDescent="0.3">
      <c r="A42" s="107"/>
      <c r="B42" s="82"/>
      <c r="C42" s="229"/>
      <c r="D42" s="230"/>
      <c r="E42" s="230"/>
      <c r="F42" s="230"/>
      <c r="G42" s="230">
        <f>SUM(D42:F49)</f>
        <v>0</v>
      </c>
      <c r="H42" s="233">
        <f t="shared" si="1"/>
        <v>262</v>
      </c>
      <c r="I42" s="353">
        <f>IF(T_T1341112131415161718192021222324252627282930313233353637383940414243444546474849505152535455565758596061626364656667686970717273747576777879808182838485868788899091929394959697[[#This Row],[Total]]&lt;0,T_T1341112131415161718192021222324252627282930313233353637383940414243444546474849505152535455565758596061626364656667686970717273747576777879808182838485868788899091929394959697[[#This Row],[Total]]*-1,0)</f>
        <v>0</v>
      </c>
      <c r="J42" s="353"/>
    </row>
    <row r="44" spans="1:10" x14ac:dyDescent="0.3">
      <c r="F44" s="1" t="s">
        <v>366</v>
      </c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scale="65" orientation="portrait" verticalDpi="360" r:id="rId2"/>
  <drawing r:id="rId3"/>
  <tableParts count="1">
    <tablePart r:id="rId4"/>
  </tablePart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M52"/>
  <sheetViews>
    <sheetView showGridLines="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0.6640625" bestFit="1" customWidth="1"/>
    <col min="14" max="14" width="15.5546875" customWidth="1"/>
  </cols>
  <sheetData>
    <row r="2" spans="1:13" ht="15" customHeight="1" x14ac:dyDescent="0.3">
      <c r="A2" s="27" t="s">
        <v>36</v>
      </c>
      <c r="B2" s="41" t="s">
        <v>247</v>
      </c>
    </row>
    <row r="3" spans="1:13" hidden="1" x14ac:dyDescent="0.3">
      <c r="A3" s="27" t="s">
        <v>31</v>
      </c>
      <c r="B3" s="28" t="e">
        <f>LOOKUP(B2,#REF!,#REF!)</f>
        <v>#REF!</v>
      </c>
    </row>
    <row r="4" spans="1:13" hidden="1" x14ac:dyDescent="0.3">
      <c r="A4" s="27" t="s">
        <v>32</v>
      </c>
      <c r="B4" s="28" t="e">
        <f>LOOKUP(B2,#REF!,#REF!)</f>
        <v>#REF!</v>
      </c>
    </row>
    <row r="5" spans="1:13" hidden="1" x14ac:dyDescent="0.3">
      <c r="A5" s="27" t="s">
        <v>33</v>
      </c>
      <c r="B5" s="28" t="e">
        <f>LOOKUP(B2,#REF!,#REF!)</f>
        <v>#REF!</v>
      </c>
    </row>
    <row r="6" spans="1:13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3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3" x14ac:dyDescent="0.3">
      <c r="A8" s="21"/>
      <c r="B8" s="21" t="s">
        <v>422</v>
      </c>
    </row>
    <row r="9" spans="1:13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312" t="s">
        <v>188</v>
      </c>
    </row>
    <row r="10" spans="1:13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/>
      <c r="J10" s="310"/>
      <c r="M10" s="178"/>
    </row>
    <row r="11" spans="1:13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11" s="309"/>
    </row>
    <row r="12" spans="1:13" x14ac:dyDescent="0.3">
      <c r="A12" s="117"/>
      <c r="B12" s="118" t="s">
        <v>467</v>
      </c>
      <c r="C12" s="424"/>
      <c r="D12" s="425"/>
      <c r="E12" s="425"/>
      <c r="F12" s="425"/>
      <c r="G12" s="425">
        <f>SUM(D12:F12)</f>
        <v>0</v>
      </c>
      <c r="H12" s="426">
        <v>0</v>
      </c>
      <c r="I12" s="430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12" s="430"/>
    </row>
    <row r="13" spans="1:13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13" s="309"/>
    </row>
    <row r="14" spans="1:13" x14ac:dyDescent="0.3">
      <c r="A14" s="288"/>
      <c r="B14" s="118" t="s">
        <v>529</v>
      </c>
      <c r="C14" s="481"/>
      <c r="D14" s="482"/>
      <c r="E14" s="482"/>
      <c r="F14" s="482"/>
      <c r="G14" s="482">
        <f>SUM(D14:F14)</f>
        <v>0</v>
      </c>
      <c r="H14" s="484">
        <f>H13+G14</f>
        <v>0</v>
      </c>
      <c r="I14" s="473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14" s="473"/>
    </row>
    <row r="15" spans="1:13" x14ac:dyDescent="0.3">
      <c r="A15" s="17">
        <v>45687</v>
      </c>
      <c r="B15" s="18" t="s">
        <v>530</v>
      </c>
      <c r="C15" s="6"/>
      <c r="D15" s="2">
        <v>106</v>
      </c>
      <c r="E15" s="2">
        <v>26</v>
      </c>
      <c r="F15" s="20"/>
      <c r="G15" s="20">
        <f>SUM(D15:F15)</f>
        <v>132</v>
      </c>
      <c r="H15" s="233">
        <f>+H13+T_T134111213141516171819202122232425262728293031323335363738394041424344454647484950515253545556575859606162636465666768697071727374757677787980818283848586878889909192939495969798[[#This Row],[Total]]</f>
        <v>132</v>
      </c>
      <c r="I15" s="240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15" s="309"/>
    </row>
    <row r="16" spans="1:13" x14ac:dyDescent="0.3">
      <c r="A16" s="17"/>
      <c r="B16" s="18" t="s">
        <v>531</v>
      </c>
      <c r="C16" s="6">
        <v>8668</v>
      </c>
      <c r="D16" s="372">
        <v>-106</v>
      </c>
      <c r="E16" s="2">
        <v>-26</v>
      </c>
      <c r="F16" s="230"/>
      <c r="G16" s="20">
        <f t="shared" ref="G16:G31" si="0">SUM(D16:F16)</f>
        <v>-132</v>
      </c>
      <c r="H16" s="233">
        <f t="shared" ref="H16:H40" si="1">H15+G16</f>
        <v>0</v>
      </c>
      <c r="I16" s="239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132</v>
      </c>
      <c r="J16" s="309"/>
    </row>
    <row r="17" spans="1:10" x14ac:dyDescent="0.3">
      <c r="A17" s="164">
        <v>45715</v>
      </c>
      <c r="B17" s="161" t="s">
        <v>532</v>
      </c>
      <c r="C17" s="371"/>
      <c r="D17" s="372">
        <v>106</v>
      </c>
      <c r="E17" s="2">
        <v>37</v>
      </c>
      <c r="F17" s="230"/>
      <c r="G17" s="20">
        <f t="shared" si="0"/>
        <v>143</v>
      </c>
      <c r="H17" s="233">
        <f t="shared" si="1"/>
        <v>143</v>
      </c>
      <c r="I17" s="240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17" s="309"/>
    </row>
    <row r="18" spans="1:10" x14ac:dyDescent="0.3">
      <c r="A18" s="187"/>
      <c r="B18" s="18" t="s">
        <v>533</v>
      </c>
      <c r="C18" s="6">
        <v>8668</v>
      </c>
      <c r="D18" s="372">
        <v>-106</v>
      </c>
      <c r="E18" s="2">
        <v>-37</v>
      </c>
      <c r="F18" s="230"/>
      <c r="G18" s="20">
        <f t="shared" si="0"/>
        <v>-143</v>
      </c>
      <c r="H18" s="233">
        <f t="shared" si="1"/>
        <v>0</v>
      </c>
      <c r="I18" s="240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143</v>
      </c>
      <c r="J18" s="309"/>
    </row>
    <row r="19" spans="1:10" x14ac:dyDescent="0.3">
      <c r="A19" s="188">
        <v>45747</v>
      </c>
      <c r="B19" s="3" t="s">
        <v>534</v>
      </c>
      <c r="C19" s="371"/>
      <c r="D19" s="372">
        <v>122</v>
      </c>
      <c r="E19" s="2">
        <v>41</v>
      </c>
      <c r="F19" s="230"/>
      <c r="G19" s="20">
        <f t="shared" si="0"/>
        <v>163</v>
      </c>
      <c r="H19" s="233">
        <f t="shared" si="1"/>
        <v>163</v>
      </c>
      <c r="I19" s="240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19" s="309"/>
    </row>
    <row r="20" spans="1:10" x14ac:dyDescent="0.3">
      <c r="A20" s="188"/>
      <c r="B20" s="82" t="s">
        <v>535</v>
      </c>
      <c r="C20" s="6"/>
      <c r="D20" s="372"/>
      <c r="E20" s="2"/>
      <c r="F20" s="230"/>
      <c r="G20" s="20">
        <f t="shared" si="0"/>
        <v>0</v>
      </c>
      <c r="H20" s="233">
        <f t="shared" si="1"/>
        <v>163</v>
      </c>
      <c r="I20" s="239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20" s="309"/>
    </row>
    <row r="21" spans="1:10" x14ac:dyDescent="0.3">
      <c r="A21" s="188">
        <v>45777</v>
      </c>
      <c r="B21" s="3" t="s">
        <v>536</v>
      </c>
      <c r="C21" s="371"/>
      <c r="D21" s="372">
        <v>122</v>
      </c>
      <c r="E21" s="2">
        <v>41</v>
      </c>
      <c r="F21" s="230"/>
      <c r="G21" s="20">
        <f t="shared" si="0"/>
        <v>163</v>
      </c>
      <c r="H21" s="233">
        <f t="shared" si="1"/>
        <v>326</v>
      </c>
      <c r="I21" s="309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21" s="309"/>
    </row>
    <row r="22" spans="1:10" x14ac:dyDescent="0.3">
      <c r="A22" s="83"/>
      <c r="B22" s="82" t="s">
        <v>537</v>
      </c>
      <c r="C22" s="6"/>
      <c r="D22" s="372"/>
      <c r="E22" s="2"/>
      <c r="F22" s="230"/>
      <c r="G22" s="20">
        <f t="shared" si="0"/>
        <v>0</v>
      </c>
      <c r="H22" s="233">
        <f t="shared" si="1"/>
        <v>326</v>
      </c>
      <c r="I22" s="309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22" s="309"/>
    </row>
    <row r="23" spans="1:10" x14ac:dyDescent="0.3">
      <c r="A23" s="40">
        <v>45807</v>
      </c>
      <c r="B23" s="3" t="s">
        <v>538</v>
      </c>
      <c r="C23" s="371"/>
      <c r="D23" s="372">
        <v>122</v>
      </c>
      <c r="E23" s="230">
        <v>42</v>
      </c>
      <c r="F23" s="230"/>
      <c r="G23" s="20">
        <f t="shared" si="0"/>
        <v>164</v>
      </c>
      <c r="H23" s="233">
        <f t="shared" si="1"/>
        <v>490</v>
      </c>
      <c r="I23" s="309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23" s="309"/>
    </row>
    <row r="24" spans="1:10" x14ac:dyDescent="0.3">
      <c r="A24" s="9"/>
      <c r="B24" s="18" t="s">
        <v>539</v>
      </c>
      <c r="C24" s="6"/>
      <c r="D24" s="372"/>
      <c r="E24" s="230"/>
      <c r="F24" s="230"/>
      <c r="G24" s="20">
        <f t="shared" si="0"/>
        <v>0</v>
      </c>
      <c r="H24" s="233">
        <f t="shared" si="1"/>
        <v>490</v>
      </c>
      <c r="I24" s="311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24" s="309"/>
    </row>
    <row r="25" spans="1:10" x14ac:dyDescent="0.3">
      <c r="A25" s="9">
        <v>45838</v>
      </c>
      <c r="B25" s="3" t="s">
        <v>540</v>
      </c>
      <c r="C25" s="371"/>
      <c r="D25" s="372"/>
      <c r="E25" s="230"/>
      <c r="F25" s="230"/>
      <c r="G25" s="20">
        <f t="shared" si="0"/>
        <v>0</v>
      </c>
      <c r="H25" s="233">
        <f t="shared" si="1"/>
        <v>490</v>
      </c>
      <c r="I25" s="309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25" s="309"/>
    </row>
    <row r="26" spans="1:10" x14ac:dyDescent="0.3">
      <c r="A26" s="9"/>
      <c r="B26" s="18" t="s">
        <v>541</v>
      </c>
      <c r="C26" s="6"/>
      <c r="D26" s="372"/>
      <c r="E26" s="230"/>
      <c r="F26" s="230"/>
      <c r="G26" s="20">
        <f t="shared" si="0"/>
        <v>0</v>
      </c>
      <c r="H26" s="233">
        <f t="shared" si="1"/>
        <v>490</v>
      </c>
      <c r="I26" s="309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26" s="309"/>
    </row>
    <row r="27" spans="1:10" x14ac:dyDescent="0.3">
      <c r="A27" s="107">
        <v>45868</v>
      </c>
      <c r="B27" s="82" t="s">
        <v>542</v>
      </c>
      <c r="C27" s="371"/>
      <c r="D27" s="372"/>
      <c r="E27" s="230"/>
      <c r="F27" s="230"/>
      <c r="G27" s="20">
        <f t="shared" si="0"/>
        <v>0</v>
      </c>
      <c r="H27" s="233">
        <f t="shared" si="1"/>
        <v>490</v>
      </c>
      <c r="I27" s="309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27" s="309"/>
    </row>
    <row r="28" spans="1:10" x14ac:dyDescent="0.3">
      <c r="A28" s="107"/>
      <c r="B28" s="82" t="s">
        <v>543</v>
      </c>
      <c r="C28" s="6"/>
      <c r="D28" s="372"/>
      <c r="E28" s="230"/>
      <c r="F28" s="230"/>
      <c r="G28" s="20">
        <f t="shared" si="0"/>
        <v>0</v>
      </c>
      <c r="H28" s="233">
        <f t="shared" si="1"/>
        <v>490</v>
      </c>
      <c r="I28" s="311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28" s="309"/>
    </row>
    <row r="29" spans="1:10" x14ac:dyDescent="0.3">
      <c r="A29" s="107">
        <v>45899</v>
      </c>
      <c r="B29" s="82" t="s">
        <v>544</v>
      </c>
      <c r="C29" s="371"/>
      <c r="D29" s="372"/>
      <c r="E29" s="230"/>
      <c r="F29" s="230"/>
      <c r="G29" s="20">
        <f t="shared" si="0"/>
        <v>0</v>
      </c>
      <c r="H29" s="233">
        <f t="shared" si="1"/>
        <v>490</v>
      </c>
      <c r="I29" s="309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29" s="309"/>
    </row>
    <row r="30" spans="1:10" x14ac:dyDescent="0.3">
      <c r="A30" s="107"/>
      <c r="B30" s="82" t="s">
        <v>545</v>
      </c>
      <c r="C30" s="19"/>
      <c r="D30" s="373"/>
      <c r="E30" s="230"/>
      <c r="F30" s="230"/>
      <c r="G30" s="20">
        <f t="shared" si="0"/>
        <v>0</v>
      </c>
      <c r="H30" s="233">
        <f t="shared" si="1"/>
        <v>490</v>
      </c>
      <c r="I30" s="309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30" s="309"/>
    </row>
    <row r="31" spans="1:10" x14ac:dyDescent="0.3">
      <c r="A31" s="9">
        <v>45930</v>
      </c>
      <c r="B31" s="3" t="s">
        <v>546</v>
      </c>
      <c r="C31" s="229"/>
      <c r="D31" s="230"/>
      <c r="E31" s="230"/>
      <c r="F31" s="230"/>
      <c r="G31" s="20">
        <f t="shared" si="0"/>
        <v>0</v>
      </c>
      <c r="H31" s="233">
        <f t="shared" si="1"/>
        <v>490</v>
      </c>
      <c r="I31" s="309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31" s="309"/>
    </row>
    <row r="32" spans="1:10" x14ac:dyDescent="0.3">
      <c r="A32" s="9"/>
      <c r="B32" s="3" t="s">
        <v>547</v>
      </c>
      <c r="C32" s="6"/>
      <c r="D32" s="230"/>
      <c r="E32" s="230"/>
      <c r="F32" s="230"/>
      <c r="G32" s="230">
        <f t="shared" ref="G32:G38" si="2">SUM(D32:F32)</f>
        <v>0</v>
      </c>
      <c r="H32" s="233">
        <f t="shared" si="1"/>
        <v>490</v>
      </c>
      <c r="I32" s="309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32" s="309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2"/>
        <v>0</v>
      </c>
      <c r="H33" s="233">
        <f t="shared" si="1"/>
        <v>490</v>
      </c>
      <c r="I33" s="309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33" s="309"/>
    </row>
    <row r="34" spans="1:10" x14ac:dyDescent="0.3">
      <c r="A34" s="9"/>
      <c r="B34" s="3" t="s">
        <v>549</v>
      </c>
      <c r="C34" s="6"/>
      <c r="D34" s="230"/>
      <c r="E34" s="230"/>
      <c r="F34" s="230"/>
      <c r="G34" s="230">
        <f t="shared" si="2"/>
        <v>0</v>
      </c>
      <c r="H34" s="233">
        <f t="shared" si="1"/>
        <v>490</v>
      </c>
      <c r="I34" s="309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34" s="309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2"/>
        <v>0</v>
      </c>
      <c r="H35" s="233">
        <f t="shared" si="1"/>
        <v>490</v>
      </c>
      <c r="I35" s="309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35" s="309"/>
    </row>
    <row r="36" spans="1:10" x14ac:dyDescent="0.3">
      <c r="A36" s="17"/>
      <c r="B36" s="18" t="s">
        <v>551</v>
      </c>
      <c r="C36" s="6"/>
      <c r="D36" s="230"/>
      <c r="E36" s="230"/>
      <c r="F36" s="230"/>
      <c r="G36" s="230">
        <f t="shared" si="2"/>
        <v>0</v>
      </c>
      <c r="H36" s="233">
        <f t="shared" si="1"/>
        <v>490</v>
      </c>
      <c r="I36" s="311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36" s="309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2"/>
        <v>0</v>
      </c>
      <c r="H37" s="233">
        <f t="shared" si="1"/>
        <v>490</v>
      </c>
      <c r="I37" s="309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37" s="309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2"/>
        <v>0</v>
      </c>
      <c r="H38" s="233">
        <f t="shared" si="1"/>
        <v>490</v>
      </c>
      <c r="I38" s="309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38" s="309"/>
    </row>
    <row r="39" spans="1:10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490</v>
      </c>
      <c r="I39" s="309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39" s="309"/>
    </row>
    <row r="40" spans="1:10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490</v>
      </c>
      <c r="I40" s="309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40" s="309"/>
    </row>
    <row r="41" spans="1:10" x14ac:dyDescent="0.3">
      <c r="A41" s="9"/>
      <c r="B41" s="3"/>
      <c r="C41" s="314"/>
      <c r="D41" s="315"/>
      <c r="E41" s="315"/>
      <c r="F41" s="315"/>
      <c r="G41" s="315">
        <f t="shared" ref="G41:G52" si="3">SUM(D41:F41)</f>
        <v>0</v>
      </c>
      <c r="H41" s="316">
        <f t="shared" ref="H41:H52" si="4">H40+G41</f>
        <v>490</v>
      </c>
      <c r="I41" s="309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41" s="309"/>
    </row>
    <row r="42" spans="1:10" x14ac:dyDescent="0.3">
      <c r="A42" s="9"/>
      <c r="B42" s="82"/>
      <c r="C42" s="314"/>
      <c r="D42" s="315"/>
      <c r="E42" s="315"/>
      <c r="F42" s="315"/>
      <c r="G42" s="315">
        <f t="shared" si="3"/>
        <v>0</v>
      </c>
      <c r="H42" s="316">
        <f t="shared" si="4"/>
        <v>490</v>
      </c>
      <c r="I42" s="309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42" s="309"/>
    </row>
    <row r="43" spans="1:10" x14ac:dyDescent="0.3">
      <c r="A43" s="9"/>
      <c r="B43" s="3"/>
      <c r="C43" s="314"/>
      <c r="D43" s="315"/>
      <c r="E43" s="315"/>
      <c r="F43" s="315"/>
      <c r="G43" s="315">
        <f t="shared" si="3"/>
        <v>0</v>
      </c>
      <c r="H43" s="316">
        <f t="shared" si="4"/>
        <v>490</v>
      </c>
      <c r="I43" s="309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43" s="309"/>
    </row>
    <row r="44" spans="1:10" x14ac:dyDescent="0.3">
      <c r="A44" s="105"/>
      <c r="B44" s="82"/>
      <c r="C44" s="314"/>
      <c r="D44" s="315"/>
      <c r="E44" s="315"/>
      <c r="F44" s="315"/>
      <c r="G44" s="315">
        <f t="shared" si="3"/>
        <v>0</v>
      </c>
      <c r="H44" s="316">
        <f t="shared" si="4"/>
        <v>490</v>
      </c>
      <c r="I44" s="309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44" s="309"/>
    </row>
    <row r="45" spans="1:10" x14ac:dyDescent="0.3">
      <c r="A45" s="9"/>
      <c r="B45" s="3"/>
      <c r="C45" s="314"/>
      <c r="D45" s="315"/>
      <c r="E45" s="315"/>
      <c r="F45" s="315"/>
      <c r="G45" s="315">
        <f t="shared" si="3"/>
        <v>0</v>
      </c>
      <c r="H45" s="316">
        <f t="shared" si="4"/>
        <v>490</v>
      </c>
      <c r="I45" s="309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45" s="309"/>
    </row>
    <row r="46" spans="1:10" x14ac:dyDescent="0.3">
      <c r="A46" s="9"/>
      <c r="B46" s="3"/>
      <c r="C46" s="314"/>
      <c r="D46" s="315"/>
      <c r="E46" s="315"/>
      <c r="F46" s="315"/>
      <c r="G46" s="315">
        <f t="shared" si="3"/>
        <v>0</v>
      </c>
      <c r="H46" s="316">
        <f t="shared" si="4"/>
        <v>490</v>
      </c>
      <c r="I46" s="309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46" s="309"/>
    </row>
    <row r="47" spans="1:10" x14ac:dyDescent="0.3">
      <c r="A47" s="9"/>
      <c r="B47" s="3"/>
      <c r="C47" s="314"/>
      <c r="D47" s="315"/>
      <c r="E47" s="315"/>
      <c r="F47" s="315"/>
      <c r="G47" s="315">
        <f t="shared" si="3"/>
        <v>0</v>
      </c>
      <c r="H47" s="316">
        <f t="shared" si="4"/>
        <v>490</v>
      </c>
      <c r="I47" s="309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47" s="309"/>
    </row>
    <row r="48" spans="1:10" x14ac:dyDescent="0.3">
      <c r="A48" s="9"/>
      <c r="B48" s="3"/>
      <c r="C48" s="314"/>
      <c r="D48" s="315"/>
      <c r="E48" s="315"/>
      <c r="F48" s="315"/>
      <c r="G48" s="315">
        <f t="shared" si="3"/>
        <v>0</v>
      </c>
      <c r="H48" s="316">
        <f t="shared" si="4"/>
        <v>490</v>
      </c>
      <c r="I48" s="309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48" s="309"/>
    </row>
    <row r="49" spans="1:10" x14ac:dyDescent="0.3">
      <c r="A49" s="105"/>
      <c r="B49" s="82"/>
      <c r="C49" s="314"/>
      <c r="D49" s="315"/>
      <c r="E49" s="315"/>
      <c r="F49" s="315"/>
      <c r="G49" s="315">
        <f t="shared" si="3"/>
        <v>0</v>
      </c>
      <c r="H49" s="316">
        <f t="shared" si="4"/>
        <v>490</v>
      </c>
      <c r="I49" s="309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49" s="309"/>
    </row>
    <row r="50" spans="1:10" x14ac:dyDescent="0.3">
      <c r="A50" s="105"/>
      <c r="B50" s="82"/>
      <c r="C50" s="314"/>
      <c r="D50" s="315"/>
      <c r="E50" s="315"/>
      <c r="F50" s="315"/>
      <c r="G50" s="315">
        <f t="shared" si="3"/>
        <v>0</v>
      </c>
      <c r="H50" s="316">
        <f t="shared" si="4"/>
        <v>490</v>
      </c>
      <c r="I50" s="309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50" s="309"/>
    </row>
    <row r="51" spans="1:10" x14ac:dyDescent="0.3">
      <c r="A51" s="105"/>
      <c r="B51" s="82"/>
      <c r="C51" s="314"/>
      <c r="D51" s="315"/>
      <c r="E51" s="315"/>
      <c r="F51" s="315"/>
      <c r="G51" s="315">
        <f t="shared" si="3"/>
        <v>0</v>
      </c>
      <c r="H51" s="316">
        <f t="shared" si="4"/>
        <v>490</v>
      </c>
      <c r="I51" s="309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51" s="309"/>
    </row>
    <row r="52" spans="1:10" x14ac:dyDescent="0.3">
      <c r="A52" s="138"/>
      <c r="B52" s="137"/>
      <c r="C52" s="317"/>
      <c r="D52" s="318"/>
      <c r="E52" s="318"/>
      <c r="F52" s="318"/>
      <c r="G52" s="318">
        <f t="shared" si="3"/>
        <v>0</v>
      </c>
      <c r="H52" s="319">
        <f t="shared" si="4"/>
        <v>490</v>
      </c>
      <c r="I52" s="311">
        <f>IF(T_T134111213141516171819202122232425262728293031323335363738394041424344454647484950515253545556575859606162636465666768697071727374757677787980818283848586878889909192939495969798[[#This Row],[Total]]&lt;0,T_T134111213141516171819202122232425262728293031323335363738394041424344454647484950515253545556575859606162636465666768697071727374757677787980818283848586878889909192939495969798[[#This Row],[Total]]*-1,0)</f>
        <v>0</v>
      </c>
      <c r="J52" s="311"/>
    </row>
  </sheetData>
  <hyperlinks>
    <hyperlink ref="B7" r:id="rId1" display="jose.orozco@outlook.com"/>
    <hyperlink ref="H7" location="Resumen!A1" display="Rsumen         "/>
  </hyperlinks>
  <pageMargins left="0.70866141732283472" right="0.70866141732283472" top="0.74803149606299213" bottom="0.74803149606299213" header="0.31496062992125984" footer="0.31496062992125984"/>
  <pageSetup scale="55" orientation="portrait" verticalDpi="360" r:id="rId2"/>
  <drawing r:id="rId3"/>
  <tableParts count="1">
    <tablePart r:id="rId4"/>
  </tablePart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M40"/>
  <sheetViews>
    <sheetView showGridLines="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3.44140625" customWidth="1"/>
    <col min="3" max="3" width="8.109375" style="4" customWidth="1"/>
    <col min="4" max="4" width="10.5546875" style="1" customWidth="1"/>
    <col min="5" max="5" width="9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0.6640625" bestFit="1" customWidth="1"/>
    <col min="14" max="14" width="15.44140625" customWidth="1"/>
  </cols>
  <sheetData>
    <row r="2" spans="1:13" ht="15.6" x14ac:dyDescent="0.3">
      <c r="A2" s="27" t="s">
        <v>36</v>
      </c>
      <c r="B2" s="41" t="s">
        <v>147</v>
      </c>
    </row>
    <row r="3" spans="1:13" ht="1.5" customHeight="1" x14ac:dyDescent="0.3">
      <c r="A3" s="27" t="s">
        <v>31</v>
      </c>
      <c r="B3" s="28" t="e">
        <f>LOOKUP(B2,#REF!,#REF!)</f>
        <v>#REF!</v>
      </c>
    </row>
    <row r="4" spans="1:13" hidden="1" x14ac:dyDescent="0.3">
      <c r="A4" s="27" t="s">
        <v>32</v>
      </c>
      <c r="B4" s="28" t="e">
        <f>LOOKUP(B2,#REF!,#REF!)</f>
        <v>#REF!</v>
      </c>
    </row>
    <row r="5" spans="1:13" hidden="1" x14ac:dyDescent="0.3">
      <c r="A5" s="27" t="s">
        <v>33</v>
      </c>
      <c r="B5" s="28" t="e">
        <f>LOOKUP(B2,#REF!,#REF!)</f>
        <v>#REF!</v>
      </c>
    </row>
    <row r="6" spans="1:13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3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3" x14ac:dyDescent="0.3">
      <c r="A8" s="21"/>
      <c r="B8" s="21" t="s">
        <v>217</v>
      </c>
    </row>
    <row r="9" spans="1:13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13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IF(T_T13411121314151617181920212223242526272829303132333536373839404142434445464748495051525354555657585960616263646566676869707172737475767778798081828384858687888990919293949596979899[[#This Row],[Total]]&lt;0,T_T13411121314151617181920212223242526272829303132333536373839404142434445464748495051525354555657585960616263646566676869707172737475767778798081828384858687888990919293949596979899[[#This Row],[Total]]*-1,0)</f>
        <v>0</v>
      </c>
      <c r="M10" s="178"/>
    </row>
    <row r="11" spans="1:13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IF(T_T13411121314151617181920212223242526272829303132333536373839404142434445464748495051525354555657585960616263646566676869707172737475767778798081828384858687888990919293949596979899[[#This Row],[Total]]&lt;0,T_T13411121314151617181920212223242526272829303132333536373839404142434445464748495051525354555657585960616263646566676869707172737475767778798081828384858687888990919293949596979899[[#This Row],[Total]]*-1,0)</f>
        <v>0</v>
      </c>
    </row>
    <row r="12" spans="1:13" x14ac:dyDescent="0.3">
      <c r="A12" s="117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IF(T_T13411121314151617181920212223242526272829303132333536373839404142434445464748495051525354555657585960616263646566676869707172737475767778798081828384858687888990919293949596979899[[#This Row],[Total]]&lt;0,T_T13411121314151617181920212223242526272829303132333536373839404142434445464748495051525354555657585960616263646566676869707172737475767778798081828384858687888990919293949596979899[[#This Row],[Total]]*-1,0)</f>
        <v>0</v>
      </c>
    </row>
    <row r="13" spans="1:13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IF(T_T13411121314151617181920212223242526272829303132333536373839404142434445464748495051525354555657585960616263646566676869707172737475767778798081828384858687888990919293949596979899[[#This Row],[Total]]&lt;0,T_T13411121314151617181920212223242526272829303132333536373839404142434445464748495051525354555657585960616263646566676869707172737475767778798081828384858687888990919293949596979899[[#This Row],[Total]]*-1,0)</f>
        <v>0</v>
      </c>
    </row>
    <row r="14" spans="1:13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IF(T_T13411121314151617181920212223242526272829303132333536373839404142434445464748495051525354555657585960616263646566676869707172737475767778798081828384858687888990919293949596979899[[#This Row],[Total]]&lt;0,T_T13411121314151617181920212223242526272829303132333536373839404142434445464748495051525354555657585960616263646566676869707172737475767778798081828384858687888990919293949596979899[[#This Row],[Total]]*-1,0)</f>
        <v>0</v>
      </c>
    </row>
    <row r="15" spans="1:13" x14ac:dyDescent="0.3">
      <c r="A15" s="17">
        <v>46052</v>
      </c>
      <c r="B15" s="18" t="s">
        <v>590</v>
      </c>
      <c r="C15" s="6"/>
      <c r="D15" s="2">
        <f>323+26+9</f>
        <v>358</v>
      </c>
      <c r="E15" s="2">
        <v>98</v>
      </c>
      <c r="F15" s="20"/>
      <c r="G15" s="20">
        <f>SUM(D15:F15)</f>
        <v>456</v>
      </c>
      <c r="H15" s="233">
        <f>+H13+T_T13411121314151617181920212223242526272829303132333536373839404142434445464748495051525354555657585960616263646566676869707172737475767778798081828384858687888990919293949596979899[[#This Row],[Total]]</f>
        <v>456</v>
      </c>
      <c r="I15" s="240">
        <f>IF(T_T13411121314151617181920212223242526272829303132333536373839404142434445464748495051525354555657585960616263646566676869707172737475767778798081828384858687888990919293949596979899[[#This Row],[Total]]&lt;0,T_T13411121314151617181920212223242526272829303132333536373839404142434445464748495051525354555657585960616263646566676869707172737475767778798081828384858687888990919293949596979899[[#This Row],[Total]]*-1,0)</f>
        <v>0</v>
      </c>
    </row>
    <row r="16" spans="1:13" x14ac:dyDescent="0.3">
      <c r="A16" s="17"/>
      <c r="B16" s="18" t="s">
        <v>591</v>
      </c>
      <c r="C16" s="6">
        <v>8715</v>
      </c>
      <c r="D16" s="2">
        <v>-358</v>
      </c>
      <c r="E16" s="2">
        <v>-98</v>
      </c>
      <c r="F16" s="230"/>
      <c r="G16" s="230">
        <f t="shared" ref="G16:G38" si="0">SUM(D16:F16)</f>
        <v>-456</v>
      </c>
      <c r="H16" s="233">
        <f t="shared" ref="H16:H40" si="1">H15+G16</f>
        <v>0</v>
      </c>
      <c r="I16" s="239">
        <f>IF(T_T13411121314151617181920212223242526272829303132333536373839404142434445464748495051525354555657585960616263646566676869707172737475767778798081828384858687888990919293949596979899[[#This Row],[Total]]&lt;0,T_T13411121314151617181920212223242526272829303132333536373839404142434445464748495051525354555657585960616263646566676869707172737475767778798081828384858687888990919293949596979899[[#This Row],[Total]]*-1,0)</f>
        <v>456</v>
      </c>
    </row>
    <row r="17" spans="1:9" x14ac:dyDescent="0.3">
      <c r="A17" s="164">
        <v>45715</v>
      </c>
      <c r="B17" s="161" t="s">
        <v>532</v>
      </c>
      <c r="C17" s="6"/>
      <c r="D17" s="2">
        <v>358</v>
      </c>
      <c r="E17" s="2">
        <v>102</v>
      </c>
      <c r="F17" s="230"/>
      <c r="G17" s="230">
        <f t="shared" si="0"/>
        <v>460</v>
      </c>
      <c r="H17" s="233">
        <f t="shared" si="1"/>
        <v>460</v>
      </c>
      <c r="I17" s="240">
        <f>IF(T_T13411121314151617181920212223242526272829303132333536373839404142434445464748495051525354555657585960616263646566676869707172737475767778798081828384858687888990919293949596979899[[#This Row],[Total]]&lt;0,T_T13411121314151617181920212223242526272829303132333536373839404142434445464748495051525354555657585960616263646566676869707172737475767778798081828384858687888990919293949596979899[[#This Row],[Total]]*-1,0)</f>
        <v>0</v>
      </c>
    </row>
    <row r="18" spans="1:9" x14ac:dyDescent="0.3">
      <c r="A18" s="187"/>
      <c r="B18" s="18" t="s">
        <v>533</v>
      </c>
      <c r="C18" s="6">
        <v>8826</v>
      </c>
      <c r="D18" s="2">
        <v>-358</v>
      </c>
      <c r="E18" s="2">
        <v>-102</v>
      </c>
      <c r="F18" s="230"/>
      <c r="G18" s="230">
        <f t="shared" si="0"/>
        <v>-460</v>
      </c>
      <c r="H18" s="233">
        <f t="shared" si="1"/>
        <v>0</v>
      </c>
      <c r="I18" s="240">
        <f>IF(T_T13411121314151617181920212223242526272829303132333536373839404142434445464748495051525354555657585960616263646566676869707172737475767778798081828384858687888990919293949596979899[[#This Row],[Total]]&lt;0,T_T13411121314151617181920212223242526272829303132333536373839404142434445464748495051525354555657585960616263646566676869707172737475767778798081828384858687888990919293949596979899[[#This Row],[Total]]*-1,0)</f>
        <v>460</v>
      </c>
    </row>
    <row r="19" spans="1:9" x14ac:dyDescent="0.3">
      <c r="A19" s="188">
        <v>45747</v>
      </c>
      <c r="B19" s="3" t="s">
        <v>534</v>
      </c>
      <c r="C19" s="6"/>
      <c r="D19" s="2">
        <v>409</v>
      </c>
      <c r="E19" s="2">
        <v>100</v>
      </c>
      <c r="F19" s="230"/>
      <c r="G19" s="230">
        <f t="shared" si="0"/>
        <v>509</v>
      </c>
      <c r="H19" s="233">
        <f t="shared" si="1"/>
        <v>509</v>
      </c>
      <c r="I19" s="240">
        <f>IF(T_T13411121314151617181920212223242526272829303132333536373839404142434445464748495051525354555657585960616263646566676869707172737475767778798081828384858687888990919293949596979899[[#This Row],[Total]]&lt;0,T_T13411121314151617181920212223242526272829303132333536373839404142434445464748495051525354555657585960616263646566676869707172737475767778798081828384858687888990919293949596979899[[#This Row],[Total]]*-1,0)</f>
        <v>0</v>
      </c>
    </row>
    <row r="20" spans="1:9" x14ac:dyDescent="0.3">
      <c r="A20" s="188"/>
      <c r="B20" s="82" t="s">
        <v>535</v>
      </c>
      <c r="C20" s="6">
        <v>8918</v>
      </c>
      <c r="D20" s="2">
        <v>-409</v>
      </c>
      <c r="E20" s="2">
        <v>-100</v>
      </c>
      <c r="F20" s="230"/>
      <c r="G20" s="230">
        <f t="shared" si="0"/>
        <v>-509</v>
      </c>
      <c r="H20" s="233">
        <f t="shared" si="1"/>
        <v>0</v>
      </c>
      <c r="I20" s="239">
        <f>IF(T_T13411121314151617181920212223242526272829303132333536373839404142434445464748495051525354555657585960616263646566676869707172737475767778798081828384858687888990919293949596979899[[#This Row],[Total]]&lt;0,T_T13411121314151617181920212223242526272829303132333536373839404142434445464748495051525354555657585960616263646566676869707172737475767778798081828384858687888990919293949596979899[[#This Row],[Total]]*-1,0)</f>
        <v>509</v>
      </c>
    </row>
    <row r="21" spans="1:9" x14ac:dyDescent="0.3">
      <c r="A21" s="188">
        <v>45777</v>
      </c>
      <c r="B21" s="3" t="s">
        <v>536</v>
      </c>
      <c r="C21" s="6"/>
      <c r="D21" s="2">
        <v>409</v>
      </c>
      <c r="E21" s="2">
        <v>102</v>
      </c>
      <c r="F21" s="230"/>
      <c r="G21" s="230">
        <f t="shared" si="0"/>
        <v>511</v>
      </c>
      <c r="H21" s="233">
        <f t="shared" si="1"/>
        <v>511</v>
      </c>
      <c r="I21" s="309">
        <f>IF(T_T13411121314151617181920212223242526272829303132333536373839404142434445464748495051525354555657585960616263646566676869707172737475767778798081828384858687888990919293949596979899[[#This Row],[Total]]&lt;0,T_T13411121314151617181920212223242526272829303132333536373839404142434445464748495051525354555657585960616263646566676869707172737475767778798081828384858687888990919293949596979899[[#This Row],[Total]]*-1,0)</f>
        <v>0</v>
      </c>
    </row>
    <row r="22" spans="1:9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511</v>
      </c>
      <c r="I22" s="309">
        <f>IF(T_T13411121314151617181920212223242526272829303132333536373839404142434445464748495051525354555657585960616263646566676869707172737475767778798081828384858687888990919293949596979899[[#This Row],[Total]]&lt;0,T_T13411121314151617181920212223242526272829303132333536373839404142434445464748495051525354555657585960616263646566676869707172737475767778798081828384858687888990919293949596979899[[#This Row],[Total]]*-1,0)</f>
        <v>0</v>
      </c>
    </row>
    <row r="23" spans="1:9" x14ac:dyDescent="0.3">
      <c r="A23" s="40">
        <v>45807</v>
      </c>
      <c r="B23" s="3" t="s">
        <v>538</v>
      </c>
      <c r="C23" s="229"/>
      <c r="D23" s="230">
        <v>409</v>
      </c>
      <c r="E23" s="230">
        <v>93</v>
      </c>
      <c r="F23" s="230"/>
      <c r="G23" s="230">
        <f t="shared" si="0"/>
        <v>502</v>
      </c>
      <c r="H23" s="233">
        <f t="shared" si="1"/>
        <v>1013</v>
      </c>
      <c r="I23" s="309">
        <f>IF(T_T13411121314151617181920212223242526272829303132333536373839404142434445464748495051525354555657585960616263646566676869707172737475767778798081828384858687888990919293949596979899[[#This Row],[Total]]&lt;0,T_T13411121314151617181920212223242526272829303132333536373839404142434445464748495051525354555657585960616263646566676869707172737475767778798081828384858687888990919293949596979899[[#This Row],[Total]]*-1,0)</f>
        <v>0</v>
      </c>
    </row>
    <row r="24" spans="1:9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1013</v>
      </c>
      <c r="I24" s="311">
        <f>IF(T_T13411121314151617181920212223242526272829303132333536373839404142434445464748495051525354555657585960616263646566676869707172737475767778798081828384858687888990919293949596979899[[#This Row],[Total]]&lt;0,T_T13411121314151617181920212223242526272829303132333536373839404142434445464748495051525354555657585960616263646566676869707172737475767778798081828384858687888990919293949596979899[[#This Row],[Total]]*-1,0)</f>
        <v>0</v>
      </c>
    </row>
    <row r="25" spans="1:9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1013</v>
      </c>
      <c r="I25" s="309">
        <f>IF(T_T13411121314151617181920212223242526272829303132333536373839404142434445464748495051525354555657585960616263646566676869707172737475767778798081828384858687888990919293949596979899[[#This Row],[Total]]&lt;0,T_T13411121314151617181920212223242526272829303132333536373839404142434445464748495051525354555657585960616263646566676869707172737475767778798081828384858687888990919293949596979899[[#This Row],[Total]]*-1,0)</f>
        <v>0</v>
      </c>
    </row>
    <row r="26" spans="1:9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1013</v>
      </c>
      <c r="I26" s="309">
        <f>IF(T_T13411121314151617181920212223242526272829303132333536373839404142434445464748495051525354555657585960616263646566676869707172737475767778798081828384858687888990919293949596979899[[#This Row],[Total]]&lt;0,T_T13411121314151617181920212223242526272829303132333536373839404142434445464748495051525354555657585960616263646566676869707172737475767778798081828384858687888990919293949596979899[[#This Row],[Total]]*-1,0)</f>
        <v>0</v>
      </c>
    </row>
    <row r="27" spans="1:9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1013</v>
      </c>
      <c r="I27" s="309">
        <f>IF(T_T13411121314151617181920212223242526272829303132333536373839404142434445464748495051525354555657585960616263646566676869707172737475767778798081828384858687888990919293949596979899[[#This Row],[Total]]&lt;0,T_T13411121314151617181920212223242526272829303132333536373839404142434445464748495051525354555657585960616263646566676869707172737475767778798081828384858687888990919293949596979899[[#This Row],[Total]]*-1,0)</f>
        <v>0</v>
      </c>
    </row>
    <row r="28" spans="1:9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1013</v>
      </c>
      <c r="I28" s="311">
        <f>IF(T_T13411121314151617181920212223242526272829303132333536373839404142434445464748495051525354555657585960616263646566676869707172737475767778798081828384858687888990919293949596979899[[#This Row],[Total]]&lt;0,T_T13411121314151617181920212223242526272829303132333536373839404142434445464748495051525354555657585960616263646566676869707172737475767778798081828384858687888990919293949596979899[[#This Row],[Total]]*-1,0)</f>
        <v>0</v>
      </c>
    </row>
    <row r="29" spans="1:9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1013</v>
      </c>
      <c r="I29" s="309">
        <f>IF(T_T13411121314151617181920212223242526272829303132333536373839404142434445464748495051525354555657585960616263646566676869707172737475767778798081828384858687888990919293949596979899[[#This Row],[Total]]&lt;0,T_T13411121314151617181920212223242526272829303132333536373839404142434445464748495051525354555657585960616263646566676869707172737475767778798081828384858687888990919293949596979899[[#This Row],[Total]]*-1,0)</f>
        <v>0</v>
      </c>
    </row>
    <row r="30" spans="1:9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1013</v>
      </c>
      <c r="I30" s="309">
        <f>IF(T_T13411121314151617181920212223242526272829303132333536373839404142434445464748495051525354555657585960616263646566676869707172737475767778798081828384858687888990919293949596979899[[#This Row],[Total]]&lt;0,T_T13411121314151617181920212223242526272829303132333536373839404142434445464748495051525354555657585960616263646566676869707172737475767778798081828384858687888990919293949596979899[[#This Row],[Total]]*-1,0)</f>
        <v>0</v>
      </c>
    </row>
    <row r="31" spans="1:9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1013</v>
      </c>
      <c r="I31" s="309">
        <f>IF(T_T13411121314151617181920212223242526272829303132333536373839404142434445464748495051525354555657585960616263646566676869707172737475767778798081828384858687888990919293949596979899[[#This Row],[Total]]&lt;0,T_T13411121314151617181920212223242526272829303132333536373839404142434445464748495051525354555657585960616263646566676869707172737475767778798081828384858687888990919293949596979899[[#This Row],[Total]]*-1,0)</f>
        <v>0</v>
      </c>
    </row>
    <row r="32" spans="1:9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1013</v>
      </c>
      <c r="I32" s="309">
        <f>IF(T_T13411121314151617181920212223242526272829303132333536373839404142434445464748495051525354555657585960616263646566676869707172737475767778798081828384858687888990919293949596979899[[#This Row],[Total]]&lt;0,T_T13411121314151617181920212223242526272829303132333536373839404142434445464748495051525354555657585960616263646566676869707172737475767778798081828384858687888990919293949596979899[[#This Row],[Total]]*-1,0)</f>
        <v>0</v>
      </c>
    </row>
    <row r="33" spans="1:9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1013</v>
      </c>
      <c r="I33" s="309">
        <f>IF(T_T13411121314151617181920212223242526272829303132333536373839404142434445464748495051525354555657585960616263646566676869707172737475767778798081828384858687888990919293949596979899[[#This Row],[Total]]&lt;0,T_T13411121314151617181920212223242526272829303132333536373839404142434445464748495051525354555657585960616263646566676869707172737475767778798081828384858687888990919293949596979899[[#This Row],[Total]]*-1,0)</f>
        <v>0</v>
      </c>
    </row>
    <row r="34" spans="1:9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1013</v>
      </c>
      <c r="I34" s="309">
        <f>IF(T_T13411121314151617181920212223242526272829303132333536373839404142434445464748495051525354555657585960616263646566676869707172737475767778798081828384858687888990919293949596979899[[#This Row],[Total]]&lt;0,T_T13411121314151617181920212223242526272829303132333536373839404142434445464748495051525354555657585960616263646566676869707172737475767778798081828384858687888990919293949596979899[[#This Row],[Total]]*-1,0)</f>
        <v>0</v>
      </c>
    </row>
    <row r="35" spans="1:9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1013</v>
      </c>
      <c r="I35" s="309">
        <f>IF(T_T13411121314151617181920212223242526272829303132333536373839404142434445464748495051525354555657585960616263646566676869707172737475767778798081828384858687888990919293949596979899[[#This Row],[Total]]&lt;0,T_T13411121314151617181920212223242526272829303132333536373839404142434445464748495051525354555657585960616263646566676869707172737475767778798081828384858687888990919293949596979899[[#This Row],[Total]]*-1,0)</f>
        <v>0</v>
      </c>
    </row>
    <row r="36" spans="1:9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1013</v>
      </c>
      <c r="I36" s="311">
        <f>IF(T_T13411121314151617181920212223242526272829303132333536373839404142434445464748495051525354555657585960616263646566676869707172737475767778798081828384858687888990919293949596979899[[#This Row],[Total]]&lt;0,T_T13411121314151617181920212223242526272829303132333536373839404142434445464748495051525354555657585960616263646566676869707172737475767778798081828384858687888990919293949596979899[[#This Row],[Total]]*-1,0)</f>
        <v>0</v>
      </c>
    </row>
    <row r="37" spans="1:9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1013</v>
      </c>
      <c r="I37" s="353">
        <f>IF(T_T13411121314151617181920212223242526272829303132333536373839404142434445464748495051525354555657585960616263646566676869707172737475767778798081828384858687888990919293949596979899[[#This Row],[Total]]&lt;0,T_T13411121314151617181920212223242526272829303132333536373839404142434445464748495051525354555657585960616263646566676869707172737475767778798081828384858687888990919293949596979899[[#This Row],[Total]]*-1,0)</f>
        <v>0</v>
      </c>
    </row>
    <row r="38" spans="1:9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1013</v>
      </c>
      <c r="I38" s="353">
        <f>IF(T_T13411121314151617181920212223242526272829303132333536373839404142434445464748495051525354555657585960616263646566676869707172737475767778798081828384858687888990919293949596979899[[#This Row],[Total]]&lt;0,T_T13411121314151617181920212223242526272829303132333536373839404142434445464748495051525354555657585960616263646566676869707172737475767778798081828384858687888990919293949596979899[[#This Row],[Total]]*-1,0)</f>
        <v>0</v>
      </c>
    </row>
    <row r="39" spans="1:9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1013</v>
      </c>
      <c r="I39" s="353">
        <f>IF(T_T13411121314151617181920212223242526272829303132333536373839404142434445464748495051525354555657585960616263646566676869707172737475767778798081828384858687888990919293949596979899[[#This Row],[Total]]&lt;0,T_T13411121314151617181920212223242526272829303132333536373839404142434445464748495051525354555657585960616263646566676869707172737475767778798081828384858687888990919293949596979899[[#This Row],[Total]]*-1,0)</f>
        <v>0</v>
      </c>
    </row>
    <row r="40" spans="1:9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1013</v>
      </c>
      <c r="I40" s="353">
        <f>IF(T_T13411121314151617181920212223242526272829303132333536373839404142434445464748495051525354555657585960616263646566676869707172737475767778798081828384858687888990919293949596979899[[#This Row],[Total]]&lt;0,T_T13411121314151617181920212223242526272829303132333536373839404142434445464748495051525354555657585960616263646566676869707172737475767778798081828384858687888990919293949596979899[[#This Row],[Total]]*-1,0)</f>
        <v>0</v>
      </c>
    </row>
  </sheetData>
  <hyperlinks>
    <hyperlink ref="B7" r:id="rId1" display="jose.orozco@outlook.com"/>
    <hyperlink ref="H7" location="Resumen!A1" display="Rsumen         "/>
  </hyperlinks>
  <pageMargins left="0.70866141732283472" right="0.70866141732283472" top="0.74803149606299213" bottom="0.6692913385826772" header="0.23622047244094491" footer="0.31496062992125984"/>
  <pageSetup scale="60" orientation="portrait" verticalDpi="360" r:id="rId2"/>
  <drawing r:id="rId3"/>
  <tableParts count="1">
    <tablePart r:id="rId4"/>
  </tablePart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Q40"/>
  <sheetViews>
    <sheetView showGridLines="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109375" style="1" customWidth="1"/>
    <col min="9" max="9" width="12.88671875" hidden="1" customWidth="1"/>
    <col min="10" max="10" width="4.88671875" customWidth="1"/>
    <col min="11" max="11" width="5" customWidth="1"/>
    <col min="12" max="12" width="10.6640625" bestFit="1" customWidth="1"/>
    <col min="13" max="13" width="20.109375" customWidth="1"/>
    <col min="15" max="15" width="10.6640625" bestFit="1" customWidth="1"/>
    <col min="16" max="16" width="17.109375" customWidth="1"/>
  </cols>
  <sheetData>
    <row r="2" spans="1:15" ht="15.6" x14ac:dyDescent="0.3">
      <c r="A2" s="27" t="s">
        <v>36</v>
      </c>
      <c r="B2" s="41" t="s">
        <v>148</v>
      </c>
    </row>
    <row r="3" spans="1:15" x14ac:dyDescent="0.3">
      <c r="A3" s="27" t="s">
        <v>31</v>
      </c>
      <c r="B3" s="4" t="s">
        <v>316</v>
      </c>
    </row>
    <row r="4" spans="1:15" x14ac:dyDescent="0.3">
      <c r="A4" s="27" t="s">
        <v>32</v>
      </c>
      <c r="B4" s="28" t="e">
        <f>LOOKUP(B2,#REF!,#REF!)</f>
        <v>#REF!</v>
      </c>
    </row>
    <row r="5" spans="1:15" hidden="1" x14ac:dyDescent="0.3">
      <c r="A5" s="27" t="s">
        <v>33</v>
      </c>
      <c r="B5" s="28" t="e">
        <f>LOOKUP(B2,#REF!,#REF!)</f>
        <v>#REF!</v>
      </c>
    </row>
    <row r="6" spans="1:15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5" ht="15" hidden="1" customHeight="1" x14ac:dyDescent="0.3">
      <c r="A7" s="27" t="s">
        <v>31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5" x14ac:dyDescent="0.3">
      <c r="A8" s="21"/>
      <c r="B8" s="21"/>
    </row>
    <row r="9" spans="1:15" ht="13.5" customHeight="1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69" t="s">
        <v>188</v>
      </c>
      <c r="K9" s="226" t="s">
        <v>191</v>
      </c>
    </row>
    <row r="10" spans="1:15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/>
      <c r="J10" s="68"/>
      <c r="K10" s="224"/>
      <c r="O10" s="178"/>
    </row>
    <row r="11" spans="1:15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94">
        <f>IF(T_T13411121314151617181920212223242526272829303132333536373839404142434445464748495051525354555657585960616263646566676869707172737475767778798081828384858687888990919293949596979899100[[#This Row],[Total]]&lt;0,T_T13411121314151617181920212223242526272829303132333536373839404142434445464748495051525354555657585960616263646566676869707172737475767778798081828384858687888990919293949596979899100[[#This Row],[Total]]*-1,0)</f>
        <v>0</v>
      </c>
      <c r="J11" s="93"/>
      <c r="K11" s="224"/>
      <c r="O11" s="178"/>
    </row>
    <row r="12" spans="1:15" x14ac:dyDescent="0.3">
      <c r="A12" s="117"/>
      <c r="B12" s="118" t="s">
        <v>467</v>
      </c>
      <c r="C12" s="424"/>
      <c r="D12" s="425"/>
      <c r="E12" s="425"/>
      <c r="F12" s="425"/>
      <c r="G12" s="425">
        <f>SUM(D12:F12)</f>
        <v>0</v>
      </c>
      <c r="H12" s="426">
        <f>H11+G12</f>
        <v>0</v>
      </c>
      <c r="I12" s="427">
        <f>IF(T_T13411121314151617181920212223242526272829303132333536373839404142434445464748495051525354555657585960616263646566676869707172737475767778798081828384858687888990919293949596979899100[[#This Row],[Total]]&lt;0,T_T13411121314151617181920212223242526272829303132333536373839404142434445464748495051525354555657585960616263646566676869707172737475767778798081828384858687888990919293949596979899100[[#This Row],[Total]]*-1,0)</f>
        <v>0</v>
      </c>
      <c r="J12" s="430"/>
      <c r="K12" s="419"/>
      <c r="O12" s="178"/>
    </row>
    <row r="13" spans="1:15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94">
        <f>IF(T_T13411121314151617181920212223242526272829303132333536373839404142434445464748495051525354555657585960616263646566676869707172737475767778798081828384858687888990919293949596979899100[[#This Row],[Total]]&lt;0,T_T13411121314151617181920212223242526272829303132333536373839404142434445464748495051525354555657585960616263646566676869707172737475767778798081828384858687888990919293949596979899100[[#This Row],[Total]]*-1,0)</f>
        <v>0</v>
      </c>
      <c r="J13" s="93"/>
      <c r="K13" s="224"/>
      <c r="O13" s="178"/>
    </row>
    <row r="14" spans="1:15" x14ac:dyDescent="0.3">
      <c r="A14" s="288"/>
      <c r="B14" s="118" t="s">
        <v>529</v>
      </c>
      <c r="C14" s="481"/>
      <c r="D14" s="482"/>
      <c r="E14" s="482"/>
      <c r="F14" s="482"/>
      <c r="G14" s="482">
        <f>SUM(D14:F14)</f>
        <v>0</v>
      </c>
      <c r="H14" s="484">
        <f>H13+G14</f>
        <v>0</v>
      </c>
      <c r="I14" s="476">
        <f>IF(T_T13411121314151617181920212223242526272829303132333536373839404142434445464748495051525354555657585960616263646566676869707172737475767778798081828384858687888990919293949596979899100[[#This Row],[Total]]&lt;0,T_T13411121314151617181920212223242526272829303132333536373839404142434445464748495051525354555657585960616263646566676869707172737475767778798081828384858687888990919293949596979899100[[#This Row],[Total]]*-1,0)</f>
        <v>0</v>
      </c>
      <c r="J14" s="473"/>
      <c r="K14" s="485"/>
      <c r="O14" s="178"/>
    </row>
    <row r="15" spans="1:15" x14ac:dyDescent="0.3">
      <c r="A15" s="17">
        <v>46052</v>
      </c>
      <c r="B15" s="18" t="s">
        <v>590</v>
      </c>
      <c r="C15" s="6"/>
      <c r="D15" s="2">
        <v>349</v>
      </c>
      <c r="E15" s="2">
        <v>40</v>
      </c>
      <c r="F15" s="20"/>
      <c r="G15" s="20">
        <f>SUM(D15:F15)</f>
        <v>389</v>
      </c>
      <c r="H15" s="233">
        <f>+H13+T_T13411121314151617181920212223242526272829303132333536373839404142434445464748495051525354555657585960616263646566676869707172737475767778798081828384858687888990919293949596979899100[[#This Row],[Total]]</f>
        <v>389</v>
      </c>
      <c r="I15" s="94">
        <f>IF(T_T13411121314151617181920212223242526272829303132333536373839404142434445464748495051525354555657585960616263646566676869707172737475767778798081828384858687888990919293949596979899100[[#This Row],[Total]]&lt;0,T_T13411121314151617181920212223242526272829303132333536373839404142434445464748495051525354555657585960616263646566676869707172737475767778798081828384858687888990919293949596979899100[[#This Row],[Total]]*-1,0)</f>
        <v>0</v>
      </c>
      <c r="J15" s="93"/>
      <c r="K15" s="224"/>
      <c r="O15" s="178"/>
    </row>
    <row r="16" spans="1:15" x14ac:dyDescent="0.3">
      <c r="A16" s="17"/>
      <c r="B16" s="18" t="s">
        <v>591</v>
      </c>
      <c r="C16" s="6">
        <v>7323</v>
      </c>
      <c r="D16" s="2">
        <v>-349</v>
      </c>
      <c r="E16" s="2">
        <v>-40</v>
      </c>
      <c r="F16" s="230"/>
      <c r="G16" s="230">
        <f t="shared" ref="G16:G38" si="0">SUM(D16:F16)</f>
        <v>-389</v>
      </c>
      <c r="H16" s="233">
        <f t="shared" ref="H16:H39" si="1">H15+G16</f>
        <v>0</v>
      </c>
      <c r="I16" s="94">
        <f>IF(T_T13411121314151617181920212223242526272829303132333536373839404142434445464748495051525354555657585960616263646566676869707172737475767778798081828384858687888990919293949596979899100[[#This Row],[Total]]&lt;0,T_T13411121314151617181920212223242526272829303132333536373839404142434445464748495051525354555657585960616263646566676869707172737475767778798081828384858687888990919293949596979899100[[#This Row],[Total]]*-1,0)</f>
        <v>389</v>
      </c>
      <c r="J16" s="93"/>
      <c r="K16" s="224"/>
      <c r="O16" s="178"/>
    </row>
    <row r="17" spans="1:17" x14ac:dyDescent="0.3">
      <c r="A17" s="164">
        <v>45715</v>
      </c>
      <c r="B17" s="161" t="s">
        <v>532</v>
      </c>
      <c r="C17" s="6"/>
      <c r="D17" s="2">
        <v>349</v>
      </c>
      <c r="E17" s="2">
        <v>38</v>
      </c>
      <c r="F17" s="230"/>
      <c r="G17" s="230">
        <f t="shared" si="0"/>
        <v>387</v>
      </c>
      <c r="H17" s="233">
        <f t="shared" si="1"/>
        <v>387</v>
      </c>
      <c r="I17" s="94">
        <f>IF(T_T13411121314151617181920212223242526272829303132333536373839404142434445464748495051525354555657585960616263646566676869707172737475767778798081828384858687888990919293949596979899100[[#This Row],[Total]]&lt;0,T_T13411121314151617181920212223242526272829303132333536373839404142434445464748495051525354555657585960616263646566676869707172737475767778798081828384858687888990919293949596979899100[[#This Row],[Total]]*-1,0)</f>
        <v>0</v>
      </c>
      <c r="J17" s="93"/>
      <c r="K17" s="224"/>
      <c r="O17" s="178"/>
    </row>
    <row r="18" spans="1:17" x14ac:dyDescent="0.3">
      <c r="A18" s="187"/>
      <c r="B18" s="18" t="s">
        <v>533</v>
      </c>
      <c r="C18" s="6">
        <v>8747</v>
      </c>
      <c r="D18" s="2">
        <v>-349</v>
      </c>
      <c r="E18" s="2">
        <v>-38</v>
      </c>
      <c r="F18" s="230"/>
      <c r="G18" s="230">
        <f t="shared" si="0"/>
        <v>-387</v>
      </c>
      <c r="H18" s="233">
        <f t="shared" si="1"/>
        <v>0</v>
      </c>
      <c r="I18" s="94">
        <f>IF(T_T13411121314151617181920212223242526272829303132333536373839404142434445464748495051525354555657585960616263646566676869707172737475767778798081828384858687888990919293949596979899100[[#This Row],[Total]]&lt;0,T_T13411121314151617181920212223242526272829303132333536373839404142434445464748495051525354555657585960616263646566676869707172737475767778798081828384858687888990919293949596979899100[[#This Row],[Total]]*-1,0)</f>
        <v>387</v>
      </c>
      <c r="J18" s="93"/>
      <c r="K18" s="224"/>
      <c r="O18" s="178"/>
    </row>
    <row r="19" spans="1:17" ht="15" customHeight="1" x14ac:dyDescent="0.3">
      <c r="A19" s="188">
        <v>45747</v>
      </c>
      <c r="B19" s="3" t="s">
        <v>534</v>
      </c>
      <c r="C19" s="6"/>
      <c r="D19" s="2">
        <f>355+30+14</f>
        <v>399</v>
      </c>
      <c r="E19" s="2">
        <v>33</v>
      </c>
      <c r="F19" s="230"/>
      <c r="G19" s="230">
        <f t="shared" si="0"/>
        <v>432</v>
      </c>
      <c r="H19" s="233">
        <f t="shared" si="1"/>
        <v>432</v>
      </c>
      <c r="I19" s="94">
        <f>IF(T_T13411121314151617181920212223242526272829303132333536373839404142434445464748495051525354555657585960616263646566676869707172737475767778798081828384858687888990919293949596979899100[[#This Row],[Total]]&lt;0,T_T13411121314151617181920212223242526272829303132333536373839404142434445464748495051525354555657585960616263646566676869707172737475767778798081828384858687888990919293949596979899100[[#This Row],[Total]]*-1,0)</f>
        <v>0</v>
      </c>
      <c r="J19" s="93"/>
      <c r="K19" s="224"/>
      <c r="O19" s="178"/>
    </row>
    <row r="20" spans="1:17" x14ac:dyDescent="0.3">
      <c r="A20" s="188"/>
      <c r="B20" s="82" t="s">
        <v>535</v>
      </c>
      <c r="C20" s="6">
        <v>8838</v>
      </c>
      <c r="D20" s="2">
        <v>-399</v>
      </c>
      <c r="E20" s="2">
        <v>-33</v>
      </c>
      <c r="F20" s="230"/>
      <c r="G20" s="230">
        <f t="shared" si="0"/>
        <v>-432</v>
      </c>
      <c r="H20" s="233">
        <f t="shared" si="1"/>
        <v>0</v>
      </c>
      <c r="I20" s="6">
        <f>IF(T_T13411121314151617181920212223242526272829303132333536373839404142434445464748495051525354555657585960616263646566676869707172737475767778798081828384858687888990919293949596979899100[[#This Row],[Total]]&lt;0,T_T13411121314151617181920212223242526272829303132333536373839404142434445464748495051525354555657585960616263646566676869707172737475767778798081828384858687888990919293949596979899100[[#This Row],[Total]]*-1,0)</f>
        <v>432</v>
      </c>
      <c r="J20" s="67"/>
      <c r="K20" s="224"/>
      <c r="Q20">
        <f>SUM(Q10:Q19)</f>
        <v>0</v>
      </c>
    </row>
    <row r="21" spans="1:17" x14ac:dyDescent="0.3">
      <c r="A21" s="188">
        <v>45777</v>
      </c>
      <c r="B21" s="3" t="s">
        <v>536</v>
      </c>
      <c r="C21" s="6"/>
      <c r="D21" s="2">
        <v>399</v>
      </c>
      <c r="E21" s="2">
        <v>37</v>
      </c>
      <c r="F21" s="230"/>
      <c r="G21" s="230">
        <f t="shared" si="0"/>
        <v>436</v>
      </c>
      <c r="H21" s="233">
        <f t="shared" si="1"/>
        <v>436</v>
      </c>
      <c r="I21" s="6">
        <f>IF(T_T13411121314151617181920212223242526272829303132333536373839404142434445464748495051525354555657585960616263646566676869707172737475767778798081828384858687888990919293949596979899100[[#This Row],[Total]]&lt;0,T_T13411121314151617181920212223242526272829303132333536373839404142434445464748495051525354555657585960616263646566676869707172737475767778798081828384858687888990919293949596979899100[[#This Row],[Total]]*-1,0)</f>
        <v>0</v>
      </c>
      <c r="J21" s="67"/>
      <c r="K21" s="224"/>
    </row>
    <row r="22" spans="1:17" x14ac:dyDescent="0.3">
      <c r="A22" s="83"/>
      <c r="B22" s="82" t="s">
        <v>537</v>
      </c>
      <c r="C22" s="6">
        <v>8911</v>
      </c>
      <c r="D22" s="2">
        <v>-399</v>
      </c>
      <c r="E22" s="2">
        <v>-37</v>
      </c>
      <c r="F22" s="230"/>
      <c r="G22" s="230">
        <f t="shared" si="0"/>
        <v>-436</v>
      </c>
      <c r="H22" s="233">
        <f t="shared" si="1"/>
        <v>0</v>
      </c>
      <c r="I22" s="6">
        <f>IF(T_T13411121314151617181920212223242526272829303132333536373839404142434445464748495051525354555657585960616263646566676869707172737475767778798081828384858687888990919293949596979899100[[#This Row],[Total]]&lt;0,T_T13411121314151617181920212223242526272829303132333536373839404142434445464748495051525354555657585960616263646566676869707172737475767778798081828384858687888990919293949596979899100[[#This Row],[Total]]*-1,0)</f>
        <v>436</v>
      </c>
      <c r="J22" s="67"/>
      <c r="K22" s="224"/>
    </row>
    <row r="23" spans="1:17" x14ac:dyDescent="0.3">
      <c r="A23" s="40">
        <v>45807</v>
      </c>
      <c r="B23" s="3" t="s">
        <v>538</v>
      </c>
      <c r="C23" s="229"/>
      <c r="D23" s="230">
        <v>399</v>
      </c>
      <c r="E23" s="230">
        <v>42</v>
      </c>
      <c r="F23" s="230"/>
      <c r="G23" s="230">
        <f t="shared" si="0"/>
        <v>441</v>
      </c>
      <c r="H23" s="233">
        <f t="shared" si="1"/>
        <v>441</v>
      </c>
      <c r="I23" s="6">
        <f>IF(T_T13411121314151617181920212223242526272829303132333536373839404142434445464748495051525354555657585960616263646566676869707172737475767778798081828384858687888990919293949596979899100[[#This Row],[Total]]&lt;0,T_T13411121314151617181920212223242526272829303132333536373839404142434445464748495051525354555657585960616263646566676869707172737475767778798081828384858687888990919293949596979899100[[#This Row],[Total]]*-1,0)</f>
        <v>0</v>
      </c>
      <c r="J23" s="67"/>
      <c r="K23" s="224"/>
    </row>
    <row r="24" spans="1:17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441</v>
      </c>
      <c r="I24" s="6">
        <f>IF(T_T13411121314151617181920212223242526272829303132333536373839404142434445464748495051525354555657585960616263646566676869707172737475767778798081828384858687888990919293949596979899100[[#This Row],[Total]]&lt;0,T_T13411121314151617181920212223242526272829303132333536373839404142434445464748495051525354555657585960616263646566676869707172737475767778798081828384858687888990919293949596979899100[[#This Row],[Total]]*-1,0)</f>
        <v>0</v>
      </c>
      <c r="J24" s="67"/>
      <c r="K24" s="224"/>
    </row>
    <row r="25" spans="1:17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441</v>
      </c>
      <c r="I25" s="6">
        <f>IF(T_T13411121314151617181920212223242526272829303132333536373839404142434445464748495051525354555657585960616263646566676869707172737475767778798081828384858687888990919293949596979899100[[#This Row],[Total]]&lt;0,T_T13411121314151617181920212223242526272829303132333536373839404142434445464748495051525354555657585960616263646566676869707172737475767778798081828384858687888990919293949596979899100[[#This Row],[Total]]*-1,0)</f>
        <v>0</v>
      </c>
      <c r="J25" s="67"/>
      <c r="K25" s="224"/>
    </row>
    <row r="26" spans="1:17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441</v>
      </c>
      <c r="I26" s="6">
        <f>IF(T_T13411121314151617181920212223242526272829303132333536373839404142434445464748495051525354555657585960616263646566676869707172737475767778798081828384858687888990919293949596979899100[[#This Row],[Total]]&lt;0,T_T13411121314151617181920212223242526272829303132333536373839404142434445464748495051525354555657585960616263646566676869707172737475767778798081828384858687888990919293949596979899100[[#This Row],[Total]]*-1,0)</f>
        <v>0</v>
      </c>
      <c r="J26" s="67"/>
      <c r="K26" s="224"/>
    </row>
    <row r="27" spans="1:17" ht="15" customHeight="1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441</v>
      </c>
      <c r="I27" s="6">
        <f>IF(T_T13411121314151617181920212223242526272829303132333536373839404142434445464748495051525354555657585960616263646566676869707172737475767778798081828384858687888990919293949596979899100[[#This Row],[Total]]&lt;0,T_T13411121314151617181920212223242526272829303132333536373839404142434445464748495051525354555657585960616263646566676869707172737475767778798081828384858687888990919293949596979899100[[#This Row],[Total]]*-1,0)</f>
        <v>0</v>
      </c>
      <c r="J27" s="67"/>
      <c r="K27" s="224"/>
    </row>
    <row r="28" spans="1:17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441</v>
      </c>
      <c r="I28" s="6">
        <f>IF(T_T13411121314151617181920212223242526272829303132333536373839404142434445464748495051525354555657585960616263646566676869707172737475767778798081828384858687888990919293949596979899100[[#This Row],[Total]]&lt;0,T_T13411121314151617181920212223242526272829303132333536373839404142434445464748495051525354555657585960616263646566676869707172737475767778798081828384858687888990919293949596979899100[[#This Row],[Total]]*-1,0)</f>
        <v>0</v>
      </c>
      <c r="J28" s="67"/>
      <c r="K28" s="224"/>
    </row>
    <row r="29" spans="1:17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441</v>
      </c>
      <c r="I29" s="6">
        <f>IF(T_T13411121314151617181920212223242526272829303132333536373839404142434445464748495051525354555657585960616263646566676869707172737475767778798081828384858687888990919293949596979899100[[#This Row],[Total]]&lt;0,T_T13411121314151617181920212223242526272829303132333536373839404142434445464748495051525354555657585960616263646566676869707172737475767778798081828384858687888990919293949596979899100[[#This Row],[Total]]*-1,0)</f>
        <v>0</v>
      </c>
      <c r="J29" s="67"/>
      <c r="K29" s="224"/>
    </row>
    <row r="30" spans="1:17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441</v>
      </c>
      <c r="I30" s="6">
        <f>IF(T_T13411121314151617181920212223242526272829303132333536373839404142434445464748495051525354555657585960616263646566676869707172737475767778798081828384858687888990919293949596979899100[[#This Row],[Total]]&lt;0,T_T13411121314151617181920212223242526272829303132333536373839404142434445464748495051525354555657585960616263646566676869707172737475767778798081828384858687888990919293949596979899100[[#This Row],[Total]]*-1,0)</f>
        <v>0</v>
      </c>
      <c r="J30" s="67"/>
      <c r="K30" s="224"/>
    </row>
    <row r="31" spans="1:17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441</v>
      </c>
      <c r="I31" s="6">
        <f>IF(T_T13411121314151617181920212223242526272829303132333536373839404142434445464748495051525354555657585960616263646566676869707172737475767778798081828384858687888990919293949596979899100[[#This Row],[Total]]&lt;0,T_T13411121314151617181920212223242526272829303132333536373839404142434445464748495051525354555657585960616263646566676869707172737475767778798081828384858687888990919293949596979899100[[#This Row],[Total]]*-1,0)</f>
        <v>0</v>
      </c>
      <c r="J31" s="67"/>
      <c r="K31" s="224"/>
    </row>
    <row r="32" spans="1:17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441</v>
      </c>
      <c r="I32" s="6">
        <f>IF(T_T13411121314151617181920212223242526272829303132333536373839404142434445464748495051525354555657585960616263646566676869707172737475767778798081828384858687888990919293949596979899100[[#This Row],[Total]]&lt;0,T_T13411121314151617181920212223242526272829303132333536373839404142434445464748495051525354555657585960616263646566676869707172737475767778798081828384858687888990919293949596979899100[[#This Row],[Total]]*-1,0)</f>
        <v>0</v>
      </c>
      <c r="J32" s="67"/>
      <c r="K32" s="224"/>
    </row>
    <row r="33" spans="1:11" x14ac:dyDescent="0.3">
      <c r="A33" s="9">
        <v>45960</v>
      </c>
      <c r="B33" s="3" t="s">
        <v>548</v>
      </c>
      <c r="C33" s="229"/>
      <c r="D33" s="230"/>
      <c r="E33" s="7"/>
      <c r="F33" s="230"/>
      <c r="G33" s="230">
        <f t="shared" si="0"/>
        <v>0</v>
      </c>
      <c r="H33" s="233">
        <f t="shared" si="1"/>
        <v>441</v>
      </c>
      <c r="I33" s="6">
        <f>IF(T_T13411121314151617181920212223242526272829303132333536373839404142434445464748495051525354555657585960616263646566676869707172737475767778798081828384858687888990919293949596979899100[[#This Row],[Total]]&lt;0,T_T13411121314151617181920212223242526272829303132333536373839404142434445464748495051525354555657585960616263646566676869707172737475767778798081828384858687888990919293949596979899100[[#This Row],[Total]]*-1,0)</f>
        <v>0</v>
      </c>
      <c r="J33" s="67"/>
      <c r="K33" s="224"/>
    </row>
    <row r="34" spans="1:11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441</v>
      </c>
      <c r="I34" s="6">
        <f>IF(T_T13411121314151617181920212223242526272829303132333536373839404142434445464748495051525354555657585960616263646566676869707172737475767778798081828384858687888990919293949596979899100[[#This Row],[Total]]&lt;0,T_T13411121314151617181920212223242526272829303132333536373839404142434445464748495051525354555657585960616263646566676869707172737475767778798081828384858687888990919293949596979899100[[#This Row],[Total]]*-1,0)</f>
        <v>0</v>
      </c>
      <c r="J34" s="67"/>
      <c r="K34" s="224"/>
    </row>
    <row r="35" spans="1:11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441</v>
      </c>
      <c r="I35" s="6">
        <f>IF(T_T13411121314151617181920212223242526272829303132333536373839404142434445464748495051525354555657585960616263646566676869707172737475767778798081828384858687888990919293949596979899100[[#This Row],[Total]]&lt;0,T_T13411121314151617181920212223242526272829303132333536373839404142434445464748495051525354555657585960616263646566676869707172737475767778798081828384858687888990919293949596979899100[[#This Row],[Total]]*-1,0)</f>
        <v>0</v>
      </c>
      <c r="J35" s="67"/>
      <c r="K35" s="224"/>
    </row>
    <row r="36" spans="1:11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441</v>
      </c>
      <c r="I36" s="6">
        <f>IF(T_T13411121314151617181920212223242526272829303132333536373839404142434445464748495051525354555657585960616263646566676869707172737475767778798081828384858687888990919293949596979899100[[#This Row],[Total]]&lt;0,T_T13411121314151617181920212223242526272829303132333536373839404142434445464748495051525354555657585960616263646566676869707172737475767778798081828384858687888990919293949596979899100[[#This Row],[Total]]*-1,0)</f>
        <v>0</v>
      </c>
      <c r="J36" s="67"/>
      <c r="K36" s="224"/>
    </row>
    <row r="37" spans="1:11" ht="15" customHeight="1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441</v>
      </c>
      <c r="I37" s="6">
        <f>IF(T_T13411121314151617181920212223242526272829303132333536373839404142434445464748495051525354555657585960616263646566676869707172737475767778798081828384858687888990919293949596979899100[[#This Row],[Total]]&lt;0,T_T13411121314151617181920212223242526272829303132333536373839404142434445464748495051525354555657585960616263646566676869707172737475767778798081828384858687888990919293949596979899100[[#This Row],[Total]]*-1,0)</f>
        <v>0</v>
      </c>
      <c r="J37" s="67"/>
      <c r="K37" s="224"/>
    </row>
    <row r="38" spans="1:11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441</v>
      </c>
      <c r="I38" s="6">
        <f>IF(T_T13411121314151617181920212223242526272829303132333536373839404142434445464748495051525354555657585960616263646566676869707172737475767778798081828384858687888990919293949596979899100[[#This Row],[Total]]&lt;0,T_T13411121314151617181920212223242526272829303132333536373839404142434445464748495051525354555657585960616263646566676869707172737475767778798081828384858687888990919293949596979899100[[#This Row],[Total]]*-1,0)</f>
        <v>0</v>
      </c>
      <c r="J38" s="67"/>
      <c r="K38" s="224"/>
    </row>
    <row r="39" spans="1:11" x14ac:dyDescent="0.3">
      <c r="A39" s="107"/>
      <c r="B39" s="82"/>
      <c r="C39" s="229"/>
      <c r="D39" s="230"/>
      <c r="E39" s="230"/>
      <c r="F39" s="230"/>
      <c r="G39" s="230">
        <f>SUM(D39:F39)</f>
        <v>0</v>
      </c>
      <c r="H39" s="233">
        <f t="shared" si="1"/>
        <v>441</v>
      </c>
      <c r="I39" s="6">
        <f>IF(T_T13411121314151617181920212223242526272829303132333536373839404142434445464748495051525354555657585960616263646566676869707172737475767778798081828384858687888990919293949596979899100[[#This Row],[Total]]&lt;0,T_T13411121314151617181920212223242526272829303132333536373839404142434445464748495051525354555657585960616263646566676869707172737475767778798081828384858687888990919293949596979899100[[#This Row],[Total]]*-1,0)</f>
        <v>0</v>
      </c>
      <c r="J39" s="67"/>
      <c r="K39" s="224"/>
    </row>
    <row r="40" spans="1:11" x14ac:dyDescent="0.3">
      <c r="A40" s="107"/>
      <c r="B40" s="82"/>
      <c r="C40" s="471"/>
      <c r="D40" s="472"/>
      <c r="E40" s="472"/>
      <c r="F40" s="472"/>
      <c r="G40" s="472">
        <f>SUM(D40:F40)</f>
        <v>0</v>
      </c>
      <c r="H40" s="483">
        <f>H39+G40</f>
        <v>441</v>
      </c>
      <c r="I40" s="473">
        <f>IF(T_T13411121314151617181920212223242526272829303132333536373839404142434445464748495051525354555657585960616263646566676869707172737475767778798081828384858687888990919293949596979899100[[#This Row],[Total]]&lt;0,T_T13411121314151617181920212223242526272829303132333536373839404142434445464748495051525354555657585960616263646566676869707172737475767778798081828384858687888990919293949596979899100[[#This Row],[Total]]*-1,0)</f>
        <v>0</v>
      </c>
      <c r="J40" s="473"/>
      <c r="K40" s="485"/>
    </row>
  </sheetData>
  <hyperlinks>
    <hyperlink ref="B7" r:id="rId1" display="jose.orozco@outlook.com"/>
    <hyperlink ref="H7" location="Resumen!A1" display="Rsumen         "/>
  </hyperlinks>
  <pageMargins left="0.69" right="0.27559055118110237" top="0.75" bottom="0.15" header="0.25" footer="0.31496062992125984"/>
  <pageSetup scale="62" orientation="portrait" verticalDpi="360" r:id="rId2"/>
  <drawing r:id="rId3"/>
  <tableParts count="1">
    <tablePart r:id="rId4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M40"/>
  <sheetViews>
    <sheetView showGridLines="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0.6640625" bestFit="1" customWidth="1"/>
    <col min="14" max="14" width="14.88671875" customWidth="1"/>
  </cols>
  <sheetData>
    <row r="2" spans="1:13" ht="15.6" x14ac:dyDescent="0.3">
      <c r="A2" s="27" t="s">
        <v>36</v>
      </c>
      <c r="B2" s="41" t="s">
        <v>149</v>
      </c>
    </row>
    <row r="3" spans="1:13" hidden="1" x14ac:dyDescent="0.3">
      <c r="A3" s="27" t="s">
        <v>31</v>
      </c>
      <c r="B3" s="28" t="e">
        <f>LOOKUP(B2,#REF!,#REF!)</f>
        <v>#REF!</v>
      </c>
    </row>
    <row r="4" spans="1:13" hidden="1" x14ac:dyDescent="0.3">
      <c r="A4" s="27" t="s">
        <v>32</v>
      </c>
      <c r="B4" s="28" t="e">
        <f>LOOKUP(B2,#REF!,#REF!)</f>
        <v>#REF!</v>
      </c>
    </row>
    <row r="5" spans="1:13" hidden="1" x14ac:dyDescent="0.3">
      <c r="A5" s="27" t="s">
        <v>33</v>
      </c>
      <c r="B5" s="28" t="e">
        <f>LOOKUP(B2,#REF!,#REF!)</f>
        <v>#REF!</v>
      </c>
    </row>
    <row r="6" spans="1:13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3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3" x14ac:dyDescent="0.3">
      <c r="A8" s="21"/>
      <c r="B8" s="21" t="s">
        <v>218</v>
      </c>
    </row>
    <row r="9" spans="1:13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13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IF(T_T13411121314151617181920212223242526272829303132333536373839404142434445464748495051525354555657585960616263646566676869707172737475767778798081828384858687888990919293949596979899100101[[#This Row],[Total]]&lt;0,T_T13411121314151617181920212223242526272829303132333536373839404142434445464748495051525354555657585960616263646566676869707172737475767778798081828384858687888990919293949596979899100101[[#This Row],[Total]]*-1,0)</f>
        <v>0</v>
      </c>
      <c r="M10" s="178"/>
    </row>
    <row r="11" spans="1:13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IF(T_T13411121314151617181920212223242526272829303132333536373839404142434445464748495051525354555657585960616263646566676869707172737475767778798081828384858687888990919293949596979899100101[[#This Row],[Total]]&lt;0,T_T13411121314151617181920212223242526272829303132333536373839404142434445464748495051525354555657585960616263646566676869707172737475767778798081828384858687888990919293949596979899100101[[#This Row],[Total]]*-1,0)</f>
        <v>0</v>
      </c>
    </row>
    <row r="12" spans="1:13" x14ac:dyDescent="0.3">
      <c r="A12" s="117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IF(T_T13411121314151617181920212223242526272829303132333536373839404142434445464748495051525354555657585960616263646566676869707172737475767778798081828384858687888990919293949596979899100101[[#This Row],[Total]]&lt;0,T_T13411121314151617181920212223242526272829303132333536373839404142434445464748495051525354555657585960616263646566676869707172737475767778798081828384858687888990919293949596979899100101[[#This Row],[Total]]*-1,0)</f>
        <v>0</v>
      </c>
    </row>
    <row r="13" spans="1:13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IF(T_T13411121314151617181920212223242526272829303132333536373839404142434445464748495051525354555657585960616263646566676869707172737475767778798081828384858687888990919293949596979899100101[[#This Row],[Total]]&lt;0,T_T13411121314151617181920212223242526272829303132333536373839404142434445464748495051525354555657585960616263646566676869707172737475767778798081828384858687888990919293949596979899100101[[#This Row],[Total]]*-1,0)</f>
        <v>0</v>
      </c>
    </row>
    <row r="14" spans="1:13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IF(T_T13411121314151617181920212223242526272829303132333536373839404142434445464748495051525354555657585960616263646566676869707172737475767778798081828384858687888990919293949596979899100101[[#This Row],[Total]]&lt;0,T_T13411121314151617181920212223242526272829303132333536373839404142434445464748495051525354555657585960616263646566676869707172737475767778798081828384858687888990919293949596979899100101[[#This Row],[Total]]*-1,0)</f>
        <v>0</v>
      </c>
    </row>
    <row r="15" spans="1:13" x14ac:dyDescent="0.3">
      <c r="A15" s="17">
        <v>46052</v>
      </c>
      <c r="B15" s="18" t="s">
        <v>590</v>
      </c>
      <c r="C15" s="6"/>
      <c r="D15" s="2">
        <v>111</v>
      </c>
      <c r="E15" s="2">
        <v>9</v>
      </c>
      <c r="F15" s="20"/>
      <c r="G15" s="20">
        <f>SUM(D15:F15)</f>
        <v>120</v>
      </c>
      <c r="H15" s="233">
        <f>+H13+T_T13411121314151617181920212223242526272829303132333536373839404142434445464748495051525354555657585960616263646566676869707172737475767778798081828384858687888990919293949596979899100101[[#This Row],[Total]]</f>
        <v>120</v>
      </c>
      <c r="I15" s="240">
        <f>IF(T_T13411121314151617181920212223242526272829303132333536373839404142434445464748495051525354555657585960616263646566676869707172737475767778798081828384858687888990919293949596979899100101[[#This Row],[Total]]&lt;0,T_T13411121314151617181920212223242526272829303132333536373839404142434445464748495051525354555657585960616263646566676869707172737475767778798081828384858687888990919293949596979899100101[[#This Row],[Total]]*-1,0)</f>
        <v>0</v>
      </c>
    </row>
    <row r="16" spans="1:13" x14ac:dyDescent="0.3">
      <c r="A16" s="17"/>
      <c r="B16" s="18" t="s">
        <v>591</v>
      </c>
      <c r="C16" s="6">
        <v>8602</v>
      </c>
      <c r="D16" s="2">
        <v>-111</v>
      </c>
      <c r="E16" s="2">
        <v>-9</v>
      </c>
      <c r="F16" s="230"/>
      <c r="G16" s="20">
        <f>SUM(D16:E16)</f>
        <v>-120</v>
      </c>
      <c r="H16" s="233">
        <f>+H15+T_T13411121314151617181920212223242526272829303132333536373839404142434445464748495051525354555657585960616263646566676869707172737475767778798081828384858687888990919293949596979899100101[[#This Row],[Total]]</f>
        <v>0</v>
      </c>
      <c r="I16" s="239">
        <f>IF(T_T13411121314151617181920212223242526272829303132333536373839404142434445464748495051525354555657585960616263646566676869707172737475767778798081828384858687888990919293949596979899100101[[#This Row],[Total]]&lt;0,T_T13411121314151617181920212223242526272829303132333536373839404142434445464748495051525354555657585960616263646566676869707172737475767778798081828384858687888990919293949596979899100101[[#This Row],[Total]]*-1,0)</f>
        <v>120</v>
      </c>
    </row>
    <row r="17" spans="1:9" x14ac:dyDescent="0.3">
      <c r="A17" s="164">
        <v>45715</v>
      </c>
      <c r="B17" s="161" t="s">
        <v>532</v>
      </c>
      <c r="C17" s="6"/>
      <c r="D17" s="2">
        <v>111</v>
      </c>
      <c r="E17" s="2">
        <v>7</v>
      </c>
      <c r="F17" s="230"/>
      <c r="G17" s="20">
        <f>SUM(D17:F17)</f>
        <v>118</v>
      </c>
      <c r="H17" s="233">
        <f>+H16+T_T13411121314151617181920212223242526272829303132333536373839404142434445464748495051525354555657585960616263646566676869707172737475767778798081828384858687888990919293949596979899100101[[#This Row],[Total]]</f>
        <v>118</v>
      </c>
      <c r="I17" s="240">
        <f>IF(T_T13411121314151617181920212223242526272829303132333536373839404142434445464748495051525354555657585960616263646566676869707172737475767778798081828384858687888990919293949596979899100101[[#This Row],[Total]]&lt;0,T_T13411121314151617181920212223242526272829303132333536373839404142434445464748495051525354555657585960616263646566676869707172737475767778798081828384858687888990919293949596979899100101[[#This Row],[Total]]*-1,0)</f>
        <v>0</v>
      </c>
    </row>
    <row r="18" spans="1:9" x14ac:dyDescent="0.3">
      <c r="A18" s="187"/>
      <c r="B18" s="18" t="s">
        <v>533</v>
      </c>
      <c r="C18" s="6">
        <v>8748</v>
      </c>
      <c r="D18" s="2">
        <v>-111</v>
      </c>
      <c r="E18" s="2">
        <v>-7</v>
      </c>
      <c r="F18" s="230"/>
      <c r="G18" s="20">
        <f>SUM(D18:F18)</f>
        <v>-118</v>
      </c>
      <c r="H18" s="233">
        <f>+H17+T_T13411121314151617181920212223242526272829303132333536373839404142434445464748495051525354555657585960616263646566676869707172737475767778798081828384858687888990919293949596979899100101[[#This Row],[Total]]</f>
        <v>0</v>
      </c>
      <c r="I18" s="240">
        <f>IF(T_T13411121314151617181920212223242526272829303132333536373839404142434445464748495051525354555657585960616263646566676869707172737475767778798081828384858687888990919293949596979899100101[[#This Row],[Total]]&lt;0,T_T13411121314151617181920212223242526272829303132333536373839404142434445464748495051525354555657585960616263646566676869707172737475767778798081828384858687888990919293949596979899100101[[#This Row],[Total]]*-1,0)</f>
        <v>118</v>
      </c>
    </row>
    <row r="19" spans="1:9" x14ac:dyDescent="0.3">
      <c r="A19" s="188">
        <v>45747</v>
      </c>
      <c r="B19" s="3" t="s">
        <v>534</v>
      </c>
      <c r="C19" s="6"/>
      <c r="D19" s="2">
        <f>115+11</f>
        <v>126</v>
      </c>
      <c r="E19" s="2">
        <v>8</v>
      </c>
      <c r="F19" s="230"/>
      <c r="G19" s="20">
        <f>SUM(D19:F19)</f>
        <v>134</v>
      </c>
      <c r="H19" s="233">
        <f>+H18+T_T13411121314151617181920212223242526272829303132333536373839404142434445464748495051525354555657585960616263646566676869707172737475767778798081828384858687888990919293949596979899100101[[#This Row],[Total]]</f>
        <v>134</v>
      </c>
      <c r="I19" s="240">
        <f>IF(T_T13411121314151617181920212223242526272829303132333536373839404142434445464748495051525354555657585960616263646566676869707172737475767778798081828384858687888990919293949596979899100101[[#This Row],[Total]]&lt;0,T_T13411121314151617181920212223242526272829303132333536373839404142434445464748495051525354555657585960616263646566676869707172737475767778798081828384858687888990919293949596979899100101[[#This Row],[Total]]*-1,0)</f>
        <v>0</v>
      </c>
    </row>
    <row r="20" spans="1:9" x14ac:dyDescent="0.3">
      <c r="A20" s="188"/>
      <c r="B20" s="82" t="s">
        <v>535</v>
      </c>
      <c r="C20" s="6">
        <v>8860</v>
      </c>
      <c r="D20" s="2">
        <v>-126</v>
      </c>
      <c r="E20" s="2">
        <v>-8</v>
      </c>
      <c r="F20" s="230"/>
      <c r="G20" s="230">
        <f t="shared" ref="G20:G38" si="0">SUM(D20:F20)</f>
        <v>-134</v>
      </c>
      <c r="H20" s="233">
        <f t="shared" ref="H20:H40" si="1">H19+G20</f>
        <v>0</v>
      </c>
      <c r="I20" s="239">
        <f>IF(T_T13411121314151617181920212223242526272829303132333536373839404142434445464748495051525354555657585960616263646566676869707172737475767778798081828384858687888990919293949596979899100101[[#This Row],[Total]]&lt;0,T_T13411121314151617181920212223242526272829303132333536373839404142434445464748495051525354555657585960616263646566676869707172737475767778798081828384858687888990919293949596979899100101[[#This Row],[Total]]*-1,0)</f>
        <v>134</v>
      </c>
    </row>
    <row r="21" spans="1:9" x14ac:dyDescent="0.3">
      <c r="A21" s="188">
        <v>45777</v>
      </c>
      <c r="B21" s="3" t="s">
        <v>536</v>
      </c>
      <c r="C21" s="6"/>
      <c r="D21" s="2">
        <v>126</v>
      </c>
      <c r="E21" s="2">
        <v>9</v>
      </c>
      <c r="F21" s="230"/>
      <c r="G21" s="230">
        <f t="shared" si="0"/>
        <v>135</v>
      </c>
      <c r="H21" s="233">
        <f t="shared" si="1"/>
        <v>135</v>
      </c>
      <c r="I21" s="309">
        <f>IF(T_T13411121314151617181920212223242526272829303132333536373839404142434445464748495051525354555657585960616263646566676869707172737475767778798081828384858687888990919293949596979899100101[[#This Row],[Total]]&lt;0,T_T13411121314151617181920212223242526272829303132333536373839404142434445464748495051525354555657585960616263646566676869707172737475767778798081828384858687888990919293949596979899100101[[#This Row],[Total]]*-1,0)</f>
        <v>0</v>
      </c>
    </row>
    <row r="22" spans="1:9" x14ac:dyDescent="0.3">
      <c r="A22" s="83"/>
      <c r="B22" s="82" t="s">
        <v>537</v>
      </c>
      <c r="C22" s="6">
        <v>8948</v>
      </c>
      <c r="D22" s="2">
        <v>-126</v>
      </c>
      <c r="E22" s="2">
        <v>-9</v>
      </c>
      <c r="F22" s="230"/>
      <c r="G22" s="230">
        <f t="shared" si="0"/>
        <v>-135</v>
      </c>
      <c r="H22" s="233">
        <f t="shared" si="1"/>
        <v>0</v>
      </c>
      <c r="I22" s="309">
        <f>IF(T_T13411121314151617181920212223242526272829303132333536373839404142434445464748495051525354555657585960616263646566676869707172737475767778798081828384858687888990919293949596979899100101[[#This Row],[Total]]&lt;0,T_T13411121314151617181920212223242526272829303132333536373839404142434445464748495051525354555657585960616263646566676869707172737475767778798081828384858687888990919293949596979899100101[[#This Row],[Total]]*-1,0)</f>
        <v>135</v>
      </c>
    </row>
    <row r="23" spans="1:9" x14ac:dyDescent="0.3">
      <c r="A23" s="40">
        <v>45807</v>
      </c>
      <c r="B23" s="3" t="s">
        <v>538</v>
      </c>
      <c r="C23" s="229"/>
      <c r="D23" s="230">
        <v>126</v>
      </c>
      <c r="E23" s="230">
        <v>10</v>
      </c>
      <c r="F23" s="230"/>
      <c r="G23" s="230">
        <f t="shared" si="0"/>
        <v>136</v>
      </c>
      <c r="H23" s="233">
        <f t="shared" si="1"/>
        <v>136</v>
      </c>
      <c r="I23" s="309">
        <f>IF(T_T13411121314151617181920212223242526272829303132333536373839404142434445464748495051525354555657585960616263646566676869707172737475767778798081828384858687888990919293949596979899100101[[#This Row],[Total]]&lt;0,T_T13411121314151617181920212223242526272829303132333536373839404142434445464748495051525354555657585960616263646566676869707172737475767778798081828384858687888990919293949596979899100101[[#This Row],[Total]]*-1,0)</f>
        <v>0</v>
      </c>
    </row>
    <row r="24" spans="1:9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136</v>
      </c>
      <c r="I24" s="311">
        <f>IF(T_T13411121314151617181920212223242526272829303132333536373839404142434445464748495051525354555657585960616263646566676869707172737475767778798081828384858687888990919293949596979899100101[[#This Row],[Total]]&lt;0,T_T13411121314151617181920212223242526272829303132333536373839404142434445464748495051525354555657585960616263646566676869707172737475767778798081828384858687888990919293949596979899100101[[#This Row],[Total]]*-1,0)</f>
        <v>0</v>
      </c>
    </row>
    <row r="25" spans="1:9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136</v>
      </c>
      <c r="I25" s="309">
        <f>IF(T_T13411121314151617181920212223242526272829303132333536373839404142434445464748495051525354555657585960616263646566676869707172737475767778798081828384858687888990919293949596979899100101[[#This Row],[Total]]&lt;0,T_T13411121314151617181920212223242526272829303132333536373839404142434445464748495051525354555657585960616263646566676869707172737475767778798081828384858687888990919293949596979899100101[[#This Row],[Total]]*-1,0)</f>
        <v>0</v>
      </c>
    </row>
    <row r="26" spans="1:9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136</v>
      </c>
      <c r="I26" s="309">
        <f>IF(T_T13411121314151617181920212223242526272829303132333536373839404142434445464748495051525354555657585960616263646566676869707172737475767778798081828384858687888990919293949596979899100101[[#This Row],[Total]]&lt;0,T_T13411121314151617181920212223242526272829303132333536373839404142434445464748495051525354555657585960616263646566676869707172737475767778798081828384858687888990919293949596979899100101[[#This Row],[Total]]*-1,0)</f>
        <v>0</v>
      </c>
    </row>
    <row r="27" spans="1:9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136</v>
      </c>
      <c r="I27" s="309">
        <f>IF(T_T13411121314151617181920212223242526272829303132333536373839404142434445464748495051525354555657585960616263646566676869707172737475767778798081828384858687888990919293949596979899100101[[#This Row],[Total]]&lt;0,T_T13411121314151617181920212223242526272829303132333536373839404142434445464748495051525354555657585960616263646566676869707172737475767778798081828384858687888990919293949596979899100101[[#This Row],[Total]]*-1,0)</f>
        <v>0</v>
      </c>
    </row>
    <row r="28" spans="1:9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136</v>
      </c>
      <c r="I28" s="311">
        <f>IF(T_T13411121314151617181920212223242526272829303132333536373839404142434445464748495051525354555657585960616263646566676869707172737475767778798081828384858687888990919293949596979899100101[[#This Row],[Total]]&lt;0,T_T13411121314151617181920212223242526272829303132333536373839404142434445464748495051525354555657585960616263646566676869707172737475767778798081828384858687888990919293949596979899100101[[#This Row],[Total]]*-1,0)</f>
        <v>0</v>
      </c>
    </row>
    <row r="29" spans="1:9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136</v>
      </c>
      <c r="I29" s="309">
        <f>IF(T_T13411121314151617181920212223242526272829303132333536373839404142434445464748495051525354555657585960616263646566676869707172737475767778798081828384858687888990919293949596979899100101[[#This Row],[Total]]&lt;0,T_T13411121314151617181920212223242526272829303132333536373839404142434445464748495051525354555657585960616263646566676869707172737475767778798081828384858687888990919293949596979899100101[[#This Row],[Total]]*-1,0)</f>
        <v>0</v>
      </c>
    </row>
    <row r="30" spans="1:9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136</v>
      </c>
      <c r="I30" s="309">
        <f>IF(T_T13411121314151617181920212223242526272829303132333536373839404142434445464748495051525354555657585960616263646566676869707172737475767778798081828384858687888990919293949596979899100101[[#This Row],[Total]]&lt;0,T_T13411121314151617181920212223242526272829303132333536373839404142434445464748495051525354555657585960616263646566676869707172737475767778798081828384858687888990919293949596979899100101[[#This Row],[Total]]*-1,0)</f>
        <v>0</v>
      </c>
    </row>
    <row r="31" spans="1:9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136</v>
      </c>
      <c r="I31" s="309">
        <f>IF(T_T13411121314151617181920212223242526272829303132333536373839404142434445464748495051525354555657585960616263646566676869707172737475767778798081828384858687888990919293949596979899100101[[#This Row],[Total]]&lt;0,T_T13411121314151617181920212223242526272829303132333536373839404142434445464748495051525354555657585960616263646566676869707172737475767778798081828384858687888990919293949596979899100101[[#This Row],[Total]]*-1,0)</f>
        <v>0</v>
      </c>
    </row>
    <row r="32" spans="1:9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136</v>
      </c>
      <c r="I32" s="309">
        <f>IF(T_T13411121314151617181920212223242526272829303132333536373839404142434445464748495051525354555657585960616263646566676869707172737475767778798081828384858687888990919293949596979899100101[[#This Row],[Total]]&lt;0,T_T13411121314151617181920212223242526272829303132333536373839404142434445464748495051525354555657585960616263646566676869707172737475767778798081828384858687888990919293949596979899100101[[#This Row],[Total]]*-1,0)</f>
        <v>0</v>
      </c>
    </row>
    <row r="33" spans="1:9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136</v>
      </c>
      <c r="I33" s="309">
        <f>IF(T_T13411121314151617181920212223242526272829303132333536373839404142434445464748495051525354555657585960616263646566676869707172737475767778798081828384858687888990919293949596979899100101[[#This Row],[Total]]&lt;0,T_T13411121314151617181920212223242526272829303132333536373839404142434445464748495051525354555657585960616263646566676869707172737475767778798081828384858687888990919293949596979899100101[[#This Row],[Total]]*-1,0)</f>
        <v>0</v>
      </c>
    </row>
    <row r="34" spans="1:9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136</v>
      </c>
      <c r="I34" s="309">
        <f>IF(T_T13411121314151617181920212223242526272829303132333536373839404142434445464748495051525354555657585960616263646566676869707172737475767778798081828384858687888990919293949596979899100101[[#This Row],[Total]]&lt;0,T_T13411121314151617181920212223242526272829303132333536373839404142434445464748495051525354555657585960616263646566676869707172737475767778798081828384858687888990919293949596979899100101[[#This Row],[Total]]*-1,0)</f>
        <v>0</v>
      </c>
    </row>
    <row r="35" spans="1:9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136</v>
      </c>
      <c r="I35" s="309">
        <f>IF(T_T13411121314151617181920212223242526272829303132333536373839404142434445464748495051525354555657585960616263646566676869707172737475767778798081828384858687888990919293949596979899100101[[#This Row],[Total]]&lt;0,T_T13411121314151617181920212223242526272829303132333536373839404142434445464748495051525354555657585960616263646566676869707172737475767778798081828384858687888990919293949596979899100101[[#This Row],[Total]]*-1,0)</f>
        <v>0</v>
      </c>
    </row>
    <row r="36" spans="1:9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136</v>
      </c>
      <c r="I36" s="311">
        <f>IF(T_T13411121314151617181920212223242526272829303132333536373839404142434445464748495051525354555657585960616263646566676869707172737475767778798081828384858687888990919293949596979899100101[[#This Row],[Total]]&lt;0,T_T13411121314151617181920212223242526272829303132333536373839404142434445464748495051525354555657585960616263646566676869707172737475767778798081828384858687888990919293949596979899100101[[#This Row],[Total]]*-1,0)</f>
        <v>0</v>
      </c>
    </row>
    <row r="37" spans="1:9" x14ac:dyDescent="0.3">
      <c r="A37" s="188">
        <v>46021</v>
      </c>
      <c r="B37" s="3" t="s">
        <v>552</v>
      </c>
      <c r="C37" s="229"/>
      <c r="D37" s="230"/>
      <c r="E37" s="7"/>
      <c r="F37" s="230"/>
      <c r="G37" s="230">
        <f t="shared" si="0"/>
        <v>0</v>
      </c>
      <c r="H37" s="233">
        <f t="shared" si="1"/>
        <v>136</v>
      </c>
      <c r="I37" s="353">
        <f>IF(T_T13411121314151617181920212223242526272829303132333536373839404142434445464748495051525354555657585960616263646566676869707172737475767778798081828384858687888990919293949596979899100101[[#This Row],[Total]]&lt;0,T_T13411121314151617181920212223242526272829303132333536373839404142434445464748495051525354555657585960616263646566676869707172737475767778798081828384858687888990919293949596979899100101[[#This Row],[Total]]*-1,0)</f>
        <v>0</v>
      </c>
    </row>
    <row r="38" spans="1:9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136</v>
      </c>
      <c r="I38" s="353">
        <f>IF(T_T13411121314151617181920212223242526272829303132333536373839404142434445464748495051525354555657585960616263646566676869707172737475767778798081828384858687888990919293949596979899100101[[#This Row],[Total]]&lt;0,T_T13411121314151617181920212223242526272829303132333536373839404142434445464748495051525354555657585960616263646566676869707172737475767778798081828384858687888990919293949596979899100101[[#This Row],[Total]]*-1,0)</f>
        <v>0</v>
      </c>
    </row>
    <row r="39" spans="1:9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136</v>
      </c>
      <c r="I39" s="353">
        <f>IF(T_T13411121314151617181920212223242526272829303132333536373839404142434445464748495051525354555657585960616263646566676869707172737475767778798081828384858687888990919293949596979899100101[[#This Row],[Total]]&lt;0,T_T13411121314151617181920212223242526272829303132333536373839404142434445464748495051525354555657585960616263646566676869707172737475767778798081828384858687888990919293949596979899100101[[#This Row],[Total]]*-1,0)</f>
        <v>0</v>
      </c>
    </row>
    <row r="40" spans="1:9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136</v>
      </c>
      <c r="I40" s="353">
        <f>IF(T_T13411121314151617181920212223242526272829303132333536373839404142434445464748495051525354555657585960616263646566676869707172737475767778798081828384858687888990919293949596979899100101[[#This Row],[Total]]&lt;0,T_T13411121314151617181920212223242526272829303132333536373839404142434445464748495051525354555657585960616263646566676869707172737475767778798081828384858687888990919293949596979899100101[[#This Row],[Total]]*-1,0)</f>
        <v>0</v>
      </c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orientation="portrait" verticalDpi="360" r:id="rId2"/>
  <drawing r:id="rId3"/>
  <tableParts count="1">
    <tablePart r:id="rId4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N40"/>
  <sheetViews>
    <sheetView showGridLines="0" zoomScale="98" zoomScaleNormal="98" workbookViewId="0">
      <selection activeCell="D24" sqref="D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0.3320312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4" max="14" width="10.6640625" bestFit="1" customWidth="1"/>
    <col min="15" max="15" width="13.5546875" customWidth="1"/>
  </cols>
  <sheetData>
    <row r="2" spans="1:14" ht="12.75" customHeight="1" x14ac:dyDescent="0.3">
      <c r="A2" s="27" t="s">
        <v>36</v>
      </c>
      <c r="B2" s="41" t="s">
        <v>150</v>
      </c>
    </row>
    <row r="3" spans="1:14" hidden="1" x14ac:dyDescent="0.3">
      <c r="A3" s="27" t="s">
        <v>31</v>
      </c>
      <c r="B3" s="28" t="e">
        <f>LOOKUP(B2,#REF!,#REF!)</f>
        <v>#REF!</v>
      </c>
    </row>
    <row r="4" spans="1:14" hidden="1" x14ac:dyDescent="0.3">
      <c r="A4" s="27" t="s">
        <v>32</v>
      </c>
      <c r="B4" s="28" t="e">
        <f>LOOKUP(B2,#REF!,#REF!)</f>
        <v>#REF!</v>
      </c>
    </row>
    <row r="5" spans="1:14" hidden="1" x14ac:dyDescent="0.3">
      <c r="A5" s="27" t="s">
        <v>33</v>
      </c>
      <c r="B5" s="28" t="e">
        <f>LOOKUP(B2,#REF!,#REF!)</f>
        <v>#REF!</v>
      </c>
    </row>
    <row r="6" spans="1:14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4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4" x14ac:dyDescent="0.3">
      <c r="A8" s="21"/>
      <c r="B8" s="21" t="s">
        <v>219</v>
      </c>
    </row>
    <row r="9" spans="1:14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69" t="s">
        <v>188</v>
      </c>
    </row>
    <row r="10" spans="1:14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/>
      <c r="J10" s="68"/>
      <c r="N10" s="178"/>
    </row>
    <row r="11" spans="1:14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IF(T_T13411121314151617181920212223242526272829303132333536373839404142434445464748495051525354555657585960616263646566676869707172737475767778798081828384858687888990919293949596979899100101102[[#This Row],[Total]]&lt;0,T_T13411121314151617181920212223242526272829303132333536373839404142434445464748495051525354555657585960616263646566676869707172737475767778798081828384858687888990919293949596979899100101102[[#This Row],[Total]]*-1,0)</f>
        <v>0</v>
      </c>
      <c r="J11" s="240"/>
    </row>
    <row r="12" spans="1:14" x14ac:dyDescent="0.3">
      <c r="A12" s="432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IF(T_T13411121314151617181920212223242526272829303132333536373839404142434445464748495051525354555657585960616263646566676869707172737475767778798081828384858687888990919293949596979899100101102[[#This Row],[Total]]&lt;0,T_T13411121314151617181920212223242526272829303132333536373839404142434445464748495051525354555657585960616263646566676869707172737475767778798081828384858687888990919293949596979899100101102[[#This Row],[Total]]*-1,0)</f>
        <v>0</v>
      </c>
      <c r="J12" s="430"/>
    </row>
    <row r="13" spans="1:14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IF(T_T13411121314151617181920212223242526272829303132333536373839404142434445464748495051525354555657585960616263646566676869707172737475767778798081828384858687888990919293949596979899100101102[[#This Row],[Total]]&lt;0,T_T13411121314151617181920212223242526272829303132333536373839404142434445464748495051525354555657585960616263646566676869707172737475767778798081828384858687888990919293949596979899100101102[[#This Row],[Total]]*-1,0)</f>
        <v>0</v>
      </c>
      <c r="J13" s="240"/>
    </row>
    <row r="14" spans="1:14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IF(T_T13411121314151617181920212223242526272829303132333536373839404142434445464748495051525354555657585960616263646566676869707172737475767778798081828384858687888990919293949596979899100101102[[#This Row],[Total]]&lt;0,T_T13411121314151617181920212223242526272829303132333536373839404142434445464748495051525354555657585960616263646566676869707172737475767778798081828384858687888990919293949596979899100101102[[#This Row],[Total]]*-1,0)</f>
        <v>0</v>
      </c>
      <c r="J14" s="473"/>
    </row>
    <row r="15" spans="1:14" x14ac:dyDescent="0.3">
      <c r="A15" s="17">
        <v>46052</v>
      </c>
      <c r="B15" s="18" t="s">
        <v>590</v>
      </c>
      <c r="C15" s="6"/>
      <c r="D15" s="2">
        <v>88</v>
      </c>
      <c r="E15" s="2">
        <v>17</v>
      </c>
      <c r="F15" s="20"/>
      <c r="G15" s="20">
        <f>SUM(D15:F15)</f>
        <v>105</v>
      </c>
      <c r="H15" s="233">
        <f>+H13+T_T13411121314151617181920212223242526272829303132333536373839404142434445464748495051525354555657585960616263646566676869707172737475767778798081828384858687888990919293949596979899100101102[[#This Row],[Total]]</f>
        <v>105</v>
      </c>
      <c r="I15" s="240">
        <f>IF(T_T13411121314151617181920212223242526272829303132333536373839404142434445464748495051525354555657585960616263646566676869707172737475767778798081828384858687888990919293949596979899100101102[[#This Row],[Total]]&lt;0,T_T13411121314151617181920212223242526272829303132333536373839404142434445464748495051525354555657585960616263646566676869707172737475767778798081828384858687888990919293949596979899100101102[[#This Row],[Total]]*-1,0)</f>
        <v>0</v>
      </c>
      <c r="J15" s="240"/>
    </row>
    <row r="16" spans="1:14" x14ac:dyDescent="0.3">
      <c r="A16" s="17"/>
      <c r="B16" s="18" t="s">
        <v>591</v>
      </c>
      <c r="C16" s="6">
        <v>8609</v>
      </c>
      <c r="D16" s="2">
        <v>-88</v>
      </c>
      <c r="E16" s="2">
        <v>-17</v>
      </c>
      <c r="F16" s="230"/>
      <c r="G16" s="230">
        <f t="shared" ref="G16:G38" si="0">SUM(D16:F16)</f>
        <v>-105</v>
      </c>
      <c r="H16" s="233">
        <f t="shared" ref="H16:H40" si="1">H15+G16</f>
        <v>0</v>
      </c>
      <c r="I16" s="239">
        <f>IF(T_T13411121314151617181920212223242526272829303132333536373839404142434445464748495051525354555657585960616263646566676869707172737475767778798081828384858687888990919293949596979899100101102[[#This Row],[Total]]&lt;0,T_T13411121314151617181920212223242526272829303132333536373839404142434445464748495051525354555657585960616263646566676869707172737475767778798081828384858687888990919293949596979899100101102[[#This Row],[Total]]*-1,0)</f>
        <v>105</v>
      </c>
      <c r="J16" s="239"/>
    </row>
    <row r="17" spans="1:12" x14ac:dyDescent="0.3">
      <c r="A17" s="164">
        <v>45715</v>
      </c>
      <c r="B17" s="161" t="s">
        <v>532</v>
      </c>
      <c r="C17" s="6"/>
      <c r="D17" s="2">
        <v>88</v>
      </c>
      <c r="E17" s="2">
        <v>23</v>
      </c>
      <c r="F17" s="230"/>
      <c r="G17" s="230">
        <f t="shared" si="0"/>
        <v>111</v>
      </c>
      <c r="H17" s="233">
        <f t="shared" si="1"/>
        <v>111</v>
      </c>
      <c r="I17" s="240">
        <f>IF(T_T13411121314151617181920212223242526272829303132333536373839404142434445464748495051525354555657585960616263646566676869707172737475767778798081828384858687888990919293949596979899100101102[[#This Row],[Total]]&lt;0,T_T13411121314151617181920212223242526272829303132333536373839404142434445464748495051525354555657585960616263646566676869707172737475767778798081828384858687888990919293949596979899100101102[[#This Row],[Total]]*-1,0)</f>
        <v>0</v>
      </c>
      <c r="J17" s="240"/>
    </row>
    <row r="18" spans="1:12" x14ac:dyDescent="0.3">
      <c r="A18" s="187"/>
      <c r="B18" s="18" t="s">
        <v>533</v>
      </c>
      <c r="C18" s="6">
        <v>8756</v>
      </c>
      <c r="D18" s="2">
        <v>-88</v>
      </c>
      <c r="E18" s="2">
        <v>-23</v>
      </c>
      <c r="F18" s="230"/>
      <c r="G18" s="230">
        <f t="shared" si="0"/>
        <v>-111</v>
      </c>
      <c r="H18" s="233">
        <f t="shared" si="1"/>
        <v>0</v>
      </c>
      <c r="I18" s="240">
        <f>IF(T_T13411121314151617181920212223242526272829303132333536373839404142434445464748495051525354555657585960616263646566676869707172737475767778798081828384858687888990919293949596979899100101102[[#This Row],[Total]]&lt;0,T_T13411121314151617181920212223242526272829303132333536373839404142434445464748495051525354555657585960616263646566676869707172737475767778798081828384858687888990919293949596979899100101102[[#This Row],[Total]]*-1,0)</f>
        <v>111</v>
      </c>
      <c r="J18" s="240"/>
    </row>
    <row r="19" spans="1:12" x14ac:dyDescent="0.3">
      <c r="A19" s="188">
        <v>45747</v>
      </c>
      <c r="B19" s="3" t="s">
        <v>534</v>
      </c>
      <c r="C19" s="6"/>
      <c r="D19" s="2">
        <v>101</v>
      </c>
      <c r="E19" s="2">
        <v>12</v>
      </c>
      <c r="F19" s="230"/>
      <c r="G19" s="230">
        <f t="shared" si="0"/>
        <v>113</v>
      </c>
      <c r="H19" s="233">
        <f t="shared" si="1"/>
        <v>113</v>
      </c>
      <c r="I19" s="240">
        <f>IF(T_T13411121314151617181920212223242526272829303132333536373839404142434445464748495051525354555657585960616263646566676869707172737475767778798081828384858687888990919293949596979899100101102[[#This Row],[Total]]&lt;0,T_T13411121314151617181920212223242526272829303132333536373839404142434445464748495051525354555657585960616263646566676869707172737475767778798081828384858687888990919293949596979899100101102[[#This Row],[Total]]*-1,0)</f>
        <v>0</v>
      </c>
      <c r="J19" s="240"/>
    </row>
    <row r="20" spans="1:12" x14ac:dyDescent="0.3">
      <c r="A20" s="188"/>
      <c r="B20" s="82" t="s">
        <v>535</v>
      </c>
      <c r="C20" s="6">
        <v>8785</v>
      </c>
      <c r="D20" s="2">
        <v>-101</v>
      </c>
      <c r="E20" s="2">
        <v>-12</v>
      </c>
      <c r="F20" s="230"/>
      <c r="G20" s="230">
        <f t="shared" si="0"/>
        <v>-113</v>
      </c>
      <c r="H20" s="233">
        <f t="shared" si="1"/>
        <v>0</v>
      </c>
      <c r="I20" s="239">
        <f>IF(T_T13411121314151617181920212223242526272829303132333536373839404142434445464748495051525354555657585960616263646566676869707172737475767778798081828384858687888990919293949596979899100101102[[#This Row],[Total]]&lt;0,T_T13411121314151617181920212223242526272829303132333536373839404142434445464748495051525354555657585960616263646566676869707172737475767778798081828384858687888990919293949596979899100101102[[#This Row],[Total]]*-1,0)</f>
        <v>113</v>
      </c>
      <c r="J20" s="239"/>
    </row>
    <row r="21" spans="1:12" x14ac:dyDescent="0.3">
      <c r="A21" s="188">
        <v>45777</v>
      </c>
      <c r="B21" s="3" t="s">
        <v>536</v>
      </c>
      <c r="C21" s="6"/>
      <c r="D21" s="2">
        <v>101</v>
      </c>
      <c r="E21" s="2">
        <v>19</v>
      </c>
      <c r="F21" s="230"/>
      <c r="G21" s="230">
        <f t="shared" si="0"/>
        <v>120</v>
      </c>
      <c r="H21" s="233">
        <f t="shared" si="1"/>
        <v>120</v>
      </c>
      <c r="I21" s="309">
        <f>IF(T_T13411121314151617181920212223242526272829303132333536373839404142434445464748495051525354555657585960616263646566676869707172737475767778798081828384858687888990919293949596979899100101102[[#This Row],[Total]]&lt;0,T_T13411121314151617181920212223242526272829303132333536373839404142434445464748495051525354555657585960616263646566676869707172737475767778798081828384858687888990919293949596979899100101102[[#This Row],[Total]]*-1,0)</f>
        <v>0</v>
      </c>
      <c r="J21" s="309"/>
    </row>
    <row r="22" spans="1:12" x14ac:dyDescent="0.3">
      <c r="A22" s="83"/>
      <c r="B22" s="82" t="s">
        <v>537</v>
      </c>
      <c r="C22" s="6">
        <v>8912</v>
      </c>
      <c r="D22" s="2">
        <v>-101</v>
      </c>
      <c r="E22" s="2">
        <v>-19</v>
      </c>
      <c r="F22" s="230"/>
      <c r="G22" s="230">
        <f t="shared" si="0"/>
        <v>-120</v>
      </c>
      <c r="H22" s="233">
        <f t="shared" si="1"/>
        <v>0</v>
      </c>
      <c r="I22" s="309">
        <f>IF(T_T13411121314151617181920212223242526272829303132333536373839404142434445464748495051525354555657585960616263646566676869707172737475767778798081828384858687888990919293949596979899100101102[[#This Row],[Total]]&lt;0,T_T13411121314151617181920212223242526272829303132333536373839404142434445464748495051525354555657585960616263646566676869707172737475767778798081828384858687888990919293949596979899100101102[[#This Row],[Total]]*-1,0)</f>
        <v>120</v>
      </c>
      <c r="J22" s="309"/>
    </row>
    <row r="23" spans="1:12" x14ac:dyDescent="0.3">
      <c r="A23" s="40">
        <v>45807</v>
      </c>
      <c r="B23" s="3" t="s">
        <v>538</v>
      </c>
      <c r="C23" s="229"/>
      <c r="D23" s="230">
        <v>101</v>
      </c>
      <c r="E23" s="230">
        <v>16</v>
      </c>
      <c r="F23" s="230"/>
      <c r="G23" s="230">
        <f t="shared" si="0"/>
        <v>117</v>
      </c>
      <c r="H23" s="233">
        <f t="shared" si="1"/>
        <v>117</v>
      </c>
      <c r="I23" s="309">
        <f>IF(T_T13411121314151617181920212223242526272829303132333536373839404142434445464748495051525354555657585960616263646566676869707172737475767778798081828384858687888990919293949596979899100101102[[#This Row],[Total]]&lt;0,T_T13411121314151617181920212223242526272829303132333536373839404142434445464748495051525354555657585960616263646566676869707172737475767778798081828384858687888990919293949596979899100101102[[#This Row],[Total]]*-1,0)</f>
        <v>0</v>
      </c>
      <c r="J23" s="309"/>
    </row>
    <row r="24" spans="1:12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117</v>
      </c>
      <c r="I24" s="311">
        <f>IF(T_T13411121314151617181920212223242526272829303132333536373839404142434445464748495051525354555657585960616263646566676869707172737475767778798081828384858687888990919293949596979899100101102[[#This Row],[Total]]&lt;0,T_T13411121314151617181920212223242526272829303132333536373839404142434445464748495051525354555657585960616263646566676869707172737475767778798081828384858687888990919293949596979899100101102[[#This Row],[Total]]*-1,0)</f>
        <v>0</v>
      </c>
      <c r="J24" s="311"/>
    </row>
    <row r="25" spans="1:12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117</v>
      </c>
      <c r="I25" s="309">
        <f>IF(T_T13411121314151617181920212223242526272829303132333536373839404142434445464748495051525354555657585960616263646566676869707172737475767778798081828384858687888990919293949596979899100101102[[#This Row],[Total]]&lt;0,T_T13411121314151617181920212223242526272829303132333536373839404142434445464748495051525354555657585960616263646566676869707172737475767778798081828384858687888990919293949596979899100101102[[#This Row],[Total]]*-1,0)</f>
        <v>0</v>
      </c>
      <c r="J25" s="309"/>
    </row>
    <row r="26" spans="1:12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117</v>
      </c>
      <c r="I26" s="309">
        <f>IF(T_T13411121314151617181920212223242526272829303132333536373839404142434445464748495051525354555657585960616263646566676869707172737475767778798081828384858687888990919293949596979899100101102[[#This Row],[Total]]&lt;0,T_T13411121314151617181920212223242526272829303132333536373839404142434445464748495051525354555657585960616263646566676869707172737475767778798081828384858687888990919293949596979899100101102[[#This Row],[Total]]*-1,0)</f>
        <v>0</v>
      </c>
      <c r="J26" s="309"/>
    </row>
    <row r="27" spans="1:12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117</v>
      </c>
      <c r="I27" s="309">
        <f>IF(T_T13411121314151617181920212223242526272829303132333536373839404142434445464748495051525354555657585960616263646566676869707172737475767778798081828384858687888990919293949596979899100101102[[#This Row],[Total]]&lt;0,T_T13411121314151617181920212223242526272829303132333536373839404142434445464748495051525354555657585960616263646566676869707172737475767778798081828384858687888990919293949596979899100101102[[#This Row],[Total]]*-1,0)</f>
        <v>0</v>
      </c>
      <c r="J27" s="309"/>
    </row>
    <row r="28" spans="1:12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117</v>
      </c>
      <c r="I28" s="311">
        <f>IF(T_T13411121314151617181920212223242526272829303132333536373839404142434445464748495051525354555657585960616263646566676869707172737475767778798081828384858687888990919293949596979899100101102[[#This Row],[Total]]&lt;0,T_T13411121314151617181920212223242526272829303132333536373839404142434445464748495051525354555657585960616263646566676869707172737475767778798081828384858687888990919293949596979899100101102[[#This Row],[Total]]*-1,0)</f>
        <v>0</v>
      </c>
      <c r="J28" s="311"/>
    </row>
    <row r="29" spans="1:12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117</v>
      </c>
      <c r="I29" s="309">
        <f>IF(T_T13411121314151617181920212223242526272829303132333536373839404142434445464748495051525354555657585960616263646566676869707172737475767778798081828384858687888990919293949596979899100101102[[#This Row],[Total]]&lt;0,T_T13411121314151617181920212223242526272829303132333536373839404142434445464748495051525354555657585960616263646566676869707172737475767778798081828384858687888990919293949596979899100101102[[#This Row],[Total]]*-1,0)</f>
        <v>0</v>
      </c>
      <c r="J29" s="309"/>
    </row>
    <row r="30" spans="1:12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117</v>
      </c>
      <c r="I30" s="309">
        <f>IF(T_T13411121314151617181920212223242526272829303132333536373839404142434445464748495051525354555657585960616263646566676869707172737475767778798081828384858687888990919293949596979899100101102[[#This Row],[Total]]&lt;0,T_T13411121314151617181920212223242526272829303132333536373839404142434445464748495051525354555657585960616263646566676869707172737475767778798081828384858687888990919293949596979899100101102[[#This Row],[Total]]*-1,0)</f>
        <v>0</v>
      </c>
      <c r="J30" s="309"/>
    </row>
    <row r="31" spans="1:12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117</v>
      </c>
      <c r="I31" s="309">
        <f>IF(T_T13411121314151617181920212223242526272829303132333536373839404142434445464748495051525354555657585960616263646566676869707172737475767778798081828384858687888990919293949596979899100101102[[#This Row],[Total]]&lt;0,T_T13411121314151617181920212223242526272829303132333536373839404142434445464748495051525354555657585960616263646566676869707172737475767778798081828384858687888990919293949596979899100101102[[#This Row],[Total]]*-1,0)</f>
        <v>0</v>
      </c>
      <c r="J31" s="309"/>
      <c r="L31" t="s">
        <v>581</v>
      </c>
    </row>
    <row r="32" spans="1:12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117</v>
      </c>
      <c r="I32" s="309">
        <f>IF(T_T13411121314151617181920212223242526272829303132333536373839404142434445464748495051525354555657585960616263646566676869707172737475767778798081828384858687888990919293949596979899100101102[[#This Row],[Total]]&lt;0,T_T13411121314151617181920212223242526272829303132333536373839404142434445464748495051525354555657585960616263646566676869707172737475767778798081828384858687888990919293949596979899100101102[[#This Row],[Total]]*-1,0)</f>
        <v>0</v>
      </c>
      <c r="J32" s="309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117</v>
      </c>
      <c r="I33" s="309">
        <f>IF(T_T13411121314151617181920212223242526272829303132333536373839404142434445464748495051525354555657585960616263646566676869707172737475767778798081828384858687888990919293949596979899100101102[[#This Row],[Total]]&lt;0,T_T13411121314151617181920212223242526272829303132333536373839404142434445464748495051525354555657585960616263646566676869707172737475767778798081828384858687888990919293949596979899100101102[[#This Row],[Total]]*-1,0)</f>
        <v>0</v>
      </c>
      <c r="J33" s="309"/>
    </row>
    <row r="34" spans="1:10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117</v>
      </c>
      <c r="I34" s="309">
        <f>IF(T_T13411121314151617181920212223242526272829303132333536373839404142434445464748495051525354555657585960616263646566676869707172737475767778798081828384858687888990919293949596979899100101102[[#This Row],[Total]]&lt;0,T_T13411121314151617181920212223242526272829303132333536373839404142434445464748495051525354555657585960616263646566676869707172737475767778798081828384858687888990919293949596979899100101102[[#This Row],[Total]]*-1,0)</f>
        <v>0</v>
      </c>
      <c r="J34" s="309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117</v>
      </c>
      <c r="I35" s="309">
        <f>IF(T_T13411121314151617181920212223242526272829303132333536373839404142434445464748495051525354555657585960616263646566676869707172737475767778798081828384858687888990919293949596979899100101102[[#This Row],[Total]]&lt;0,T_T13411121314151617181920212223242526272829303132333536373839404142434445464748495051525354555657585960616263646566676869707172737475767778798081828384858687888990919293949596979899100101102[[#This Row],[Total]]*-1,0)</f>
        <v>0</v>
      </c>
      <c r="J35" s="309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117</v>
      </c>
      <c r="I36" s="309">
        <f>IF(T_T13411121314151617181920212223242526272829303132333536373839404142434445464748495051525354555657585960616263646566676869707172737475767778798081828384858687888990919293949596979899100101102[[#This Row],[Total]]&lt;0,T_T13411121314151617181920212223242526272829303132333536373839404142434445464748495051525354555657585960616263646566676869707172737475767778798081828384858687888990919293949596979899100101102[[#This Row],[Total]]*-1,0)</f>
        <v>0</v>
      </c>
      <c r="J36" s="309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117</v>
      </c>
      <c r="I37" s="309">
        <f>IF(T_T13411121314151617181920212223242526272829303132333536373839404142434445464748495051525354555657585960616263646566676869707172737475767778798081828384858687888990919293949596979899100101102[[#This Row],[Total]]&lt;0,T_T13411121314151617181920212223242526272829303132333536373839404142434445464748495051525354555657585960616263646566676869707172737475767778798081828384858687888990919293949596979899100101102[[#This Row],[Total]]*-1,0)</f>
        <v>0</v>
      </c>
      <c r="J37" s="309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117</v>
      </c>
      <c r="I38" s="311">
        <f>IF(T_T13411121314151617181920212223242526272829303132333536373839404142434445464748495051525354555657585960616263646566676869707172737475767778798081828384858687888990919293949596979899100101102[[#This Row],[Total]]&lt;0,T_T13411121314151617181920212223242526272829303132333536373839404142434445464748495051525354555657585960616263646566676869707172737475767778798081828384858687888990919293949596979899100101102[[#This Row],[Total]]*-1,0)</f>
        <v>0</v>
      </c>
      <c r="J38" s="311"/>
    </row>
    <row r="39" spans="1:10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117</v>
      </c>
      <c r="I39" s="353">
        <f>IF(T_T13411121314151617181920212223242526272829303132333536373839404142434445464748495051525354555657585960616263646566676869707172737475767778798081828384858687888990919293949596979899100101102[[#This Row],[Total]]&lt;0,T_T13411121314151617181920212223242526272829303132333536373839404142434445464748495051525354555657585960616263646566676869707172737475767778798081828384858687888990919293949596979899100101102[[#This Row],[Total]]*-1,0)</f>
        <v>0</v>
      </c>
      <c r="J39" s="353"/>
    </row>
    <row r="40" spans="1:10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117</v>
      </c>
      <c r="I40" s="353">
        <f>IF(T_T13411121314151617181920212223242526272829303132333536373839404142434445464748495051525354555657585960616263646566676869707172737475767778798081828384858687888990919293949596979899100101102[[#This Row],[Total]]&lt;0,T_T13411121314151617181920212223242526272829303132333536373839404142434445464748495051525354555657585960616263646566676869707172737475767778798081828384858687888990919293949596979899100101102[[#This Row],[Total]]*-1,0)</f>
        <v>0</v>
      </c>
      <c r="J40" s="353"/>
    </row>
  </sheetData>
  <hyperlinks>
    <hyperlink ref="B7" r:id="rId1" display="jose.orozco@outlook.com"/>
    <hyperlink ref="H7" location="Resumen!A1" display="Rsumen         "/>
  </hyperlinks>
  <pageMargins left="0.70866141732283472" right="0.21" top="0.35" bottom="0.74803149606299213" header="0.31496062992125984" footer="0.31496062992125984"/>
  <pageSetup scale="60" orientation="portrait" verticalDpi="360" r:id="rId2"/>
  <drawing r:id="rId3"/>
  <tableParts count="1">
    <tablePart r:id="rId4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N38"/>
  <sheetViews>
    <sheetView showGridLines="0" zoomScale="98" zoomScaleNormal="98" workbookViewId="0">
      <selection activeCell="E21" sqref="E21"/>
    </sheetView>
  </sheetViews>
  <sheetFormatPr baseColWidth="10" defaultColWidth="9.109375" defaultRowHeight="14.4" x14ac:dyDescent="0.3"/>
  <cols>
    <col min="1" max="1" width="14.6640625" customWidth="1"/>
    <col min="2" max="2" width="33.5546875" customWidth="1"/>
    <col min="3" max="3" width="10.33203125" style="4" customWidth="1"/>
    <col min="4" max="4" width="11.88671875" style="1" customWidth="1"/>
    <col min="5" max="5" width="10" style="1" customWidth="1"/>
    <col min="6" max="6" width="6.5546875" style="1" customWidth="1"/>
    <col min="7" max="7" width="10.6640625" style="1" customWidth="1"/>
    <col min="8" max="8" width="12.109375" style="1" customWidth="1"/>
    <col min="9" max="9" width="0.44140625" customWidth="1"/>
    <col min="10" max="10" width="22.44140625" customWidth="1"/>
    <col min="14" max="14" width="10.6640625" bestFit="1" customWidth="1"/>
    <col min="15" max="15" width="14.88671875" customWidth="1"/>
  </cols>
  <sheetData>
    <row r="2" spans="1:14" ht="15" customHeight="1" x14ac:dyDescent="0.3">
      <c r="A2" s="27" t="s">
        <v>36</v>
      </c>
      <c r="B2" s="41" t="s">
        <v>151</v>
      </c>
    </row>
    <row r="3" spans="1:14" hidden="1" x14ac:dyDescent="0.3">
      <c r="A3" s="27" t="s">
        <v>31</v>
      </c>
      <c r="B3" s="28" t="e">
        <f>LOOKUP(B2,#REF!,#REF!)</f>
        <v>#REF!</v>
      </c>
    </row>
    <row r="4" spans="1:14" hidden="1" x14ac:dyDescent="0.3">
      <c r="A4" s="27" t="s">
        <v>32</v>
      </c>
      <c r="B4" s="28" t="e">
        <f>LOOKUP(B2,#REF!,#REF!)</f>
        <v>#REF!</v>
      </c>
    </row>
    <row r="5" spans="1:14" hidden="1" x14ac:dyDescent="0.3">
      <c r="A5" s="27" t="s">
        <v>33</v>
      </c>
      <c r="B5" s="28" t="e">
        <f>LOOKUP(B2,#REF!,#REF!)</f>
        <v>#REF!</v>
      </c>
    </row>
    <row r="6" spans="1:14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4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4" x14ac:dyDescent="0.3">
      <c r="A8" s="21"/>
      <c r="B8" s="21" t="s">
        <v>682</v>
      </c>
    </row>
    <row r="9" spans="1:14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69" t="s">
        <v>188</v>
      </c>
    </row>
    <row r="10" spans="1:14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IF(T_T13411121314151617181920212223242526272829303132333536373839404142434445464748495051525354555657585960616263646566676869707172737475767778798081828384858687888990919293949596979899100101102103[[#This Row],[Total]]&lt;0,T_T13411121314151617181920212223242526272829303132333536373839404142434445464748495051525354555657585960616263646566676869707172737475767778798081828384858687888990919293949596979899100101102103[[#This Row],[Total]]*-1,0)</f>
        <v>0</v>
      </c>
      <c r="J10" s="68"/>
      <c r="N10" s="178"/>
    </row>
    <row r="11" spans="1:14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IF(T_T13411121314151617181920212223242526272829303132333536373839404142434445464748495051525354555657585960616263646566676869707172737475767778798081828384858687888990919293949596979899100101102103[[#This Row],[Total]]&lt;0,T_T13411121314151617181920212223242526272829303132333536373839404142434445464748495051525354555657585960616263646566676869707172737475767778798081828384858687888990919293949596979899100101102103[[#This Row],[Total]]*-1,0)</f>
        <v>0</v>
      </c>
      <c r="J11" s="240"/>
    </row>
    <row r="12" spans="1:14" x14ac:dyDescent="0.3">
      <c r="A12" s="117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IF(T_T13411121314151617181920212223242526272829303132333536373839404142434445464748495051525354555657585960616263646566676869707172737475767778798081828384858687888990919293949596979899100101102103[[#This Row],[Total]]&lt;0,T_T13411121314151617181920212223242526272829303132333536373839404142434445464748495051525354555657585960616263646566676869707172737475767778798081828384858687888990919293949596979899100101102103[[#This Row],[Total]]*-1,0)</f>
        <v>0</v>
      </c>
      <c r="J12" s="430"/>
    </row>
    <row r="13" spans="1:14" x14ac:dyDescent="0.3">
      <c r="A13" s="17">
        <v>46052</v>
      </c>
      <c r="B13" s="18" t="s">
        <v>590</v>
      </c>
      <c r="C13" s="6"/>
      <c r="D13" s="2">
        <v>311</v>
      </c>
      <c r="E13" s="2">
        <v>1</v>
      </c>
      <c r="F13" s="20"/>
      <c r="G13" s="20">
        <f>SUM(D13:F13)</f>
        <v>312</v>
      </c>
      <c r="H13" s="233">
        <f>+H12+T_T13411121314151617181920212223242526272829303132333536373839404142434445464748495051525354555657585960616263646566676869707172737475767778798081828384858687888990919293949596979899100101102103[[#This Row],[Total]]</f>
        <v>312</v>
      </c>
      <c r="I13" s="240">
        <f>IF(T_T13411121314151617181920212223242526272829303132333536373839404142434445464748495051525354555657585960616263646566676869707172737475767778798081828384858687888990919293949596979899100101102103[[#This Row],[Total]]&lt;0,T_T13411121314151617181920212223242526272829303132333536373839404142434445464748495051525354555657585960616263646566676869707172737475767778798081828384858687888990919293949596979899100101102103[[#This Row],[Total]]*-1,0)</f>
        <v>0</v>
      </c>
      <c r="J13" s="240"/>
    </row>
    <row r="14" spans="1:14" x14ac:dyDescent="0.3">
      <c r="A14" s="17"/>
      <c r="B14" s="18" t="s">
        <v>591</v>
      </c>
      <c r="C14" s="6">
        <v>8539</v>
      </c>
      <c r="D14" s="2">
        <v>-311</v>
      </c>
      <c r="E14" s="2">
        <v>-1</v>
      </c>
      <c r="F14" s="230"/>
      <c r="G14" s="230">
        <f t="shared" ref="G14:G36" si="0">SUM(D14:F14)</f>
        <v>-312</v>
      </c>
      <c r="H14" s="233">
        <f t="shared" ref="H14:H38" si="1">H13+G14</f>
        <v>0</v>
      </c>
      <c r="I14" s="239"/>
      <c r="J14" s="239"/>
    </row>
    <row r="15" spans="1:14" x14ac:dyDescent="0.3">
      <c r="A15" s="164">
        <v>45715</v>
      </c>
      <c r="B15" s="161" t="s">
        <v>532</v>
      </c>
      <c r="C15" s="6"/>
      <c r="D15" s="2">
        <v>311</v>
      </c>
      <c r="E15" s="2">
        <v>17</v>
      </c>
      <c r="F15" s="230"/>
      <c r="G15" s="230">
        <f t="shared" si="0"/>
        <v>328</v>
      </c>
      <c r="H15" s="233">
        <f t="shared" si="1"/>
        <v>328</v>
      </c>
      <c r="I15" s="240">
        <f>IF(T_T13411121314151617181920212223242526272829303132333536373839404142434445464748495051525354555657585960616263646566676869707172737475767778798081828384858687888990919293949596979899100101102103[[#This Row],[Total]]&lt;0,T_T13411121314151617181920212223242526272829303132333536373839404142434445464748495051525354555657585960616263646566676869707172737475767778798081828384858687888990919293949596979899100101102103[[#This Row],[Total]]*-1,0)</f>
        <v>0</v>
      </c>
      <c r="J15" s="240"/>
    </row>
    <row r="16" spans="1:14" x14ac:dyDescent="0.3">
      <c r="A16" s="187"/>
      <c r="B16" s="18" t="s">
        <v>533</v>
      </c>
      <c r="C16" s="6">
        <v>8692</v>
      </c>
      <c r="D16" s="2">
        <v>-311</v>
      </c>
      <c r="E16" s="2">
        <v>-17</v>
      </c>
      <c r="F16" s="230"/>
      <c r="G16" s="230">
        <f t="shared" si="0"/>
        <v>-328</v>
      </c>
      <c r="H16" s="233">
        <f t="shared" si="1"/>
        <v>0</v>
      </c>
      <c r="I16" s="240">
        <f>IF(T_T13411121314151617181920212223242526272829303132333536373839404142434445464748495051525354555657585960616263646566676869707172737475767778798081828384858687888990919293949596979899100101102103[[#This Row],[Total]]&lt;0,T_T13411121314151617181920212223242526272829303132333536373839404142434445464748495051525354555657585960616263646566676869707172737475767778798081828384858687888990919293949596979899100101102103[[#This Row],[Total]]*-1,0)</f>
        <v>328</v>
      </c>
      <c r="J16" s="240"/>
    </row>
    <row r="17" spans="1:10" x14ac:dyDescent="0.3">
      <c r="A17" s="188">
        <v>45747</v>
      </c>
      <c r="B17" s="3" t="s">
        <v>534</v>
      </c>
      <c r="C17" s="6"/>
      <c r="D17" s="2">
        <v>355</v>
      </c>
      <c r="E17" s="2"/>
      <c r="F17" s="230"/>
      <c r="G17" s="230">
        <f t="shared" si="0"/>
        <v>355</v>
      </c>
      <c r="H17" s="233">
        <f t="shared" si="1"/>
        <v>355</v>
      </c>
      <c r="I17" s="240">
        <f>IF(T_T13411121314151617181920212223242526272829303132333536373839404142434445464748495051525354555657585960616263646566676869707172737475767778798081828384858687888990919293949596979899100101102103[[#This Row],[Total]]&lt;0,T_T13411121314151617181920212223242526272829303132333536373839404142434445464748495051525354555657585960616263646566676869707172737475767778798081828384858687888990919293949596979899100101102103[[#This Row],[Total]]*-1,0)</f>
        <v>0</v>
      </c>
      <c r="J17" s="240"/>
    </row>
    <row r="18" spans="1:10" x14ac:dyDescent="0.3">
      <c r="A18" s="188"/>
      <c r="B18" s="82" t="s">
        <v>535</v>
      </c>
      <c r="C18" s="6">
        <v>8839</v>
      </c>
      <c r="D18" s="2">
        <v>-355</v>
      </c>
      <c r="E18" s="2"/>
      <c r="F18" s="230"/>
      <c r="G18" s="230">
        <f t="shared" si="0"/>
        <v>-355</v>
      </c>
      <c r="H18" s="233">
        <f t="shared" si="1"/>
        <v>0</v>
      </c>
      <c r="I18" s="239">
        <f>IF(T_T13411121314151617181920212223242526272829303132333536373839404142434445464748495051525354555657585960616263646566676869707172737475767778798081828384858687888990919293949596979899100101102103[[#This Row],[Total]]&lt;0,T_T13411121314151617181920212223242526272829303132333536373839404142434445464748495051525354555657585960616263646566676869707172737475767778798081828384858687888990919293949596979899100101102103[[#This Row],[Total]]*-1,0)</f>
        <v>355</v>
      </c>
      <c r="J18" s="239"/>
    </row>
    <row r="19" spans="1:10" x14ac:dyDescent="0.3">
      <c r="A19" s="188">
        <v>45777</v>
      </c>
      <c r="B19" s="3" t="s">
        <v>536</v>
      </c>
      <c r="C19" s="6"/>
      <c r="D19" s="2">
        <v>355</v>
      </c>
      <c r="E19" s="2">
        <v>1</v>
      </c>
      <c r="F19" s="230"/>
      <c r="G19" s="230">
        <f t="shared" si="0"/>
        <v>356</v>
      </c>
      <c r="H19" s="233">
        <f t="shared" si="1"/>
        <v>356</v>
      </c>
      <c r="I19" s="309">
        <f>IF(T_T13411121314151617181920212223242526272829303132333536373839404142434445464748495051525354555657585960616263646566676869707172737475767778798081828384858687888990919293949596979899100101102103[[#This Row],[Total]]&lt;0,T_T13411121314151617181920212223242526272829303132333536373839404142434445464748495051525354555657585960616263646566676869707172737475767778798081828384858687888990919293949596979899100101102103[[#This Row],[Total]]*-1,0)</f>
        <v>0</v>
      </c>
      <c r="J19" s="309"/>
    </row>
    <row r="20" spans="1:10" x14ac:dyDescent="0.3">
      <c r="A20" s="83"/>
      <c r="B20" s="82" t="s">
        <v>537</v>
      </c>
      <c r="C20" s="6"/>
      <c r="D20" s="2"/>
      <c r="E20" s="2"/>
      <c r="F20" s="230"/>
      <c r="G20" s="230">
        <f t="shared" si="0"/>
        <v>0</v>
      </c>
      <c r="H20" s="233">
        <f t="shared" si="1"/>
        <v>356</v>
      </c>
      <c r="I20" s="309">
        <f>IF(T_T13411121314151617181920212223242526272829303132333536373839404142434445464748495051525354555657585960616263646566676869707172737475767778798081828384858687888990919293949596979899100101102103[[#This Row],[Total]]&lt;0,T_T13411121314151617181920212223242526272829303132333536373839404142434445464748495051525354555657585960616263646566676869707172737475767778798081828384858687888990919293949596979899100101102103[[#This Row],[Total]]*-1,0)</f>
        <v>0</v>
      </c>
      <c r="J20" s="309"/>
    </row>
    <row r="21" spans="1:10" x14ac:dyDescent="0.3">
      <c r="A21" s="40">
        <v>45807</v>
      </c>
      <c r="B21" s="3" t="s">
        <v>538</v>
      </c>
      <c r="C21" s="229"/>
      <c r="D21" s="230">
        <v>355</v>
      </c>
      <c r="E21" s="230"/>
      <c r="F21" s="230"/>
      <c r="G21" s="230">
        <f t="shared" si="0"/>
        <v>355</v>
      </c>
      <c r="H21" s="233">
        <f t="shared" si="1"/>
        <v>711</v>
      </c>
      <c r="I21" s="309">
        <f>IF(T_T13411121314151617181920212223242526272829303132333536373839404142434445464748495051525354555657585960616263646566676869707172737475767778798081828384858687888990919293949596979899100101102103[[#This Row],[Total]]&lt;0,T_T13411121314151617181920212223242526272829303132333536373839404142434445464748495051525354555657585960616263646566676869707172737475767778798081828384858687888990919293949596979899100101102103[[#This Row],[Total]]*-1,0)</f>
        <v>0</v>
      </c>
      <c r="J21" s="309"/>
    </row>
    <row r="22" spans="1:10" x14ac:dyDescent="0.3">
      <c r="A22" s="9"/>
      <c r="B22" s="18" t="s">
        <v>539</v>
      </c>
      <c r="C22" s="6"/>
      <c r="D22" s="230"/>
      <c r="E22" s="230"/>
      <c r="F22" s="230"/>
      <c r="G22" s="230">
        <f t="shared" si="0"/>
        <v>0</v>
      </c>
      <c r="H22" s="233">
        <f t="shared" si="1"/>
        <v>711</v>
      </c>
      <c r="I22" s="311">
        <f>IF(T_T13411121314151617181920212223242526272829303132333536373839404142434445464748495051525354555657585960616263646566676869707172737475767778798081828384858687888990919293949596979899100101102103[[#This Row],[Total]]&lt;0,T_T13411121314151617181920212223242526272829303132333536373839404142434445464748495051525354555657585960616263646566676869707172737475767778798081828384858687888990919293949596979899100101102103[[#This Row],[Total]]*-1,0)</f>
        <v>0</v>
      </c>
      <c r="J22" s="311"/>
    </row>
    <row r="23" spans="1:10" x14ac:dyDescent="0.3">
      <c r="A23" s="9">
        <v>45838</v>
      </c>
      <c r="B23" s="3" t="s">
        <v>540</v>
      </c>
      <c r="C23" s="229"/>
      <c r="D23" s="230"/>
      <c r="E23" s="230"/>
      <c r="F23" s="230"/>
      <c r="G23" s="230">
        <f t="shared" si="0"/>
        <v>0</v>
      </c>
      <c r="H23" s="233">
        <f t="shared" si="1"/>
        <v>711</v>
      </c>
      <c r="I23" s="309">
        <f>IF(T_T13411121314151617181920212223242526272829303132333536373839404142434445464748495051525354555657585960616263646566676869707172737475767778798081828384858687888990919293949596979899100101102103[[#This Row],[Total]]&lt;0,T_T13411121314151617181920212223242526272829303132333536373839404142434445464748495051525354555657585960616263646566676869707172737475767778798081828384858687888990919293949596979899100101102103[[#This Row],[Total]]*-1,0)</f>
        <v>0</v>
      </c>
      <c r="J23" s="309"/>
    </row>
    <row r="24" spans="1:10" x14ac:dyDescent="0.3">
      <c r="A24" s="9"/>
      <c r="B24" s="18" t="s">
        <v>541</v>
      </c>
      <c r="C24" s="6"/>
      <c r="D24" s="230"/>
      <c r="E24" s="230"/>
      <c r="F24" s="230"/>
      <c r="G24" s="230">
        <f t="shared" si="0"/>
        <v>0</v>
      </c>
      <c r="H24" s="233">
        <f t="shared" si="1"/>
        <v>711</v>
      </c>
      <c r="I24" s="309">
        <f>IF(T_T13411121314151617181920212223242526272829303132333536373839404142434445464748495051525354555657585960616263646566676869707172737475767778798081828384858687888990919293949596979899100101102103[[#This Row],[Total]]&lt;0,T_T13411121314151617181920212223242526272829303132333536373839404142434445464748495051525354555657585960616263646566676869707172737475767778798081828384858687888990919293949596979899100101102103[[#This Row],[Total]]*-1,0)</f>
        <v>0</v>
      </c>
      <c r="J24" s="309"/>
    </row>
    <row r="25" spans="1:10" x14ac:dyDescent="0.3">
      <c r="A25" s="107">
        <v>45868</v>
      </c>
      <c r="B25" s="82" t="s">
        <v>542</v>
      </c>
      <c r="C25" s="229"/>
      <c r="D25" s="230"/>
      <c r="E25" s="230"/>
      <c r="F25" s="230"/>
      <c r="G25" s="230">
        <f t="shared" si="0"/>
        <v>0</v>
      </c>
      <c r="H25" s="233">
        <f t="shared" si="1"/>
        <v>711</v>
      </c>
      <c r="I25" s="309">
        <f>IF(T_T13411121314151617181920212223242526272829303132333536373839404142434445464748495051525354555657585960616263646566676869707172737475767778798081828384858687888990919293949596979899100101102103[[#This Row],[Total]]&lt;0,T_T13411121314151617181920212223242526272829303132333536373839404142434445464748495051525354555657585960616263646566676869707172737475767778798081828384858687888990919293949596979899100101102103[[#This Row],[Total]]*-1,0)</f>
        <v>0</v>
      </c>
      <c r="J25" s="309"/>
    </row>
    <row r="26" spans="1:10" x14ac:dyDescent="0.3">
      <c r="A26" s="107"/>
      <c r="B26" s="82" t="s">
        <v>543</v>
      </c>
      <c r="C26" s="6"/>
      <c r="D26" s="230"/>
      <c r="E26" s="230"/>
      <c r="F26" s="230"/>
      <c r="G26" s="230">
        <f t="shared" si="0"/>
        <v>0</v>
      </c>
      <c r="H26" s="233">
        <f t="shared" si="1"/>
        <v>711</v>
      </c>
      <c r="I26" s="311">
        <f>IF(T_T13411121314151617181920212223242526272829303132333536373839404142434445464748495051525354555657585960616263646566676869707172737475767778798081828384858687888990919293949596979899100101102103[[#This Row],[Total]]&lt;0,T_T13411121314151617181920212223242526272829303132333536373839404142434445464748495051525354555657585960616263646566676869707172737475767778798081828384858687888990919293949596979899100101102103[[#This Row],[Total]]*-1,0)</f>
        <v>0</v>
      </c>
      <c r="J26" s="311"/>
    </row>
    <row r="27" spans="1:10" x14ac:dyDescent="0.3">
      <c r="A27" s="107">
        <v>45899</v>
      </c>
      <c r="B27" s="82" t="s">
        <v>544</v>
      </c>
      <c r="C27" s="229"/>
      <c r="D27" s="230"/>
      <c r="E27" s="230"/>
      <c r="F27" s="230"/>
      <c r="G27" s="230">
        <f t="shared" si="0"/>
        <v>0</v>
      </c>
      <c r="H27" s="233">
        <f t="shared" si="1"/>
        <v>711</v>
      </c>
      <c r="I27" s="309">
        <f>IF(T_T13411121314151617181920212223242526272829303132333536373839404142434445464748495051525354555657585960616263646566676869707172737475767778798081828384858687888990919293949596979899100101102103[[#This Row],[Total]]&lt;0,T_T13411121314151617181920212223242526272829303132333536373839404142434445464748495051525354555657585960616263646566676869707172737475767778798081828384858687888990919293949596979899100101102103[[#This Row],[Total]]*-1,0)</f>
        <v>0</v>
      </c>
      <c r="J27" s="309"/>
    </row>
    <row r="28" spans="1:10" x14ac:dyDescent="0.3">
      <c r="A28" s="107"/>
      <c r="B28" s="82" t="s">
        <v>545</v>
      </c>
      <c r="C28" s="6"/>
      <c r="D28" s="230"/>
      <c r="E28" s="230"/>
      <c r="F28" s="230"/>
      <c r="G28" s="230">
        <f t="shared" si="0"/>
        <v>0</v>
      </c>
      <c r="H28" s="233">
        <f t="shared" si="1"/>
        <v>711</v>
      </c>
      <c r="I28" s="309">
        <f>IF(T_T13411121314151617181920212223242526272829303132333536373839404142434445464748495051525354555657585960616263646566676869707172737475767778798081828384858687888990919293949596979899100101102103[[#This Row],[Total]]&lt;0,T_T13411121314151617181920212223242526272829303132333536373839404142434445464748495051525354555657585960616263646566676869707172737475767778798081828384858687888990919293949596979899100101102103[[#This Row],[Total]]*-1,0)</f>
        <v>0</v>
      </c>
      <c r="J28" s="309"/>
    </row>
    <row r="29" spans="1:10" x14ac:dyDescent="0.3">
      <c r="A29" s="9">
        <v>45930</v>
      </c>
      <c r="B29" s="3" t="s">
        <v>546</v>
      </c>
      <c r="C29" s="229"/>
      <c r="D29" s="230"/>
      <c r="E29" s="230"/>
      <c r="F29" s="230"/>
      <c r="G29" s="230">
        <f t="shared" si="0"/>
        <v>0</v>
      </c>
      <c r="H29" s="233">
        <f t="shared" si="1"/>
        <v>711</v>
      </c>
      <c r="I29" s="309">
        <f>IF(T_T13411121314151617181920212223242526272829303132333536373839404142434445464748495051525354555657585960616263646566676869707172737475767778798081828384858687888990919293949596979899100101102103[[#This Row],[Total]]&lt;0,T_T13411121314151617181920212223242526272829303132333536373839404142434445464748495051525354555657585960616263646566676869707172737475767778798081828384858687888990919293949596979899100101102103[[#This Row],[Total]]*-1,0)</f>
        <v>0</v>
      </c>
      <c r="J29" s="309"/>
    </row>
    <row r="30" spans="1:10" x14ac:dyDescent="0.3">
      <c r="A30" s="9"/>
      <c r="B30" s="3" t="s">
        <v>547</v>
      </c>
      <c r="C30" s="6"/>
      <c r="D30" s="230"/>
      <c r="E30" s="230"/>
      <c r="F30" s="230"/>
      <c r="G30" s="230">
        <f t="shared" si="0"/>
        <v>0</v>
      </c>
      <c r="H30" s="233">
        <f t="shared" si="1"/>
        <v>711</v>
      </c>
      <c r="I30" s="309">
        <f>IF(T_T13411121314151617181920212223242526272829303132333536373839404142434445464748495051525354555657585960616263646566676869707172737475767778798081828384858687888990919293949596979899100101102103[[#This Row],[Total]]&lt;0,T_T13411121314151617181920212223242526272829303132333536373839404142434445464748495051525354555657585960616263646566676869707172737475767778798081828384858687888990919293949596979899100101102103[[#This Row],[Total]]*-1,0)</f>
        <v>0</v>
      </c>
      <c r="J30" s="309"/>
    </row>
    <row r="31" spans="1:10" x14ac:dyDescent="0.3">
      <c r="A31" s="9">
        <v>45960</v>
      </c>
      <c r="B31" s="3" t="s">
        <v>548</v>
      </c>
      <c r="C31" s="229"/>
      <c r="D31" s="230"/>
      <c r="E31" s="230"/>
      <c r="F31" s="230"/>
      <c r="G31" s="230">
        <f t="shared" si="0"/>
        <v>0</v>
      </c>
      <c r="H31" s="233">
        <f t="shared" si="1"/>
        <v>711</v>
      </c>
      <c r="I31" s="309">
        <f>IF(T_T13411121314151617181920212223242526272829303132333536373839404142434445464748495051525354555657585960616263646566676869707172737475767778798081828384858687888990919293949596979899100101102103[[#This Row],[Total]]&lt;0,T_T13411121314151617181920212223242526272829303132333536373839404142434445464748495051525354555657585960616263646566676869707172737475767778798081828384858687888990919293949596979899100101102103[[#This Row],[Total]]*-1,0)</f>
        <v>0</v>
      </c>
      <c r="J31" s="309"/>
    </row>
    <row r="32" spans="1:10" x14ac:dyDescent="0.3">
      <c r="A32" s="9"/>
      <c r="B32" s="3" t="s">
        <v>549</v>
      </c>
      <c r="C32" s="229"/>
      <c r="D32" s="230"/>
      <c r="E32" s="230"/>
      <c r="F32" s="230"/>
      <c r="G32" s="230">
        <f t="shared" si="0"/>
        <v>0</v>
      </c>
      <c r="H32" s="233">
        <f t="shared" si="1"/>
        <v>711</v>
      </c>
      <c r="I32" s="309">
        <f>IF(T_T13411121314151617181920212223242526272829303132333536373839404142434445464748495051525354555657585960616263646566676869707172737475767778798081828384858687888990919293949596979899100101102103[[#This Row],[Total]]&lt;0,T_T13411121314151617181920212223242526272829303132333536373839404142434445464748495051525354555657585960616263646566676869707172737475767778798081828384858687888990919293949596979899100101102103[[#This Row],[Total]]*-1,0)</f>
        <v>0</v>
      </c>
      <c r="J32" s="309"/>
    </row>
    <row r="33" spans="1:10" x14ac:dyDescent="0.3">
      <c r="A33" s="9">
        <v>45991</v>
      </c>
      <c r="B33" s="3" t="s">
        <v>550</v>
      </c>
      <c r="C33" s="229"/>
      <c r="D33" s="230"/>
      <c r="E33" s="230"/>
      <c r="F33" s="230"/>
      <c r="G33" s="230">
        <f>SUM(D33:F33)</f>
        <v>0</v>
      </c>
      <c r="H33" s="233">
        <f>H32+G33</f>
        <v>711</v>
      </c>
      <c r="I33" s="309">
        <f>IF(T_T13411121314151617181920212223242526272829303132333536373839404142434445464748495051525354555657585960616263646566676869707172737475767778798081828384858687888990919293949596979899100101102103[[#This Row],[Total]]&lt;0,T_T13411121314151617181920212223242526272829303132333536373839404142434445464748495051525354555657585960616263646566676869707172737475767778798081828384858687888990919293949596979899100101102103[[#This Row],[Total]]*-1,0)</f>
        <v>0</v>
      </c>
      <c r="J33" s="309"/>
    </row>
    <row r="34" spans="1:10" x14ac:dyDescent="0.3">
      <c r="A34" s="17"/>
      <c r="B34" s="18" t="s">
        <v>551</v>
      </c>
      <c r="C34" s="229"/>
      <c r="D34" s="230"/>
      <c r="E34" s="230"/>
      <c r="F34" s="230"/>
      <c r="G34" s="230">
        <f t="shared" si="0"/>
        <v>0</v>
      </c>
      <c r="H34" s="233">
        <f t="shared" si="1"/>
        <v>711</v>
      </c>
      <c r="I34" s="311">
        <f>IF(T_T13411121314151617181920212223242526272829303132333536373839404142434445464748495051525354555657585960616263646566676869707172737475767778798081828384858687888990919293949596979899100101102103[[#This Row],[Total]]&lt;0,T_T13411121314151617181920212223242526272829303132333536373839404142434445464748495051525354555657585960616263646566676869707172737475767778798081828384858687888990919293949596979899100101102103[[#This Row],[Total]]*-1,0)</f>
        <v>0</v>
      </c>
      <c r="J34" s="311"/>
    </row>
    <row r="35" spans="1:10" x14ac:dyDescent="0.3">
      <c r="A35" s="188">
        <v>46021</v>
      </c>
      <c r="B35" s="3" t="s">
        <v>552</v>
      </c>
      <c r="C35" s="229"/>
      <c r="D35" s="230"/>
      <c r="E35" s="230"/>
      <c r="F35" s="230"/>
      <c r="G35" s="230">
        <f t="shared" si="0"/>
        <v>0</v>
      </c>
      <c r="H35" s="233">
        <f t="shared" si="1"/>
        <v>711</v>
      </c>
      <c r="I35" s="353">
        <f>IF(T_T13411121314151617181920212223242526272829303132333536373839404142434445464748495051525354555657585960616263646566676869707172737475767778798081828384858687888990919293949596979899100101102103[[#This Row],[Total]]&lt;0,T_T13411121314151617181920212223242526272829303132333536373839404142434445464748495051525354555657585960616263646566676869707172737475767778798081828384858687888990919293949596979899100101102103[[#This Row],[Total]]*-1,0)</f>
        <v>0</v>
      </c>
      <c r="J35" s="353"/>
    </row>
    <row r="36" spans="1:10" x14ac:dyDescent="0.3">
      <c r="A36" s="257"/>
      <c r="B36" s="110" t="s">
        <v>553</v>
      </c>
      <c r="C36" s="229"/>
      <c r="D36" s="230"/>
      <c r="E36" s="230"/>
      <c r="F36" s="230"/>
      <c r="G36" s="230">
        <f t="shared" si="0"/>
        <v>0</v>
      </c>
      <c r="H36" s="233">
        <f t="shared" si="1"/>
        <v>711</v>
      </c>
      <c r="I36" s="353">
        <f>IF(T_T13411121314151617181920212223242526272829303132333536373839404142434445464748495051525354555657585960616263646566676869707172737475767778798081828384858687888990919293949596979899100101102103[[#This Row],[Total]]&lt;0,T_T13411121314151617181920212223242526272829303132333536373839404142434445464748495051525354555657585960616263646566676869707172737475767778798081828384858687888990919293949596979899100101102103[[#This Row],[Total]]*-1,0)</f>
        <v>0</v>
      </c>
      <c r="J36" s="353"/>
    </row>
    <row r="37" spans="1:10" x14ac:dyDescent="0.3">
      <c r="A37" s="107"/>
      <c r="B37" s="82" t="s">
        <v>583</v>
      </c>
      <c r="C37" s="229"/>
      <c r="D37" s="230"/>
      <c r="E37" s="230"/>
      <c r="F37" s="230"/>
      <c r="G37" s="230">
        <f>+T_T13411121314151617181920212223242526272829303132333536373839404142434445464748495051525354555657585960616263646566676869707172737475767778798081828384858687888990919293949596979899100101102103[[#This Row],[Expensas]]+T_T13411121314151617181920212223242526272829303132333536373839404142434445464748495051525354555657585960616263646566676869707172737475767778798081828384858687888990919293949596979899100101102103[[#This Row],[Agua]]+T_T13411121314151617181920212223242526272829303132333536373839404142434445464748495051525354555657585960616263646566676869707172737475767778798081828384858687888990919293949596979899100101102103[[#This Row],[Multa]]</f>
        <v>0</v>
      </c>
      <c r="H37" s="233">
        <f>H36+G37</f>
        <v>711</v>
      </c>
      <c r="I37" s="353">
        <f>IF(T_T13411121314151617181920212223242526272829303132333536373839404142434445464748495051525354555657585960616263646566676869707172737475767778798081828384858687888990919293949596979899100101102103[[#This Row],[Total]]&lt;0,T_T13411121314151617181920212223242526272829303132333536373839404142434445464748495051525354555657585960616263646566676869707172737475767778798081828384858687888990919293949596979899100101102103[[#This Row],[Total]]*-1,0)</f>
        <v>0</v>
      </c>
      <c r="J37" s="353"/>
    </row>
    <row r="38" spans="1:10" x14ac:dyDescent="0.3">
      <c r="A38" s="107"/>
      <c r="B38" s="82"/>
      <c r="C38" s="229"/>
      <c r="D38" s="230">
        <v>-300</v>
      </c>
      <c r="E38" s="230"/>
      <c r="F38" s="230"/>
      <c r="G38" s="230">
        <f>SUM(D38:F45)</f>
        <v>-300</v>
      </c>
      <c r="H38" s="233">
        <f t="shared" si="1"/>
        <v>411</v>
      </c>
      <c r="I38" s="353">
        <f>IF(T_T13411121314151617181920212223242526272829303132333536373839404142434445464748495051525354555657585960616263646566676869707172737475767778798081828384858687888990919293949596979899100101102103[[#This Row],[Total]]&lt;0,T_T13411121314151617181920212223242526272829303132333536373839404142434445464748495051525354555657585960616263646566676869707172737475767778798081828384858687888990919293949596979899100101102103[[#This Row],[Total]]*-1,0)</f>
        <v>300</v>
      </c>
      <c r="J38" s="353"/>
    </row>
  </sheetData>
  <hyperlinks>
    <hyperlink ref="B7" r:id="rId1" display="jose.orozco@outlook.com"/>
    <hyperlink ref="H7" location="Resumen!A1" display="Rsumen         "/>
  </hyperlinks>
  <pageMargins left="1.22" right="0.59055118110236227" top="0.35433070866141736" bottom="0.35433070866141736" header="0.31496062992125984" footer="0.31496062992125984"/>
  <pageSetup scale="66" orientation="portrait" verticalDpi="360" r:id="rId2"/>
  <drawing r:id="rId3"/>
  <tableParts count="1">
    <tablePart r:id="rId4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M40"/>
  <sheetViews>
    <sheetView showGridLines="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0.6640625" bestFit="1" customWidth="1"/>
    <col min="14" max="14" width="15.88671875" customWidth="1"/>
  </cols>
  <sheetData>
    <row r="2" spans="1:13" ht="15" customHeight="1" x14ac:dyDescent="0.3">
      <c r="A2" s="27" t="s">
        <v>36</v>
      </c>
      <c r="B2" s="41" t="s">
        <v>152</v>
      </c>
    </row>
    <row r="3" spans="1:13" hidden="1" x14ac:dyDescent="0.3">
      <c r="A3" s="27" t="s">
        <v>31</v>
      </c>
      <c r="B3" s="28" t="e">
        <f>LOOKUP(B2,#REF!,#REF!)</f>
        <v>#REF!</v>
      </c>
    </row>
    <row r="4" spans="1:13" hidden="1" x14ac:dyDescent="0.3">
      <c r="A4" s="27" t="s">
        <v>32</v>
      </c>
      <c r="B4" s="28" t="e">
        <f>LOOKUP(B2,#REF!,#REF!)</f>
        <v>#REF!</v>
      </c>
    </row>
    <row r="5" spans="1:13" hidden="1" x14ac:dyDescent="0.3">
      <c r="A5" s="27" t="s">
        <v>33</v>
      </c>
      <c r="B5" s="28" t="e">
        <f>LOOKUP(B2,#REF!,#REF!)</f>
        <v>#REF!</v>
      </c>
    </row>
    <row r="6" spans="1:13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3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3" x14ac:dyDescent="0.3">
      <c r="A8" s="21"/>
      <c r="B8" s="21" t="s">
        <v>220</v>
      </c>
    </row>
    <row r="9" spans="1:13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13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IF(T_T13411121314151617181920212223242526272829303132333536373839404142434445464748495051525354555657585960616263646566676869707172737475767778798081828384858687888990919293949596979899100101102103104[[#This Row],[Total]]&lt;0,T_T13411121314151617181920212223242526272829303132333536373839404142434445464748495051525354555657585960616263646566676869707172737475767778798081828384858687888990919293949596979899100101102103104[[#This Row],[Total]]*-1,0)</f>
        <v>0</v>
      </c>
      <c r="M10" s="178"/>
    </row>
    <row r="11" spans="1:13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IF(T_T13411121314151617181920212223242526272829303132333536373839404142434445464748495051525354555657585960616263646566676869707172737475767778798081828384858687888990919293949596979899100101102103104[[#This Row],[Total]]&lt;0,T_T13411121314151617181920212223242526272829303132333536373839404142434445464748495051525354555657585960616263646566676869707172737475767778798081828384858687888990919293949596979899100101102103104[[#This Row],[Total]]*-1,0)</f>
        <v>0</v>
      </c>
    </row>
    <row r="12" spans="1:13" x14ac:dyDescent="0.3">
      <c r="A12" s="117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IF(T_T13411121314151617181920212223242526272829303132333536373839404142434445464748495051525354555657585960616263646566676869707172737475767778798081828384858687888990919293949596979899100101102103104[[#This Row],[Total]]&lt;0,T_T13411121314151617181920212223242526272829303132333536373839404142434445464748495051525354555657585960616263646566676869707172737475767778798081828384858687888990919293949596979899100101102103104[[#This Row],[Total]]*-1,0)</f>
        <v>0</v>
      </c>
    </row>
    <row r="13" spans="1:13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IF(T_T13411121314151617181920212223242526272829303132333536373839404142434445464748495051525354555657585960616263646566676869707172737475767778798081828384858687888990919293949596979899100101102103104[[#This Row],[Total]]&lt;0,T_T13411121314151617181920212223242526272829303132333536373839404142434445464748495051525354555657585960616263646566676869707172737475767778798081828384858687888990919293949596979899100101102103104[[#This Row],[Total]]*-1,0)</f>
        <v>0</v>
      </c>
    </row>
    <row r="14" spans="1:13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IF(T_T13411121314151617181920212223242526272829303132333536373839404142434445464748495051525354555657585960616263646566676869707172737475767778798081828384858687888990919293949596979899100101102103104[[#This Row],[Total]]&lt;0,T_T13411121314151617181920212223242526272829303132333536373839404142434445464748495051525354555657585960616263646566676869707172737475767778798081828384858687888990919293949596979899100101102103104[[#This Row],[Total]]*-1,0)</f>
        <v>0</v>
      </c>
    </row>
    <row r="15" spans="1:13" x14ac:dyDescent="0.3">
      <c r="A15" s="17">
        <v>45687</v>
      </c>
      <c r="B15" s="18" t="s">
        <v>530</v>
      </c>
      <c r="C15" s="6"/>
      <c r="D15" s="2">
        <v>349</v>
      </c>
      <c r="E15" s="2">
        <v>43</v>
      </c>
      <c r="F15" s="20"/>
      <c r="G15" s="20">
        <f>SUM(D15:F15)</f>
        <v>392</v>
      </c>
      <c r="H15" s="233">
        <f>+H13+T_T13411121314151617181920212223242526272829303132333536373839404142434445464748495051525354555657585960616263646566676869707172737475767778798081828384858687888990919293949596979899100101102103104[[#This Row],[Total]]</f>
        <v>392</v>
      </c>
      <c r="I15" s="240">
        <f>IF(T_T13411121314151617181920212223242526272829303132333536373839404142434445464748495051525354555657585960616263646566676869707172737475767778798081828384858687888990919293949596979899100101102103104[[#This Row],[Total]]&lt;0,T_T13411121314151617181920212223242526272829303132333536373839404142434445464748495051525354555657585960616263646566676869707172737475767778798081828384858687888990919293949596979899100101102103104[[#This Row],[Total]]*-1,0)</f>
        <v>0</v>
      </c>
    </row>
    <row r="16" spans="1:13" x14ac:dyDescent="0.3">
      <c r="A16" s="17"/>
      <c r="B16" s="18" t="s">
        <v>531</v>
      </c>
      <c r="C16" s="6">
        <v>8592</v>
      </c>
      <c r="D16" s="2">
        <v>-349</v>
      </c>
      <c r="E16" s="2">
        <v>-43</v>
      </c>
      <c r="F16" s="230"/>
      <c r="G16" s="230">
        <f t="shared" ref="G16:G38" si="0">SUM(D16:F16)</f>
        <v>-392</v>
      </c>
      <c r="H16" s="233">
        <f t="shared" ref="H16:H40" si="1">H15+G16</f>
        <v>0</v>
      </c>
      <c r="I16" s="239">
        <f>IF(T_T13411121314151617181920212223242526272829303132333536373839404142434445464748495051525354555657585960616263646566676869707172737475767778798081828384858687888990919293949596979899100101102103104[[#This Row],[Total]]&lt;0,T_T13411121314151617181920212223242526272829303132333536373839404142434445464748495051525354555657585960616263646566676869707172737475767778798081828384858687888990919293949596979899100101102103104[[#This Row],[Total]]*-1,0)</f>
        <v>392</v>
      </c>
    </row>
    <row r="17" spans="1:9" x14ac:dyDescent="0.3">
      <c r="A17" s="164">
        <v>45715</v>
      </c>
      <c r="B17" s="161" t="s">
        <v>532</v>
      </c>
      <c r="C17" s="6"/>
      <c r="D17" s="2">
        <v>349</v>
      </c>
      <c r="E17" s="2">
        <v>37</v>
      </c>
      <c r="F17" s="230"/>
      <c r="G17" s="230">
        <f t="shared" si="0"/>
        <v>386</v>
      </c>
      <c r="H17" s="233">
        <f t="shared" si="1"/>
        <v>386</v>
      </c>
      <c r="I17" s="240">
        <f>IF(T_T13411121314151617181920212223242526272829303132333536373839404142434445464748495051525354555657585960616263646566676869707172737475767778798081828384858687888990919293949596979899100101102103104[[#This Row],[Total]]&lt;0,T_T13411121314151617181920212223242526272829303132333536373839404142434445464748495051525354555657585960616263646566676869707172737475767778798081828384858687888990919293949596979899100101102103104[[#This Row],[Total]]*-1,0)</f>
        <v>0</v>
      </c>
    </row>
    <row r="18" spans="1:9" x14ac:dyDescent="0.3">
      <c r="A18" s="187"/>
      <c r="B18" s="18" t="s">
        <v>533</v>
      </c>
      <c r="C18" s="6">
        <v>8755</v>
      </c>
      <c r="D18" s="2">
        <v>-349</v>
      </c>
      <c r="E18" s="2">
        <v>-37</v>
      </c>
      <c r="F18" s="230"/>
      <c r="G18" s="230">
        <f t="shared" si="0"/>
        <v>-386</v>
      </c>
      <c r="H18" s="233">
        <f t="shared" si="1"/>
        <v>0</v>
      </c>
      <c r="I18" s="240">
        <f>IF(T_T13411121314151617181920212223242526272829303132333536373839404142434445464748495051525354555657585960616263646566676869707172737475767778798081828384858687888990919293949596979899100101102103104[[#This Row],[Total]]&lt;0,T_T13411121314151617181920212223242526272829303132333536373839404142434445464748495051525354555657585960616263646566676869707172737475767778798081828384858687888990919293949596979899100101102103104[[#This Row],[Total]]*-1,0)</f>
        <v>386</v>
      </c>
    </row>
    <row r="19" spans="1:9" x14ac:dyDescent="0.3">
      <c r="A19" s="188">
        <v>45747</v>
      </c>
      <c r="B19" s="3" t="s">
        <v>534</v>
      </c>
      <c r="C19" s="6"/>
      <c r="D19" s="2">
        <f>355+30+13</f>
        <v>398</v>
      </c>
      <c r="E19" s="2">
        <v>37</v>
      </c>
      <c r="F19" s="230"/>
      <c r="G19" s="230">
        <f t="shared" si="0"/>
        <v>435</v>
      </c>
      <c r="H19" s="233">
        <f t="shared" si="1"/>
        <v>435</v>
      </c>
      <c r="I19" s="240">
        <f>IF(T_T13411121314151617181920212223242526272829303132333536373839404142434445464748495051525354555657585960616263646566676869707172737475767778798081828384858687888990919293949596979899100101102103104[[#This Row],[Total]]&lt;0,T_T13411121314151617181920212223242526272829303132333536373839404142434445464748495051525354555657585960616263646566676869707172737475767778798081828384858687888990919293949596979899100101102103104[[#This Row],[Total]]*-1,0)</f>
        <v>0</v>
      </c>
    </row>
    <row r="20" spans="1:9" x14ac:dyDescent="0.3">
      <c r="A20" s="188"/>
      <c r="B20" s="82" t="s">
        <v>535</v>
      </c>
      <c r="C20" s="6">
        <v>8831</v>
      </c>
      <c r="D20" s="2">
        <v>-398</v>
      </c>
      <c r="E20" s="2">
        <v>-37</v>
      </c>
      <c r="F20" s="230"/>
      <c r="G20" s="230">
        <f t="shared" si="0"/>
        <v>-435</v>
      </c>
      <c r="H20" s="233">
        <f t="shared" si="1"/>
        <v>0</v>
      </c>
      <c r="I20" s="239">
        <f>IF(T_T13411121314151617181920212223242526272829303132333536373839404142434445464748495051525354555657585960616263646566676869707172737475767778798081828384858687888990919293949596979899100101102103104[[#This Row],[Total]]&lt;0,T_T13411121314151617181920212223242526272829303132333536373839404142434445464748495051525354555657585960616263646566676869707172737475767778798081828384858687888990919293949596979899100101102103104[[#This Row],[Total]]*-1,0)</f>
        <v>435</v>
      </c>
    </row>
    <row r="21" spans="1:9" x14ac:dyDescent="0.3">
      <c r="A21" s="188">
        <v>45777</v>
      </c>
      <c r="B21" s="3" t="s">
        <v>536</v>
      </c>
      <c r="C21" s="6"/>
      <c r="D21" s="2">
        <v>398</v>
      </c>
      <c r="E21" s="2">
        <v>44</v>
      </c>
      <c r="F21" s="230"/>
      <c r="G21" s="230">
        <f t="shared" si="0"/>
        <v>442</v>
      </c>
      <c r="H21" s="233">
        <f t="shared" si="1"/>
        <v>442</v>
      </c>
      <c r="I21" s="309">
        <f>IF(T_T13411121314151617181920212223242526272829303132333536373839404142434445464748495051525354555657585960616263646566676869707172737475767778798081828384858687888990919293949596979899100101102103104[[#This Row],[Total]]&lt;0,T_T13411121314151617181920212223242526272829303132333536373839404142434445464748495051525354555657585960616263646566676869707172737475767778798081828384858687888990919293949596979899100101102103104[[#This Row],[Total]]*-1,0)</f>
        <v>0</v>
      </c>
    </row>
    <row r="22" spans="1:9" x14ac:dyDescent="0.3">
      <c r="A22" s="83"/>
      <c r="B22" s="82" t="s">
        <v>537</v>
      </c>
      <c r="C22" s="6">
        <v>8910</v>
      </c>
      <c r="D22" s="2">
        <f>-355-30-13</f>
        <v>-398</v>
      </c>
      <c r="E22" s="2">
        <v>-44</v>
      </c>
      <c r="F22" s="230"/>
      <c r="G22" s="230">
        <f t="shared" si="0"/>
        <v>-442</v>
      </c>
      <c r="H22" s="233">
        <f t="shared" si="1"/>
        <v>0</v>
      </c>
      <c r="I22" s="309">
        <f>IF(T_T13411121314151617181920212223242526272829303132333536373839404142434445464748495051525354555657585960616263646566676869707172737475767778798081828384858687888990919293949596979899100101102103104[[#This Row],[Total]]&lt;0,T_T13411121314151617181920212223242526272829303132333536373839404142434445464748495051525354555657585960616263646566676869707172737475767778798081828384858687888990919293949596979899100101102103104[[#This Row],[Total]]*-1,0)</f>
        <v>442</v>
      </c>
    </row>
    <row r="23" spans="1:9" x14ac:dyDescent="0.3">
      <c r="A23" s="40" t="s">
        <v>634</v>
      </c>
      <c r="B23" s="3" t="s">
        <v>538</v>
      </c>
      <c r="C23" s="229"/>
      <c r="D23" s="230">
        <v>398</v>
      </c>
      <c r="E23" s="230">
        <v>36</v>
      </c>
      <c r="F23" s="230"/>
      <c r="G23" s="230">
        <f t="shared" si="0"/>
        <v>434</v>
      </c>
      <c r="H23" s="233">
        <f t="shared" si="1"/>
        <v>434</v>
      </c>
      <c r="I23" s="309">
        <f>IF(T_T13411121314151617181920212223242526272829303132333536373839404142434445464748495051525354555657585960616263646566676869707172737475767778798081828384858687888990919293949596979899100101102103104[[#This Row],[Total]]&lt;0,T_T13411121314151617181920212223242526272829303132333536373839404142434445464748495051525354555657585960616263646566676869707172737475767778798081828384858687888990919293949596979899100101102103104[[#This Row],[Total]]*-1,0)</f>
        <v>0</v>
      </c>
    </row>
    <row r="24" spans="1:9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434</v>
      </c>
      <c r="I24" s="311">
        <f>IF(T_T13411121314151617181920212223242526272829303132333536373839404142434445464748495051525354555657585960616263646566676869707172737475767778798081828384858687888990919293949596979899100101102103104[[#This Row],[Total]]&lt;0,T_T13411121314151617181920212223242526272829303132333536373839404142434445464748495051525354555657585960616263646566676869707172737475767778798081828384858687888990919293949596979899100101102103104[[#This Row],[Total]]*-1,0)</f>
        <v>0</v>
      </c>
    </row>
    <row r="25" spans="1:9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434</v>
      </c>
      <c r="I25" s="309">
        <f>IF(T_T13411121314151617181920212223242526272829303132333536373839404142434445464748495051525354555657585960616263646566676869707172737475767778798081828384858687888990919293949596979899100101102103104[[#This Row],[Total]]&lt;0,T_T13411121314151617181920212223242526272829303132333536373839404142434445464748495051525354555657585960616263646566676869707172737475767778798081828384858687888990919293949596979899100101102103104[[#This Row],[Total]]*-1,0)</f>
        <v>0</v>
      </c>
    </row>
    <row r="26" spans="1:9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434</v>
      </c>
      <c r="I26" s="309">
        <f>IF(T_T13411121314151617181920212223242526272829303132333536373839404142434445464748495051525354555657585960616263646566676869707172737475767778798081828384858687888990919293949596979899100101102103104[[#This Row],[Total]]&lt;0,T_T13411121314151617181920212223242526272829303132333536373839404142434445464748495051525354555657585960616263646566676869707172737475767778798081828384858687888990919293949596979899100101102103104[[#This Row],[Total]]*-1,0)</f>
        <v>0</v>
      </c>
    </row>
    <row r="27" spans="1:9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434</v>
      </c>
      <c r="I27" s="309">
        <f>IF(T_T13411121314151617181920212223242526272829303132333536373839404142434445464748495051525354555657585960616263646566676869707172737475767778798081828384858687888990919293949596979899100101102103104[[#This Row],[Total]]&lt;0,T_T13411121314151617181920212223242526272829303132333536373839404142434445464748495051525354555657585960616263646566676869707172737475767778798081828384858687888990919293949596979899100101102103104[[#This Row],[Total]]*-1,0)</f>
        <v>0</v>
      </c>
    </row>
    <row r="28" spans="1:9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434</v>
      </c>
      <c r="I28" s="311">
        <f>IF(T_T13411121314151617181920212223242526272829303132333536373839404142434445464748495051525354555657585960616263646566676869707172737475767778798081828384858687888990919293949596979899100101102103104[[#This Row],[Total]]&lt;0,T_T13411121314151617181920212223242526272829303132333536373839404142434445464748495051525354555657585960616263646566676869707172737475767778798081828384858687888990919293949596979899100101102103104[[#This Row],[Total]]*-1,0)</f>
        <v>0</v>
      </c>
    </row>
    <row r="29" spans="1:9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434</v>
      </c>
      <c r="I29" s="309">
        <f>IF(T_T13411121314151617181920212223242526272829303132333536373839404142434445464748495051525354555657585960616263646566676869707172737475767778798081828384858687888990919293949596979899100101102103104[[#This Row],[Total]]&lt;0,T_T13411121314151617181920212223242526272829303132333536373839404142434445464748495051525354555657585960616263646566676869707172737475767778798081828384858687888990919293949596979899100101102103104[[#This Row],[Total]]*-1,0)</f>
        <v>0</v>
      </c>
    </row>
    <row r="30" spans="1:9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434</v>
      </c>
      <c r="I30" s="309">
        <f>IF(T_T13411121314151617181920212223242526272829303132333536373839404142434445464748495051525354555657585960616263646566676869707172737475767778798081828384858687888990919293949596979899100101102103104[[#This Row],[Total]]&lt;0,T_T13411121314151617181920212223242526272829303132333536373839404142434445464748495051525354555657585960616263646566676869707172737475767778798081828384858687888990919293949596979899100101102103104[[#This Row],[Total]]*-1,0)</f>
        <v>0</v>
      </c>
    </row>
    <row r="31" spans="1:9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434</v>
      </c>
      <c r="I31" s="309">
        <f>IF(T_T13411121314151617181920212223242526272829303132333536373839404142434445464748495051525354555657585960616263646566676869707172737475767778798081828384858687888990919293949596979899100101102103104[[#This Row],[Total]]&lt;0,T_T13411121314151617181920212223242526272829303132333536373839404142434445464748495051525354555657585960616263646566676869707172737475767778798081828384858687888990919293949596979899100101102103104[[#This Row],[Total]]*-1,0)</f>
        <v>0</v>
      </c>
    </row>
    <row r="32" spans="1:9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434</v>
      </c>
      <c r="I32" s="309">
        <f>IF(T_T13411121314151617181920212223242526272829303132333536373839404142434445464748495051525354555657585960616263646566676869707172737475767778798081828384858687888990919293949596979899100101102103104[[#This Row],[Total]]&lt;0,T_T13411121314151617181920212223242526272829303132333536373839404142434445464748495051525354555657585960616263646566676869707172737475767778798081828384858687888990919293949596979899100101102103104[[#This Row],[Total]]*-1,0)</f>
        <v>0</v>
      </c>
    </row>
    <row r="33" spans="1:9" x14ac:dyDescent="0.3">
      <c r="A33" s="9">
        <v>45960</v>
      </c>
      <c r="B33" s="3" t="s">
        <v>548</v>
      </c>
      <c r="C33" s="6"/>
      <c r="D33" s="230"/>
      <c r="E33" s="230"/>
      <c r="F33" s="230"/>
      <c r="G33" s="230">
        <f t="shared" si="0"/>
        <v>0</v>
      </c>
      <c r="H33" s="233">
        <f t="shared" si="1"/>
        <v>434</v>
      </c>
      <c r="I33" s="309">
        <f>IF(T_T13411121314151617181920212223242526272829303132333536373839404142434445464748495051525354555657585960616263646566676869707172737475767778798081828384858687888990919293949596979899100101102103104[[#This Row],[Total]]&lt;0,T_T13411121314151617181920212223242526272829303132333536373839404142434445464748495051525354555657585960616263646566676869707172737475767778798081828384858687888990919293949596979899100101102103104[[#This Row],[Total]]*-1,0)</f>
        <v>0</v>
      </c>
    </row>
    <row r="34" spans="1:9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434</v>
      </c>
      <c r="I34" s="309">
        <f>IF(T_T13411121314151617181920212223242526272829303132333536373839404142434445464748495051525354555657585960616263646566676869707172737475767778798081828384858687888990919293949596979899100101102103104[[#This Row],[Total]]&lt;0,T_T13411121314151617181920212223242526272829303132333536373839404142434445464748495051525354555657585960616263646566676869707172737475767778798081828384858687888990919293949596979899100101102103104[[#This Row],[Total]]*-1,0)</f>
        <v>0</v>
      </c>
    </row>
    <row r="35" spans="1:9" x14ac:dyDescent="0.3">
      <c r="A35" s="9">
        <v>45991</v>
      </c>
      <c r="B35" s="3" t="s">
        <v>550</v>
      </c>
      <c r="C35" s="229"/>
      <c r="D35" s="230"/>
      <c r="E35" s="7"/>
      <c r="F35" s="230"/>
      <c r="G35" s="230">
        <f t="shared" si="0"/>
        <v>0</v>
      </c>
      <c r="H35" s="233">
        <f t="shared" si="1"/>
        <v>434</v>
      </c>
      <c r="I35" s="309">
        <f>IF(T_T13411121314151617181920212223242526272829303132333536373839404142434445464748495051525354555657585960616263646566676869707172737475767778798081828384858687888990919293949596979899100101102103104[[#This Row],[Total]]&lt;0,T_T13411121314151617181920212223242526272829303132333536373839404142434445464748495051525354555657585960616263646566676869707172737475767778798081828384858687888990919293949596979899100101102103104[[#This Row],[Total]]*-1,0)</f>
        <v>0</v>
      </c>
    </row>
    <row r="36" spans="1:9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434</v>
      </c>
      <c r="I36" s="311">
        <f>IF(T_T13411121314151617181920212223242526272829303132333536373839404142434445464748495051525354555657585960616263646566676869707172737475767778798081828384858687888990919293949596979899100101102103104[[#This Row],[Total]]&lt;0,T_T13411121314151617181920212223242526272829303132333536373839404142434445464748495051525354555657585960616263646566676869707172737475767778798081828384858687888990919293949596979899100101102103104[[#This Row],[Total]]*-1,0)</f>
        <v>0</v>
      </c>
    </row>
    <row r="37" spans="1:9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434</v>
      </c>
      <c r="I37" s="353">
        <f>IF(T_T13411121314151617181920212223242526272829303132333536373839404142434445464748495051525354555657585960616263646566676869707172737475767778798081828384858687888990919293949596979899100101102103104[[#This Row],[Total]]&lt;0,T_T13411121314151617181920212223242526272829303132333536373839404142434445464748495051525354555657585960616263646566676869707172737475767778798081828384858687888990919293949596979899100101102103104[[#This Row],[Total]]*-1,0)</f>
        <v>0</v>
      </c>
    </row>
    <row r="38" spans="1:9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434</v>
      </c>
      <c r="I38" s="353">
        <f>IF(T_T13411121314151617181920212223242526272829303132333536373839404142434445464748495051525354555657585960616263646566676869707172737475767778798081828384858687888990919293949596979899100101102103104[[#This Row],[Total]]&lt;0,T_T13411121314151617181920212223242526272829303132333536373839404142434445464748495051525354555657585960616263646566676869707172737475767778798081828384858687888990919293949596979899100101102103104[[#This Row],[Total]]*-1,0)</f>
        <v>0</v>
      </c>
    </row>
    <row r="39" spans="1:9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434</v>
      </c>
      <c r="I39" s="353">
        <f>IF(T_T13411121314151617181920212223242526272829303132333536373839404142434445464748495051525354555657585960616263646566676869707172737475767778798081828384858687888990919293949596979899100101102103104[[#This Row],[Total]]&lt;0,T_T13411121314151617181920212223242526272829303132333536373839404142434445464748495051525354555657585960616263646566676869707172737475767778798081828384858687888990919293949596979899100101102103104[[#This Row],[Total]]*-1,0)</f>
        <v>0</v>
      </c>
    </row>
    <row r="40" spans="1:9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434</v>
      </c>
      <c r="I40" s="353">
        <f>IF(T_T13411121314151617181920212223242526272829303132333536373839404142434445464748495051525354555657585960616263646566676869707172737475767778798081828384858687888990919293949596979899100101102103104[[#This Row],[Total]]&lt;0,T_T13411121314151617181920212223242526272829303132333536373839404142434445464748495051525354555657585960616263646566676869707172737475767778798081828384858687888990919293949596979899100101102103104[[#This Row],[Total]]*-1,0)</f>
        <v>0</v>
      </c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orientation="portrait" verticalDpi="360" r:id="rId2"/>
  <drawing r:id="rId3"/>
  <tableParts count="1">
    <tablePart r:id="rId4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L42"/>
  <sheetViews>
    <sheetView showGridLines="0" topLeftCell="A11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</cols>
  <sheetData>
    <row r="2" spans="1:10" ht="15.6" x14ac:dyDescent="0.3">
      <c r="A2" s="27" t="s">
        <v>36</v>
      </c>
      <c r="B2" s="41" t="s">
        <v>153</v>
      </c>
    </row>
    <row r="3" spans="1:10" ht="1.5" customHeight="1" x14ac:dyDescent="0.3">
      <c r="A3" s="27" t="s">
        <v>31</v>
      </c>
      <c r="B3" s="28" t="e">
        <f>LOOKUP(B2,#REF!,#REF!)</f>
        <v>#REF!</v>
      </c>
    </row>
    <row r="4" spans="1:10" hidden="1" x14ac:dyDescent="0.3">
      <c r="A4" s="27" t="s">
        <v>32</v>
      </c>
      <c r="B4" s="28" t="e">
        <f>LOOKUP(B2,#REF!,#REF!)</f>
        <v>#REF!</v>
      </c>
    </row>
    <row r="5" spans="1:10" hidden="1" x14ac:dyDescent="0.3">
      <c r="A5" s="27" t="s">
        <v>33</v>
      </c>
      <c r="B5" s="28" t="e">
        <f>LOOKUP(B2,#REF!,#REF!)</f>
        <v>#REF!</v>
      </c>
    </row>
    <row r="6" spans="1:10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0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0" x14ac:dyDescent="0.3">
      <c r="A8" s="21"/>
      <c r="B8" s="21" t="s">
        <v>321</v>
      </c>
    </row>
    <row r="9" spans="1:10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69" t="s">
        <v>188</v>
      </c>
    </row>
    <row r="10" spans="1:10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IF(T_T13411121314151617181920212223242526272829303132333536373839404142434445464748495051525354555657585960616263646566676869707172737475767778798081828384858687888990919293949596979899100101102103104105[[#This Row],[Total]]&lt;0,T_T13411121314151617181920212223242526272829303132333536373839404142434445464748495051525354555657585960616263646566676869707172737475767778798081828384858687888990919293949596979899100101102103104105[[#This Row],[Total]]*-1,0)</f>
        <v>0</v>
      </c>
      <c r="J10" s="68"/>
    </row>
    <row r="11" spans="1:10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IF(T_T13411121314151617181920212223242526272829303132333536373839404142434445464748495051525354555657585960616263646566676869707172737475767778798081828384858687888990919293949596979899100101102103104105[[#This Row],[Total]]&lt;0,T_T13411121314151617181920212223242526272829303132333536373839404142434445464748495051525354555657585960616263646566676869707172737475767778798081828384858687888990919293949596979899100101102103104105[[#This Row],[Total]]*-1,0)</f>
        <v>0</v>
      </c>
      <c r="J11" s="240"/>
    </row>
    <row r="12" spans="1:10" x14ac:dyDescent="0.3">
      <c r="A12" s="117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IF(T_T13411121314151617181920212223242526272829303132333536373839404142434445464748495051525354555657585960616263646566676869707172737475767778798081828384858687888990919293949596979899100101102103104105[[#This Row],[Total]]&lt;0,T_T13411121314151617181920212223242526272829303132333536373839404142434445464748495051525354555657585960616263646566676869707172737475767778798081828384858687888990919293949596979899100101102103104105[[#This Row],[Total]]*-1,0)</f>
        <v>0</v>
      </c>
      <c r="J12" s="430"/>
    </row>
    <row r="13" spans="1:10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IF(T_T13411121314151617181920212223242526272829303132333536373839404142434445464748495051525354555657585960616263646566676869707172737475767778798081828384858687888990919293949596979899100101102103104105[[#This Row],[Total]]&lt;0,T_T13411121314151617181920212223242526272829303132333536373839404142434445464748495051525354555657585960616263646566676869707172737475767778798081828384858687888990919293949596979899100101102103104105[[#This Row],[Total]]*-1,0)</f>
        <v>0</v>
      </c>
      <c r="J13" s="240"/>
    </row>
    <row r="14" spans="1:10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IF(T_T13411121314151617181920212223242526272829303132333536373839404142434445464748495051525354555657585960616263646566676869707172737475767778798081828384858687888990919293949596979899100101102103104105[[#This Row],[Total]]&lt;0,T_T13411121314151617181920212223242526272829303132333536373839404142434445464748495051525354555657585960616263646566676869707172737475767778798081828384858687888990919293949596979899100101102103104105[[#This Row],[Total]]*-1,0)</f>
        <v>0</v>
      </c>
      <c r="J14" s="473"/>
    </row>
    <row r="15" spans="1:10" x14ac:dyDescent="0.3">
      <c r="A15" s="17">
        <v>46052</v>
      </c>
      <c r="B15" s="18" t="s">
        <v>590</v>
      </c>
      <c r="C15" s="6"/>
      <c r="D15" s="2">
        <v>101</v>
      </c>
      <c r="E15" s="2">
        <v>53</v>
      </c>
      <c r="F15" s="20"/>
      <c r="G15" s="20">
        <f>SUM(D15:F15)</f>
        <v>154</v>
      </c>
      <c r="H15" s="233">
        <f>+H13+T_T13411121314151617181920212223242526272829303132333536373839404142434445464748495051525354555657585960616263646566676869707172737475767778798081828384858687888990919293949596979899100101102103104105[[#This Row],[Total]]</f>
        <v>154</v>
      </c>
      <c r="I15" s="240">
        <f>IF(T_T13411121314151617181920212223242526272829303132333536373839404142434445464748495051525354555657585960616263646566676869707172737475767778798081828384858687888990919293949596979899100101102103104105[[#This Row],[Total]]&lt;0,T_T13411121314151617181920212223242526272829303132333536373839404142434445464748495051525354555657585960616263646566676869707172737475767778798081828384858687888990919293949596979899100101102103104105[[#This Row],[Total]]*-1,0)</f>
        <v>0</v>
      </c>
      <c r="J15" s="240"/>
    </row>
    <row r="16" spans="1:10" x14ac:dyDescent="0.3">
      <c r="A16" s="17"/>
      <c r="B16" s="18" t="s">
        <v>591</v>
      </c>
      <c r="C16" s="6">
        <v>8601</v>
      </c>
      <c r="D16" s="2">
        <v>-101</v>
      </c>
      <c r="E16" s="2">
        <v>-53</v>
      </c>
      <c r="F16" s="230"/>
      <c r="G16" s="230">
        <f t="shared" ref="G16:G40" si="0">SUM(D16:F16)</f>
        <v>-154</v>
      </c>
      <c r="H16" s="233">
        <f t="shared" ref="H16:H42" si="1">H15+G16</f>
        <v>0</v>
      </c>
      <c r="I16" s="239">
        <f>IF(T_T13411121314151617181920212223242526272829303132333536373839404142434445464748495051525354555657585960616263646566676869707172737475767778798081828384858687888990919293949596979899100101102103104105[[#This Row],[Total]]&lt;0,T_T13411121314151617181920212223242526272829303132333536373839404142434445464748495051525354555657585960616263646566676869707172737475767778798081828384858687888990919293949596979899100101102103104105[[#This Row],[Total]]*-1,0)</f>
        <v>154</v>
      </c>
      <c r="J16" s="239"/>
    </row>
    <row r="17" spans="1:12" x14ac:dyDescent="0.3">
      <c r="A17" s="164">
        <v>45715</v>
      </c>
      <c r="B17" s="161" t="s">
        <v>532</v>
      </c>
      <c r="C17" s="6"/>
      <c r="D17" s="2">
        <v>101</v>
      </c>
      <c r="E17" s="2">
        <v>3</v>
      </c>
      <c r="F17" s="230"/>
      <c r="G17" s="230">
        <f t="shared" si="0"/>
        <v>104</v>
      </c>
      <c r="H17" s="233">
        <f t="shared" si="1"/>
        <v>104</v>
      </c>
      <c r="I17" s="240">
        <f>IF(T_T13411121314151617181920212223242526272829303132333536373839404142434445464748495051525354555657585960616263646566676869707172737475767778798081828384858687888990919293949596979899100101102103104105[[#This Row],[Total]]&lt;0,T_T13411121314151617181920212223242526272829303132333536373839404142434445464748495051525354555657585960616263646566676869707172737475767778798081828384858687888990919293949596979899100101102103104105[[#This Row],[Total]]*-1,0)</f>
        <v>0</v>
      </c>
      <c r="J17" s="240"/>
    </row>
    <row r="18" spans="1:12" x14ac:dyDescent="0.3">
      <c r="A18" s="187"/>
      <c r="B18" s="18" t="s">
        <v>533</v>
      </c>
      <c r="C18" s="6">
        <v>8683</v>
      </c>
      <c r="D18" s="2">
        <v>-101</v>
      </c>
      <c r="E18" s="2">
        <v>-3</v>
      </c>
      <c r="F18" s="230"/>
      <c r="G18" s="230">
        <f t="shared" si="0"/>
        <v>-104</v>
      </c>
      <c r="H18" s="233">
        <f t="shared" si="1"/>
        <v>0</v>
      </c>
      <c r="I18" s="240">
        <f>IF(T_T13411121314151617181920212223242526272829303132333536373839404142434445464748495051525354555657585960616263646566676869707172737475767778798081828384858687888990919293949596979899100101102103104105[[#This Row],[Total]]&lt;0,T_T13411121314151617181920212223242526272829303132333536373839404142434445464748495051525354555657585960616263646566676869707172737475767778798081828384858687888990919293949596979899100101102103104105[[#This Row],[Total]]*-1,0)</f>
        <v>104</v>
      </c>
      <c r="J18" s="240"/>
    </row>
    <row r="19" spans="1:12" x14ac:dyDescent="0.3">
      <c r="A19" s="188">
        <v>45747</v>
      </c>
      <c r="B19" s="3" t="s">
        <v>534</v>
      </c>
      <c r="C19" s="6"/>
      <c r="D19" s="2">
        <v>115</v>
      </c>
      <c r="E19" s="2">
        <v>14</v>
      </c>
      <c r="F19" s="230"/>
      <c r="G19" s="230">
        <f t="shared" si="0"/>
        <v>129</v>
      </c>
      <c r="H19" s="233">
        <f t="shared" si="1"/>
        <v>129</v>
      </c>
      <c r="I19" s="240">
        <f>IF(T_T13411121314151617181920212223242526272829303132333536373839404142434445464748495051525354555657585960616263646566676869707172737475767778798081828384858687888990919293949596979899100101102103104105[[#This Row],[Total]]&lt;0,T_T13411121314151617181920212223242526272829303132333536373839404142434445464748495051525354555657585960616263646566676869707172737475767778798081828384858687888990919293949596979899100101102103104105[[#This Row],[Total]]*-1,0)</f>
        <v>0</v>
      </c>
      <c r="J19" s="51" t="s">
        <v>582</v>
      </c>
    </row>
    <row r="20" spans="1:12" x14ac:dyDescent="0.3">
      <c r="A20" s="188"/>
      <c r="B20" s="82" t="s">
        <v>535</v>
      </c>
      <c r="C20" s="6">
        <v>8850</v>
      </c>
      <c r="D20" s="2">
        <v>-115</v>
      </c>
      <c r="E20" s="2">
        <v>-14</v>
      </c>
      <c r="F20" s="230"/>
      <c r="G20" s="230">
        <f t="shared" si="0"/>
        <v>-129</v>
      </c>
      <c r="H20" s="233">
        <f t="shared" si="1"/>
        <v>0</v>
      </c>
      <c r="I20" s="239">
        <f>IF(T_T13411121314151617181920212223242526272829303132333536373839404142434445464748495051525354555657585960616263646566676869707172737475767778798081828384858687888990919293949596979899100101102103104105[[#This Row],[Total]]&lt;0,T_T13411121314151617181920212223242526272829303132333536373839404142434445464748495051525354555657585960616263646566676869707172737475767778798081828384858687888990919293949596979899100101102103104105[[#This Row],[Total]]*-1,0)</f>
        <v>129</v>
      </c>
      <c r="J20" s="239"/>
    </row>
    <row r="21" spans="1:12" x14ac:dyDescent="0.3">
      <c r="A21" s="188">
        <v>45777</v>
      </c>
      <c r="B21" s="3" t="s">
        <v>536</v>
      </c>
      <c r="C21" s="6"/>
      <c r="D21" s="2">
        <v>115</v>
      </c>
      <c r="E21" s="2">
        <v>4</v>
      </c>
      <c r="F21" s="230"/>
      <c r="G21" s="230">
        <f t="shared" si="0"/>
        <v>119</v>
      </c>
      <c r="H21" s="233">
        <f t="shared" si="1"/>
        <v>119</v>
      </c>
      <c r="I21" s="309">
        <f>IF(T_T13411121314151617181920212223242526272829303132333536373839404142434445464748495051525354555657585960616263646566676869707172737475767778798081828384858687888990919293949596979899100101102103104105[[#This Row],[Total]]&lt;0,T_T13411121314151617181920212223242526272829303132333536373839404142434445464748495051525354555657585960616263646566676869707172737475767778798081828384858687888990919293949596979899100101102103104105[[#This Row],[Total]]*-1,0)</f>
        <v>0</v>
      </c>
      <c r="J21" s="309"/>
    </row>
    <row r="22" spans="1:12" x14ac:dyDescent="0.3">
      <c r="A22" s="83"/>
      <c r="B22" s="82" t="s">
        <v>537</v>
      </c>
      <c r="C22" s="6">
        <v>8900</v>
      </c>
      <c r="D22" s="2">
        <v>-115</v>
      </c>
      <c r="E22" s="2">
        <v>-4</v>
      </c>
      <c r="F22" s="230"/>
      <c r="G22" s="230">
        <f t="shared" si="0"/>
        <v>-119</v>
      </c>
      <c r="H22" s="233">
        <f t="shared" si="1"/>
        <v>0</v>
      </c>
      <c r="I22" s="309">
        <f>IF(T_T13411121314151617181920212223242526272829303132333536373839404142434445464748495051525354555657585960616263646566676869707172737475767778798081828384858687888990919293949596979899100101102103104105[[#This Row],[Total]]&lt;0,T_T13411121314151617181920212223242526272829303132333536373839404142434445464748495051525354555657585960616263646566676869707172737475767778798081828384858687888990919293949596979899100101102103104105[[#This Row],[Total]]*-1,0)</f>
        <v>119</v>
      </c>
      <c r="J22" s="309"/>
    </row>
    <row r="23" spans="1:12" x14ac:dyDescent="0.3">
      <c r="A23" s="40">
        <v>45807</v>
      </c>
      <c r="B23" s="3" t="s">
        <v>538</v>
      </c>
      <c r="C23" s="229"/>
      <c r="D23" s="230">
        <v>115</v>
      </c>
      <c r="E23" s="230">
        <v>7</v>
      </c>
      <c r="F23" s="230"/>
      <c r="G23" s="230">
        <f t="shared" si="0"/>
        <v>122</v>
      </c>
      <c r="H23" s="233">
        <f t="shared" si="1"/>
        <v>122</v>
      </c>
      <c r="I23" s="309">
        <f>IF(T_T13411121314151617181920212223242526272829303132333536373839404142434445464748495051525354555657585960616263646566676869707172737475767778798081828384858687888990919293949596979899100101102103104105[[#This Row],[Total]]&lt;0,T_T13411121314151617181920212223242526272829303132333536373839404142434445464748495051525354555657585960616263646566676869707172737475767778798081828384858687888990919293949596979899100101102103104105[[#This Row],[Total]]*-1,0)</f>
        <v>0</v>
      </c>
      <c r="J23" s="309"/>
    </row>
    <row r="24" spans="1:12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122</v>
      </c>
      <c r="I24" s="311">
        <f>IF(T_T13411121314151617181920212223242526272829303132333536373839404142434445464748495051525354555657585960616263646566676869707172737475767778798081828384858687888990919293949596979899100101102103104105[[#This Row],[Total]]&lt;0,T_T13411121314151617181920212223242526272829303132333536373839404142434445464748495051525354555657585960616263646566676869707172737475767778798081828384858687888990919293949596979899100101102103104105[[#This Row],[Total]]*-1,0)</f>
        <v>0</v>
      </c>
      <c r="J24" s="311"/>
      <c r="L24" t="s">
        <v>489</v>
      </c>
    </row>
    <row r="25" spans="1:12" x14ac:dyDescent="0.3">
      <c r="A25" s="9">
        <v>45838</v>
      </c>
      <c r="B25" s="3" t="s">
        <v>540</v>
      </c>
      <c r="C25" s="443"/>
      <c r="D25" s="444"/>
      <c r="E25" s="444"/>
      <c r="F25" s="444"/>
      <c r="G25" s="230">
        <f t="shared" si="0"/>
        <v>0</v>
      </c>
      <c r="H25" s="233">
        <f t="shared" si="1"/>
        <v>122</v>
      </c>
      <c r="I25" s="430">
        <f>IF(T_T13411121314151617181920212223242526272829303132333536373839404142434445464748495051525354555657585960616263646566676869707172737475767778798081828384858687888990919293949596979899100101102103104105[[#This Row],[Total]]&lt;0,T_T13411121314151617181920212223242526272829303132333536373839404142434445464748495051525354555657585960616263646566676869707172737475767778798081828384858687888990919293949596979899100101102103104105[[#This Row],[Total]]*-1,0)</f>
        <v>0</v>
      </c>
      <c r="J25" s="430"/>
    </row>
    <row r="26" spans="1:12" x14ac:dyDescent="0.3">
      <c r="A26" s="9"/>
      <c r="B26" s="18" t="s">
        <v>541</v>
      </c>
      <c r="C26" s="443"/>
      <c r="D26" s="444"/>
      <c r="E26" s="444"/>
      <c r="F26" s="444"/>
      <c r="G26" s="230">
        <f t="shared" si="0"/>
        <v>0</v>
      </c>
      <c r="H26" s="233">
        <f t="shared" si="1"/>
        <v>122</v>
      </c>
      <c r="I26" s="430">
        <f>IF(T_T13411121314151617181920212223242526272829303132333536373839404142434445464748495051525354555657585960616263646566676869707172737475767778798081828384858687888990919293949596979899100101102103104105[[#This Row],[Total]]&lt;0,T_T13411121314151617181920212223242526272829303132333536373839404142434445464748495051525354555657585960616263646566676869707172737475767778798081828384858687888990919293949596979899100101102103104105[[#This Row],[Total]]*-1,0)</f>
        <v>0</v>
      </c>
      <c r="J26" s="430"/>
    </row>
    <row r="27" spans="1:12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122</v>
      </c>
      <c r="I27" s="309">
        <f>IF(T_T13411121314151617181920212223242526272829303132333536373839404142434445464748495051525354555657585960616263646566676869707172737475767778798081828384858687888990919293949596979899100101102103104105[[#This Row],[Total]]&lt;0,T_T13411121314151617181920212223242526272829303132333536373839404142434445464748495051525354555657585960616263646566676869707172737475767778798081828384858687888990919293949596979899100101102103104105[[#This Row],[Total]]*-1,0)</f>
        <v>0</v>
      </c>
      <c r="J27" s="309"/>
    </row>
    <row r="28" spans="1:12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122</v>
      </c>
      <c r="I28" s="309">
        <f>IF(T_T13411121314151617181920212223242526272829303132333536373839404142434445464748495051525354555657585960616263646566676869707172737475767778798081828384858687888990919293949596979899100101102103104105[[#This Row],[Total]]&lt;0,T_T13411121314151617181920212223242526272829303132333536373839404142434445464748495051525354555657585960616263646566676869707172737475767778798081828384858687888990919293949596979899100101102103104105[[#This Row],[Total]]*-1,0)</f>
        <v>0</v>
      </c>
      <c r="J28" s="309"/>
    </row>
    <row r="29" spans="1:12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122</v>
      </c>
      <c r="I29" s="309">
        <f>IF(T_T13411121314151617181920212223242526272829303132333536373839404142434445464748495051525354555657585960616263646566676869707172737475767778798081828384858687888990919293949596979899100101102103104105[[#This Row],[Total]]&lt;0,T_T13411121314151617181920212223242526272829303132333536373839404142434445464748495051525354555657585960616263646566676869707172737475767778798081828384858687888990919293949596979899100101102103104105[[#This Row],[Total]]*-1,0)</f>
        <v>0</v>
      </c>
      <c r="J29" s="309"/>
      <c r="L29" t="s">
        <v>498</v>
      </c>
    </row>
    <row r="30" spans="1:12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122</v>
      </c>
      <c r="I30" s="311">
        <f>IF(T_T13411121314151617181920212223242526272829303132333536373839404142434445464748495051525354555657585960616263646566676869707172737475767778798081828384858687888990919293949596979899100101102103104105[[#This Row],[Total]]&lt;0,T_T13411121314151617181920212223242526272829303132333536373839404142434445464748495051525354555657585960616263646566676869707172737475767778798081828384858687888990919293949596979899100101102103104105[[#This Row],[Total]]*-1,0)</f>
        <v>0</v>
      </c>
      <c r="J30" s="311"/>
    </row>
    <row r="31" spans="1:12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122</v>
      </c>
      <c r="I31" s="309">
        <f>IF(T_T13411121314151617181920212223242526272829303132333536373839404142434445464748495051525354555657585960616263646566676869707172737475767778798081828384858687888990919293949596979899100101102103104105[[#This Row],[Total]]&lt;0,T_T13411121314151617181920212223242526272829303132333536373839404142434445464748495051525354555657585960616263646566676869707172737475767778798081828384858687888990919293949596979899100101102103104105[[#This Row],[Total]]*-1,0)</f>
        <v>0</v>
      </c>
      <c r="J31" s="309"/>
    </row>
    <row r="32" spans="1:12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122</v>
      </c>
      <c r="I32" s="309">
        <f>IF(T_T13411121314151617181920212223242526272829303132333536373839404142434445464748495051525354555657585960616263646566676869707172737475767778798081828384858687888990919293949596979899100101102103104105[[#This Row],[Total]]&lt;0,T_T13411121314151617181920212223242526272829303132333536373839404142434445464748495051525354555657585960616263646566676869707172737475767778798081828384858687888990919293949596979899100101102103104105[[#This Row],[Total]]*-1,0)</f>
        <v>0</v>
      </c>
      <c r="J32" s="309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122</v>
      </c>
      <c r="I33" s="309">
        <f>IF(T_T13411121314151617181920212223242526272829303132333536373839404142434445464748495051525354555657585960616263646566676869707172737475767778798081828384858687888990919293949596979899100101102103104105[[#This Row],[Total]]&lt;0,T_T13411121314151617181920212223242526272829303132333536373839404142434445464748495051525354555657585960616263646566676869707172737475767778798081828384858687888990919293949596979899100101102103104105[[#This Row],[Total]]*-1,0)</f>
        <v>0</v>
      </c>
      <c r="J33" s="309"/>
    </row>
    <row r="34" spans="1:10" x14ac:dyDescent="0.3">
      <c r="A34" s="9"/>
      <c r="B34" s="3" t="s">
        <v>549</v>
      </c>
      <c r="C34" s="6"/>
      <c r="D34" s="230"/>
      <c r="E34" s="230"/>
      <c r="F34" s="230"/>
      <c r="G34" s="230">
        <f t="shared" si="0"/>
        <v>0</v>
      </c>
      <c r="H34" s="233">
        <f t="shared" si="1"/>
        <v>122</v>
      </c>
      <c r="I34" s="309">
        <f>IF(T_T13411121314151617181920212223242526272829303132333536373839404142434445464748495051525354555657585960616263646566676869707172737475767778798081828384858687888990919293949596979899100101102103104105[[#This Row],[Total]]&lt;0,T_T13411121314151617181920212223242526272829303132333536373839404142434445464748495051525354555657585960616263646566676869707172737475767778798081828384858687888990919293949596979899100101102103104105[[#This Row],[Total]]*-1,0)</f>
        <v>0</v>
      </c>
      <c r="J34" s="309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122</v>
      </c>
      <c r="I35" s="309">
        <f>IF(T_T13411121314151617181920212223242526272829303132333536373839404142434445464748495051525354555657585960616263646566676869707172737475767778798081828384858687888990919293949596979899100101102103104105[[#This Row],[Total]]&lt;0,T_T13411121314151617181920212223242526272829303132333536373839404142434445464748495051525354555657585960616263646566676869707172737475767778798081828384858687888990919293949596979899100101102103104105[[#This Row],[Total]]*-1,0)</f>
        <v>0</v>
      </c>
      <c r="J35" s="309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122</v>
      </c>
      <c r="I36" s="309">
        <f>IF(T_T13411121314151617181920212223242526272829303132333536373839404142434445464748495051525354555657585960616263646566676869707172737475767778798081828384858687888990919293949596979899100101102103104105[[#This Row],[Total]]&lt;0,T_T13411121314151617181920212223242526272829303132333536373839404142434445464748495051525354555657585960616263646566676869707172737475767778798081828384858687888990919293949596979899100101102103104105[[#This Row],[Total]]*-1,0)</f>
        <v>0</v>
      </c>
      <c r="J36" s="309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122</v>
      </c>
      <c r="I37" s="309">
        <f>IF(T_T13411121314151617181920212223242526272829303132333536373839404142434445464748495051525354555657585960616263646566676869707172737475767778798081828384858687888990919293949596979899100101102103104105[[#This Row],[Total]]&lt;0,T_T13411121314151617181920212223242526272829303132333536373839404142434445464748495051525354555657585960616263646566676869707172737475767778798081828384858687888990919293949596979899100101102103104105[[#This Row],[Total]]*-1,0)</f>
        <v>0</v>
      </c>
      <c r="J37" s="309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122</v>
      </c>
      <c r="I38" s="311">
        <f>IF(T_T13411121314151617181920212223242526272829303132333536373839404142434445464748495051525354555657585960616263646566676869707172737475767778798081828384858687888990919293949596979899100101102103104105[[#This Row],[Total]]&lt;0,T_T13411121314151617181920212223242526272829303132333536373839404142434445464748495051525354555657585960616263646566676869707172737475767778798081828384858687888990919293949596979899100101102103104105[[#This Row],[Total]]*-1,0)</f>
        <v>0</v>
      </c>
      <c r="J38" s="311"/>
    </row>
    <row r="39" spans="1:10" x14ac:dyDescent="0.3">
      <c r="A39" s="107"/>
      <c r="B39" s="82" t="s">
        <v>583</v>
      </c>
      <c r="C39" s="229"/>
      <c r="D39" s="230"/>
      <c r="E39" s="230"/>
      <c r="F39" s="230"/>
      <c r="G39" s="230">
        <f t="shared" si="0"/>
        <v>0</v>
      </c>
      <c r="H39" s="233">
        <f t="shared" si="1"/>
        <v>122</v>
      </c>
      <c r="I39" s="353">
        <f>IF(T_T13411121314151617181920212223242526272829303132333536373839404142434445464748495051525354555657585960616263646566676869707172737475767778798081828384858687888990919293949596979899100101102103104105[[#This Row],[Total]]&lt;0,T_T13411121314151617181920212223242526272829303132333536373839404142434445464748495051525354555657585960616263646566676869707172737475767778798081828384858687888990919293949596979899100101102103104105[[#This Row],[Total]]*-1,0)</f>
        <v>0</v>
      </c>
      <c r="J39" s="353"/>
    </row>
    <row r="40" spans="1:10" x14ac:dyDescent="0.3">
      <c r="A40" s="107"/>
      <c r="B40" s="82"/>
      <c r="C40" s="229"/>
      <c r="D40" s="230"/>
      <c r="E40" s="230"/>
      <c r="F40" s="230"/>
      <c r="G40" s="230">
        <f t="shared" si="0"/>
        <v>0</v>
      </c>
      <c r="H40" s="233">
        <f t="shared" si="1"/>
        <v>122</v>
      </c>
      <c r="I40" s="353">
        <f>IF(T_T13411121314151617181920212223242526272829303132333536373839404142434445464748495051525354555657585960616263646566676869707172737475767778798081828384858687888990919293949596979899100101102103104105[[#This Row],[Total]]&lt;0,T_T13411121314151617181920212223242526272829303132333536373839404142434445464748495051525354555657585960616263646566676869707172737475767778798081828384858687888990919293949596979899100101102103104105[[#This Row],[Total]]*-1,0)</f>
        <v>0</v>
      </c>
      <c r="J40" s="353"/>
    </row>
    <row r="41" spans="1:10" x14ac:dyDescent="0.3">
      <c r="A41" s="107"/>
      <c r="B41" s="82"/>
      <c r="C41" s="229"/>
      <c r="D41" s="230"/>
      <c r="E41" s="230"/>
      <c r="F41" s="230"/>
      <c r="G41" s="230">
        <f>SUM(D41:F48)</f>
        <v>0</v>
      </c>
      <c r="H41" s="233">
        <f t="shared" si="1"/>
        <v>122</v>
      </c>
      <c r="I41" s="353">
        <f>IF(T_T13411121314151617181920212223242526272829303132333536373839404142434445464748495051525354555657585960616263646566676869707172737475767778798081828384858687888990919293949596979899100101102103104105[[#This Row],[Total]]&lt;0,T_T13411121314151617181920212223242526272829303132333536373839404142434445464748495051525354555657585960616263646566676869707172737475767778798081828384858687888990919293949596979899100101102103104105[[#This Row],[Total]]*-1,0)</f>
        <v>0</v>
      </c>
      <c r="J41" s="353"/>
    </row>
    <row r="42" spans="1:10" x14ac:dyDescent="0.3">
      <c r="A42" s="107"/>
      <c r="B42" s="82"/>
      <c r="C42" s="229"/>
      <c r="D42" s="230"/>
      <c r="E42" s="230"/>
      <c r="F42" s="230"/>
      <c r="G42" s="230">
        <f>SUM(D42:F49)</f>
        <v>0</v>
      </c>
      <c r="H42" s="233">
        <f t="shared" si="1"/>
        <v>122</v>
      </c>
      <c r="I42" s="353">
        <f>IF(T_T13411121314151617181920212223242526272829303132333536373839404142434445464748495051525354555657585960616263646566676869707172737475767778798081828384858687888990919293949596979899100101102103104105[[#This Row],[Total]]&lt;0,T_T13411121314151617181920212223242526272829303132333536373839404142434445464748495051525354555657585960616263646566676869707172737475767778798081828384858687888990919293949596979899100101102103104105[[#This Row],[Total]]*-1,0)</f>
        <v>0</v>
      </c>
      <c r="J42" s="353"/>
    </row>
  </sheetData>
  <hyperlinks>
    <hyperlink ref="B7" r:id="rId1" display="jose.orozco@outlook.com"/>
    <hyperlink ref="H7" location="Resumen!A1" display="Rsumen         "/>
  </hyperlinks>
  <pageMargins left="0.42" right="0.56000000000000005" top="0.74803149606299213" bottom="0.74803149606299213" header="0.31496062992125984" footer="0.31496062992125984"/>
  <pageSetup scale="75" orientation="portrait" verticalDpi="360" r:id="rId2"/>
  <drawing r:id="rId3"/>
  <tableParts count="1">
    <tablePart r:id="rId4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M42"/>
  <sheetViews>
    <sheetView showGridLines="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0.6640625" bestFit="1" customWidth="1"/>
    <col min="14" max="14" width="14.88671875" customWidth="1"/>
  </cols>
  <sheetData>
    <row r="2" spans="1:13" ht="15" customHeight="1" x14ac:dyDescent="0.3">
      <c r="A2" s="27" t="s">
        <v>36</v>
      </c>
      <c r="B2" s="41" t="s">
        <v>154</v>
      </c>
    </row>
    <row r="3" spans="1:13" hidden="1" x14ac:dyDescent="0.3">
      <c r="A3" s="27" t="s">
        <v>31</v>
      </c>
      <c r="B3" s="28" t="e">
        <f>LOOKUP(B2,#REF!,#REF!)</f>
        <v>#REF!</v>
      </c>
    </row>
    <row r="4" spans="1:13" hidden="1" x14ac:dyDescent="0.3">
      <c r="A4" s="27" t="s">
        <v>32</v>
      </c>
      <c r="B4" s="28" t="e">
        <f>LOOKUP(B2,#REF!,#REF!)</f>
        <v>#REF!</v>
      </c>
    </row>
    <row r="5" spans="1:13" hidden="1" x14ac:dyDescent="0.3">
      <c r="A5" s="27" t="s">
        <v>33</v>
      </c>
      <c r="B5" s="28" t="e">
        <f>LOOKUP(B2,#REF!,#REF!)</f>
        <v>#REF!</v>
      </c>
    </row>
    <row r="6" spans="1:13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3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3" x14ac:dyDescent="0.3">
      <c r="A8" s="21"/>
      <c r="B8" s="21" t="s">
        <v>419</v>
      </c>
    </row>
    <row r="9" spans="1:13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13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IF(T_T13411121314151617181920212223242526272829303132333536373839404142434445464748495051525354555657585960616263646566676869707172737475767778798081828384858687888990919293949596979899100101102103104105106[[#This Row],[Total]]&lt;0,T_T13411121314151617181920212223242526272829303132333536373839404142434445464748495051525354555657585960616263646566676869707172737475767778798081828384858687888990919293949596979899100101102103104105106[[#This Row],[Total]]*-1,0)</f>
        <v>0</v>
      </c>
      <c r="M10" s="178"/>
    </row>
    <row r="11" spans="1:13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IF(T_T13411121314151617181920212223242526272829303132333536373839404142434445464748495051525354555657585960616263646566676869707172737475767778798081828384858687888990919293949596979899100101102103104105106[[#This Row],[Total]]&lt;0,T_T13411121314151617181920212223242526272829303132333536373839404142434445464748495051525354555657585960616263646566676869707172737475767778798081828384858687888990919293949596979899100101102103104105106[[#This Row],[Total]]*-1,0)</f>
        <v>0</v>
      </c>
    </row>
    <row r="12" spans="1:13" x14ac:dyDescent="0.3">
      <c r="A12" s="117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IF(T_T13411121314151617181920212223242526272829303132333536373839404142434445464748495051525354555657585960616263646566676869707172737475767778798081828384858687888990919293949596979899100101102103104105106[[#This Row],[Total]]&lt;0,T_T13411121314151617181920212223242526272829303132333536373839404142434445464748495051525354555657585960616263646566676869707172737475767778798081828384858687888990919293949596979899100101102103104105106[[#This Row],[Total]]*-1,0)</f>
        <v>0</v>
      </c>
    </row>
    <row r="13" spans="1:13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IF(T_T13411121314151617181920212223242526272829303132333536373839404142434445464748495051525354555657585960616263646566676869707172737475767778798081828384858687888990919293949596979899100101102103104105106[[#This Row],[Total]]&lt;0,T_T13411121314151617181920212223242526272829303132333536373839404142434445464748495051525354555657585960616263646566676869707172737475767778798081828384858687888990919293949596979899100101102103104105106[[#This Row],[Total]]*-1,0)</f>
        <v>0</v>
      </c>
    </row>
    <row r="14" spans="1:13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IF(T_T13411121314151617181920212223242526272829303132333536373839404142434445464748495051525354555657585960616263646566676869707172737475767778798081828384858687888990919293949596979899100101102103104105106[[#This Row],[Total]]&lt;0,T_T13411121314151617181920212223242526272829303132333536373839404142434445464748495051525354555657585960616263646566676869707172737475767778798081828384858687888990919293949596979899100101102103104105106[[#This Row],[Total]]*-1,0)</f>
        <v>0</v>
      </c>
    </row>
    <row r="15" spans="1:13" x14ac:dyDescent="0.3">
      <c r="A15" s="17">
        <v>46052</v>
      </c>
      <c r="B15" s="18" t="s">
        <v>590</v>
      </c>
      <c r="C15" s="6"/>
      <c r="D15" s="2">
        <v>100</v>
      </c>
      <c r="E15" s="2">
        <v>32</v>
      </c>
      <c r="F15" s="20"/>
      <c r="G15" s="20">
        <f>SUM(D15:F15)</f>
        <v>132</v>
      </c>
      <c r="H15" s="233">
        <f>+H13+T_T13411121314151617181920212223242526272829303132333536373839404142434445464748495051525354555657585960616263646566676869707172737475767778798081828384858687888990919293949596979899100101102103104105106[[#This Row],[Total]]</f>
        <v>132</v>
      </c>
      <c r="I15" s="240">
        <f>IF(T_T13411121314151617181920212223242526272829303132333536373839404142434445464748495051525354555657585960616263646566676869707172737475767778798081828384858687888990919293949596979899100101102103104105106[[#This Row],[Total]]&lt;0,T_T13411121314151617181920212223242526272829303132333536373839404142434445464748495051525354555657585960616263646566676869707172737475767778798081828384858687888990919293949596979899100101102103104105106[[#This Row],[Total]]*-1,0)</f>
        <v>0</v>
      </c>
    </row>
    <row r="16" spans="1:13" x14ac:dyDescent="0.3">
      <c r="A16" s="17"/>
      <c r="B16" s="18" t="s">
        <v>591</v>
      </c>
      <c r="C16" s="6">
        <v>8613</v>
      </c>
      <c r="D16" s="2">
        <v>-100</v>
      </c>
      <c r="E16" s="2">
        <v>-32</v>
      </c>
      <c r="F16" s="230"/>
      <c r="G16" s="230">
        <f t="shared" ref="G16:G40" si="0">SUM(D16:F16)</f>
        <v>-132</v>
      </c>
      <c r="H16" s="233">
        <f t="shared" ref="H16:H42" si="1">H15+G16</f>
        <v>0</v>
      </c>
      <c r="I16" s="239">
        <f>IF(T_T13411121314151617181920212223242526272829303132333536373839404142434445464748495051525354555657585960616263646566676869707172737475767778798081828384858687888990919293949596979899100101102103104105106[[#This Row],[Total]]&lt;0,T_T13411121314151617181920212223242526272829303132333536373839404142434445464748495051525354555657585960616263646566676869707172737475767778798081828384858687888990919293949596979899100101102103104105106[[#This Row],[Total]]*-1,0)</f>
        <v>132</v>
      </c>
    </row>
    <row r="17" spans="1:11" x14ac:dyDescent="0.3">
      <c r="A17" s="164">
        <v>45715</v>
      </c>
      <c r="B17" s="161" t="s">
        <v>532</v>
      </c>
      <c r="C17" s="6"/>
      <c r="D17" s="2">
        <v>100</v>
      </c>
      <c r="E17" s="2">
        <v>14</v>
      </c>
      <c r="F17" s="230"/>
      <c r="G17" s="230">
        <f t="shared" si="0"/>
        <v>114</v>
      </c>
      <c r="H17" s="233">
        <f t="shared" si="1"/>
        <v>114</v>
      </c>
      <c r="I17" s="240">
        <f>IF(T_T13411121314151617181920212223242526272829303132333536373839404142434445464748495051525354555657585960616263646566676869707172737475767778798081828384858687888990919293949596979899100101102103104105106[[#This Row],[Total]]&lt;0,T_T13411121314151617181920212223242526272829303132333536373839404142434445464748495051525354555657585960616263646566676869707172737475767778798081828384858687888990919293949596979899100101102103104105106[[#This Row],[Total]]*-1,0)</f>
        <v>0</v>
      </c>
    </row>
    <row r="18" spans="1:11" x14ac:dyDescent="0.3">
      <c r="A18" s="187"/>
      <c r="B18" s="18" t="s">
        <v>533</v>
      </c>
      <c r="C18" s="6">
        <v>8685</v>
      </c>
      <c r="D18" s="2">
        <v>-100</v>
      </c>
      <c r="E18" s="2">
        <v>-14</v>
      </c>
      <c r="F18" s="230"/>
      <c r="G18" s="230">
        <f t="shared" si="0"/>
        <v>-114</v>
      </c>
      <c r="H18" s="233">
        <f t="shared" si="1"/>
        <v>0</v>
      </c>
      <c r="I18" s="240">
        <f>IF(T_T13411121314151617181920212223242526272829303132333536373839404142434445464748495051525354555657585960616263646566676869707172737475767778798081828384858687888990919293949596979899100101102103104105106[[#This Row],[Total]]&lt;0,T_T13411121314151617181920212223242526272829303132333536373839404142434445464748495051525354555657585960616263646566676869707172737475767778798081828384858687888990919293949596979899100101102103104105106[[#This Row],[Total]]*-1,0)</f>
        <v>114</v>
      </c>
    </row>
    <row r="19" spans="1:11" x14ac:dyDescent="0.3">
      <c r="A19" s="188">
        <v>45747</v>
      </c>
      <c r="B19" s="3" t="s">
        <v>534</v>
      </c>
      <c r="C19" s="6"/>
      <c r="D19" s="2">
        <v>115</v>
      </c>
      <c r="E19" s="2">
        <v>18</v>
      </c>
      <c r="F19" s="230"/>
      <c r="G19" s="230">
        <f t="shared" si="0"/>
        <v>133</v>
      </c>
      <c r="H19" s="233">
        <f t="shared" si="1"/>
        <v>133</v>
      </c>
      <c r="I19" s="240">
        <f>IF(T_T13411121314151617181920212223242526272829303132333536373839404142434445464748495051525354555657585960616263646566676869707172737475767778798081828384858687888990919293949596979899100101102103104105106[[#This Row],[Total]]&lt;0,T_T13411121314151617181920212223242526272829303132333536373839404142434445464748495051525354555657585960616263646566676869707172737475767778798081828384858687888990919293949596979899100101102103104105106[[#This Row],[Total]]*-1,0)</f>
        <v>0</v>
      </c>
      <c r="K19" t="s">
        <v>507</v>
      </c>
    </row>
    <row r="20" spans="1:11" x14ac:dyDescent="0.3">
      <c r="A20" s="188"/>
      <c r="B20" s="82" t="s">
        <v>535</v>
      </c>
      <c r="C20" s="6">
        <v>8858</v>
      </c>
      <c r="D20" s="2">
        <v>-115</v>
      </c>
      <c r="E20" s="2">
        <v>-18</v>
      </c>
      <c r="F20" s="230"/>
      <c r="G20" s="230">
        <f t="shared" si="0"/>
        <v>-133</v>
      </c>
      <c r="H20" s="233">
        <f t="shared" si="1"/>
        <v>0</v>
      </c>
      <c r="I20" s="239">
        <f>IF(T_T13411121314151617181920212223242526272829303132333536373839404142434445464748495051525354555657585960616263646566676869707172737475767778798081828384858687888990919293949596979899100101102103104105106[[#This Row],[Total]]&lt;0,T_T13411121314151617181920212223242526272829303132333536373839404142434445464748495051525354555657585960616263646566676869707172737475767778798081828384858687888990919293949596979899100101102103104105106[[#This Row],[Total]]*-1,0)</f>
        <v>133</v>
      </c>
    </row>
    <row r="21" spans="1:11" x14ac:dyDescent="0.3">
      <c r="A21" s="188">
        <v>45777</v>
      </c>
      <c r="B21" s="3" t="s">
        <v>536</v>
      </c>
      <c r="C21" s="6"/>
      <c r="D21" s="2">
        <v>115</v>
      </c>
      <c r="E21" s="2">
        <v>26</v>
      </c>
      <c r="F21" s="230"/>
      <c r="G21" s="230">
        <f t="shared" si="0"/>
        <v>141</v>
      </c>
      <c r="H21" s="233">
        <f t="shared" si="1"/>
        <v>141</v>
      </c>
      <c r="I21" s="309">
        <f>IF(T_T13411121314151617181920212223242526272829303132333536373839404142434445464748495051525354555657585960616263646566676869707172737475767778798081828384858687888990919293949596979899100101102103104105106[[#This Row],[Total]]&lt;0,T_T13411121314151617181920212223242526272829303132333536373839404142434445464748495051525354555657585960616263646566676869707172737475767778798081828384858687888990919293949596979899100101102103104105106[[#This Row],[Total]]*-1,0)</f>
        <v>0</v>
      </c>
    </row>
    <row r="22" spans="1:11" x14ac:dyDescent="0.3">
      <c r="A22" s="83"/>
      <c r="B22" s="82" t="s">
        <v>537</v>
      </c>
      <c r="C22" s="6">
        <v>8914</v>
      </c>
      <c r="D22" s="2">
        <v>-115</v>
      </c>
      <c r="E22" s="2">
        <v>-26</v>
      </c>
      <c r="F22" s="230"/>
      <c r="G22" s="230">
        <f t="shared" si="0"/>
        <v>-141</v>
      </c>
      <c r="H22" s="233">
        <f t="shared" si="1"/>
        <v>0</v>
      </c>
      <c r="I22" s="309">
        <f>IF(T_T13411121314151617181920212223242526272829303132333536373839404142434445464748495051525354555657585960616263646566676869707172737475767778798081828384858687888990919293949596979899100101102103104105106[[#This Row],[Total]]&lt;0,T_T13411121314151617181920212223242526272829303132333536373839404142434445464748495051525354555657585960616263646566676869707172737475767778798081828384858687888990919293949596979899100101102103104105106[[#This Row],[Total]]*-1,0)</f>
        <v>141</v>
      </c>
    </row>
    <row r="23" spans="1:11" x14ac:dyDescent="0.3">
      <c r="A23" s="40">
        <v>45807</v>
      </c>
      <c r="B23" s="3" t="s">
        <v>538</v>
      </c>
      <c r="C23" s="229"/>
      <c r="D23" s="230">
        <v>115</v>
      </c>
      <c r="E23" s="230">
        <v>28</v>
      </c>
      <c r="F23" s="230"/>
      <c r="G23" s="230">
        <f t="shared" si="0"/>
        <v>143</v>
      </c>
      <c r="H23" s="233">
        <f t="shared" si="1"/>
        <v>143</v>
      </c>
      <c r="I23" s="309">
        <f>IF(T_T13411121314151617181920212223242526272829303132333536373839404142434445464748495051525354555657585960616263646566676869707172737475767778798081828384858687888990919293949596979899100101102103104105106[[#This Row],[Total]]&lt;0,T_T13411121314151617181920212223242526272829303132333536373839404142434445464748495051525354555657585960616263646566676869707172737475767778798081828384858687888990919293949596979899100101102103104105106[[#This Row],[Total]]*-1,0)</f>
        <v>0</v>
      </c>
    </row>
    <row r="24" spans="1:11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143</v>
      </c>
      <c r="I24" s="311">
        <f>IF(T_T13411121314151617181920212223242526272829303132333536373839404142434445464748495051525354555657585960616263646566676869707172737475767778798081828384858687888990919293949596979899100101102103104105106[[#This Row],[Total]]&lt;0,T_T13411121314151617181920212223242526272829303132333536373839404142434445464748495051525354555657585960616263646566676869707172737475767778798081828384858687888990919293949596979899100101102103104105106[[#This Row],[Total]]*-1,0)</f>
        <v>0</v>
      </c>
    </row>
    <row r="25" spans="1:11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143</v>
      </c>
      <c r="I25" s="309">
        <f>IF(T_T13411121314151617181920212223242526272829303132333536373839404142434445464748495051525354555657585960616263646566676869707172737475767778798081828384858687888990919293949596979899100101102103104105106[[#This Row],[Total]]&lt;0,T_T13411121314151617181920212223242526272829303132333536373839404142434445464748495051525354555657585960616263646566676869707172737475767778798081828384858687888990919293949596979899100101102103104105106[[#This Row],[Total]]*-1,0)</f>
        <v>0</v>
      </c>
    </row>
    <row r="26" spans="1:11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143</v>
      </c>
      <c r="I26" s="309">
        <f>IF(T_T13411121314151617181920212223242526272829303132333536373839404142434445464748495051525354555657585960616263646566676869707172737475767778798081828384858687888990919293949596979899100101102103104105106[[#This Row],[Total]]&lt;0,T_T13411121314151617181920212223242526272829303132333536373839404142434445464748495051525354555657585960616263646566676869707172737475767778798081828384858687888990919293949596979899100101102103104105106[[#This Row],[Total]]*-1,0)</f>
        <v>0</v>
      </c>
    </row>
    <row r="27" spans="1:11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143</v>
      </c>
      <c r="I27" s="309">
        <f>IF(T_T13411121314151617181920212223242526272829303132333536373839404142434445464748495051525354555657585960616263646566676869707172737475767778798081828384858687888990919293949596979899100101102103104105106[[#This Row],[Total]]&lt;0,T_T13411121314151617181920212223242526272829303132333536373839404142434445464748495051525354555657585960616263646566676869707172737475767778798081828384858687888990919293949596979899100101102103104105106[[#This Row],[Total]]*-1,0)</f>
        <v>0</v>
      </c>
    </row>
    <row r="28" spans="1:11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143</v>
      </c>
      <c r="I28" s="311">
        <f>IF(T_T13411121314151617181920212223242526272829303132333536373839404142434445464748495051525354555657585960616263646566676869707172737475767778798081828384858687888990919293949596979899100101102103104105106[[#This Row],[Total]]&lt;0,T_T13411121314151617181920212223242526272829303132333536373839404142434445464748495051525354555657585960616263646566676869707172737475767778798081828384858687888990919293949596979899100101102103104105106[[#This Row],[Total]]*-1,0)</f>
        <v>0</v>
      </c>
    </row>
    <row r="29" spans="1:11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143</v>
      </c>
      <c r="I29" s="309">
        <f>IF(T_T13411121314151617181920212223242526272829303132333536373839404142434445464748495051525354555657585960616263646566676869707172737475767778798081828384858687888990919293949596979899100101102103104105106[[#This Row],[Total]]&lt;0,T_T13411121314151617181920212223242526272829303132333536373839404142434445464748495051525354555657585960616263646566676869707172737475767778798081828384858687888990919293949596979899100101102103104105106[[#This Row],[Total]]*-1,0)</f>
        <v>0</v>
      </c>
    </row>
    <row r="30" spans="1:11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143</v>
      </c>
      <c r="I30" s="309">
        <f>IF(T_T13411121314151617181920212223242526272829303132333536373839404142434445464748495051525354555657585960616263646566676869707172737475767778798081828384858687888990919293949596979899100101102103104105106[[#This Row],[Total]]&lt;0,T_T13411121314151617181920212223242526272829303132333536373839404142434445464748495051525354555657585960616263646566676869707172737475767778798081828384858687888990919293949596979899100101102103104105106[[#This Row],[Total]]*-1,0)</f>
        <v>0</v>
      </c>
    </row>
    <row r="31" spans="1:11" x14ac:dyDescent="0.3">
      <c r="A31" s="9">
        <v>45930</v>
      </c>
      <c r="B31" s="3" t="s">
        <v>546</v>
      </c>
      <c r="C31" s="443"/>
      <c r="D31" s="444"/>
      <c r="E31" s="444"/>
      <c r="F31" s="444"/>
      <c r="G31" s="230">
        <f t="shared" si="0"/>
        <v>0</v>
      </c>
      <c r="H31" s="233">
        <f t="shared" si="1"/>
        <v>143</v>
      </c>
      <c r="I31" s="430">
        <f>IF(T_T13411121314151617181920212223242526272829303132333536373839404142434445464748495051525354555657585960616263646566676869707172737475767778798081828384858687888990919293949596979899100101102103104105106[[#This Row],[Total]]&lt;0,T_T13411121314151617181920212223242526272829303132333536373839404142434445464748495051525354555657585960616263646566676869707172737475767778798081828384858687888990919293949596979899100101102103104105106[[#This Row],[Total]]*-1,0)</f>
        <v>0</v>
      </c>
    </row>
    <row r="32" spans="1:11" x14ac:dyDescent="0.3">
      <c r="A32" s="9"/>
      <c r="B32" s="3" t="s">
        <v>547</v>
      </c>
      <c r="C32" s="443"/>
      <c r="D32" s="444"/>
      <c r="E32" s="444"/>
      <c r="F32" s="444"/>
      <c r="G32" s="230">
        <f t="shared" si="0"/>
        <v>0</v>
      </c>
      <c r="H32" s="233">
        <f t="shared" si="1"/>
        <v>143</v>
      </c>
      <c r="I32" s="430">
        <f>IF(T_T13411121314151617181920212223242526272829303132333536373839404142434445464748495051525354555657585960616263646566676869707172737475767778798081828384858687888990919293949596979899100101102103104105106[[#This Row],[Total]]&lt;0,T_T13411121314151617181920212223242526272829303132333536373839404142434445464748495051525354555657585960616263646566676869707172737475767778798081828384858687888990919293949596979899100101102103104105106[[#This Row],[Total]]*-1,0)</f>
        <v>0</v>
      </c>
    </row>
    <row r="33" spans="1:9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143</v>
      </c>
      <c r="I33" s="309">
        <f>IF(T_T13411121314151617181920212223242526272829303132333536373839404142434445464748495051525354555657585960616263646566676869707172737475767778798081828384858687888990919293949596979899100101102103104105106[[#This Row],[Total]]&lt;0,T_T13411121314151617181920212223242526272829303132333536373839404142434445464748495051525354555657585960616263646566676869707172737475767778798081828384858687888990919293949596979899100101102103104105106[[#This Row],[Total]]*-1,0)</f>
        <v>0</v>
      </c>
    </row>
    <row r="34" spans="1:9" x14ac:dyDescent="0.3">
      <c r="A34" s="9"/>
      <c r="B34" s="3" t="s">
        <v>549</v>
      </c>
      <c r="C34" s="6"/>
      <c r="D34" s="230"/>
      <c r="E34" s="230"/>
      <c r="F34" s="230"/>
      <c r="G34" s="230">
        <f t="shared" si="0"/>
        <v>0</v>
      </c>
      <c r="H34" s="233">
        <f t="shared" si="1"/>
        <v>143</v>
      </c>
      <c r="I34" s="309">
        <f>IF(T_T13411121314151617181920212223242526272829303132333536373839404142434445464748495051525354555657585960616263646566676869707172737475767778798081828384858687888990919293949596979899100101102103104105106[[#This Row],[Total]]&lt;0,T_T13411121314151617181920212223242526272829303132333536373839404142434445464748495051525354555657585960616263646566676869707172737475767778798081828384858687888990919293949596979899100101102103104105106[[#This Row],[Total]]*-1,0)</f>
        <v>0</v>
      </c>
    </row>
    <row r="35" spans="1:9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143</v>
      </c>
      <c r="I35" s="309">
        <f>IF(T_T13411121314151617181920212223242526272829303132333536373839404142434445464748495051525354555657585960616263646566676869707172737475767778798081828384858687888990919293949596979899100101102103104105106[[#This Row],[Total]]&lt;0,T_T13411121314151617181920212223242526272829303132333536373839404142434445464748495051525354555657585960616263646566676869707172737475767778798081828384858687888990919293949596979899100101102103104105106[[#This Row],[Total]]*-1,0)</f>
        <v>0</v>
      </c>
    </row>
    <row r="36" spans="1:9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143</v>
      </c>
      <c r="I36" s="309">
        <f>IF(T_T13411121314151617181920212223242526272829303132333536373839404142434445464748495051525354555657585960616263646566676869707172737475767778798081828384858687888990919293949596979899100101102103104105106[[#This Row],[Total]]&lt;0,T_T13411121314151617181920212223242526272829303132333536373839404142434445464748495051525354555657585960616263646566676869707172737475767778798081828384858687888990919293949596979899100101102103104105106[[#This Row],[Total]]*-1,0)</f>
        <v>0</v>
      </c>
    </row>
    <row r="37" spans="1:9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143</v>
      </c>
      <c r="I37" s="309">
        <f>IF(T_T13411121314151617181920212223242526272829303132333536373839404142434445464748495051525354555657585960616263646566676869707172737475767778798081828384858687888990919293949596979899100101102103104105106[[#This Row],[Total]]&lt;0,T_T13411121314151617181920212223242526272829303132333536373839404142434445464748495051525354555657585960616263646566676869707172737475767778798081828384858687888990919293949596979899100101102103104105106[[#This Row],[Total]]*-1,0)</f>
        <v>0</v>
      </c>
    </row>
    <row r="38" spans="1:9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143</v>
      </c>
      <c r="I38" s="311">
        <f>IF(T_T13411121314151617181920212223242526272829303132333536373839404142434445464748495051525354555657585960616263646566676869707172737475767778798081828384858687888990919293949596979899100101102103104105106[[#This Row],[Total]]&lt;0,T_T13411121314151617181920212223242526272829303132333536373839404142434445464748495051525354555657585960616263646566676869707172737475767778798081828384858687888990919293949596979899100101102103104105106[[#This Row],[Total]]*-1,0)</f>
        <v>0</v>
      </c>
    </row>
    <row r="39" spans="1:9" x14ac:dyDescent="0.3">
      <c r="A39" s="107"/>
      <c r="B39" s="82"/>
      <c r="C39" s="229"/>
      <c r="D39" s="230"/>
      <c r="E39" s="230"/>
      <c r="F39" s="230"/>
      <c r="G39" s="230">
        <f t="shared" si="0"/>
        <v>0</v>
      </c>
      <c r="H39" s="233">
        <f t="shared" si="1"/>
        <v>143</v>
      </c>
      <c r="I39" s="353">
        <f>IF(T_T13411121314151617181920212223242526272829303132333536373839404142434445464748495051525354555657585960616263646566676869707172737475767778798081828384858687888990919293949596979899100101102103104105106[[#This Row],[Total]]&lt;0,T_T13411121314151617181920212223242526272829303132333536373839404142434445464748495051525354555657585960616263646566676869707172737475767778798081828384858687888990919293949596979899100101102103104105106[[#This Row],[Total]]*-1,0)</f>
        <v>0</v>
      </c>
    </row>
    <row r="40" spans="1:9" x14ac:dyDescent="0.3">
      <c r="A40" s="107"/>
      <c r="B40" s="82"/>
      <c r="C40" s="229"/>
      <c r="D40" s="230"/>
      <c r="E40" s="230"/>
      <c r="F40" s="230"/>
      <c r="G40" s="230">
        <f t="shared" si="0"/>
        <v>0</v>
      </c>
      <c r="H40" s="233">
        <f t="shared" si="1"/>
        <v>143</v>
      </c>
      <c r="I40" s="353">
        <f>IF(T_T13411121314151617181920212223242526272829303132333536373839404142434445464748495051525354555657585960616263646566676869707172737475767778798081828384858687888990919293949596979899100101102103104105106[[#This Row],[Total]]&lt;0,T_T13411121314151617181920212223242526272829303132333536373839404142434445464748495051525354555657585960616263646566676869707172737475767778798081828384858687888990919293949596979899100101102103104105106[[#This Row],[Total]]*-1,0)</f>
        <v>0</v>
      </c>
    </row>
    <row r="41" spans="1:9" x14ac:dyDescent="0.3">
      <c r="A41" s="107"/>
      <c r="B41" s="82"/>
      <c r="C41" s="229"/>
      <c r="D41" s="230"/>
      <c r="E41" s="230"/>
      <c r="F41" s="230"/>
      <c r="G41" s="230">
        <f>SUM(D41:F48)</f>
        <v>0</v>
      </c>
      <c r="H41" s="233">
        <f t="shared" si="1"/>
        <v>143</v>
      </c>
      <c r="I41" s="353">
        <f>IF(T_T13411121314151617181920212223242526272829303132333536373839404142434445464748495051525354555657585960616263646566676869707172737475767778798081828384858687888990919293949596979899100101102103104105106[[#This Row],[Total]]&lt;0,T_T13411121314151617181920212223242526272829303132333536373839404142434445464748495051525354555657585960616263646566676869707172737475767778798081828384858687888990919293949596979899100101102103104105106[[#This Row],[Total]]*-1,0)</f>
        <v>0</v>
      </c>
    </row>
    <row r="42" spans="1:9" x14ac:dyDescent="0.3">
      <c r="A42" s="107"/>
      <c r="B42" s="82"/>
      <c r="C42" s="229"/>
      <c r="D42" s="230"/>
      <c r="E42" s="230"/>
      <c r="F42" s="230"/>
      <c r="G42" s="230">
        <f>SUM(D42:F49)</f>
        <v>0</v>
      </c>
      <c r="H42" s="233">
        <f t="shared" si="1"/>
        <v>143</v>
      </c>
      <c r="I42" s="353">
        <f>IF(T_T13411121314151617181920212223242526272829303132333536373839404142434445464748495051525354555657585960616263646566676869707172737475767778798081828384858687888990919293949596979899100101102103104105106[[#This Row],[Total]]&lt;0,T_T13411121314151617181920212223242526272829303132333536373839404142434445464748495051525354555657585960616263646566676869707172737475767778798081828384858687888990919293949596979899100101102103104105106[[#This Row],[Total]]*-1,0)</f>
        <v>0</v>
      </c>
    </row>
  </sheetData>
  <hyperlinks>
    <hyperlink ref="B7" r:id="rId1" display="jose.orozco@outlook.com"/>
    <hyperlink ref="H7" location="Resumen!A1" display="Rsumen         "/>
  </hyperlinks>
  <pageMargins left="0.70866141732283472" right="0.70866141732283472" top="0.35433070866141736" bottom="0.74803149606299213" header="0.31496062992125984" footer="0.31496062992125984"/>
  <pageSetup scale="64" orientation="portrait" verticalDpi="360" r:id="rId2"/>
  <drawing r:id="rId3"/>
  <tableParts count="1">
    <tablePart r:id="rId4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N40"/>
  <sheetViews>
    <sheetView showGridLines="0" topLeftCell="A2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3.88671875" customWidth="1"/>
    <col min="2" max="2" width="32.109375" customWidth="1"/>
    <col min="3" max="3" width="10.33203125" style="4" customWidth="1"/>
    <col min="4" max="4" width="12.33203125" style="1" customWidth="1"/>
    <col min="5" max="5" width="10.109375" style="1" customWidth="1"/>
    <col min="6" max="6" width="8" style="1" customWidth="1"/>
    <col min="7" max="7" width="10.44140625" style="1" customWidth="1"/>
    <col min="8" max="8" width="13.109375" style="1" customWidth="1"/>
    <col min="9" max="9" width="12.88671875" hidden="1" customWidth="1"/>
    <col min="14" max="14" width="10.6640625" bestFit="1" customWidth="1"/>
  </cols>
  <sheetData>
    <row r="2" spans="1:14" ht="15" customHeight="1" x14ac:dyDescent="0.3">
      <c r="A2" s="27" t="s">
        <v>36</v>
      </c>
      <c r="B2" s="41" t="s">
        <v>155</v>
      </c>
    </row>
    <row r="3" spans="1:14" hidden="1" x14ac:dyDescent="0.3">
      <c r="A3" s="27" t="s">
        <v>31</v>
      </c>
      <c r="B3" s="28" t="e">
        <f>LOOKUP(B2,#REF!,#REF!)</f>
        <v>#REF!</v>
      </c>
    </row>
    <row r="4" spans="1:14" hidden="1" x14ac:dyDescent="0.3">
      <c r="A4" s="27" t="s">
        <v>32</v>
      </c>
      <c r="B4" s="28" t="e">
        <f>LOOKUP(B2,#REF!,#REF!)</f>
        <v>#REF!</v>
      </c>
    </row>
    <row r="5" spans="1:14" hidden="1" x14ac:dyDescent="0.3">
      <c r="A5" s="27" t="s">
        <v>33</v>
      </c>
      <c r="B5" s="28" t="e">
        <f>LOOKUP(B2,#REF!,#REF!)</f>
        <v>#REF!</v>
      </c>
    </row>
    <row r="6" spans="1:14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4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4" x14ac:dyDescent="0.3">
      <c r="A8" s="21"/>
      <c r="B8" s="21" t="s">
        <v>436</v>
      </c>
    </row>
    <row r="9" spans="1:14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69" t="s">
        <v>188</v>
      </c>
      <c r="K9" s="374" t="s">
        <v>191</v>
      </c>
    </row>
    <row r="10" spans="1:14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IF(T_T13411121314151617181920212223242526272829303132333536373839404142434445464748495051525354555657585960616263646566676869707172737475767778798081828384858687888990919293949596979899100101102103104105106107[[#This Row],[Total]]&lt;0,T_T13411121314151617181920212223242526272829303132333536373839404142434445464748495051525354555657585960616263646566676869707172737475767778798081828384858687888990919293949596979899100101102103104105106107[[#This Row],[Total]]*-1,0)</f>
        <v>0</v>
      </c>
      <c r="J10" s="68"/>
      <c r="K10" s="354"/>
      <c r="N10" s="178"/>
    </row>
    <row r="11" spans="1:14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IF(T_T13411121314151617181920212223242526272829303132333536373839404142434445464748495051525354555657585960616263646566676869707172737475767778798081828384858687888990919293949596979899100101102103104105106107[[#This Row],[Total]]&lt;0,T_T13411121314151617181920212223242526272829303132333536373839404142434445464748495051525354555657585960616263646566676869707172737475767778798081828384858687888990919293949596979899100101102103104105106107[[#This Row],[Total]]*-1,0)</f>
        <v>0</v>
      </c>
      <c r="J11" s="240"/>
      <c r="K11" s="354"/>
    </row>
    <row r="12" spans="1:14" x14ac:dyDescent="0.3">
      <c r="A12" s="117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IF(T_T13411121314151617181920212223242526272829303132333536373839404142434445464748495051525354555657585960616263646566676869707172737475767778798081828384858687888990919293949596979899100101102103104105106107[[#This Row],[Total]]&lt;0,T_T13411121314151617181920212223242526272829303132333536373839404142434445464748495051525354555657585960616263646566676869707172737475767778798081828384858687888990919293949596979899100101102103104105106107[[#This Row],[Total]]*-1,0)</f>
        <v>0</v>
      </c>
      <c r="J12" s="430"/>
      <c r="K12" s="419"/>
    </row>
    <row r="13" spans="1:14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IF(T_T13411121314151617181920212223242526272829303132333536373839404142434445464748495051525354555657585960616263646566676869707172737475767778798081828384858687888990919293949596979899100101102103104105106107[[#This Row],[Total]]&lt;0,T_T13411121314151617181920212223242526272829303132333536373839404142434445464748495051525354555657585960616263646566676869707172737475767778798081828384858687888990919293949596979899100101102103104105106107[[#This Row],[Total]]*-1,0)</f>
        <v>0</v>
      </c>
      <c r="J13" s="240"/>
      <c r="K13" s="354"/>
    </row>
    <row r="14" spans="1:14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IF(T_T13411121314151617181920212223242526272829303132333536373839404142434445464748495051525354555657585960616263646566676869707172737475767778798081828384858687888990919293949596979899100101102103104105106107[[#This Row],[Total]]&lt;0,T_T13411121314151617181920212223242526272829303132333536373839404142434445464748495051525354555657585960616263646566676869707172737475767778798081828384858687888990919293949596979899100101102103104105106107[[#This Row],[Total]]*-1,0)</f>
        <v>0</v>
      </c>
      <c r="J14" s="473"/>
      <c r="K14" s="485"/>
    </row>
    <row r="15" spans="1:14" x14ac:dyDescent="0.3">
      <c r="A15" s="17">
        <v>46052</v>
      </c>
      <c r="B15" s="18" t="s">
        <v>590</v>
      </c>
      <c r="C15" s="6"/>
      <c r="D15" s="372">
        <v>409</v>
      </c>
      <c r="E15" s="2">
        <v>27</v>
      </c>
      <c r="F15" s="20"/>
      <c r="G15" s="20">
        <f>SUM(D15:F15)</f>
        <v>436</v>
      </c>
      <c r="H15" s="233">
        <f>+H13+T_T13411121314151617181920212223242526272829303132333536373839404142434445464748495051525354555657585960616263646566676869707172737475767778798081828384858687888990919293949596979899100101102103104105106107[[#This Row],[Total]]</f>
        <v>436</v>
      </c>
      <c r="I15" s="240">
        <f>IF(T_T13411121314151617181920212223242526272829303132333536373839404142434445464748495051525354555657585960616263646566676869707172737475767778798081828384858687888990919293949596979899100101102103104105106107[[#This Row],[Total]]&lt;0,T_T13411121314151617181920212223242526272829303132333536373839404142434445464748495051525354555657585960616263646566676869707172737475767778798081828384858687888990919293949596979899100101102103104105106107[[#This Row],[Total]]*-1,0)</f>
        <v>0</v>
      </c>
      <c r="J15" s="240"/>
      <c r="K15" s="354"/>
    </row>
    <row r="16" spans="1:14" x14ac:dyDescent="0.3">
      <c r="A16" s="17"/>
      <c r="B16" s="18" t="s">
        <v>591</v>
      </c>
      <c r="C16" s="6">
        <v>8535</v>
      </c>
      <c r="D16" s="2">
        <v>-409</v>
      </c>
      <c r="E16" s="2">
        <v>-27</v>
      </c>
      <c r="F16" s="230"/>
      <c r="G16" s="230">
        <f t="shared" ref="G16:G38" si="0">SUM(D16:F16)</f>
        <v>-436</v>
      </c>
      <c r="H16" s="233">
        <f t="shared" ref="H16:H40" si="1">H15+G16</f>
        <v>0</v>
      </c>
      <c r="I16" s="239">
        <f>IF(T_T13411121314151617181920212223242526272829303132333536373839404142434445464748495051525354555657585960616263646566676869707172737475767778798081828384858687888990919293949596979899100101102103104105106107[[#This Row],[Total]]&lt;0,T_T13411121314151617181920212223242526272829303132333536373839404142434445464748495051525354555657585960616263646566676869707172737475767778798081828384858687888990919293949596979899100101102103104105106107[[#This Row],[Total]]*-1,0)</f>
        <v>436</v>
      </c>
      <c r="J16" s="239"/>
      <c r="K16" s="354"/>
    </row>
    <row r="17" spans="1:11" x14ac:dyDescent="0.3">
      <c r="A17" s="164">
        <v>46080</v>
      </c>
      <c r="B17" s="161" t="s">
        <v>592</v>
      </c>
      <c r="C17" s="6"/>
      <c r="D17" s="2">
        <v>409</v>
      </c>
      <c r="E17" s="2">
        <v>24</v>
      </c>
      <c r="F17" s="230"/>
      <c r="G17" s="230">
        <f t="shared" si="0"/>
        <v>433</v>
      </c>
      <c r="H17" s="233">
        <f t="shared" si="1"/>
        <v>433</v>
      </c>
      <c r="I17" s="240">
        <f>IF(T_T13411121314151617181920212223242526272829303132333536373839404142434445464748495051525354555657585960616263646566676869707172737475767778798081828384858687888990919293949596979899100101102103104105106107[[#This Row],[Total]]&lt;0,T_T13411121314151617181920212223242526272829303132333536373839404142434445464748495051525354555657585960616263646566676869707172737475767778798081828384858687888990919293949596979899100101102103104105106107[[#This Row],[Total]]*-1,0)</f>
        <v>0</v>
      </c>
      <c r="J17" s="240"/>
      <c r="K17" s="354"/>
    </row>
    <row r="18" spans="1:11" x14ac:dyDescent="0.3">
      <c r="A18" s="187"/>
      <c r="B18" s="18" t="s">
        <v>593</v>
      </c>
      <c r="C18" s="6">
        <v>8807</v>
      </c>
      <c r="D18" s="2">
        <v>-409</v>
      </c>
      <c r="E18" s="2">
        <v>-24</v>
      </c>
      <c r="F18" s="230"/>
      <c r="G18" s="230">
        <f t="shared" si="0"/>
        <v>-433</v>
      </c>
      <c r="H18" s="233">
        <f t="shared" si="1"/>
        <v>0</v>
      </c>
      <c r="I18" s="240">
        <f>IF(T_T13411121314151617181920212223242526272829303132333536373839404142434445464748495051525354555657585960616263646566676869707172737475767778798081828384858687888990919293949596979899100101102103104105106107[[#This Row],[Total]]&lt;0,T_T13411121314151617181920212223242526272829303132333536373839404142434445464748495051525354555657585960616263646566676869707172737475767778798081828384858687888990919293949596979899100101102103104105106107[[#This Row],[Total]]*-1,0)</f>
        <v>433</v>
      </c>
      <c r="J18" s="240"/>
      <c r="K18" s="354"/>
    </row>
    <row r="19" spans="1:11" x14ac:dyDescent="0.3">
      <c r="A19" s="188">
        <v>46112</v>
      </c>
      <c r="B19" s="3" t="s">
        <v>594</v>
      </c>
      <c r="C19" s="6"/>
      <c r="D19" s="2">
        <v>467</v>
      </c>
      <c r="E19" s="2">
        <v>17</v>
      </c>
      <c r="F19" s="230"/>
      <c r="G19" s="230">
        <f t="shared" si="0"/>
        <v>484</v>
      </c>
      <c r="H19" s="233">
        <f t="shared" si="1"/>
        <v>484</v>
      </c>
      <c r="I19" s="240">
        <f>IF(T_T13411121314151617181920212223242526272829303132333536373839404142434445464748495051525354555657585960616263646566676869707172737475767778798081828384858687888990919293949596979899100101102103104105106107[[#This Row],[Total]]&lt;0,T_T13411121314151617181920212223242526272829303132333536373839404142434445464748495051525354555657585960616263646566676869707172737475767778798081828384858687888990919293949596979899100101102103104105106107[[#This Row],[Total]]*-1,0)</f>
        <v>0</v>
      </c>
      <c r="J19" s="240"/>
      <c r="K19" s="354"/>
    </row>
    <row r="20" spans="1:11" x14ac:dyDescent="0.3">
      <c r="A20" s="188"/>
      <c r="B20" s="82" t="s">
        <v>595</v>
      </c>
      <c r="C20" s="6">
        <v>8807</v>
      </c>
      <c r="D20" s="2">
        <v>-467</v>
      </c>
      <c r="E20" s="2">
        <v>-17</v>
      </c>
      <c r="F20" s="230"/>
      <c r="G20" s="230">
        <f t="shared" si="0"/>
        <v>-484</v>
      </c>
      <c r="H20" s="233">
        <f t="shared" si="1"/>
        <v>0</v>
      </c>
      <c r="I20" s="239">
        <f>IF(T_T13411121314151617181920212223242526272829303132333536373839404142434445464748495051525354555657585960616263646566676869707172737475767778798081828384858687888990919293949596979899100101102103104105106107[[#This Row],[Total]]&lt;0,T_T13411121314151617181920212223242526272829303132333536373839404142434445464748495051525354555657585960616263646566676869707172737475767778798081828384858687888990919293949596979899100101102103104105106107[[#This Row],[Total]]*-1,0)</f>
        <v>484</v>
      </c>
      <c r="J20" s="239"/>
      <c r="K20" s="354"/>
    </row>
    <row r="21" spans="1:11" x14ac:dyDescent="0.3">
      <c r="A21" s="188">
        <v>46142</v>
      </c>
      <c r="B21" s="3" t="s">
        <v>596</v>
      </c>
      <c r="C21" s="6"/>
      <c r="D21" s="2">
        <v>467</v>
      </c>
      <c r="E21" s="2">
        <v>31</v>
      </c>
      <c r="F21" s="230"/>
      <c r="G21" s="230">
        <f t="shared" si="0"/>
        <v>498</v>
      </c>
      <c r="H21" s="233">
        <f t="shared" si="1"/>
        <v>498</v>
      </c>
      <c r="I21" s="309">
        <f>IF(T_T13411121314151617181920212223242526272829303132333536373839404142434445464748495051525354555657585960616263646566676869707172737475767778798081828384858687888990919293949596979899100101102103104105106107[[#This Row],[Total]]&lt;0,T_T13411121314151617181920212223242526272829303132333536373839404142434445464748495051525354555657585960616263646566676869707172737475767778798081828384858687888990919293949596979899100101102103104105106107[[#This Row],[Total]]*-1,0)</f>
        <v>0</v>
      </c>
      <c r="J21" s="309"/>
      <c r="K21" s="354"/>
    </row>
    <row r="22" spans="1:11" x14ac:dyDescent="0.3">
      <c r="A22" s="83"/>
      <c r="B22" s="82" t="s">
        <v>597</v>
      </c>
      <c r="C22" s="6"/>
      <c r="D22" s="2"/>
      <c r="E22" s="2"/>
      <c r="F22" s="230"/>
      <c r="G22" s="230">
        <f t="shared" si="0"/>
        <v>0</v>
      </c>
      <c r="H22" s="233">
        <f t="shared" si="1"/>
        <v>498</v>
      </c>
      <c r="I22" s="309">
        <f>IF(T_T13411121314151617181920212223242526272829303132333536373839404142434445464748495051525354555657585960616263646566676869707172737475767778798081828384858687888990919293949596979899100101102103104105106107[[#This Row],[Total]]&lt;0,T_T13411121314151617181920212223242526272829303132333536373839404142434445464748495051525354555657585960616263646566676869707172737475767778798081828384858687888990919293949596979899100101102103104105106107[[#This Row],[Total]]*-1,0)</f>
        <v>0</v>
      </c>
      <c r="J22" s="309"/>
      <c r="K22" s="354"/>
    </row>
    <row r="23" spans="1:11" x14ac:dyDescent="0.3">
      <c r="A23" s="40">
        <v>46172</v>
      </c>
      <c r="B23" s="3" t="s">
        <v>598</v>
      </c>
      <c r="C23" s="229"/>
      <c r="D23" s="230">
        <v>467</v>
      </c>
      <c r="E23" s="230">
        <v>31</v>
      </c>
      <c r="F23" s="230"/>
      <c r="G23" s="230">
        <f t="shared" si="0"/>
        <v>498</v>
      </c>
      <c r="H23" s="233">
        <f t="shared" si="1"/>
        <v>996</v>
      </c>
      <c r="I23" s="309">
        <f>IF(T_T13411121314151617181920212223242526272829303132333536373839404142434445464748495051525354555657585960616263646566676869707172737475767778798081828384858687888990919293949596979899100101102103104105106107[[#This Row],[Total]]&lt;0,T_T13411121314151617181920212223242526272829303132333536373839404142434445464748495051525354555657585960616263646566676869707172737475767778798081828384858687888990919293949596979899100101102103104105106107[[#This Row],[Total]]*-1,0)</f>
        <v>0</v>
      </c>
      <c r="J23" s="309"/>
      <c r="K23" s="354"/>
    </row>
    <row r="24" spans="1:11" x14ac:dyDescent="0.3">
      <c r="A24" s="9"/>
      <c r="B24" s="18" t="s">
        <v>599</v>
      </c>
      <c r="C24" s="6"/>
      <c r="D24" s="230"/>
      <c r="E24" s="230"/>
      <c r="F24" s="230"/>
      <c r="G24" s="230">
        <f t="shared" si="0"/>
        <v>0</v>
      </c>
      <c r="H24" s="233">
        <f t="shared" si="1"/>
        <v>996</v>
      </c>
      <c r="I24" s="311">
        <f>IF(T_T13411121314151617181920212223242526272829303132333536373839404142434445464748495051525354555657585960616263646566676869707172737475767778798081828384858687888990919293949596979899100101102103104105106107[[#This Row],[Total]]&lt;0,T_T13411121314151617181920212223242526272829303132333536373839404142434445464748495051525354555657585960616263646566676869707172737475767778798081828384858687888990919293949596979899100101102103104105106107[[#This Row],[Total]]*-1,0)</f>
        <v>0</v>
      </c>
      <c r="J24" s="311"/>
      <c r="K24" s="354"/>
    </row>
    <row r="25" spans="1:11" x14ac:dyDescent="0.3">
      <c r="A25" s="9">
        <v>46203</v>
      </c>
      <c r="B25" s="3" t="s">
        <v>600</v>
      </c>
      <c r="C25" s="229"/>
      <c r="D25" s="230"/>
      <c r="E25" s="230"/>
      <c r="F25" s="230"/>
      <c r="G25" s="230">
        <f t="shared" si="0"/>
        <v>0</v>
      </c>
      <c r="H25" s="233">
        <f t="shared" si="1"/>
        <v>996</v>
      </c>
      <c r="I25" s="309">
        <f>IF(T_T13411121314151617181920212223242526272829303132333536373839404142434445464748495051525354555657585960616263646566676869707172737475767778798081828384858687888990919293949596979899100101102103104105106107[[#This Row],[Total]]&lt;0,T_T13411121314151617181920212223242526272829303132333536373839404142434445464748495051525354555657585960616263646566676869707172737475767778798081828384858687888990919293949596979899100101102103104105106107[[#This Row],[Total]]*-1,0)</f>
        <v>0</v>
      </c>
      <c r="J25" s="309"/>
      <c r="K25" s="354"/>
    </row>
    <row r="26" spans="1:11" x14ac:dyDescent="0.3">
      <c r="A26" s="9"/>
      <c r="B26" s="18" t="s">
        <v>601</v>
      </c>
      <c r="C26" s="6"/>
      <c r="D26" s="230"/>
      <c r="E26" s="230"/>
      <c r="F26" s="230"/>
      <c r="G26" s="230">
        <f t="shared" si="0"/>
        <v>0</v>
      </c>
      <c r="H26" s="233">
        <f t="shared" si="1"/>
        <v>996</v>
      </c>
      <c r="I26" s="309">
        <f>IF(T_T13411121314151617181920212223242526272829303132333536373839404142434445464748495051525354555657585960616263646566676869707172737475767778798081828384858687888990919293949596979899100101102103104105106107[[#This Row],[Total]]&lt;0,T_T13411121314151617181920212223242526272829303132333536373839404142434445464748495051525354555657585960616263646566676869707172737475767778798081828384858687888990919293949596979899100101102103104105106107[[#This Row],[Total]]*-1,0)</f>
        <v>0</v>
      </c>
      <c r="J26" s="309"/>
      <c r="K26" s="354"/>
    </row>
    <row r="27" spans="1:11" x14ac:dyDescent="0.3">
      <c r="A27" s="107">
        <v>46233</v>
      </c>
      <c r="B27" s="82" t="s">
        <v>602</v>
      </c>
      <c r="C27" s="229"/>
      <c r="D27" s="230"/>
      <c r="E27" s="230"/>
      <c r="F27" s="230"/>
      <c r="G27" s="230">
        <f t="shared" si="0"/>
        <v>0</v>
      </c>
      <c r="H27" s="233">
        <f t="shared" si="1"/>
        <v>996</v>
      </c>
      <c r="I27" s="309">
        <f>IF(T_T13411121314151617181920212223242526272829303132333536373839404142434445464748495051525354555657585960616263646566676869707172737475767778798081828384858687888990919293949596979899100101102103104105106107[[#This Row],[Total]]&lt;0,T_T13411121314151617181920212223242526272829303132333536373839404142434445464748495051525354555657585960616263646566676869707172737475767778798081828384858687888990919293949596979899100101102103104105106107[[#This Row],[Total]]*-1,0)</f>
        <v>0</v>
      </c>
      <c r="J27" s="309"/>
      <c r="K27" s="354"/>
    </row>
    <row r="28" spans="1:11" x14ac:dyDescent="0.3">
      <c r="A28" s="107"/>
      <c r="B28" s="82" t="s">
        <v>603</v>
      </c>
      <c r="C28" s="6"/>
      <c r="D28" s="230"/>
      <c r="E28" s="230"/>
      <c r="F28" s="230"/>
      <c r="G28" s="230">
        <f t="shared" si="0"/>
        <v>0</v>
      </c>
      <c r="H28" s="233">
        <f t="shared" si="1"/>
        <v>996</v>
      </c>
      <c r="I28" s="311">
        <f>IF(T_T13411121314151617181920212223242526272829303132333536373839404142434445464748495051525354555657585960616263646566676869707172737475767778798081828384858687888990919293949596979899100101102103104105106107[[#This Row],[Total]]&lt;0,T_T13411121314151617181920212223242526272829303132333536373839404142434445464748495051525354555657585960616263646566676869707172737475767778798081828384858687888990919293949596979899100101102103104105106107[[#This Row],[Total]]*-1,0)</f>
        <v>0</v>
      </c>
      <c r="J28" s="311"/>
      <c r="K28" s="354"/>
    </row>
    <row r="29" spans="1:11" x14ac:dyDescent="0.3">
      <c r="A29" s="107">
        <v>46264</v>
      </c>
      <c r="B29" s="82" t="s">
        <v>604</v>
      </c>
      <c r="C29" s="229"/>
      <c r="D29" s="230"/>
      <c r="E29" s="230"/>
      <c r="F29" s="230"/>
      <c r="G29" s="230">
        <f t="shared" si="0"/>
        <v>0</v>
      </c>
      <c r="H29" s="233">
        <f t="shared" si="1"/>
        <v>996</v>
      </c>
      <c r="I29" s="309">
        <f>IF(T_T13411121314151617181920212223242526272829303132333536373839404142434445464748495051525354555657585960616263646566676869707172737475767778798081828384858687888990919293949596979899100101102103104105106107[[#This Row],[Total]]&lt;0,T_T13411121314151617181920212223242526272829303132333536373839404142434445464748495051525354555657585960616263646566676869707172737475767778798081828384858687888990919293949596979899100101102103104105106107[[#This Row],[Total]]*-1,0)</f>
        <v>0</v>
      </c>
      <c r="J29" s="309"/>
      <c r="K29" s="354"/>
    </row>
    <row r="30" spans="1:11" x14ac:dyDescent="0.3">
      <c r="A30" s="107"/>
      <c r="B30" s="82" t="s">
        <v>605</v>
      </c>
      <c r="C30" s="6"/>
      <c r="D30" s="230"/>
      <c r="E30" s="230"/>
      <c r="F30" s="230"/>
      <c r="G30" s="230">
        <f t="shared" si="0"/>
        <v>0</v>
      </c>
      <c r="H30" s="233">
        <f t="shared" si="1"/>
        <v>996</v>
      </c>
      <c r="I30" s="309">
        <f>IF(T_T13411121314151617181920212223242526272829303132333536373839404142434445464748495051525354555657585960616263646566676869707172737475767778798081828384858687888990919293949596979899100101102103104105106107[[#This Row],[Total]]&lt;0,T_T13411121314151617181920212223242526272829303132333536373839404142434445464748495051525354555657585960616263646566676869707172737475767778798081828384858687888990919293949596979899100101102103104105106107[[#This Row],[Total]]*-1,0)</f>
        <v>0</v>
      </c>
      <c r="J30" s="309"/>
      <c r="K30" s="354"/>
    </row>
    <row r="31" spans="1:11" x14ac:dyDescent="0.3">
      <c r="A31" s="9">
        <v>46295</v>
      </c>
      <c r="B31" s="3" t="s">
        <v>606</v>
      </c>
      <c r="C31" s="229"/>
      <c r="D31" s="230"/>
      <c r="E31" s="230"/>
      <c r="F31" s="230"/>
      <c r="G31" s="230">
        <f t="shared" si="0"/>
        <v>0</v>
      </c>
      <c r="H31" s="233">
        <f t="shared" si="1"/>
        <v>996</v>
      </c>
      <c r="I31" s="309">
        <f>IF(T_T13411121314151617181920212223242526272829303132333536373839404142434445464748495051525354555657585960616263646566676869707172737475767778798081828384858687888990919293949596979899100101102103104105106107[[#This Row],[Total]]&lt;0,T_T13411121314151617181920212223242526272829303132333536373839404142434445464748495051525354555657585960616263646566676869707172737475767778798081828384858687888990919293949596979899100101102103104105106107[[#This Row],[Total]]*-1,0)</f>
        <v>0</v>
      </c>
      <c r="J31" s="309"/>
      <c r="K31" s="354"/>
    </row>
    <row r="32" spans="1:11" x14ac:dyDescent="0.3">
      <c r="A32" s="9"/>
      <c r="B32" s="3" t="s">
        <v>607</v>
      </c>
      <c r="C32" s="6"/>
      <c r="D32" s="230"/>
      <c r="E32" s="230"/>
      <c r="F32" s="230"/>
      <c r="G32" s="230">
        <f t="shared" si="0"/>
        <v>0</v>
      </c>
      <c r="H32" s="233">
        <f t="shared" si="1"/>
        <v>996</v>
      </c>
      <c r="I32" s="309">
        <f>IF(T_T13411121314151617181920212223242526272829303132333536373839404142434445464748495051525354555657585960616263646566676869707172737475767778798081828384858687888990919293949596979899100101102103104105106107[[#This Row],[Total]]&lt;0,T_T13411121314151617181920212223242526272829303132333536373839404142434445464748495051525354555657585960616263646566676869707172737475767778798081828384858687888990919293949596979899100101102103104105106107[[#This Row],[Total]]*-1,0)</f>
        <v>0</v>
      </c>
      <c r="J32" s="309"/>
      <c r="K32" s="354"/>
    </row>
    <row r="33" spans="1:11" x14ac:dyDescent="0.3">
      <c r="A33" s="9">
        <v>46325</v>
      </c>
      <c r="B33" s="3" t="s">
        <v>608</v>
      </c>
      <c r="C33" s="229"/>
      <c r="D33" s="230"/>
      <c r="E33" s="230"/>
      <c r="F33" s="230"/>
      <c r="G33" s="230">
        <f t="shared" si="0"/>
        <v>0</v>
      </c>
      <c r="H33" s="233">
        <f t="shared" si="1"/>
        <v>996</v>
      </c>
      <c r="I33" s="309">
        <f>IF(T_T13411121314151617181920212223242526272829303132333536373839404142434445464748495051525354555657585960616263646566676869707172737475767778798081828384858687888990919293949596979899100101102103104105106107[[#This Row],[Total]]&lt;0,T_T13411121314151617181920212223242526272829303132333536373839404142434445464748495051525354555657585960616263646566676869707172737475767778798081828384858687888990919293949596979899100101102103104105106107[[#This Row],[Total]]*-1,0)</f>
        <v>0</v>
      </c>
      <c r="J33" s="309"/>
      <c r="K33" s="354"/>
    </row>
    <row r="34" spans="1:11" x14ac:dyDescent="0.3">
      <c r="A34" s="9"/>
      <c r="B34" s="3" t="s">
        <v>609</v>
      </c>
      <c r="C34" s="6"/>
      <c r="D34" s="230"/>
      <c r="E34" s="230"/>
      <c r="F34" s="230"/>
      <c r="G34" s="230">
        <f t="shared" si="0"/>
        <v>0</v>
      </c>
      <c r="H34" s="233">
        <f t="shared" si="1"/>
        <v>996</v>
      </c>
      <c r="I34" s="309">
        <f>IF(T_T13411121314151617181920212223242526272829303132333536373839404142434445464748495051525354555657585960616263646566676869707172737475767778798081828384858687888990919293949596979899100101102103104105106107[[#This Row],[Total]]&lt;0,T_T13411121314151617181920212223242526272829303132333536373839404142434445464748495051525354555657585960616263646566676869707172737475767778798081828384858687888990919293949596979899100101102103104105106107[[#This Row],[Total]]*-1,0)</f>
        <v>0</v>
      </c>
      <c r="J34" s="309"/>
      <c r="K34" s="354"/>
    </row>
    <row r="35" spans="1:11" x14ac:dyDescent="0.3">
      <c r="A35" s="9">
        <v>46356</v>
      </c>
      <c r="B35" s="3" t="s">
        <v>610</v>
      </c>
      <c r="C35" s="229"/>
      <c r="D35" s="230"/>
      <c r="E35" s="230"/>
      <c r="F35" s="230"/>
      <c r="G35" s="230">
        <f t="shared" si="0"/>
        <v>0</v>
      </c>
      <c r="H35" s="233">
        <f t="shared" si="1"/>
        <v>996</v>
      </c>
      <c r="I35" s="309">
        <f>IF(T_T13411121314151617181920212223242526272829303132333536373839404142434445464748495051525354555657585960616263646566676869707172737475767778798081828384858687888990919293949596979899100101102103104105106107[[#This Row],[Total]]&lt;0,T_T13411121314151617181920212223242526272829303132333536373839404142434445464748495051525354555657585960616263646566676869707172737475767778798081828384858687888990919293949596979899100101102103104105106107[[#This Row],[Total]]*-1,0)</f>
        <v>0</v>
      </c>
      <c r="J35" s="309"/>
      <c r="K35" s="354"/>
    </row>
    <row r="36" spans="1:11" x14ac:dyDescent="0.3">
      <c r="A36" s="17"/>
      <c r="B36" s="18" t="s">
        <v>611</v>
      </c>
      <c r="C36" s="6"/>
      <c r="D36" s="230"/>
      <c r="E36" s="230"/>
      <c r="F36" s="230"/>
      <c r="G36" s="230">
        <f t="shared" si="0"/>
        <v>0</v>
      </c>
      <c r="H36" s="233">
        <f t="shared" si="1"/>
        <v>996</v>
      </c>
      <c r="I36" s="311">
        <f>IF(T_T13411121314151617181920212223242526272829303132333536373839404142434445464748495051525354555657585960616263646566676869707172737475767778798081828384858687888990919293949596979899100101102103104105106107[[#This Row],[Total]]&lt;0,T_T13411121314151617181920212223242526272829303132333536373839404142434445464748495051525354555657585960616263646566676869707172737475767778798081828384858687888990919293949596979899100101102103104105106107[[#This Row],[Total]]*-1,0)</f>
        <v>0</v>
      </c>
      <c r="J36" s="311"/>
      <c r="K36" s="354"/>
    </row>
    <row r="37" spans="1:11" x14ac:dyDescent="0.3">
      <c r="A37" s="188">
        <v>46386</v>
      </c>
      <c r="B37" s="3" t="s">
        <v>612</v>
      </c>
      <c r="C37" s="229"/>
      <c r="D37" s="230"/>
      <c r="E37" s="230"/>
      <c r="F37" s="230"/>
      <c r="G37" s="230">
        <f t="shared" si="0"/>
        <v>0</v>
      </c>
      <c r="H37" s="233">
        <f t="shared" si="1"/>
        <v>996</v>
      </c>
      <c r="I37" s="353">
        <f>IF(T_T13411121314151617181920212223242526272829303132333536373839404142434445464748495051525354555657585960616263646566676869707172737475767778798081828384858687888990919293949596979899100101102103104105106107[[#This Row],[Total]]&lt;0,T_T13411121314151617181920212223242526272829303132333536373839404142434445464748495051525354555657585960616263646566676869707172737475767778798081828384858687888990919293949596979899100101102103104105106107[[#This Row],[Total]]*-1,0)</f>
        <v>0</v>
      </c>
      <c r="J37" s="353"/>
      <c r="K37" s="354"/>
    </row>
    <row r="38" spans="1:11" x14ac:dyDescent="0.3">
      <c r="A38" s="257"/>
      <c r="B38" s="110" t="s">
        <v>613</v>
      </c>
      <c r="C38" s="229"/>
      <c r="D38" s="230"/>
      <c r="E38" s="230"/>
      <c r="F38" s="230"/>
      <c r="G38" s="230">
        <f t="shared" si="0"/>
        <v>0</v>
      </c>
      <c r="H38" s="233">
        <f t="shared" si="1"/>
        <v>996</v>
      </c>
      <c r="I38" s="353">
        <f>IF(T_T13411121314151617181920212223242526272829303132333536373839404142434445464748495051525354555657585960616263646566676869707172737475767778798081828384858687888990919293949596979899100101102103104105106107[[#This Row],[Total]]&lt;0,T_T13411121314151617181920212223242526272829303132333536373839404142434445464748495051525354555657585960616263646566676869707172737475767778798081828384858687888990919293949596979899100101102103104105106107[[#This Row],[Total]]*-1,0)</f>
        <v>0</v>
      </c>
      <c r="J38" s="353"/>
      <c r="K38" s="354"/>
    </row>
    <row r="39" spans="1:11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996</v>
      </c>
      <c r="I39" s="353">
        <f>IF(T_T13411121314151617181920212223242526272829303132333536373839404142434445464748495051525354555657585960616263646566676869707172737475767778798081828384858687888990919293949596979899100101102103104105106107[[#This Row],[Total]]&lt;0,T_T13411121314151617181920212223242526272829303132333536373839404142434445464748495051525354555657585960616263646566676869707172737475767778798081828384858687888990919293949596979899100101102103104105106107[[#This Row],[Total]]*-1,0)</f>
        <v>0</v>
      </c>
      <c r="J39" s="353"/>
      <c r="K39" s="354"/>
    </row>
    <row r="40" spans="1:11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996</v>
      </c>
      <c r="I40" s="353">
        <f>IF(T_T13411121314151617181920212223242526272829303132333536373839404142434445464748495051525354555657585960616263646566676869707172737475767778798081828384858687888990919293949596979899100101102103104105106107[[#This Row],[Total]]&lt;0,T_T13411121314151617181920212223242526272829303132333536373839404142434445464748495051525354555657585960616263646566676869707172737475767778798081828384858687888990919293949596979899100101102103104105106107[[#This Row],[Total]]*-1,0)</f>
        <v>0</v>
      </c>
      <c r="J40" s="353"/>
      <c r="K40" s="354"/>
    </row>
  </sheetData>
  <hyperlinks>
    <hyperlink ref="B7" r:id="rId1" display="jose.orozco@outlook.com"/>
    <hyperlink ref="H7" location="Resumen!A1" display="Rsumen         "/>
  </hyperlinks>
  <pageMargins left="0.51" right="0.45" top="0.93" bottom="0.74803149606299213" header="0.31496062992125984" footer="0.31496062992125984"/>
  <pageSetup scale="85" orientation="portrait" verticalDpi="360" r:id="rId2"/>
  <drawing r:id="rId3"/>
  <tableParts count="1">
    <tablePart r:id="rId4"/>
  </tablePart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N40"/>
  <sheetViews>
    <sheetView showGridLines="0" topLeftCell="B2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4" max="14" width="10.6640625" bestFit="1" customWidth="1"/>
    <col min="15" max="15" width="15.6640625" customWidth="1"/>
  </cols>
  <sheetData>
    <row r="2" spans="1:14" ht="15.6" x14ac:dyDescent="0.3">
      <c r="A2" s="27" t="s">
        <v>36</v>
      </c>
      <c r="B2" s="41" t="s">
        <v>156</v>
      </c>
    </row>
    <row r="3" spans="1:14" hidden="1" x14ac:dyDescent="0.3">
      <c r="A3" s="27" t="s">
        <v>31</v>
      </c>
      <c r="B3" s="28" t="e">
        <f>LOOKUP(B2,#REF!,#REF!)</f>
        <v>#REF!</v>
      </c>
    </row>
    <row r="4" spans="1:14" hidden="1" x14ac:dyDescent="0.3">
      <c r="A4" s="27" t="s">
        <v>32</v>
      </c>
      <c r="B4" s="28" t="e">
        <f>LOOKUP(B2,#REF!,#REF!)</f>
        <v>#REF!</v>
      </c>
    </row>
    <row r="5" spans="1:14" hidden="1" x14ac:dyDescent="0.3">
      <c r="A5" s="27" t="s">
        <v>33</v>
      </c>
      <c r="B5" s="28" t="e">
        <f>LOOKUP(B2,#REF!,#REF!)</f>
        <v>#REF!</v>
      </c>
    </row>
    <row r="6" spans="1:14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4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4" x14ac:dyDescent="0.3">
      <c r="A8" s="21"/>
      <c r="B8" s="21" t="s">
        <v>616</v>
      </c>
    </row>
    <row r="9" spans="1:14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96" t="s">
        <v>188</v>
      </c>
    </row>
    <row r="10" spans="1:14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IF(T_T13411121314151617181920212223242526272829303132333536373839404142434445464748495051525354555657585960616263646566676869707172737475767778798081828384858687888990919293949596979899100101102103104105106107108[[#This Row],[Total]]&lt;0,T_T13411121314151617181920212223242526272829303132333536373839404142434445464748495051525354555657585960616263646566676869707172737475767778798081828384858687888990919293949596979899100101102103104105106107108[[#This Row],[Total]]*-1,0)</f>
        <v>0</v>
      </c>
      <c r="J10" s="106"/>
      <c r="N10" s="178"/>
    </row>
    <row r="11" spans="1:14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IF(T_T13411121314151617181920212223242526272829303132333536373839404142434445464748495051525354555657585960616263646566676869707172737475767778798081828384858687888990919293949596979899100101102103104105106107108[[#This Row],[Total]]&lt;0,T_T13411121314151617181920212223242526272829303132333536373839404142434445464748495051525354555657585960616263646566676869707172737475767778798081828384858687888990919293949596979899100101102103104105106107108[[#This Row],[Total]]*-1,0)</f>
        <v>0</v>
      </c>
      <c r="J11" s="240"/>
    </row>
    <row r="12" spans="1:14" x14ac:dyDescent="0.3">
      <c r="A12" s="117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IF(T_T13411121314151617181920212223242526272829303132333536373839404142434445464748495051525354555657585960616263646566676869707172737475767778798081828384858687888990919293949596979899100101102103104105106107108[[#This Row],[Total]]&lt;0,T_T13411121314151617181920212223242526272829303132333536373839404142434445464748495051525354555657585960616263646566676869707172737475767778798081828384858687888990919293949596979899100101102103104105106107108[[#This Row],[Total]]*-1,0)</f>
        <v>0</v>
      </c>
      <c r="J12" s="430"/>
    </row>
    <row r="13" spans="1:14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IF(T_T13411121314151617181920212223242526272829303132333536373839404142434445464748495051525354555657585960616263646566676869707172737475767778798081828384858687888990919293949596979899100101102103104105106107108[[#This Row],[Total]]&lt;0,T_T13411121314151617181920212223242526272829303132333536373839404142434445464748495051525354555657585960616263646566676869707172737475767778798081828384858687888990919293949596979899100101102103104105106107108[[#This Row],[Total]]*-1,0)</f>
        <v>0</v>
      </c>
      <c r="J13" s="240"/>
    </row>
    <row r="14" spans="1:14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IF(T_T13411121314151617181920212223242526272829303132333536373839404142434445464748495051525354555657585960616263646566676869707172737475767778798081828384858687888990919293949596979899100101102103104105106107108[[#This Row],[Total]]&lt;0,T_T13411121314151617181920212223242526272829303132333536373839404142434445464748495051525354555657585960616263646566676869707172737475767778798081828384858687888990919293949596979899100101102103104105106107108[[#This Row],[Total]]*-1,0)</f>
        <v>0</v>
      </c>
      <c r="J14" s="473"/>
    </row>
    <row r="15" spans="1:14" x14ac:dyDescent="0.3">
      <c r="A15" s="17">
        <v>45687</v>
      </c>
      <c r="B15" s="18" t="s">
        <v>530</v>
      </c>
      <c r="C15" s="6"/>
      <c r="D15" s="2">
        <f>311+53+12</f>
        <v>376</v>
      </c>
      <c r="E15" s="2">
        <v>35</v>
      </c>
      <c r="F15" s="20"/>
      <c r="G15" s="20">
        <f>SUM(D15:F15)</f>
        <v>411</v>
      </c>
      <c r="H15" s="233">
        <f>+H13+T_T13411121314151617181920212223242526272829303132333536373839404142434445464748495051525354555657585960616263646566676869707172737475767778798081828384858687888990919293949596979899100101102103104105106107108[[#This Row],[Total]]</f>
        <v>411</v>
      </c>
      <c r="I15" s="240">
        <f>IF(T_T13411121314151617181920212223242526272829303132333536373839404142434445464748495051525354555657585960616263646566676869707172737475767778798081828384858687888990919293949596979899100101102103104105106107108[[#This Row],[Total]]&lt;0,T_T13411121314151617181920212223242526272829303132333536373839404142434445464748495051525354555657585960616263646566676869707172737475767778798081828384858687888990919293949596979899100101102103104105106107108[[#This Row],[Total]]*-1,0)</f>
        <v>0</v>
      </c>
      <c r="J15" s="240"/>
    </row>
    <row r="16" spans="1:14" x14ac:dyDescent="0.3">
      <c r="A16" s="17"/>
      <c r="B16" s="18" t="s">
        <v>531</v>
      </c>
      <c r="C16" s="6">
        <v>8554</v>
      </c>
      <c r="D16" s="2">
        <v>-376</v>
      </c>
      <c r="E16" s="2">
        <v>-35</v>
      </c>
      <c r="F16" s="230"/>
      <c r="G16" s="230">
        <f t="shared" ref="G16:G38" si="0">SUM(D16:F16)</f>
        <v>-411</v>
      </c>
      <c r="H16" s="233">
        <f t="shared" ref="H16:H40" si="1">H15+G16</f>
        <v>0</v>
      </c>
      <c r="I16" s="239">
        <f>IF(T_T13411121314151617181920212223242526272829303132333536373839404142434445464748495051525354555657585960616263646566676869707172737475767778798081828384858687888990919293949596979899100101102103104105106107108[[#This Row],[Total]]&lt;0,T_T13411121314151617181920212223242526272829303132333536373839404142434445464748495051525354555657585960616263646566676869707172737475767778798081828384858687888990919293949596979899100101102103104105106107108[[#This Row],[Total]]*-1,0)</f>
        <v>411</v>
      </c>
      <c r="J16" s="239"/>
    </row>
    <row r="17" spans="1:10" x14ac:dyDescent="0.3">
      <c r="A17" s="164">
        <v>45715</v>
      </c>
      <c r="B17" s="161" t="s">
        <v>532</v>
      </c>
      <c r="C17" s="6"/>
      <c r="D17" s="2">
        <v>376</v>
      </c>
      <c r="E17" s="2">
        <v>38</v>
      </c>
      <c r="F17" s="230"/>
      <c r="G17" s="230">
        <f t="shared" si="0"/>
        <v>414</v>
      </c>
      <c r="H17" s="233">
        <f t="shared" si="1"/>
        <v>414</v>
      </c>
      <c r="I17" s="240">
        <f>IF(T_T13411121314151617181920212223242526272829303132333536373839404142434445464748495051525354555657585960616263646566676869707172737475767778798081828384858687888990919293949596979899100101102103104105106107108[[#This Row],[Total]]&lt;0,T_T13411121314151617181920212223242526272829303132333536373839404142434445464748495051525354555657585960616263646566676869707172737475767778798081828384858687888990919293949596979899100101102103104105106107108[[#This Row],[Total]]*-1,0)</f>
        <v>0</v>
      </c>
      <c r="J17" s="240"/>
    </row>
    <row r="18" spans="1:10" x14ac:dyDescent="0.3">
      <c r="A18" s="187"/>
      <c r="B18" s="18" t="s">
        <v>533</v>
      </c>
      <c r="C18" s="6">
        <v>8728</v>
      </c>
      <c r="D18" s="2">
        <v>-376</v>
      </c>
      <c r="E18" s="2">
        <v>-38</v>
      </c>
      <c r="F18" s="230"/>
      <c r="G18" s="230">
        <f t="shared" si="0"/>
        <v>-414</v>
      </c>
      <c r="H18" s="233">
        <f t="shared" si="1"/>
        <v>0</v>
      </c>
      <c r="I18" s="240">
        <f>IF(T_T13411121314151617181920212223242526272829303132333536373839404142434445464748495051525354555657585960616263646566676869707172737475767778798081828384858687888990919293949596979899100101102103104105106107108[[#This Row],[Total]]&lt;0,T_T13411121314151617181920212223242526272829303132333536373839404142434445464748495051525354555657585960616263646566676869707172737475767778798081828384858687888990919293949596979899100101102103104105106107108[[#This Row],[Total]]*-1,0)</f>
        <v>414</v>
      </c>
      <c r="J18" s="240"/>
    </row>
    <row r="19" spans="1:10" x14ac:dyDescent="0.3">
      <c r="A19" s="188">
        <v>45747</v>
      </c>
      <c r="B19" s="3" t="s">
        <v>534</v>
      </c>
      <c r="C19" s="6"/>
      <c r="D19" s="2">
        <f>355+60+13</f>
        <v>428</v>
      </c>
      <c r="E19" s="2">
        <v>36</v>
      </c>
      <c r="F19" s="230"/>
      <c r="G19" s="230">
        <f t="shared" si="0"/>
        <v>464</v>
      </c>
      <c r="H19" s="233">
        <f t="shared" si="1"/>
        <v>464</v>
      </c>
      <c r="I19" s="240">
        <f>IF(T_T13411121314151617181920212223242526272829303132333536373839404142434445464748495051525354555657585960616263646566676869707172737475767778798081828384858687888990919293949596979899100101102103104105106107108[[#This Row],[Total]]&lt;0,T_T13411121314151617181920212223242526272829303132333536373839404142434445464748495051525354555657585960616263646566676869707172737475767778798081828384858687888990919293949596979899100101102103104105106107108[[#This Row],[Total]]*-1,0)</f>
        <v>0</v>
      </c>
      <c r="J19" s="240"/>
    </row>
    <row r="20" spans="1:10" x14ac:dyDescent="0.3">
      <c r="A20" s="188"/>
      <c r="B20" s="82" t="s">
        <v>535</v>
      </c>
      <c r="C20" s="6">
        <v>8861</v>
      </c>
      <c r="D20" s="2">
        <v>-428</v>
      </c>
      <c r="E20" s="2">
        <v>-36</v>
      </c>
      <c r="F20" s="230"/>
      <c r="G20" s="230">
        <f t="shared" si="0"/>
        <v>-464</v>
      </c>
      <c r="H20" s="233">
        <f t="shared" si="1"/>
        <v>0</v>
      </c>
      <c r="I20" s="239">
        <f>IF(T_T13411121314151617181920212223242526272829303132333536373839404142434445464748495051525354555657585960616263646566676869707172737475767778798081828384858687888990919293949596979899100101102103104105106107108[[#This Row],[Total]]&lt;0,T_T13411121314151617181920212223242526272829303132333536373839404142434445464748495051525354555657585960616263646566676869707172737475767778798081828384858687888990919293949596979899100101102103104105106107108[[#This Row],[Total]]*-1,0)</f>
        <v>464</v>
      </c>
      <c r="J20" s="239"/>
    </row>
    <row r="21" spans="1:10" x14ac:dyDescent="0.3">
      <c r="A21" s="188">
        <v>45777</v>
      </c>
      <c r="B21" s="3" t="s">
        <v>536</v>
      </c>
      <c r="C21" s="6"/>
      <c r="D21" s="2">
        <v>428</v>
      </c>
      <c r="E21" s="2">
        <v>34</v>
      </c>
      <c r="F21" s="230"/>
      <c r="G21" s="230">
        <f t="shared" si="0"/>
        <v>462</v>
      </c>
      <c r="H21" s="233">
        <f t="shared" si="1"/>
        <v>462</v>
      </c>
      <c r="I21" s="309">
        <f>IF(T_T13411121314151617181920212223242526272829303132333536373839404142434445464748495051525354555657585960616263646566676869707172737475767778798081828384858687888990919293949596979899100101102103104105106107108[[#This Row],[Total]]&lt;0,T_T13411121314151617181920212223242526272829303132333536373839404142434445464748495051525354555657585960616263646566676869707172737475767778798081828384858687888990919293949596979899100101102103104105106107108[[#This Row],[Total]]*-1,0)</f>
        <v>0</v>
      </c>
      <c r="J21" s="309"/>
    </row>
    <row r="22" spans="1:10" x14ac:dyDescent="0.3">
      <c r="A22" s="83"/>
      <c r="B22" s="82" t="s">
        <v>537</v>
      </c>
      <c r="C22" s="6">
        <v>8955</v>
      </c>
      <c r="D22" s="2">
        <v>-428</v>
      </c>
      <c r="E22" s="2">
        <v>-34</v>
      </c>
      <c r="F22" s="230"/>
      <c r="G22" s="230">
        <f t="shared" si="0"/>
        <v>-462</v>
      </c>
      <c r="H22" s="233">
        <f t="shared" si="1"/>
        <v>0</v>
      </c>
      <c r="I22" s="309">
        <f>IF(T_T13411121314151617181920212223242526272829303132333536373839404142434445464748495051525354555657585960616263646566676869707172737475767778798081828384858687888990919293949596979899100101102103104105106107108[[#This Row],[Total]]&lt;0,T_T13411121314151617181920212223242526272829303132333536373839404142434445464748495051525354555657585960616263646566676869707172737475767778798081828384858687888990919293949596979899100101102103104105106107108[[#This Row],[Total]]*-1,0)</f>
        <v>462</v>
      </c>
      <c r="J22" s="309"/>
    </row>
    <row r="23" spans="1:10" x14ac:dyDescent="0.3">
      <c r="A23" s="40">
        <v>45807</v>
      </c>
      <c r="B23" s="3" t="s">
        <v>538</v>
      </c>
      <c r="C23" s="229"/>
      <c r="D23" s="230">
        <v>428</v>
      </c>
      <c r="E23" s="230">
        <v>33</v>
      </c>
      <c r="F23" s="230"/>
      <c r="G23" s="230">
        <f t="shared" si="0"/>
        <v>461</v>
      </c>
      <c r="H23" s="233">
        <f t="shared" si="1"/>
        <v>461</v>
      </c>
      <c r="I23" s="309">
        <f>IF(T_T13411121314151617181920212223242526272829303132333536373839404142434445464748495051525354555657585960616263646566676869707172737475767778798081828384858687888990919293949596979899100101102103104105106107108[[#This Row],[Total]]&lt;0,T_T13411121314151617181920212223242526272829303132333536373839404142434445464748495051525354555657585960616263646566676869707172737475767778798081828384858687888990919293949596979899100101102103104105106107108[[#This Row],[Total]]*-1,0)</f>
        <v>0</v>
      </c>
      <c r="J23" s="309"/>
    </row>
    <row r="24" spans="1:10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461</v>
      </c>
      <c r="I24" s="311">
        <f>IF(T_T13411121314151617181920212223242526272829303132333536373839404142434445464748495051525354555657585960616263646566676869707172737475767778798081828384858687888990919293949596979899100101102103104105106107108[[#This Row],[Total]]&lt;0,T_T13411121314151617181920212223242526272829303132333536373839404142434445464748495051525354555657585960616263646566676869707172737475767778798081828384858687888990919293949596979899100101102103104105106107108[[#This Row],[Total]]*-1,0)</f>
        <v>0</v>
      </c>
      <c r="J24" s="311"/>
    </row>
    <row r="25" spans="1:10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461</v>
      </c>
      <c r="I25" s="309">
        <f>IF(T_T13411121314151617181920212223242526272829303132333536373839404142434445464748495051525354555657585960616263646566676869707172737475767778798081828384858687888990919293949596979899100101102103104105106107108[[#This Row],[Total]]&lt;0,T_T13411121314151617181920212223242526272829303132333536373839404142434445464748495051525354555657585960616263646566676869707172737475767778798081828384858687888990919293949596979899100101102103104105106107108[[#This Row],[Total]]*-1,0)</f>
        <v>0</v>
      </c>
      <c r="J25" s="309"/>
    </row>
    <row r="26" spans="1:10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461</v>
      </c>
      <c r="I26" s="309">
        <f>IF(T_T13411121314151617181920212223242526272829303132333536373839404142434445464748495051525354555657585960616263646566676869707172737475767778798081828384858687888990919293949596979899100101102103104105106107108[[#This Row],[Total]]&lt;0,T_T13411121314151617181920212223242526272829303132333536373839404142434445464748495051525354555657585960616263646566676869707172737475767778798081828384858687888990919293949596979899100101102103104105106107108[[#This Row],[Total]]*-1,0)</f>
        <v>0</v>
      </c>
      <c r="J26" s="309"/>
    </row>
    <row r="27" spans="1:10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461</v>
      </c>
      <c r="I27" s="309">
        <f>IF(T_T13411121314151617181920212223242526272829303132333536373839404142434445464748495051525354555657585960616263646566676869707172737475767778798081828384858687888990919293949596979899100101102103104105106107108[[#This Row],[Total]]&lt;0,T_T13411121314151617181920212223242526272829303132333536373839404142434445464748495051525354555657585960616263646566676869707172737475767778798081828384858687888990919293949596979899100101102103104105106107108[[#This Row],[Total]]*-1,0)</f>
        <v>0</v>
      </c>
      <c r="J27" s="309"/>
    </row>
    <row r="28" spans="1:10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461</v>
      </c>
      <c r="I28" s="311">
        <f>IF(T_T13411121314151617181920212223242526272829303132333536373839404142434445464748495051525354555657585960616263646566676869707172737475767778798081828384858687888990919293949596979899100101102103104105106107108[[#This Row],[Total]]&lt;0,T_T13411121314151617181920212223242526272829303132333536373839404142434445464748495051525354555657585960616263646566676869707172737475767778798081828384858687888990919293949596979899100101102103104105106107108[[#This Row],[Total]]*-1,0)</f>
        <v>0</v>
      </c>
      <c r="J28" s="311"/>
    </row>
    <row r="29" spans="1:10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461</v>
      </c>
      <c r="I29" s="309">
        <f>IF(T_T13411121314151617181920212223242526272829303132333536373839404142434445464748495051525354555657585960616263646566676869707172737475767778798081828384858687888990919293949596979899100101102103104105106107108[[#This Row],[Total]]&lt;0,T_T13411121314151617181920212223242526272829303132333536373839404142434445464748495051525354555657585960616263646566676869707172737475767778798081828384858687888990919293949596979899100101102103104105106107108[[#This Row],[Total]]*-1,0)</f>
        <v>0</v>
      </c>
      <c r="J29" s="309"/>
    </row>
    <row r="30" spans="1:10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461</v>
      </c>
      <c r="I30" s="309">
        <f>IF(T_T13411121314151617181920212223242526272829303132333536373839404142434445464748495051525354555657585960616263646566676869707172737475767778798081828384858687888990919293949596979899100101102103104105106107108[[#This Row],[Total]]&lt;0,T_T13411121314151617181920212223242526272829303132333536373839404142434445464748495051525354555657585960616263646566676869707172737475767778798081828384858687888990919293949596979899100101102103104105106107108[[#This Row],[Total]]*-1,0)</f>
        <v>0</v>
      </c>
      <c r="J30" s="309"/>
    </row>
    <row r="31" spans="1:10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461</v>
      </c>
      <c r="I31" s="309">
        <f>IF(T_T13411121314151617181920212223242526272829303132333536373839404142434445464748495051525354555657585960616263646566676869707172737475767778798081828384858687888990919293949596979899100101102103104105106107108[[#This Row],[Total]]&lt;0,T_T13411121314151617181920212223242526272829303132333536373839404142434445464748495051525354555657585960616263646566676869707172737475767778798081828384858687888990919293949596979899100101102103104105106107108[[#This Row],[Total]]*-1,0)</f>
        <v>0</v>
      </c>
      <c r="J31" s="309"/>
    </row>
    <row r="32" spans="1:10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461</v>
      </c>
      <c r="I32" s="309">
        <f>IF(T_T13411121314151617181920212223242526272829303132333536373839404142434445464748495051525354555657585960616263646566676869707172737475767778798081828384858687888990919293949596979899100101102103104105106107108[[#This Row],[Total]]&lt;0,T_T13411121314151617181920212223242526272829303132333536373839404142434445464748495051525354555657585960616263646566676869707172737475767778798081828384858687888990919293949596979899100101102103104105106107108[[#This Row],[Total]]*-1,0)</f>
        <v>0</v>
      </c>
      <c r="J32" s="309"/>
    </row>
    <row r="33" spans="1:10" x14ac:dyDescent="0.3">
      <c r="A33" s="9">
        <v>45960</v>
      </c>
      <c r="B33" s="3" t="s">
        <v>548</v>
      </c>
      <c r="C33" s="229"/>
      <c r="D33" s="230"/>
      <c r="E33" s="7"/>
      <c r="F33" s="230"/>
      <c r="G33" s="230">
        <f t="shared" si="0"/>
        <v>0</v>
      </c>
      <c r="H33" s="233">
        <f t="shared" si="1"/>
        <v>461</v>
      </c>
      <c r="I33" s="309">
        <f>IF(T_T13411121314151617181920212223242526272829303132333536373839404142434445464748495051525354555657585960616263646566676869707172737475767778798081828384858687888990919293949596979899100101102103104105106107108[[#This Row],[Total]]&lt;0,T_T13411121314151617181920212223242526272829303132333536373839404142434445464748495051525354555657585960616263646566676869707172737475767778798081828384858687888990919293949596979899100101102103104105106107108[[#This Row],[Total]]*-1,0)</f>
        <v>0</v>
      </c>
      <c r="J33" s="309"/>
    </row>
    <row r="34" spans="1:10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461</v>
      </c>
      <c r="I34" s="309">
        <f>IF(T_T13411121314151617181920212223242526272829303132333536373839404142434445464748495051525354555657585960616263646566676869707172737475767778798081828384858687888990919293949596979899100101102103104105106107108[[#This Row],[Total]]&lt;0,T_T13411121314151617181920212223242526272829303132333536373839404142434445464748495051525354555657585960616263646566676869707172737475767778798081828384858687888990919293949596979899100101102103104105106107108[[#This Row],[Total]]*-1,0)</f>
        <v>0</v>
      </c>
      <c r="J34" s="309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461</v>
      </c>
      <c r="I35" s="309">
        <f>IF(T_T13411121314151617181920212223242526272829303132333536373839404142434445464748495051525354555657585960616263646566676869707172737475767778798081828384858687888990919293949596979899100101102103104105106107108[[#This Row],[Total]]&lt;0,T_T13411121314151617181920212223242526272829303132333536373839404142434445464748495051525354555657585960616263646566676869707172737475767778798081828384858687888990919293949596979899100101102103104105106107108[[#This Row],[Total]]*-1,0)</f>
        <v>0</v>
      </c>
      <c r="J35" s="309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461</v>
      </c>
      <c r="I36" s="311">
        <f>IF(T_T13411121314151617181920212223242526272829303132333536373839404142434445464748495051525354555657585960616263646566676869707172737475767778798081828384858687888990919293949596979899100101102103104105106107108[[#This Row],[Total]]&lt;0,T_T13411121314151617181920212223242526272829303132333536373839404142434445464748495051525354555657585960616263646566676869707172737475767778798081828384858687888990919293949596979899100101102103104105106107108[[#This Row],[Total]]*-1,0)</f>
        <v>0</v>
      </c>
      <c r="J36" s="311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461</v>
      </c>
      <c r="I37" s="353">
        <f>IF(T_T13411121314151617181920212223242526272829303132333536373839404142434445464748495051525354555657585960616263646566676869707172737475767778798081828384858687888990919293949596979899100101102103104105106107108[[#This Row],[Total]]&lt;0,T_T13411121314151617181920212223242526272829303132333536373839404142434445464748495051525354555657585960616263646566676869707172737475767778798081828384858687888990919293949596979899100101102103104105106107108[[#This Row],[Total]]*-1,0)</f>
        <v>0</v>
      </c>
      <c r="J37" s="353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461</v>
      </c>
      <c r="I38" s="353">
        <f>IF(T_T13411121314151617181920212223242526272829303132333536373839404142434445464748495051525354555657585960616263646566676869707172737475767778798081828384858687888990919293949596979899100101102103104105106107108[[#This Row],[Total]]&lt;0,T_T13411121314151617181920212223242526272829303132333536373839404142434445464748495051525354555657585960616263646566676869707172737475767778798081828384858687888990919293949596979899100101102103104105106107108[[#This Row],[Total]]*-1,0)</f>
        <v>0</v>
      </c>
      <c r="J38" s="353"/>
    </row>
    <row r="39" spans="1:10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461</v>
      </c>
      <c r="I39" s="353">
        <f>IF(T_T13411121314151617181920212223242526272829303132333536373839404142434445464748495051525354555657585960616263646566676869707172737475767778798081828384858687888990919293949596979899100101102103104105106107108[[#This Row],[Total]]&lt;0,T_T13411121314151617181920212223242526272829303132333536373839404142434445464748495051525354555657585960616263646566676869707172737475767778798081828384858687888990919293949596979899100101102103104105106107108[[#This Row],[Total]]*-1,0)</f>
        <v>0</v>
      </c>
      <c r="J39" s="353"/>
    </row>
    <row r="40" spans="1:10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461</v>
      </c>
      <c r="I40" s="353">
        <f>IF(T_T13411121314151617181920212223242526272829303132333536373839404142434445464748495051525354555657585960616263646566676869707172737475767778798081828384858687888990919293949596979899100101102103104105106107108[[#This Row],[Total]]&lt;0,T_T13411121314151617181920212223242526272829303132333536373839404142434445464748495051525354555657585960616263646566676869707172737475767778798081828384858687888990919293949596979899100101102103104105106107108[[#This Row],[Total]]*-1,0)</f>
        <v>0</v>
      </c>
      <c r="J40" s="353"/>
    </row>
  </sheetData>
  <hyperlinks>
    <hyperlink ref="B7" r:id="rId1" display="jose.orozco@outlook.com"/>
    <hyperlink ref="H7" location="Resumen!A1" display="Rsumen         "/>
  </hyperlinks>
  <pageMargins left="0.39370078740157483" right="0.39370078740157483" top="0.74803149606299213" bottom="0.74803149606299213" header="0.31496062992125984" footer="0.31496062992125984"/>
  <pageSetup scale="75" orientation="portrait" verticalDpi="360" r:id="rId2"/>
  <drawing r:id="rId3"/>
  <tableParts count="1">
    <tablePart r:id="rId4"/>
  </tablePart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M40"/>
  <sheetViews>
    <sheetView showGridLines="0" zoomScale="85" zoomScaleNormal="85" workbookViewId="0">
      <selection activeCell="E25" sqref="E25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0.88671875" bestFit="1" customWidth="1"/>
    <col min="14" max="14" width="20.33203125" customWidth="1"/>
  </cols>
  <sheetData>
    <row r="2" spans="1:13" ht="14.25" customHeight="1" x14ac:dyDescent="0.3">
      <c r="A2" s="27" t="s">
        <v>36</v>
      </c>
      <c r="B2" s="41" t="s">
        <v>157</v>
      </c>
    </row>
    <row r="3" spans="1:13" hidden="1" x14ac:dyDescent="0.3">
      <c r="A3" s="27" t="s">
        <v>31</v>
      </c>
      <c r="B3" s="28" t="e">
        <f>LOOKUP(B2,#REF!,#REF!)</f>
        <v>#REF!</v>
      </c>
    </row>
    <row r="4" spans="1:13" hidden="1" x14ac:dyDescent="0.3">
      <c r="A4" s="27" t="s">
        <v>32</v>
      </c>
      <c r="B4" s="28" t="e">
        <f>LOOKUP(B2,#REF!,#REF!)</f>
        <v>#REF!</v>
      </c>
    </row>
    <row r="5" spans="1:13" hidden="1" x14ac:dyDescent="0.3">
      <c r="A5" s="27" t="s">
        <v>33</v>
      </c>
      <c r="B5" s="28" t="e">
        <f>LOOKUP(B2,#REF!,#REF!)</f>
        <v>#REF!</v>
      </c>
    </row>
    <row r="6" spans="1:13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3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3" x14ac:dyDescent="0.3">
      <c r="A8" s="21"/>
      <c r="B8" s="21" t="s">
        <v>424</v>
      </c>
    </row>
    <row r="9" spans="1:13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13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IF(T_T13411121314151617181920212223242526272829303132333536373839404142434445464748495051525354555657585960616263646566676869707172737475767778798081828384858687888990919293949596979899100101102103104105106107108109[[#This Row],[Total]]&lt;0,T_T13411121314151617181920212223242526272829303132333536373839404142434445464748495051525354555657585960616263646566676869707172737475767778798081828384858687888990919293949596979899100101102103104105106107108109[[#This Row],[Total]]*-1,0)</f>
        <v>0</v>
      </c>
      <c r="M10" s="178"/>
    </row>
    <row r="11" spans="1:13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IF(T_T13411121314151617181920212223242526272829303132333536373839404142434445464748495051525354555657585960616263646566676869707172737475767778798081828384858687888990919293949596979899100101102103104105106107108109[[#This Row],[Total]]&lt;0,T_T13411121314151617181920212223242526272829303132333536373839404142434445464748495051525354555657585960616263646566676869707172737475767778798081828384858687888990919293949596979899100101102103104105106107108109[[#This Row],[Total]]*-1,0)</f>
        <v>0</v>
      </c>
    </row>
    <row r="12" spans="1:13" x14ac:dyDescent="0.3">
      <c r="A12" s="432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IF(T_T13411121314151617181920212223242526272829303132333536373839404142434445464748495051525354555657585960616263646566676869707172737475767778798081828384858687888990919293949596979899100101102103104105106107108109[[#This Row],[Total]]&lt;0,T_T13411121314151617181920212223242526272829303132333536373839404142434445464748495051525354555657585960616263646566676869707172737475767778798081828384858687888990919293949596979899100101102103104105106107108109[[#This Row],[Total]]*-1,0)</f>
        <v>0</v>
      </c>
    </row>
    <row r="13" spans="1:13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IF(T_T13411121314151617181920212223242526272829303132333536373839404142434445464748495051525354555657585960616263646566676869707172737475767778798081828384858687888990919293949596979899100101102103104105106107108109[[#This Row],[Total]]&lt;0,T_T13411121314151617181920212223242526272829303132333536373839404142434445464748495051525354555657585960616263646566676869707172737475767778798081828384858687888990919293949596979899100101102103104105106107108109[[#This Row],[Total]]*-1,0)</f>
        <v>0</v>
      </c>
    </row>
    <row r="14" spans="1:13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IF(T_T13411121314151617181920212223242526272829303132333536373839404142434445464748495051525354555657585960616263646566676869707172737475767778798081828384858687888990919293949596979899100101102103104105106107108109[[#This Row],[Total]]&lt;0,T_T13411121314151617181920212223242526272829303132333536373839404142434445464748495051525354555657585960616263646566676869707172737475767778798081828384858687888990919293949596979899100101102103104105106107108109[[#This Row],[Total]]*-1,0)</f>
        <v>0</v>
      </c>
    </row>
    <row r="15" spans="1:13" x14ac:dyDescent="0.3">
      <c r="A15" s="17">
        <v>46052</v>
      </c>
      <c r="B15" s="18" t="s">
        <v>590</v>
      </c>
      <c r="C15" s="6"/>
      <c r="D15" s="2">
        <v>141</v>
      </c>
      <c r="E15" s="2">
        <v>17</v>
      </c>
      <c r="F15" s="20"/>
      <c r="G15" s="20">
        <f>SUM(D15:F15)</f>
        <v>158</v>
      </c>
      <c r="H15" s="233">
        <f>+H13+T_T13411121314151617181920212223242526272829303132333536373839404142434445464748495051525354555657585960616263646566676869707172737475767778798081828384858687888990919293949596979899100101102103104105106107108109[[#This Row],[Total]]</f>
        <v>158</v>
      </c>
      <c r="I15" s="240">
        <f>IF(T_T13411121314151617181920212223242526272829303132333536373839404142434445464748495051525354555657585960616263646566676869707172737475767778798081828384858687888990919293949596979899100101102103104105106107108109[[#This Row],[Total]]&lt;0,T_T13411121314151617181920212223242526272829303132333536373839404142434445464748495051525354555657585960616263646566676869707172737475767778798081828384858687888990919293949596979899100101102103104105106107108109[[#This Row],[Total]]*-1,0)</f>
        <v>0</v>
      </c>
    </row>
    <row r="16" spans="1:13" x14ac:dyDescent="0.3">
      <c r="A16" s="17"/>
      <c r="B16" s="18" t="s">
        <v>591</v>
      </c>
      <c r="C16" s="6">
        <v>8687</v>
      </c>
      <c r="D16" s="2">
        <v>-141</v>
      </c>
      <c r="E16" s="2">
        <v>-17</v>
      </c>
      <c r="F16" s="230"/>
      <c r="G16" s="230">
        <f t="shared" ref="G16:G38" si="0">SUM(D16:F16)</f>
        <v>-158</v>
      </c>
      <c r="H16" s="233">
        <f t="shared" ref="H16:H40" si="1">H15+G16</f>
        <v>0</v>
      </c>
      <c r="I16" s="239">
        <f>IF(T_T13411121314151617181920212223242526272829303132333536373839404142434445464748495051525354555657585960616263646566676869707172737475767778798081828384858687888990919293949596979899100101102103104105106107108109[[#This Row],[Total]]&lt;0,T_T13411121314151617181920212223242526272829303132333536373839404142434445464748495051525354555657585960616263646566676869707172737475767778798081828384858687888990919293949596979899100101102103104105106107108109[[#This Row],[Total]]*-1,0)</f>
        <v>158</v>
      </c>
    </row>
    <row r="17" spans="1:9" x14ac:dyDescent="0.3">
      <c r="A17" s="164">
        <v>45715</v>
      </c>
      <c r="B17" s="161" t="s">
        <v>532</v>
      </c>
      <c r="C17" s="6"/>
      <c r="D17" s="2">
        <v>141</v>
      </c>
      <c r="E17" s="2">
        <v>11</v>
      </c>
      <c r="F17" s="230"/>
      <c r="G17" s="230">
        <f t="shared" si="0"/>
        <v>152</v>
      </c>
      <c r="H17" s="233">
        <f t="shared" si="1"/>
        <v>152</v>
      </c>
      <c r="I17" s="240">
        <f>IF(T_T13411121314151617181920212223242526272829303132333536373839404142434445464748495051525354555657585960616263646566676869707172737475767778798081828384858687888990919293949596979899100101102103104105106107108109[[#This Row],[Total]]&lt;0,T_T13411121314151617181920212223242526272829303132333536373839404142434445464748495051525354555657585960616263646566676869707172737475767778798081828384858687888990919293949596979899100101102103104105106107108109[[#This Row],[Total]]*-1,0)</f>
        <v>0</v>
      </c>
    </row>
    <row r="18" spans="1:9" x14ac:dyDescent="0.3">
      <c r="A18" s="187"/>
      <c r="B18" s="18" t="s">
        <v>533</v>
      </c>
      <c r="C18" s="6">
        <v>8687</v>
      </c>
      <c r="D18" s="2">
        <v>-141</v>
      </c>
      <c r="E18" s="2">
        <v>-11</v>
      </c>
      <c r="F18" s="230"/>
      <c r="G18" s="230">
        <f t="shared" si="0"/>
        <v>-152</v>
      </c>
      <c r="H18" s="233">
        <f t="shared" si="1"/>
        <v>0</v>
      </c>
      <c r="I18" s="240">
        <f>IF(T_T13411121314151617181920212223242526272829303132333536373839404142434445464748495051525354555657585960616263646566676869707172737475767778798081828384858687888990919293949596979899100101102103104105106107108109[[#This Row],[Total]]&lt;0,T_T13411121314151617181920212223242526272829303132333536373839404142434445464748495051525354555657585960616263646566676869707172737475767778798081828384858687888990919293949596979899100101102103104105106107108109[[#This Row],[Total]]*-1,0)</f>
        <v>152</v>
      </c>
    </row>
    <row r="19" spans="1:9" x14ac:dyDescent="0.3">
      <c r="A19" s="188">
        <v>45747</v>
      </c>
      <c r="B19" s="3" t="s">
        <v>534</v>
      </c>
      <c r="C19" s="6"/>
      <c r="D19" s="2">
        <f>115+46</f>
        <v>161</v>
      </c>
      <c r="E19" s="2">
        <v>25</v>
      </c>
      <c r="F19" s="230"/>
      <c r="G19" s="230">
        <f t="shared" si="0"/>
        <v>186</v>
      </c>
      <c r="H19" s="233">
        <f t="shared" si="1"/>
        <v>186</v>
      </c>
      <c r="I19" s="240">
        <f>IF(T_T13411121314151617181920212223242526272829303132333536373839404142434445464748495051525354555657585960616263646566676869707172737475767778798081828384858687888990919293949596979899100101102103104105106107108109[[#This Row],[Total]]&lt;0,T_T13411121314151617181920212223242526272829303132333536373839404142434445464748495051525354555657585960616263646566676869707172737475767778798081828384858687888990919293949596979899100101102103104105106107108109[[#This Row],[Total]]*-1,0)</f>
        <v>0</v>
      </c>
    </row>
    <row r="20" spans="1:9" x14ac:dyDescent="0.3">
      <c r="A20" s="188"/>
      <c r="B20" s="82" t="s">
        <v>535</v>
      </c>
      <c r="C20" s="6">
        <v>8779</v>
      </c>
      <c r="D20" s="2">
        <v>-115</v>
      </c>
      <c r="E20" s="2">
        <v>-25</v>
      </c>
      <c r="F20" s="230"/>
      <c r="G20" s="230">
        <f t="shared" si="0"/>
        <v>-140</v>
      </c>
      <c r="H20" s="233">
        <f t="shared" si="1"/>
        <v>46</v>
      </c>
      <c r="I20" s="239">
        <f>IF(T_T13411121314151617181920212223242526272829303132333536373839404142434445464748495051525354555657585960616263646566676869707172737475767778798081828384858687888990919293949596979899100101102103104105106107108109[[#This Row],[Total]]&lt;0,T_T13411121314151617181920212223242526272829303132333536373839404142434445464748495051525354555657585960616263646566676869707172737475767778798081828384858687888990919293949596979899100101102103104105106107108109[[#This Row],[Total]]*-1,0)</f>
        <v>140</v>
      </c>
    </row>
    <row r="21" spans="1:9" x14ac:dyDescent="0.3">
      <c r="A21" s="188">
        <v>45777</v>
      </c>
      <c r="B21" s="3" t="s">
        <v>536</v>
      </c>
      <c r="C21" s="6"/>
      <c r="D21" s="2">
        <v>161</v>
      </c>
      <c r="E21" s="2">
        <v>49</v>
      </c>
      <c r="F21" s="230"/>
      <c r="G21" s="230">
        <f t="shared" si="0"/>
        <v>210</v>
      </c>
      <c r="H21" s="233">
        <f t="shared" si="1"/>
        <v>256</v>
      </c>
      <c r="I21" s="309">
        <f>IF(T_T13411121314151617181920212223242526272829303132333536373839404142434445464748495051525354555657585960616263646566676869707172737475767778798081828384858687888990919293949596979899100101102103104105106107108109[[#This Row],[Total]]&lt;0,T_T13411121314151617181920212223242526272829303132333536373839404142434445464748495051525354555657585960616263646566676869707172737475767778798081828384858687888990919293949596979899100101102103104105106107108109[[#This Row],[Total]]*-1,0)</f>
        <v>0</v>
      </c>
    </row>
    <row r="22" spans="1:9" x14ac:dyDescent="0.3">
      <c r="A22" s="83"/>
      <c r="B22" s="82" t="s">
        <v>537</v>
      </c>
      <c r="C22" s="6">
        <v>8868</v>
      </c>
      <c r="D22" s="2">
        <v>-115</v>
      </c>
      <c r="E22" s="2">
        <v>-49</v>
      </c>
      <c r="F22" s="230"/>
      <c r="G22" s="230">
        <f t="shared" si="0"/>
        <v>-164</v>
      </c>
      <c r="H22" s="233">
        <f t="shared" si="1"/>
        <v>92</v>
      </c>
      <c r="I22" s="309">
        <f>IF(T_T13411121314151617181920212223242526272829303132333536373839404142434445464748495051525354555657585960616263646566676869707172737475767778798081828384858687888990919293949596979899100101102103104105106107108109[[#This Row],[Total]]&lt;0,T_T13411121314151617181920212223242526272829303132333536373839404142434445464748495051525354555657585960616263646566676869707172737475767778798081828384858687888990919293949596979899100101102103104105106107108109[[#This Row],[Total]]*-1,0)</f>
        <v>164</v>
      </c>
    </row>
    <row r="23" spans="1:9" x14ac:dyDescent="0.3">
      <c r="A23" s="40">
        <v>45807</v>
      </c>
      <c r="B23" s="3" t="s">
        <v>538</v>
      </c>
      <c r="C23" s="229"/>
      <c r="D23" s="230">
        <v>161</v>
      </c>
      <c r="E23" s="230">
        <v>47</v>
      </c>
      <c r="F23" s="230"/>
      <c r="G23" s="230">
        <f t="shared" si="0"/>
        <v>208</v>
      </c>
      <c r="H23" s="233">
        <f t="shared" si="1"/>
        <v>300</v>
      </c>
      <c r="I23" s="309">
        <f>IF(T_T13411121314151617181920212223242526272829303132333536373839404142434445464748495051525354555657585960616263646566676869707172737475767778798081828384858687888990919293949596979899100101102103104105106107108109[[#This Row],[Total]]&lt;0,T_T13411121314151617181920212223242526272829303132333536373839404142434445464748495051525354555657585960616263646566676869707172737475767778798081828384858687888990919293949596979899100101102103104105106107108109[[#This Row],[Total]]*-1,0)</f>
        <v>0</v>
      </c>
    </row>
    <row r="24" spans="1:9" x14ac:dyDescent="0.3">
      <c r="A24" s="9"/>
      <c r="B24" s="18" t="s">
        <v>539</v>
      </c>
      <c r="C24" s="6">
        <v>8969</v>
      </c>
      <c r="D24" s="230">
        <v>-115</v>
      </c>
      <c r="E24" s="230">
        <v>-47</v>
      </c>
      <c r="F24" s="230"/>
      <c r="G24" s="230">
        <f t="shared" si="0"/>
        <v>-162</v>
      </c>
      <c r="H24" s="233">
        <f t="shared" si="1"/>
        <v>138</v>
      </c>
      <c r="I24" s="309">
        <f>IF(T_T13411121314151617181920212223242526272829303132333536373839404142434445464748495051525354555657585960616263646566676869707172737475767778798081828384858687888990919293949596979899100101102103104105106107108109[[#This Row],[Total]]&lt;0,T_T13411121314151617181920212223242526272829303132333536373839404142434445464748495051525354555657585960616263646566676869707172737475767778798081828384858687888990919293949596979899100101102103104105106107108109[[#This Row],[Total]]*-1,0)</f>
        <v>162</v>
      </c>
    </row>
    <row r="25" spans="1:9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138</v>
      </c>
      <c r="I25" s="309">
        <f>IF(T_T13411121314151617181920212223242526272829303132333536373839404142434445464748495051525354555657585960616263646566676869707172737475767778798081828384858687888990919293949596979899100101102103104105106107108109[[#This Row],[Total]]&lt;0,T_T13411121314151617181920212223242526272829303132333536373839404142434445464748495051525354555657585960616263646566676869707172737475767778798081828384858687888990919293949596979899100101102103104105106107108109[[#This Row],[Total]]*-1,0)</f>
        <v>0</v>
      </c>
    </row>
    <row r="26" spans="1:9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138</v>
      </c>
      <c r="I26" s="311">
        <f>IF(T_T13411121314151617181920212223242526272829303132333536373839404142434445464748495051525354555657585960616263646566676869707172737475767778798081828384858687888990919293949596979899100101102103104105106107108109[[#This Row],[Total]]&lt;0,T_T13411121314151617181920212223242526272829303132333536373839404142434445464748495051525354555657585960616263646566676869707172737475767778798081828384858687888990919293949596979899100101102103104105106107108109[[#This Row],[Total]]*-1,0)</f>
        <v>0</v>
      </c>
    </row>
    <row r="27" spans="1:9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138</v>
      </c>
      <c r="I27" s="309">
        <f>IF(T_T13411121314151617181920212223242526272829303132333536373839404142434445464748495051525354555657585960616263646566676869707172737475767778798081828384858687888990919293949596979899100101102103104105106107108109[[#This Row],[Total]]&lt;0,T_T13411121314151617181920212223242526272829303132333536373839404142434445464748495051525354555657585960616263646566676869707172737475767778798081828384858687888990919293949596979899100101102103104105106107108109[[#This Row],[Total]]*-1,0)</f>
        <v>0</v>
      </c>
    </row>
    <row r="28" spans="1:9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138</v>
      </c>
      <c r="I28" s="309">
        <f>IF(T_T13411121314151617181920212223242526272829303132333536373839404142434445464748495051525354555657585960616263646566676869707172737475767778798081828384858687888990919293949596979899100101102103104105106107108109[[#This Row],[Total]]&lt;0,T_T13411121314151617181920212223242526272829303132333536373839404142434445464748495051525354555657585960616263646566676869707172737475767778798081828384858687888990919293949596979899100101102103104105106107108109[[#This Row],[Total]]*-1,0)</f>
        <v>0</v>
      </c>
    </row>
    <row r="29" spans="1:9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138</v>
      </c>
      <c r="I29" s="309">
        <f>IF(T_T13411121314151617181920212223242526272829303132333536373839404142434445464748495051525354555657585960616263646566676869707172737475767778798081828384858687888990919293949596979899100101102103104105106107108109[[#This Row],[Total]]&lt;0,T_T13411121314151617181920212223242526272829303132333536373839404142434445464748495051525354555657585960616263646566676869707172737475767778798081828384858687888990919293949596979899100101102103104105106107108109[[#This Row],[Total]]*-1,0)</f>
        <v>0</v>
      </c>
    </row>
    <row r="30" spans="1:9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138</v>
      </c>
      <c r="I30" s="311">
        <f>IF(T_T13411121314151617181920212223242526272829303132333536373839404142434445464748495051525354555657585960616263646566676869707172737475767778798081828384858687888990919293949596979899100101102103104105106107108109[[#This Row],[Total]]&lt;0,T_T13411121314151617181920212223242526272829303132333536373839404142434445464748495051525354555657585960616263646566676869707172737475767778798081828384858687888990919293949596979899100101102103104105106107108109[[#This Row],[Total]]*-1,0)</f>
        <v>0</v>
      </c>
    </row>
    <row r="31" spans="1:9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138</v>
      </c>
      <c r="I31" s="309">
        <f>IF(T_T13411121314151617181920212223242526272829303132333536373839404142434445464748495051525354555657585960616263646566676869707172737475767778798081828384858687888990919293949596979899100101102103104105106107108109[[#This Row],[Total]]&lt;0,T_T13411121314151617181920212223242526272829303132333536373839404142434445464748495051525354555657585960616263646566676869707172737475767778798081828384858687888990919293949596979899100101102103104105106107108109[[#This Row],[Total]]*-1,0)</f>
        <v>0</v>
      </c>
    </row>
    <row r="32" spans="1:9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138</v>
      </c>
      <c r="I32" s="309">
        <f>IF(T_T13411121314151617181920212223242526272829303132333536373839404142434445464748495051525354555657585960616263646566676869707172737475767778798081828384858687888990919293949596979899100101102103104105106107108109[[#This Row],[Total]]&lt;0,T_T13411121314151617181920212223242526272829303132333536373839404142434445464748495051525354555657585960616263646566676869707172737475767778798081828384858687888990919293949596979899100101102103104105106107108109[[#This Row],[Total]]*-1,0)</f>
        <v>0</v>
      </c>
    </row>
    <row r="33" spans="1:9" x14ac:dyDescent="0.3">
      <c r="A33" s="9">
        <v>45960</v>
      </c>
      <c r="B33" s="3" t="s">
        <v>548</v>
      </c>
      <c r="C33" s="229"/>
      <c r="D33" s="7"/>
      <c r="E33" s="230"/>
      <c r="F33" s="230"/>
      <c r="G33" s="230">
        <f t="shared" si="0"/>
        <v>0</v>
      </c>
      <c r="H33" s="233">
        <f t="shared" si="1"/>
        <v>138</v>
      </c>
      <c r="I33" s="309">
        <f>IF(T_T13411121314151617181920212223242526272829303132333536373839404142434445464748495051525354555657585960616263646566676869707172737475767778798081828384858687888990919293949596979899100101102103104105106107108109[[#This Row],[Total]]&lt;0,T_T13411121314151617181920212223242526272829303132333536373839404142434445464748495051525354555657585960616263646566676869707172737475767778798081828384858687888990919293949596979899100101102103104105106107108109[[#This Row],[Total]]*-1,0)</f>
        <v>0</v>
      </c>
    </row>
    <row r="34" spans="1:9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138</v>
      </c>
      <c r="I34" s="309">
        <f>IF(T_T13411121314151617181920212223242526272829303132333536373839404142434445464748495051525354555657585960616263646566676869707172737475767778798081828384858687888990919293949596979899100101102103104105106107108109[[#This Row],[Total]]&lt;0,T_T13411121314151617181920212223242526272829303132333536373839404142434445464748495051525354555657585960616263646566676869707172737475767778798081828384858687888990919293949596979899100101102103104105106107108109[[#This Row],[Total]]*-1,0)</f>
        <v>0</v>
      </c>
    </row>
    <row r="35" spans="1:9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138</v>
      </c>
      <c r="I35" s="309">
        <f>IF(T_T13411121314151617181920212223242526272829303132333536373839404142434445464748495051525354555657585960616263646566676869707172737475767778798081828384858687888990919293949596979899100101102103104105106107108109[[#This Row],[Total]]&lt;0,T_T13411121314151617181920212223242526272829303132333536373839404142434445464748495051525354555657585960616263646566676869707172737475767778798081828384858687888990919293949596979899100101102103104105106107108109[[#This Row],[Total]]*-1,0)</f>
        <v>0</v>
      </c>
    </row>
    <row r="36" spans="1:9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138</v>
      </c>
      <c r="I36" s="309">
        <f>IF(T_T13411121314151617181920212223242526272829303132333536373839404142434445464748495051525354555657585960616263646566676869707172737475767778798081828384858687888990919293949596979899100101102103104105106107108109[[#This Row],[Total]]&lt;0,T_T13411121314151617181920212223242526272829303132333536373839404142434445464748495051525354555657585960616263646566676869707172737475767778798081828384858687888990919293949596979899100101102103104105106107108109[[#This Row],[Total]]*-1,0)</f>
        <v>0</v>
      </c>
    </row>
    <row r="37" spans="1:9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138</v>
      </c>
      <c r="I37" s="309">
        <f>IF(T_T13411121314151617181920212223242526272829303132333536373839404142434445464748495051525354555657585960616263646566676869707172737475767778798081828384858687888990919293949596979899100101102103104105106107108109[[#This Row],[Total]]&lt;0,T_T13411121314151617181920212223242526272829303132333536373839404142434445464748495051525354555657585960616263646566676869707172737475767778798081828384858687888990919293949596979899100101102103104105106107108109[[#This Row],[Total]]*-1,0)</f>
        <v>0</v>
      </c>
    </row>
    <row r="38" spans="1:9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138</v>
      </c>
      <c r="I38" s="311">
        <f>IF(T_T13411121314151617181920212223242526272829303132333536373839404142434445464748495051525354555657585960616263646566676869707172737475767778798081828384858687888990919293949596979899100101102103104105106107108109[[#This Row],[Total]]&lt;0,T_T13411121314151617181920212223242526272829303132333536373839404142434445464748495051525354555657585960616263646566676869707172737475767778798081828384858687888990919293949596979899100101102103104105106107108109[[#This Row],[Total]]*-1,0)</f>
        <v>0</v>
      </c>
    </row>
    <row r="39" spans="1:9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138</v>
      </c>
      <c r="I39" s="353">
        <f>IF(T_T13411121314151617181920212223242526272829303132333536373839404142434445464748495051525354555657585960616263646566676869707172737475767778798081828384858687888990919293949596979899100101102103104105106107108109[[#This Row],[Total]]&lt;0,T_T13411121314151617181920212223242526272829303132333536373839404142434445464748495051525354555657585960616263646566676869707172737475767778798081828384858687888990919293949596979899100101102103104105106107108109[[#This Row],[Total]]*-1,0)</f>
        <v>0</v>
      </c>
    </row>
    <row r="40" spans="1:9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138</v>
      </c>
      <c r="I40" s="353">
        <f>IF(T_T13411121314151617181920212223242526272829303132333536373839404142434445464748495051525354555657585960616263646566676869707172737475767778798081828384858687888990919293949596979899100101102103104105106107108109[[#This Row],[Total]]&lt;0,T_T13411121314151617181920212223242526272829303132333536373839404142434445464748495051525354555657585960616263646566676869707172737475767778798081828384858687888990919293949596979899100101102103104105106107108109[[#This Row],[Total]]*-1,0)</f>
        <v>0</v>
      </c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orientation="portrait" verticalDpi="360" r:id="rId2"/>
  <drawing r:id="rId3"/>
  <tableParts count="1">
    <tablePart r:id="rId4"/>
  </tablePart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R43"/>
  <sheetViews>
    <sheetView showGridLines="0" topLeftCell="A8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1.33203125" bestFit="1" customWidth="1"/>
    <col min="14" max="14" width="12" customWidth="1"/>
    <col min="15" max="15" width="17.109375" customWidth="1"/>
    <col min="17" max="17" width="0.109375" customWidth="1"/>
  </cols>
  <sheetData>
    <row r="2" spans="1:18" ht="14.25" customHeight="1" x14ac:dyDescent="0.3">
      <c r="A2" s="27" t="s">
        <v>36</v>
      </c>
      <c r="B2" s="41" t="s">
        <v>158</v>
      </c>
    </row>
    <row r="3" spans="1:18" hidden="1" x14ac:dyDescent="0.3">
      <c r="A3" s="27" t="s">
        <v>31</v>
      </c>
      <c r="B3" s="28" t="e">
        <f>LOOKUP(B2,#REF!,#REF!)</f>
        <v>#REF!</v>
      </c>
    </row>
    <row r="4" spans="1:18" hidden="1" x14ac:dyDescent="0.3">
      <c r="A4" s="27" t="s">
        <v>32</v>
      </c>
      <c r="B4" s="28" t="e">
        <f>LOOKUP(B2,#REF!,#REF!)</f>
        <v>#REF!</v>
      </c>
    </row>
    <row r="5" spans="1:18" hidden="1" x14ac:dyDescent="0.3">
      <c r="A5" s="27" t="s">
        <v>33</v>
      </c>
      <c r="B5" s="28" t="e">
        <f>LOOKUP(B2,#REF!,#REF!)</f>
        <v>#REF!</v>
      </c>
    </row>
    <row r="6" spans="1:18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8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8" x14ac:dyDescent="0.3">
      <c r="A8" s="21"/>
      <c r="B8" s="21" t="s">
        <v>370</v>
      </c>
    </row>
    <row r="9" spans="1:18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96" t="s">
        <v>188</v>
      </c>
      <c r="M9" s="3"/>
      <c r="N9" s="3"/>
      <c r="O9" s="3"/>
      <c r="P9" s="3"/>
      <c r="Q9" s="3"/>
      <c r="R9" s="3"/>
    </row>
    <row r="10" spans="1:18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IF(T_T13411121314151617181920212223242526272829303132333536373839404142434445464748495051525354555657585960616263646566676869707172737475767778798081828384858687888990919293949596979899100101102103104105106107108109110[[#This Row],[Total]]&lt;0,T_T13411121314151617181920212223242526272829303132333536373839404142434445464748495051525354555657585960616263646566676869707172737475767778798081828384858687888990919293949596979899100101102103104105106107108109110[[#This Row],[Total]]*-1,0)</f>
        <v>0</v>
      </c>
      <c r="J10" s="213"/>
      <c r="K10" s="63"/>
      <c r="L10" s="63"/>
      <c r="N10" s="178"/>
    </row>
    <row r="11" spans="1:18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IF(T_T13411121314151617181920212223242526272829303132333536373839404142434445464748495051525354555657585960616263646566676869707172737475767778798081828384858687888990919293949596979899100101102103104105106107108109110[[#This Row],[Total]]&lt;0,T_T13411121314151617181920212223242526272829303132333536373839404142434445464748495051525354555657585960616263646566676869707172737475767778798081828384858687888990919293949596979899100101102103104105106107108109110[[#This Row],[Total]]*-1,0)</f>
        <v>0</v>
      </c>
      <c r="J11" s="240"/>
    </row>
    <row r="12" spans="1:18" x14ac:dyDescent="0.3">
      <c r="A12" s="361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IF(T_T13411121314151617181920212223242526272829303132333536373839404142434445464748495051525354555657585960616263646566676869707172737475767778798081828384858687888990919293949596979899100101102103104105106107108109110[[#This Row],[Total]]&lt;0,T_T13411121314151617181920212223242526272829303132333536373839404142434445464748495051525354555657585960616263646566676869707172737475767778798081828384858687888990919293949596979899100101102103104105106107108109110[[#This Row],[Total]]*-1,0)</f>
        <v>0</v>
      </c>
      <c r="J12" s="430"/>
    </row>
    <row r="13" spans="1:18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IF(T_T13411121314151617181920212223242526272829303132333536373839404142434445464748495051525354555657585960616263646566676869707172737475767778798081828384858687888990919293949596979899100101102103104105106107108109110[[#This Row],[Total]]&lt;0,T_T13411121314151617181920212223242526272829303132333536373839404142434445464748495051525354555657585960616263646566676869707172737475767778798081828384858687888990919293949596979899100101102103104105106107108109110[[#This Row],[Total]]*-1,0)</f>
        <v>0</v>
      </c>
      <c r="J13" s="240"/>
    </row>
    <row r="14" spans="1:18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IF(T_T13411121314151617181920212223242526272829303132333536373839404142434445464748495051525354555657585960616263646566676869707172737475767778798081828384858687888990919293949596979899100101102103104105106107108109110[[#This Row],[Total]]&lt;0,T_T13411121314151617181920212223242526272829303132333536373839404142434445464748495051525354555657585960616263646566676869707172737475767778798081828384858687888990919293949596979899100101102103104105106107108109110[[#This Row],[Total]]*-1,0)</f>
        <v>0</v>
      </c>
      <c r="J14" s="473"/>
    </row>
    <row r="15" spans="1:18" x14ac:dyDescent="0.3">
      <c r="A15" s="17">
        <v>45687</v>
      </c>
      <c r="B15" s="18" t="s">
        <v>530</v>
      </c>
      <c r="C15" s="6"/>
      <c r="D15" s="2">
        <v>88</v>
      </c>
      <c r="E15" s="2">
        <v>0</v>
      </c>
      <c r="F15" s="20"/>
      <c r="G15" s="20">
        <f>SUM(D15:F15)</f>
        <v>88</v>
      </c>
      <c r="H15" s="233">
        <f>+H13+T_T13411121314151617181920212223242526272829303132333536373839404142434445464748495051525354555657585960616263646566676869707172737475767778798081828384858687888990919293949596979899100101102103104105106107108109110[[#This Row],[Total]]</f>
        <v>88</v>
      </c>
      <c r="I15" s="240">
        <f>IF(T_T13411121314151617181920212223242526272829303132333536373839404142434445464748495051525354555657585960616263646566676869707172737475767778798081828384858687888990919293949596979899100101102103104105106107108109110[[#This Row],[Total]]&lt;0,T_T13411121314151617181920212223242526272829303132333536373839404142434445464748495051525354555657585960616263646566676869707172737475767778798081828384858687888990919293949596979899100101102103104105106107108109110[[#This Row],[Total]]*-1,0)</f>
        <v>0</v>
      </c>
      <c r="J15" s="240"/>
    </row>
    <row r="16" spans="1:18" x14ac:dyDescent="0.3">
      <c r="A16" s="17"/>
      <c r="B16" s="18" t="s">
        <v>531</v>
      </c>
      <c r="C16" s="6">
        <v>8672</v>
      </c>
      <c r="D16" s="2">
        <v>-88</v>
      </c>
      <c r="E16" s="2"/>
      <c r="F16" s="230"/>
      <c r="G16" s="230">
        <f t="shared" ref="G16:G38" si="0">SUM(D16:F16)</f>
        <v>-88</v>
      </c>
      <c r="H16" s="233">
        <f t="shared" ref="H16:H40" si="1">H15+G16</f>
        <v>0</v>
      </c>
      <c r="I16" s="240">
        <f>IF(T_T13411121314151617181920212223242526272829303132333536373839404142434445464748495051525354555657585960616263646566676869707172737475767778798081828384858687888990919293949596979899100101102103104105106107108109110[[#This Row],[Total]]&lt;0,T_T13411121314151617181920212223242526272829303132333536373839404142434445464748495051525354555657585960616263646566676869707172737475767778798081828384858687888990919293949596979899100101102103104105106107108109110[[#This Row],[Total]]*-1,0)</f>
        <v>88</v>
      </c>
      <c r="J16" s="240"/>
    </row>
    <row r="17" spans="1:10" x14ac:dyDescent="0.3">
      <c r="A17" s="164">
        <v>45715</v>
      </c>
      <c r="B17" s="161" t="s">
        <v>532</v>
      </c>
      <c r="C17" s="6"/>
      <c r="D17" s="2">
        <v>88</v>
      </c>
      <c r="E17" s="2"/>
      <c r="F17" s="230"/>
      <c r="G17" s="230">
        <f t="shared" si="0"/>
        <v>88</v>
      </c>
      <c r="H17" s="233">
        <f t="shared" si="1"/>
        <v>88</v>
      </c>
      <c r="I17" s="240">
        <f>IF(T_T13411121314151617181920212223242526272829303132333536373839404142434445464748495051525354555657585960616263646566676869707172737475767778798081828384858687888990919293949596979899100101102103104105106107108109110[[#This Row],[Total]]&lt;0,T_T13411121314151617181920212223242526272829303132333536373839404142434445464748495051525354555657585960616263646566676869707172737475767778798081828384858687888990919293949596979899100101102103104105106107108109110[[#This Row],[Total]]*-1,0)</f>
        <v>0</v>
      </c>
      <c r="J17" s="240"/>
    </row>
    <row r="18" spans="1:10" x14ac:dyDescent="0.3">
      <c r="A18" s="187"/>
      <c r="B18" s="18" t="s">
        <v>533</v>
      </c>
      <c r="C18" s="6">
        <v>8672</v>
      </c>
      <c r="D18" s="2">
        <v>-88</v>
      </c>
      <c r="E18" s="2"/>
      <c r="F18" s="230"/>
      <c r="G18" s="230">
        <f t="shared" si="0"/>
        <v>-88</v>
      </c>
      <c r="H18" s="233">
        <f t="shared" si="1"/>
        <v>0</v>
      </c>
      <c r="I18" s="240">
        <f>IF(T_T13411121314151617181920212223242526272829303132333536373839404142434445464748495051525354555657585960616263646566676869707172737475767778798081828384858687888990919293949596979899100101102103104105106107108109110[[#This Row],[Total]]&lt;0,T_T13411121314151617181920212223242526272829303132333536373839404142434445464748495051525354555657585960616263646566676869707172737475767778798081828384858687888990919293949596979899100101102103104105106107108109110[[#This Row],[Total]]*-1,0)</f>
        <v>88</v>
      </c>
      <c r="J18" s="240"/>
    </row>
    <row r="19" spans="1:10" x14ac:dyDescent="0.3">
      <c r="A19" s="188">
        <v>45747</v>
      </c>
      <c r="B19" s="3" t="s">
        <v>534</v>
      </c>
      <c r="C19" s="6"/>
      <c r="D19" s="2">
        <v>101</v>
      </c>
      <c r="E19" s="472"/>
      <c r="F19" s="230"/>
      <c r="G19" s="230">
        <f t="shared" si="0"/>
        <v>101</v>
      </c>
      <c r="H19" s="233">
        <f t="shared" si="1"/>
        <v>101</v>
      </c>
      <c r="I19" s="240">
        <f>IF(T_T13411121314151617181920212223242526272829303132333536373839404142434445464748495051525354555657585960616263646566676869707172737475767778798081828384858687888990919293949596979899100101102103104105106107108109110[[#This Row],[Total]]&lt;0,T_T13411121314151617181920212223242526272829303132333536373839404142434445464748495051525354555657585960616263646566676869707172737475767778798081828384858687888990919293949596979899100101102103104105106107108109110[[#This Row],[Total]]*-1,0)</f>
        <v>0</v>
      </c>
      <c r="J19" s="240"/>
    </row>
    <row r="20" spans="1:10" x14ac:dyDescent="0.3">
      <c r="A20" s="188"/>
      <c r="B20" s="82" t="s">
        <v>535</v>
      </c>
      <c r="C20" s="6"/>
      <c r="D20" s="2"/>
      <c r="E20" s="2"/>
      <c r="F20" s="230"/>
      <c r="G20" s="230">
        <f t="shared" si="0"/>
        <v>0</v>
      </c>
      <c r="H20" s="233">
        <f t="shared" si="1"/>
        <v>101</v>
      </c>
      <c r="I20" s="240">
        <f>IF(T_T13411121314151617181920212223242526272829303132333536373839404142434445464748495051525354555657585960616263646566676869707172737475767778798081828384858687888990919293949596979899100101102103104105106107108109110[[#This Row],[Total]]&lt;0,T_T13411121314151617181920212223242526272829303132333536373839404142434445464748495051525354555657585960616263646566676869707172737475767778798081828384858687888990919293949596979899100101102103104105106107108109110[[#This Row],[Total]]*-1,0)</f>
        <v>0</v>
      </c>
      <c r="J20" s="240"/>
    </row>
    <row r="21" spans="1:10" x14ac:dyDescent="0.3">
      <c r="A21" s="188">
        <v>45777</v>
      </c>
      <c r="B21" s="3" t="s">
        <v>536</v>
      </c>
      <c r="C21" s="6"/>
      <c r="D21" s="2">
        <v>101</v>
      </c>
      <c r="E21" s="2"/>
      <c r="F21" s="230"/>
      <c r="G21" s="230">
        <f t="shared" si="0"/>
        <v>101</v>
      </c>
      <c r="H21" s="233">
        <f t="shared" si="1"/>
        <v>202</v>
      </c>
      <c r="I21" s="240">
        <f>IF(T_T13411121314151617181920212223242526272829303132333536373839404142434445464748495051525354555657585960616263646566676869707172737475767778798081828384858687888990919293949596979899100101102103104105106107108109110[[#This Row],[Total]]&lt;0,T_T13411121314151617181920212223242526272829303132333536373839404142434445464748495051525354555657585960616263646566676869707172737475767778798081828384858687888990919293949596979899100101102103104105106107108109110[[#This Row],[Total]]*-1,0)</f>
        <v>0</v>
      </c>
      <c r="J21" s="240"/>
    </row>
    <row r="22" spans="1:10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202</v>
      </c>
      <c r="I22" s="240">
        <f>IF(T_T13411121314151617181920212223242526272829303132333536373839404142434445464748495051525354555657585960616263646566676869707172737475767778798081828384858687888990919293949596979899100101102103104105106107108109110[[#This Row],[Total]]&lt;0,T_T13411121314151617181920212223242526272829303132333536373839404142434445464748495051525354555657585960616263646566676869707172737475767778798081828384858687888990919293949596979899100101102103104105106107108109110[[#This Row],[Total]]*-1,0)</f>
        <v>0</v>
      </c>
      <c r="J22" s="240"/>
    </row>
    <row r="23" spans="1:10" x14ac:dyDescent="0.3">
      <c r="A23" s="40">
        <v>45807</v>
      </c>
      <c r="B23" s="3" t="s">
        <v>538</v>
      </c>
      <c r="C23" s="229"/>
      <c r="D23" s="230">
        <v>101</v>
      </c>
      <c r="E23" s="230">
        <v>2</v>
      </c>
      <c r="F23" s="230"/>
      <c r="G23" s="230">
        <f t="shared" si="0"/>
        <v>103</v>
      </c>
      <c r="H23" s="233">
        <f t="shared" si="1"/>
        <v>305</v>
      </c>
      <c r="I23" s="309">
        <f>IF(T_T13411121314151617181920212223242526272829303132333536373839404142434445464748495051525354555657585960616263646566676869707172737475767778798081828384858687888990919293949596979899100101102103104105106107108109110[[#This Row],[Total]]&lt;0,T_T13411121314151617181920212223242526272829303132333536373839404142434445464748495051525354555657585960616263646566676869707172737475767778798081828384858687888990919293949596979899100101102103104105106107108109110[[#This Row],[Total]]*-1,0)</f>
        <v>0</v>
      </c>
      <c r="J23" s="309"/>
    </row>
    <row r="24" spans="1:10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305</v>
      </c>
      <c r="I24" s="309">
        <f>IF(T_T13411121314151617181920212223242526272829303132333536373839404142434445464748495051525354555657585960616263646566676869707172737475767778798081828384858687888990919293949596979899100101102103104105106107108109110[[#This Row],[Total]]&lt;0,T_T13411121314151617181920212223242526272829303132333536373839404142434445464748495051525354555657585960616263646566676869707172737475767778798081828384858687888990919293949596979899100101102103104105106107108109110[[#This Row],[Total]]*-1,0)</f>
        <v>0</v>
      </c>
      <c r="J24" s="309"/>
    </row>
    <row r="25" spans="1:10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305</v>
      </c>
      <c r="I25" s="309">
        <f>IF(T_T13411121314151617181920212223242526272829303132333536373839404142434445464748495051525354555657585960616263646566676869707172737475767778798081828384858687888990919293949596979899100101102103104105106107108109110[[#This Row],[Total]]&lt;0,T_T13411121314151617181920212223242526272829303132333536373839404142434445464748495051525354555657585960616263646566676869707172737475767778798081828384858687888990919293949596979899100101102103104105106107108109110[[#This Row],[Total]]*-1,0)</f>
        <v>0</v>
      </c>
      <c r="J25" s="309"/>
    </row>
    <row r="26" spans="1:10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305</v>
      </c>
      <c r="I26" s="309">
        <f>IF(T_T13411121314151617181920212223242526272829303132333536373839404142434445464748495051525354555657585960616263646566676869707172737475767778798081828384858687888990919293949596979899100101102103104105106107108109110[[#This Row],[Total]]&lt;0,T_T13411121314151617181920212223242526272829303132333536373839404142434445464748495051525354555657585960616263646566676869707172737475767778798081828384858687888990919293949596979899100101102103104105106107108109110[[#This Row],[Total]]*-1,0)</f>
        <v>0</v>
      </c>
      <c r="J26" s="309"/>
    </row>
    <row r="27" spans="1:10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305</v>
      </c>
      <c r="I27" s="309">
        <f>IF(T_T13411121314151617181920212223242526272829303132333536373839404142434445464748495051525354555657585960616263646566676869707172737475767778798081828384858687888990919293949596979899100101102103104105106107108109110[[#This Row],[Total]]&lt;0,T_T13411121314151617181920212223242526272829303132333536373839404142434445464748495051525354555657585960616263646566676869707172737475767778798081828384858687888990919293949596979899100101102103104105106107108109110[[#This Row],[Total]]*-1,0)</f>
        <v>0</v>
      </c>
      <c r="J27" s="309"/>
    </row>
    <row r="28" spans="1:10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305</v>
      </c>
      <c r="I28" s="309">
        <f>IF(T_T13411121314151617181920212223242526272829303132333536373839404142434445464748495051525354555657585960616263646566676869707172737475767778798081828384858687888990919293949596979899100101102103104105106107108109110[[#This Row],[Total]]&lt;0,T_T13411121314151617181920212223242526272829303132333536373839404142434445464748495051525354555657585960616263646566676869707172737475767778798081828384858687888990919293949596979899100101102103104105106107108109110[[#This Row],[Total]]*-1,0)</f>
        <v>0</v>
      </c>
      <c r="J28" s="309"/>
    </row>
    <row r="29" spans="1:10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305</v>
      </c>
      <c r="I29" s="309">
        <f>IF(T_T13411121314151617181920212223242526272829303132333536373839404142434445464748495051525354555657585960616263646566676869707172737475767778798081828384858687888990919293949596979899100101102103104105106107108109110[[#This Row],[Total]]&lt;0,T_T13411121314151617181920212223242526272829303132333536373839404142434445464748495051525354555657585960616263646566676869707172737475767778798081828384858687888990919293949596979899100101102103104105106107108109110[[#This Row],[Total]]*-1,0)</f>
        <v>0</v>
      </c>
      <c r="J29" s="309"/>
    </row>
    <row r="30" spans="1:10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305</v>
      </c>
      <c r="I30" s="309">
        <f>IF(T_T13411121314151617181920212223242526272829303132333536373839404142434445464748495051525354555657585960616263646566676869707172737475767778798081828384858687888990919293949596979899100101102103104105106107108109110[[#This Row],[Total]]&lt;0,T_T13411121314151617181920212223242526272829303132333536373839404142434445464748495051525354555657585960616263646566676869707172737475767778798081828384858687888990919293949596979899100101102103104105106107108109110[[#This Row],[Total]]*-1,0)</f>
        <v>0</v>
      </c>
      <c r="J30" s="309"/>
    </row>
    <row r="31" spans="1:10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305</v>
      </c>
      <c r="I31" s="309">
        <f>IF(T_T13411121314151617181920212223242526272829303132333536373839404142434445464748495051525354555657585960616263646566676869707172737475767778798081828384858687888990919293949596979899100101102103104105106107108109110[[#This Row],[Total]]&lt;0,T_T13411121314151617181920212223242526272829303132333536373839404142434445464748495051525354555657585960616263646566676869707172737475767778798081828384858687888990919293949596979899100101102103104105106107108109110[[#This Row],[Total]]*-1,0)</f>
        <v>0</v>
      </c>
      <c r="J31" s="309"/>
    </row>
    <row r="32" spans="1:10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305</v>
      </c>
      <c r="I32" s="309">
        <f>IF(T_T13411121314151617181920212223242526272829303132333536373839404142434445464748495051525354555657585960616263646566676869707172737475767778798081828384858687888990919293949596979899100101102103104105106107108109110[[#This Row],[Total]]&lt;0,T_T13411121314151617181920212223242526272829303132333536373839404142434445464748495051525354555657585960616263646566676869707172737475767778798081828384858687888990919293949596979899100101102103104105106107108109110[[#This Row],[Total]]*-1,0)</f>
        <v>0</v>
      </c>
      <c r="J32" s="309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305</v>
      </c>
      <c r="I33" s="309">
        <f>IF(T_T13411121314151617181920212223242526272829303132333536373839404142434445464748495051525354555657585960616263646566676869707172737475767778798081828384858687888990919293949596979899100101102103104105106107108109110[[#This Row],[Total]]&lt;0,T_T13411121314151617181920212223242526272829303132333536373839404142434445464748495051525354555657585960616263646566676869707172737475767778798081828384858687888990919293949596979899100101102103104105106107108109110[[#This Row],[Total]]*-1,0)</f>
        <v>0</v>
      </c>
      <c r="J33" s="309"/>
    </row>
    <row r="34" spans="1:10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305</v>
      </c>
      <c r="I34" s="309">
        <f>IF(T_T13411121314151617181920212223242526272829303132333536373839404142434445464748495051525354555657585960616263646566676869707172737475767778798081828384858687888990919293949596979899100101102103104105106107108109110[[#This Row],[Total]]&lt;0,T_T13411121314151617181920212223242526272829303132333536373839404142434445464748495051525354555657585960616263646566676869707172737475767778798081828384858687888990919293949596979899100101102103104105106107108109110[[#This Row],[Total]]*-1,0)</f>
        <v>0</v>
      </c>
      <c r="J34" s="309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305</v>
      </c>
      <c r="I35" s="309">
        <f>IF(T_T13411121314151617181920212223242526272829303132333536373839404142434445464748495051525354555657585960616263646566676869707172737475767778798081828384858687888990919293949596979899100101102103104105106107108109110[[#This Row],[Total]]&lt;0,T_T13411121314151617181920212223242526272829303132333536373839404142434445464748495051525354555657585960616263646566676869707172737475767778798081828384858687888990919293949596979899100101102103104105106107108109110[[#This Row],[Total]]*-1,0)</f>
        <v>0</v>
      </c>
      <c r="J35" s="309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305</v>
      </c>
      <c r="I36" s="309">
        <f>IF(T_T13411121314151617181920212223242526272829303132333536373839404142434445464748495051525354555657585960616263646566676869707172737475767778798081828384858687888990919293949596979899100101102103104105106107108109110[[#This Row],[Total]]&lt;0,T_T13411121314151617181920212223242526272829303132333536373839404142434445464748495051525354555657585960616263646566676869707172737475767778798081828384858687888990919293949596979899100101102103104105106107108109110[[#This Row],[Total]]*-1,0)</f>
        <v>0</v>
      </c>
      <c r="J36" s="309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305</v>
      </c>
      <c r="I37" s="353">
        <f>IF(T_T13411121314151617181920212223242526272829303132333536373839404142434445464748495051525354555657585960616263646566676869707172737475767778798081828384858687888990919293949596979899100101102103104105106107108109110[[#This Row],[Total]]&lt;0,T_T13411121314151617181920212223242526272829303132333536373839404142434445464748495051525354555657585960616263646566676869707172737475767778798081828384858687888990919293949596979899100101102103104105106107108109110[[#This Row],[Total]]*-1,0)</f>
        <v>0</v>
      </c>
      <c r="J37" s="353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305</v>
      </c>
      <c r="I38" s="353">
        <f>IF(T_T13411121314151617181920212223242526272829303132333536373839404142434445464748495051525354555657585960616263646566676869707172737475767778798081828384858687888990919293949596979899100101102103104105106107108109110[[#This Row],[Total]]&lt;0,T_T13411121314151617181920212223242526272829303132333536373839404142434445464748495051525354555657585960616263646566676869707172737475767778798081828384858687888990919293949596979899100101102103104105106107108109110[[#This Row],[Total]]*-1,0)</f>
        <v>0</v>
      </c>
      <c r="J38" s="353"/>
    </row>
    <row r="39" spans="1:10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305</v>
      </c>
      <c r="I39" s="353">
        <f>IF(T_T13411121314151617181920212223242526272829303132333536373839404142434445464748495051525354555657585960616263646566676869707172737475767778798081828384858687888990919293949596979899100101102103104105106107108109110[[#This Row],[Total]]&lt;0,T_T13411121314151617181920212223242526272829303132333536373839404142434445464748495051525354555657585960616263646566676869707172737475767778798081828384858687888990919293949596979899100101102103104105106107108109110[[#This Row],[Total]]*-1,0)</f>
        <v>0</v>
      </c>
      <c r="J39" s="353"/>
    </row>
    <row r="40" spans="1:10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305</v>
      </c>
      <c r="I40" s="353">
        <f>IF(T_T13411121314151617181920212223242526272829303132333536373839404142434445464748495051525354555657585960616263646566676869707172737475767778798081828384858687888990919293949596979899100101102103104105106107108109110[[#This Row],[Total]]&lt;0,T_T13411121314151617181920212223242526272829303132333536373839404142434445464748495051525354555657585960616263646566676869707172737475767778798081828384858687888990919293949596979899100101102103104105106107108109110[[#This Row],[Total]]*-1,0)</f>
        <v>0</v>
      </c>
      <c r="J40" s="353"/>
    </row>
    <row r="41" spans="1:10" x14ac:dyDescent="0.3">
      <c r="A41" s="17"/>
      <c r="B41" s="18"/>
      <c r="C41" s="466"/>
      <c r="D41" s="467"/>
      <c r="E41" s="467"/>
      <c r="F41" s="467"/>
      <c r="G41" s="467"/>
      <c r="H41" s="486"/>
      <c r="I41" s="475"/>
      <c r="J41" s="475"/>
    </row>
    <row r="42" spans="1:10" x14ac:dyDescent="0.3">
      <c r="A42" s="3"/>
      <c r="B42" s="3"/>
      <c r="E42" s="2"/>
      <c r="F42" s="2"/>
      <c r="G42" s="2"/>
      <c r="H42" s="2"/>
    </row>
    <row r="43" spans="1:10" x14ac:dyDescent="0.3">
      <c r="A43" s="3"/>
      <c r="B43" s="3"/>
      <c r="C43" s="6"/>
      <c r="D43" s="2"/>
      <c r="E43" s="2"/>
      <c r="F43" s="2"/>
      <c r="G43" s="2"/>
      <c r="H43" s="2"/>
    </row>
  </sheetData>
  <hyperlinks>
    <hyperlink ref="B7" r:id="rId1" display="jose.orozco@outlook.com"/>
    <hyperlink ref="H7" location="Resumen!A1" display="Rsumen         "/>
  </hyperlinks>
  <pageMargins left="0.70866141732283472" right="0.70866141732283472" top="0.35433070866141736" bottom="0.35433070866141736" header="0.31496062992125984" footer="0.31496062992125984"/>
  <pageSetup scale="66" orientation="portrait" verticalDpi="360" r:id="rId2"/>
  <drawing r:id="rId3"/>
  <tableParts count="1">
    <tablePart r:id="rId4"/>
  </tablePart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M40"/>
  <sheetViews>
    <sheetView showGridLines="0" zoomScale="85" zoomScaleNormal="85" workbookViewId="0">
      <selection activeCell="E25" sqref="E25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0.6640625" bestFit="1" customWidth="1"/>
    <col min="14" max="14" width="16.6640625" customWidth="1"/>
  </cols>
  <sheetData>
    <row r="2" spans="1:13" ht="15.6" x14ac:dyDescent="0.3">
      <c r="A2" s="27" t="s">
        <v>36</v>
      </c>
      <c r="B2" s="41" t="s">
        <v>526</v>
      </c>
    </row>
    <row r="3" spans="1:13" hidden="1" x14ac:dyDescent="0.3">
      <c r="A3" s="27" t="s">
        <v>31</v>
      </c>
      <c r="B3" s="28" t="e">
        <f>LOOKUP(B2,#REF!,#REF!)</f>
        <v>#REF!</v>
      </c>
    </row>
    <row r="4" spans="1:13" hidden="1" x14ac:dyDescent="0.3">
      <c r="A4" s="27" t="s">
        <v>32</v>
      </c>
      <c r="B4" s="28" t="e">
        <f>LOOKUP(B2,#REF!,#REF!)</f>
        <v>#REF!</v>
      </c>
    </row>
    <row r="5" spans="1:13" hidden="1" x14ac:dyDescent="0.3">
      <c r="A5" s="27" t="s">
        <v>33</v>
      </c>
      <c r="B5" s="28" t="e">
        <f>LOOKUP(B2,#REF!,#REF!)</f>
        <v>#REF!</v>
      </c>
    </row>
    <row r="6" spans="1:13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3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3" x14ac:dyDescent="0.3">
      <c r="A8" s="21"/>
      <c r="B8" s="21"/>
    </row>
    <row r="9" spans="1:13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479" t="s">
        <v>188</v>
      </c>
    </row>
    <row r="10" spans="1:13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/>
      <c r="J10" s="477"/>
      <c r="M10" s="178"/>
    </row>
    <row r="11" spans="1:13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IF(T_T13411121314151617181920212223242526272829303132333536373839404142434445464748495051525354555657585960616263646566676869707172737475767778798081828384858687888990919293949596979899100101102103104105106107108109110111[[#This Row],[Total]]&lt;0,T_T13411121314151617181920212223242526272829303132333536373839404142434445464748495051525354555657585960616263646566676869707172737475767778798081828384858687888990919293949596979899100101102103104105106107108109110111[[#This Row],[Total]]*-1,0)</f>
        <v>0</v>
      </c>
      <c r="J11" s="476"/>
    </row>
    <row r="12" spans="1:13" x14ac:dyDescent="0.3">
      <c r="A12" s="117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IF(T_T13411121314151617181920212223242526272829303132333536373839404142434445464748495051525354555657585960616263646566676869707172737475767778798081828384858687888990919293949596979899100101102103104105106107108109110111[[#This Row],[Total]]&lt;0,T_T13411121314151617181920212223242526272829303132333536373839404142434445464748495051525354555657585960616263646566676869707172737475767778798081828384858687888990919293949596979899100101102103104105106107108109110111[[#This Row],[Total]]*-1,0)</f>
        <v>0</v>
      </c>
      <c r="J12" s="476"/>
    </row>
    <row r="13" spans="1:13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IF(T_T13411121314151617181920212223242526272829303132333536373839404142434445464748495051525354555657585960616263646566676869707172737475767778798081828384858687888990919293949596979899100101102103104105106107108109110111[[#This Row],[Total]]&lt;0,T_T13411121314151617181920212223242526272829303132333536373839404142434445464748495051525354555657585960616263646566676869707172737475767778798081828384858687888990919293949596979899100101102103104105106107108109110111[[#This Row],[Total]]*-1,0)</f>
        <v>0</v>
      </c>
      <c r="J13" s="476"/>
    </row>
    <row r="14" spans="1:13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IF(T_T13411121314151617181920212223242526272829303132333536373839404142434445464748495051525354555657585960616263646566676869707172737475767778798081828384858687888990919293949596979899100101102103104105106107108109110111[[#This Row],[Total]]&lt;0,T_T13411121314151617181920212223242526272829303132333536373839404142434445464748495051525354555657585960616263646566676869707172737475767778798081828384858687888990919293949596979899100101102103104105106107108109110111[[#This Row],[Total]]*-1,0)</f>
        <v>0</v>
      </c>
      <c r="J14" s="476"/>
    </row>
    <row r="15" spans="1:13" x14ac:dyDescent="0.3">
      <c r="A15" s="17">
        <v>46052</v>
      </c>
      <c r="B15" s="18" t="s">
        <v>590</v>
      </c>
      <c r="C15" s="6"/>
      <c r="D15" s="2">
        <f>311+53+11</f>
        <v>375</v>
      </c>
      <c r="E15" s="2">
        <v>2</v>
      </c>
      <c r="F15" s="20"/>
      <c r="G15" s="20">
        <f>SUM(D15:F15)</f>
        <v>377</v>
      </c>
      <c r="H15" s="233">
        <f>+H13+T_T13411121314151617181920212223242526272829303132333536373839404142434445464748495051525354555657585960616263646566676869707172737475767778798081828384858687888990919293949596979899100101102103104105106107108109110111[[#This Row],[Total]]</f>
        <v>377</v>
      </c>
      <c r="I15" s="240">
        <f>IF(T_T13411121314151617181920212223242526272829303132333536373839404142434445464748495051525354555657585960616263646566676869707172737475767778798081828384858687888990919293949596979899100101102103104105106107108109110111[[#This Row],[Total]]&lt;0,T_T13411121314151617181920212223242526272829303132333536373839404142434445464748495051525354555657585960616263646566676869707172737475767778798081828384858687888990919293949596979899100101102103104105106107108109110111[[#This Row],[Total]]*-1,0)</f>
        <v>0</v>
      </c>
      <c r="J15" s="476"/>
    </row>
    <row r="16" spans="1:13" x14ac:dyDescent="0.3">
      <c r="A16" s="17"/>
      <c r="B16" s="18" t="s">
        <v>591</v>
      </c>
      <c r="C16" s="6">
        <v>8575</v>
      </c>
      <c r="D16" s="2">
        <v>-375</v>
      </c>
      <c r="E16" s="2">
        <v>-2</v>
      </c>
      <c r="F16" s="230"/>
      <c r="G16" s="230">
        <f t="shared" ref="G16:G38" si="0">SUM(D16:F16)</f>
        <v>-377</v>
      </c>
      <c r="H16" s="233">
        <f>+H15+T_T13411121314151617181920212223242526272829303132333536373839404142434445464748495051525354555657585960616263646566676869707172737475767778798081828384858687888990919293949596979899100101102103104105106107108109110111[[#This Row],[Total]]</f>
        <v>0</v>
      </c>
      <c r="I16" s="239">
        <f>IF(T_T13411121314151617181920212223242526272829303132333536373839404142434445464748495051525354555657585960616263646566676869707172737475767778798081828384858687888990919293949596979899100101102103104105106107108109110111[[#This Row],[Total]]&lt;0,T_T13411121314151617181920212223242526272829303132333536373839404142434445464748495051525354555657585960616263646566676869707172737475767778798081828384858687888990919293949596979899100101102103104105106107108109110111[[#This Row],[Total]]*-1,0)</f>
        <v>377</v>
      </c>
      <c r="J16" s="476"/>
    </row>
    <row r="17" spans="1:10" x14ac:dyDescent="0.3">
      <c r="A17" s="164">
        <v>45715</v>
      </c>
      <c r="B17" s="161" t="s">
        <v>532</v>
      </c>
      <c r="C17" s="6"/>
      <c r="D17" s="2">
        <f>311+53+11</f>
        <v>375</v>
      </c>
      <c r="E17" s="2">
        <v>2</v>
      </c>
      <c r="F17" s="230"/>
      <c r="G17" s="230">
        <f t="shared" si="0"/>
        <v>377</v>
      </c>
      <c r="H17" s="233">
        <f>+H16+T_T13411121314151617181920212223242526272829303132333536373839404142434445464748495051525354555657585960616263646566676869707172737475767778798081828384858687888990919293949596979899100101102103104105106107108109110111[[#This Row],[Total]]</f>
        <v>377</v>
      </c>
      <c r="I17" s="240">
        <f>IF(T_T13411121314151617181920212223242526272829303132333536373839404142434445464748495051525354555657585960616263646566676869707172737475767778798081828384858687888990919293949596979899100101102103104105106107108109110111[[#This Row],[Total]]&lt;0,T_T13411121314151617181920212223242526272829303132333536373839404142434445464748495051525354555657585960616263646566676869707172737475767778798081828384858687888990919293949596979899100101102103104105106107108109110111[[#This Row],[Total]]*-1,0)</f>
        <v>0</v>
      </c>
      <c r="J17" s="476"/>
    </row>
    <row r="18" spans="1:10" x14ac:dyDescent="0.3">
      <c r="A18" s="187"/>
      <c r="B18" s="18" t="s">
        <v>533</v>
      </c>
      <c r="C18" s="6">
        <v>8670</v>
      </c>
      <c r="D18" s="2">
        <v>-375</v>
      </c>
      <c r="E18" s="2">
        <v>-2</v>
      </c>
      <c r="F18" s="230"/>
      <c r="G18" s="230">
        <f t="shared" si="0"/>
        <v>-377</v>
      </c>
      <c r="H18" s="233">
        <f>+H17+T_T13411121314151617181920212223242526272829303132333536373839404142434445464748495051525354555657585960616263646566676869707172737475767778798081828384858687888990919293949596979899100101102103104105106107108109110111[[#This Row],[Total]]</f>
        <v>0</v>
      </c>
      <c r="I18" s="240">
        <f>IF(T_T13411121314151617181920212223242526272829303132333536373839404142434445464748495051525354555657585960616263646566676869707172737475767778798081828384858687888990919293949596979899100101102103104105106107108109110111[[#This Row],[Total]]&lt;0,T_T13411121314151617181920212223242526272829303132333536373839404142434445464748495051525354555657585960616263646566676869707172737475767778798081828384858687888990919293949596979899100101102103104105106107108109110111[[#This Row],[Total]]*-1,0)</f>
        <v>377</v>
      </c>
      <c r="J18" s="476"/>
    </row>
    <row r="19" spans="1:10" x14ac:dyDescent="0.3">
      <c r="A19" s="188">
        <v>45747</v>
      </c>
      <c r="B19" s="3" t="s">
        <v>534</v>
      </c>
      <c r="C19" s="6"/>
      <c r="D19" s="2">
        <v>427</v>
      </c>
      <c r="E19" s="2">
        <v>3</v>
      </c>
      <c r="F19" s="230"/>
      <c r="G19" s="230">
        <f t="shared" si="0"/>
        <v>430</v>
      </c>
      <c r="H19" s="233">
        <f>+H18+T_T13411121314151617181920212223242526272829303132333536373839404142434445464748495051525354555657585960616263646566676869707172737475767778798081828384858687888990919293949596979899100101102103104105106107108109110111[[#This Row],[Total]]</f>
        <v>430</v>
      </c>
      <c r="I19" s="240">
        <f>IF(T_T13411121314151617181920212223242526272829303132333536373839404142434445464748495051525354555657585960616263646566676869707172737475767778798081828384858687888990919293949596979899100101102103104105106107108109110111[[#This Row],[Total]]&lt;0,T_T13411121314151617181920212223242526272829303132333536373839404142434445464748495051525354555657585960616263646566676869707172737475767778798081828384858687888990919293949596979899100101102103104105106107108109110111[[#This Row],[Total]]*-1,0)</f>
        <v>0</v>
      </c>
      <c r="J19" s="476"/>
    </row>
    <row r="20" spans="1:10" x14ac:dyDescent="0.3">
      <c r="A20" s="188"/>
      <c r="B20" s="82" t="s">
        <v>535</v>
      </c>
      <c r="C20" s="6">
        <v>8764</v>
      </c>
      <c r="D20" s="2">
        <v>-427</v>
      </c>
      <c r="E20" s="2">
        <v>-3</v>
      </c>
      <c r="F20" s="230"/>
      <c r="G20" s="230">
        <f t="shared" si="0"/>
        <v>-430</v>
      </c>
      <c r="H20" s="233">
        <f>+H19+T_T13411121314151617181920212223242526272829303132333536373839404142434445464748495051525354555657585960616263646566676869707172737475767778798081828384858687888990919293949596979899100101102103104105106107108109110111[[#This Row],[Total]]</f>
        <v>0</v>
      </c>
      <c r="I20" s="239">
        <f>IF(T_T13411121314151617181920212223242526272829303132333536373839404142434445464748495051525354555657585960616263646566676869707172737475767778798081828384858687888990919293949596979899100101102103104105106107108109110111[[#This Row],[Total]]&lt;0,T_T13411121314151617181920212223242526272829303132333536373839404142434445464748495051525354555657585960616263646566676869707172737475767778798081828384858687888990919293949596979899100101102103104105106107108109110111[[#This Row],[Total]]*-1,0)</f>
        <v>430</v>
      </c>
      <c r="J20" s="476"/>
    </row>
    <row r="21" spans="1:10" x14ac:dyDescent="0.3">
      <c r="A21" s="188">
        <v>45777</v>
      </c>
      <c r="B21" s="3" t="s">
        <v>536</v>
      </c>
      <c r="C21" s="6"/>
      <c r="D21" s="2">
        <v>427</v>
      </c>
      <c r="E21" s="2">
        <v>2</v>
      </c>
      <c r="F21" s="230"/>
      <c r="G21" s="230">
        <f t="shared" si="0"/>
        <v>429</v>
      </c>
      <c r="H21" s="233">
        <f>+H20+T_T13411121314151617181920212223242526272829303132333536373839404142434445464748495051525354555657585960616263646566676869707172737475767778798081828384858687888990919293949596979899100101102103104105106107108109110111[[#This Row],[Total]]</f>
        <v>429</v>
      </c>
      <c r="I21" s="309">
        <f>IF(T_T13411121314151617181920212223242526272829303132333536373839404142434445464748495051525354555657585960616263646566676869707172737475767778798081828384858687888990919293949596979899100101102103104105106107108109110111[[#This Row],[Total]]&lt;0,T_T13411121314151617181920212223242526272829303132333536373839404142434445464748495051525354555657585960616263646566676869707172737475767778798081828384858687888990919293949596979899100101102103104105106107108109110111[[#This Row],[Total]]*-1,0)</f>
        <v>0</v>
      </c>
      <c r="J21" s="476"/>
    </row>
    <row r="22" spans="1:10" x14ac:dyDescent="0.3">
      <c r="A22" s="83"/>
      <c r="B22" s="82" t="s">
        <v>537</v>
      </c>
      <c r="C22" s="6">
        <v>8873</v>
      </c>
      <c r="D22" s="2">
        <v>-427</v>
      </c>
      <c r="E22" s="2">
        <v>-2</v>
      </c>
      <c r="F22" s="230"/>
      <c r="G22" s="230">
        <f t="shared" si="0"/>
        <v>-429</v>
      </c>
      <c r="H22" s="233">
        <f>+H21+T_T13411121314151617181920212223242526272829303132333536373839404142434445464748495051525354555657585960616263646566676869707172737475767778798081828384858687888990919293949596979899100101102103104105106107108109110111[[#This Row],[Total]]</f>
        <v>0</v>
      </c>
      <c r="I22" s="309">
        <f>IF(T_T13411121314151617181920212223242526272829303132333536373839404142434445464748495051525354555657585960616263646566676869707172737475767778798081828384858687888990919293949596979899100101102103104105106107108109110111[[#This Row],[Total]]&lt;0,T_T13411121314151617181920212223242526272829303132333536373839404142434445464748495051525354555657585960616263646566676869707172737475767778798081828384858687888990919293949596979899100101102103104105106107108109110111[[#This Row],[Total]]*-1,0)</f>
        <v>429</v>
      </c>
      <c r="J22" s="476"/>
    </row>
    <row r="23" spans="1:10" x14ac:dyDescent="0.3">
      <c r="A23" s="40">
        <v>45807</v>
      </c>
      <c r="B23" s="3" t="s">
        <v>538</v>
      </c>
      <c r="C23" s="229"/>
      <c r="D23" s="230">
        <v>427</v>
      </c>
      <c r="E23" s="230">
        <v>1</v>
      </c>
      <c r="F23" s="230"/>
      <c r="G23" s="230">
        <f t="shared" si="0"/>
        <v>428</v>
      </c>
      <c r="H23" s="233">
        <f>+H22+T_T13411121314151617181920212223242526272829303132333536373839404142434445464748495051525354555657585960616263646566676869707172737475767778798081828384858687888990919293949596979899100101102103104105106107108109110111[[#This Row],[Total]]</f>
        <v>428</v>
      </c>
      <c r="I23" s="309">
        <f>IF(T_T13411121314151617181920212223242526272829303132333536373839404142434445464748495051525354555657585960616263646566676869707172737475767778798081828384858687888990919293949596979899100101102103104105106107108109110111[[#This Row],[Total]]&lt;0,T_T13411121314151617181920212223242526272829303132333536373839404142434445464748495051525354555657585960616263646566676869707172737475767778798081828384858687888990919293949596979899100101102103104105106107108109110111[[#This Row],[Total]]*-1,0)</f>
        <v>0</v>
      </c>
      <c r="J23" s="476"/>
    </row>
    <row r="24" spans="1:10" x14ac:dyDescent="0.3">
      <c r="A24" s="9"/>
      <c r="B24" s="18" t="s">
        <v>539</v>
      </c>
      <c r="C24" s="6">
        <v>8973</v>
      </c>
      <c r="D24" s="230">
        <v>-427</v>
      </c>
      <c r="E24" s="230">
        <v>-1</v>
      </c>
      <c r="F24" s="230"/>
      <c r="G24" s="230">
        <f t="shared" si="0"/>
        <v>-428</v>
      </c>
      <c r="H24" s="233">
        <f>+H23+T_T13411121314151617181920212223242526272829303132333536373839404142434445464748495051525354555657585960616263646566676869707172737475767778798081828384858687888990919293949596979899100101102103104105106107108109110111[[#This Row],[Total]]</f>
        <v>0</v>
      </c>
      <c r="I24" s="311">
        <f>IF(T_T13411121314151617181920212223242526272829303132333536373839404142434445464748495051525354555657585960616263646566676869707172737475767778798081828384858687888990919293949596979899100101102103104105106107108109110111[[#This Row],[Total]]&lt;0,T_T13411121314151617181920212223242526272829303132333536373839404142434445464748495051525354555657585960616263646566676869707172737475767778798081828384858687888990919293949596979899100101102103104105106107108109110111[[#This Row],[Total]]*-1,0)</f>
        <v>428</v>
      </c>
      <c r="J24" s="476"/>
    </row>
    <row r="25" spans="1:10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>+H24+T_T13411121314151617181920212223242526272829303132333536373839404142434445464748495051525354555657585960616263646566676869707172737475767778798081828384858687888990919293949596979899100101102103104105106107108109110111[[#This Row],[Total]]</f>
        <v>0</v>
      </c>
      <c r="I25" s="309">
        <f>IF(T_T13411121314151617181920212223242526272829303132333536373839404142434445464748495051525354555657585960616263646566676869707172737475767778798081828384858687888990919293949596979899100101102103104105106107108109110111[[#This Row],[Total]]&lt;0,T_T13411121314151617181920212223242526272829303132333536373839404142434445464748495051525354555657585960616263646566676869707172737475767778798081828384858687888990919293949596979899100101102103104105106107108109110111[[#This Row],[Total]]*-1,0)</f>
        <v>0</v>
      </c>
      <c r="J25" s="476"/>
    </row>
    <row r="26" spans="1:10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>+H25+T_T13411121314151617181920212223242526272829303132333536373839404142434445464748495051525354555657585960616263646566676869707172737475767778798081828384858687888990919293949596979899100101102103104105106107108109110111[[#This Row],[Total]]</f>
        <v>0</v>
      </c>
      <c r="I26" s="309">
        <f>IF(T_T13411121314151617181920212223242526272829303132333536373839404142434445464748495051525354555657585960616263646566676869707172737475767778798081828384858687888990919293949596979899100101102103104105106107108109110111[[#This Row],[Total]]&lt;0,T_T13411121314151617181920212223242526272829303132333536373839404142434445464748495051525354555657585960616263646566676869707172737475767778798081828384858687888990919293949596979899100101102103104105106107108109110111[[#This Row],[Total]]*-1,0)</f>
        <v>0</v>
      </c>
      <c r="J26" s="476"/>
    </row>
    <row r="27" spans="1:10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>+H26+T_T13411121314151617181920212223242526272829303132333536373839404142434445464748495051525354555657585960616263646566676869707172737475767778798081828384858687888990919293949596979899100101102103104105106107108109110111[[#This Row],[Total]]</f>
        <v>0</v>
      </c>
      <c r="I27" s="309">
        <f>IF(T_T13411121314151617181920212223242526272829303132333536373839404142434445464748495051525354555657585960616263646566676869707172737475767778798081828384858687888990919293949596979899100101102103104105106107108109110111[[#This Row],[Total]]&lt;0,T_T13411121314151617181920212223242526272829303132333536373839404142434445464748495051525354555657585960616263646566676869707172737475767778798081828384858687888990919293949596979899100101102103104105106107108109110111[[#This Row],[Total]]*-1,0)</f>
        <v>0</v>
      </c>
      <c r="J27" s="476" t="s">
        <v>366</v>
      </c>
    </row>
    <row r="28" spans="1:10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ref="H28:H40" si="1">H27+G28</f>
        <v>0</v>
      </c>
      <c r="I28" s="311">
        <f>IF(T_T13411121314151617181920212223242526272829303132333536373839404142434445464748495051525354555657585960616263646566676869707172737475767778798081828384858687888990919293949596979899100101102103104105106107108109110111[[#This Row],[Total]]&lt;0,T_T13411121314151617181920212223242526272829303132333536373839404142434445464748495051525354555657585960616263646566676869707172737475767778798081828384858687888990919293949596979899100101102103104105106107108109110111[[#This Row],[Total]]*-1,0)</f>
        <v>0</v>
      </c>
      <c r="J28" s="476"/>
    </row>
    <row r="29" spans="1:10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0</v>
      </c>
      <c r="I29" s="309">
        <f>IF(T_T13411121314151617181920212223242526272829303132333536373839404142434445464748495051525354555657585960616263646566676869707172737475767778798081828384858687888990919293949596979899100101102103104105106107108109110111[[#This Row],[Total]]&lt;0,T_T13411121314151617181920212223242526272829303132333536373839404142434445464748495051525354555657585960616263646566676869707172737475767778798081828384858687888990919293949596979899100101102103104105106107108109110111[[#This Row],[Total]]*-1,0)</f>
        <v>0</v>
      </c>
      <c r="J29" s="476"/>
    </row>
    <row r="30" spans="1:10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0</v>
      </c>
      <c r="I30" s="309">
        <f>IF(T_T13411121314151617181920212223242526272829303132333536373839404142434445464748495051525354555657585960616263646566676869707172737475767778798081828384858687888990919293949596979899100101102103104105106107108109110111[[#This Row],[Total]]&lt;0,T_T13411121314151617181920212223242526272829303132333536373839404142434445464748495051525354555657585960616263646566676869707172737475767778798081828384858687888990919293949596979899100101102103104105106107108109110111[[#This Row],[Total]]*-1,0)</f>
        <v>0</v>
      </c>
      <c r="J30" s="476"/>
    </row>
    <row r="31" spans="1:10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0</v>
      </c>
      <c r="I31" s="309">
        <f>IF(T_T13411121314151617181920212223242526272829303132333536373839404142434445464748495051525354555657585960616263646566676869707172737475767778798081828384858687888990919293949596979899100101102103104105106107108109110111[[#This Row],[Total]]&lt;0,T_T13411121314151617181920212223242526272829303132333536373839404142434445464748495051525354555657585960616263646566676869707172737475767778798081828384858687888990919293949596979899100101102103104105106107108109110111[[#This Row],[Total]]*-1,0)</f>
        <v>0</v>
      </c>
      <c r="J31" s="476"/>
    </row>
    <row r="32" spans="1:10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0</v>
      </c>
      <c r="I32" s="309">
        <f>IF(T_T13411121314151617181920212223242526272829303132333536373839404142434445464748495051525354555657585960616263646566676869707172737475767778798081828384858687888990919293949596979899100101102103104105106107108109110111[[#This Row],[Total]]&lt;0,T_T13411121314151617181920212223242526272829303132333536373839404142434445464748495051525354555657585960616263646566676869707172737475767778798081828384858687888990919293949596979899100101102103104105106107108109110111[[#This Row],[Total]]*-1,0)</f>
        <v>0</v>
      </c>
      <c r="J32" s="476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0</v>
      </c>
      <c r="I33" s="309">
        <f>IF(T_T13411121314151617181920212223242526272829303132333536373839404142434445464748495051525354555657585960616263646566676869707172737475767778798081828384858687888990919293949596979899100101102103104105106107108109110111[[#This Row],[Total]]&lt;0,T_T13411121314151617181920212223242526272829303132333536373839404142434445464748495051525354555657585960616263646566676869707172737475767778798081828384858687888990919293949596979899100101102103104105106107108109110111[[#This Row],[Total]]*-1,0)</f>
        <v>0</v>
      </c>
      <c r="J33" s="476"/>
    </row>
    <row r="34" spans="1:10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0</v>
      </c>
      <c r="I34" s="309">
        <f>IF(T_T13411121314151617181920212223242526272829303132333536373839404142434445464748495051525354555657585960616263646566676869707172737475767778798081828384858687888990919293949596979899100101102103104105106107108109110111[[#This Row],[Total]]&lt;0,T_T13411121314151617181920212223242526272829303132333536373839404142434445464748495051525354555657585960616263646566676869707172737475767778798081828384858687888990919293949596979899100101102103104105106107108109110111[[#This Row],[Total]]*-1,0)</f>
        <v>0</v>
      </c>
      <c r="J34" s="476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0</v>
      </c>
      <c r="I35" s="309">
        <f>IF(T_T13411121314151617181920212223242526272829303132333536373839404142434445464748495051525354555657585960616263646566676869707172737475767778798081828384858687888990919293949596979899100101102103104105106107108109110111[[#This Row],[Total]]&lt;0,T_T13411121314151617181920212223242526272829303132333536373839404142434445464748495051525354555657585960616263646566676869707172737475767778798081828384858687888990919293949596979899100101102103104105106107108109110111[[#This Row],[Total]]*-1,0)</f>
        <v>0</v>
      </c>
      <c r="J35" s="476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0</v>
      </c>
      <c r="I36" s="311">
        <f>IF(T_T13411121314151617181920212223242526272829303132333536373839404142434445464748495051525354555657585960616263646566676869707172737475767778798081828384858687888990919293949596979899100101102103104105106107108109110111[[#This Row],[Total]]&lt;0,T_T13411121314151617181920212223242526272829303132333536373839404142434445464748495051525354555657585960616263646566676869707172737475767778798081828384858687888990919293949596979899100101102103104105106107108109110111[[#This Row],[Total]]*-1,0)</f>
        <v>0</v>
      </c>
      <c r="J36" s="476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0</v>
      </c>
      <c r="I37" s="353">
        <f>IF(T_T13411121314151617181920212223242526272829303132333536373839404142434445464748495051525354555657585960616263646566676869707172737475767778798081828384858687888990919293949596979899100101102103104105106107108109110111[[#This Row],[Total]]&lt;0,T_T13411121314151617181920212223242526272829303132333536373839404142434445464748495051525354555657585960616263646566676869707172737475767778798081828384858687888990919293949596979899100101102103104105106107108109110111[[#This Row],[Total]]*-1,0)</f>
        <v>0</v>
      </c>
      <c r="J37" s="476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0</v>
      </c>
      <c r="I38" s="353">
        <f>IF(T_T13411121314151617181920212223242526272829303132333536373839404142434445464748495051525354555657585960616263646566676869707172737475767778798081828384858687888990919293949596979899100101102103104105106107108109110111[[#This Row],[Total]]&lt;0,T_T13411121314151617181920212223242526272829303132333536373839404142434445464748495051525354555657585960616263646566676869707172737475767778798081828384858687888990919293949596979899100101102103104105106107108109110111[[#This Row],[Total]]*-1,0)</f>
        <v>0</v>
      </c>
      <c r="J38" s="476"/>
    </row>
    <row r="39" spans="1:10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0</v>
      </c>
      <c r="I39" s="353">
        <f>IF(T_T13411121314151617181920212223242526272829303132333536373839404142434445464748495051525354555657585960616263646566676869707172737475767778798081828384858687888990919293949596979899100101102103104105106107108109110111[[#This Row],[Total]]&lt;0,T_T13411121314151617181920212223242526272829303132333536373839404142434445464748495051525354555657585960616263646566676869707172737475767778798081828384858687888990919293949596979899100101102103104105106107108109110111[[#This Row],[Total]]*-1,0)</f>
        <v>0</v>
      </c>
      <c r="J39" s="476"/>
    </row>
    <row r="40" spans="1:10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0</v>
      </c>
      <c r="I40" s="353">
        <f>IF(T_T13411121314151617181920212223242526272829303132333536373839404142434445464748495051525354555657585960616263646566676869707172737475767778798081828384858687888990919293949596979899100101102103104105106107108109110111[[#This Row],[Total]]&lt;0,T_T13411121314151617181920212223242526272829303132333536373839404142434445464748495051525354555657585960616263646566676869707172737475767778798081828384858687888990919293949596979899100101102103104105106107108109110111[[#This Row],[Total]]*-1,0)</f>
        <v>0</v>
      </c>
      <c r="J40" s="478"/>
    </row>
  </sheetData>
  <hyperlinks>
    <hyperlink ref="B7" r:id="rId1" display="jose.orozco@outlook.com"/>
    <hyperlink ref="H7" location="Resumen!A1" display="Rsumen         "/>
  </hyperlinks>
  <pageMargins left="0.39370078740157483" right="0.27559055118110237" top="0.78740157480314965" bottom="0.74803149606299213" header="0.31496062992125984" footer="0.31496062992125984"/>
  <pageSetup scale="80" orientation="portrait" horizontalDpi="4294967293" verticalDpi="360" r:id="rId2"/>
  <drawing r:id="rId3"/>
  <tableParts count="1">
    <tablePart r:id="rId4"/>
  </tablePart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K65"/>
  <sheetViews>
    <sheetView showGridLines="0" zoomScale="98" zoomScaleNormal="98" workbookViewId="0">
      <selection activeCell="E23" sqref="E23"/>
    </sheetView>
  </sheetViews>
  <sheetFormatPr baseColWidth="10" defaultColWidth="9.109375" defaultRowHeight="14.4" x14ac:dyDescent="0.3"/>
  <cols>
    <col min="1" max="1" width="12.88671875" customWidth="1"/>
    <col min="2" max="2" width="35.44140625" customWidth="1"/>
    <col min="3" max="3" width="9.6640625" style="4" customWidth="1"/>
    <col min="4" max="4" width="11" style="1" customWidth="1"/>
    <col min="5" max="5" width="11.88671875" style="1" customWidth="1"/>
    <col min="6" max="6" width="7.33203125" style="1" customWidth="1"/>
    <col min="7" max="7" width="10.44140625" style="1" customWidth="1"/>
    <col min="8" max="8" width="12.44140625" style="1" customWidth="1"/>
    <col min="9" max="9" width="12.88671875" hidden="1" customWidth="1"/>
    <col min="10" max="10" width="9.109375" style="63"/>
    <col min="15" max="15" width="14" customWidth="1"/>
  </cols>
  <sheetData>
    <row r="2" spans="1:11" ht="14.25" customHeight="1" x14ac:dyDescent="0.3">
      <c r="A2" s="27" t="s">
        <v>36</v>
      </c>
      <c r="B2" s="41" t="s">
        <v>160</v>
      </c>
    </row>
    <row r="3" spans="1:11" hidden="1" x14ac:dyDescent="0.3">
      <c r="A3" s="27" t="s">
        <v>31</v>
      </c>
      <c r="B3" s="28" t="e">
        <f>LOOKUP(B2,#REF!,#REF!)</f>
        <v>#REF!</v>
      </c>
    </row>
    <row r="4" spans="1:11" hidden="1" x14ac:dyDescent="0.3">
      <c r="A4" s="27" t="s">
        <v>32</v>
      </c>
      <c r="B4" s="28" t="e">
        <f>LOOKUP(B2,#REF!,#REF!)</f>
        <v>#REF!</v>
      </c>
    </row>
    <row r="5" spans="1:11" hidden="1" x14ac:dyDescent="0.3">
      <c r="A5" s="27" t="s">
        <v>33</v>
      </c>
      <c r="B5" s="28" t="e">
        <f>LOOKUP(B2,#REF!,#REF!)</f>
        <v>#REF!</v>
      </c>
    </row>
    <row r="6" spans="1:11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1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1" x14ac:dyDescent="0.3">
      <c r="A8" s="21"/>
      <c r="B8" s="21" t="s">
        <v>249</v>
      </c>
    </row>
    <row r="9" spans="1:11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369" t="s">
        <v>188</v>
      </c>
    </row>
    <row r="10" spans="1:11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IF(T_T13411121314151617181920212223242526272829303132333536373839404142434445464748495051525354555657585960616263646566676869707172737475767778798081828384858687888990919293949596979899100101102103104105106107108109110111112[[#This Row],[Total]]&lt;0,T_T13411121314151617181920212223242526272829303132333536373839404142434445464748495051525354555657585960616263646566676869707172737475767778798081828384858687888990919293949596979899100101102103104105106107108109110111112[[#This Row],[Total]]*-1,0)</f>
        <v>0</v>
      </c>
      <c r="J10" s="213"/>
      <c r="K10" s="63"/>
    </row>
    <row r="11" spans="1:11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355">
        <f>IF(T_T13411121314151617181920212223242526272829303132333536373839404142434445464748495051525354555657585960616263646566676869707172737475767778798081828384858687888990919293949596979899100101102103104105106107108109110111112[[#This Row],[Total]]&lt;0,T_T13411121314151617181920212223242526272829303132333536373839404142434445464748495051525354555657585960616263646566676869707172737475767778798081828384858687888990919293949596979899100101102103104105106107108109110111112[[#This Row],[Total]]*-1,0)</f>
        <v>0</v>
      </c>
      <c r="J11" s="370"/>
    </row>
    <row r="12" spans="1:11" x14ac:dyDescent="0.3">
      <c r="A12" s="288"/>
      <c r="B12" s="118" t="s">
        <v>467</v>
      </c>
      <c r="C12" s="424"/>
      <c r="D12" s="425"/>
      <c r="E12" s="425"/>
      <c r="F12" s="425"/>
      <c r="G12" s="425"/>
      <c r="H12" s="426">
        <v>0</v>
      </c>
      <c r="I12" s="427">
        <f>IF(T_T13411121314151617181920212223242526272829303132333536373839404142434445464748495051525354555657585960616263646566676869707172737475767778798081828384858687888990919293949596979899100101102103104105106107108109110111112[[#This Row],[Total]]&lt;0,T_T13411121314151617181920212223242526272829303132333536373839404142434445464748495051525354555657585960616263646566676869707172737475767778798081828384858687888990919293949596979899100101102103104105106107108109110111112[[#This Row],[Total]]*-1,0)</f>
        <v>0</v>
      </c>
      <c r="J12" s="441"/>
    </row>
    <row r="13" spans="1:11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355">
        <f>IF(T_T13411121314151617181920212223242526272829303132333536373839404142434445464748495051525354555657585960616263646566676869707172737475767778798081828384858687888990919293949596979899100101102103104105106107108109110111112[[#This Row],[Total]]&lt;0,T_T13411121314151617181920212223242526272829303132333536373839404142434445464748495051525354555657585960616263646566676869707172737475767778798081828384858687888990919293949596979899100101102103104105106107108109110111112[[#This Row],[Total]]*-1,0)</f>
        <v>0</v>
      </c>
      <c r="J13" s="370"/>
    </row>
    <row r="14" spans="1:11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6">
        <f>IF(T_T13411121314151617181920212223242526272829303132333536373839404142434445464748495051525354555657585960616263646566676869707172737475767778798081828384858687888990919293949596979899100101102103104105106107108109110111112[[#This Row],[Total]]&lt;0,T_T13411121314151617181920212223242526272829303132333536373839404142434445464748495051525354555657585960616263646566676869707172737475767778798081828384858687888990919293949596979899100101102103104105106107108109110111112[[#This Row],[Total]]*-1,0)</f>
        <v>0</v>
      </c>
      <c r="J14" s="502"/>
    </row>
    <row r="15" spans="1:11" x14ac:dyDescent="0.3">
      <c r="A15" s="17">
        <v>46052</v>
      </c>
      <c r="B15" s="18" t="s">
        <v>590</v>
      </c>
      <c r="C15" s="6"/>
      <c r="D15" s="2">
        <v>349</v>
      </c>
      <c r="E15" s="2">
        <v>15</v>
      </c>
      <c r="F15" s="20"/>
      <c r="G15" s="20">
        <f>SUM(D15:F15)</f>
        <v>364</v>
      </c>
      <c r="H15" s="233">
        <f>+H13+T_T13411121314151617181920212223242526272829303132333536373839404142434445464748495051525354555657585960616263646566676869707172737475767778798081828384858687888990919293949596979899100101102103104105106107108109110111112[[#This Row],[Total]]</f>
        <v>364</v>
      </c>
      <c r="I15" s="355">
        <f>IF(T_T13411121314151617181920212223242526272829303132333536373839404142434445464748495051525354555657585960616263646566676869707172737475767778798081828384858687888990919293949596979899100101102103104105106107108109110111112[[#This Row],[Total]]&lt;0,T_T13411121314151617181920212223242526272829303132333536373839404142434445464748495051525354555657585960616263646566676869707172737475767778798081828384858687888990919293949596979899100101102103104105106107108109110111112[[#This Row],[Total]]*-1,0)</f>
        <v>0</v>
      </c>
      <c r="J15" s="370"/>
    </row>
    <row r="16" spans="1:11" x14ac:dyDescent="0.3">
      <c r="A16" s="17"/>
      <c r="B16" s="18" t="s">
        <v>591</v>
      </c>
      <c r="C16" s="6">
        <v>8655</v>
      </c>
      <c r="D16" s="2">
        <v>-349</v>
      </c>
      <c r="E16" s="2">
        <v>-15</v>
      </c>
      <c r="F16" s="230"/>
      <c r="G16" s="230">
        <f t="shared" ref="G16:G38" si="0">SUM(D16:F16)</f>
        <v>-364</v>
      </c>
      <c r="H16" s="233">
        <f t="shared" ref="H16:H40" si="1">H15+G16</f>
        <v>0</v>
      </c>
      <c r="I16" s="355">
        <f>IF(T_T13411121314151617181920212223242526272829303132333536373839404142434445464748495051525354555657585960616263646566676869707172737475767778798081828384858687888990919293949596979899100101102103104105106107108109110111112[[#This Row],[Total]]&lt;0,T_T13411121314151617181920212223242526272829303132333536373839404142434445464748495051525354555657585960616263646566676869707172737475767778798081828384858687888990919293949596979899100101102103104105106107108109110111112[[#This Row],[Total]]*-1,0)</f>
        <v>364</v>
      </c>
      <c r="J16" s="370"/>
    </row>
    <row r="17" spans="1:10" x14ac:dyDescent="0.3">
      <c r="A17" s="164">
        <v>45715</v>
      </c>
      <c r="B17" s="161" t="s">
        <v>532</v>
      </c>
      <c r="C17" s="6"/>
      <c r="D17" s="2">
        <v>349</v>
      </c>
      <c r="E17" s="2">
        <v>18</v>
      </c>
      <c r="F17" s="230"/>
      <c r="G17" s="230">
        <f t="shared" si="0"/>
        <v>367</v>
      </c>
      <c r="H17" s="233">
        <f t="shared" si="1"/>
        <v>367</v>
      </c>
      <c r="I17" s="355">
        <f>IF(T_T13411121314151617181920212223242526272829303132333536373839404142434445464748495051525354555657585960616263646566676869707172737475767778798081828384858687888990919293949596979899100101102103104105106107108109110111112[[#This Row],[Total]]&lt;0,T_T13411121314151617181920212223242526272829303132333536373839404142434445464748495051525354555657585960616263646566676869707172737475767778798081828384858687888990919293949596979899100101102103104105106107108109110111112[[#This Row],[Total]]*-1,0)</f>
        <v>0</v>
      </c>
      <c r="J17" s="370"/>
    </row>
    <row r="18" spans="1:10" ht="15" customHeight="1" x14ac:dyDescent="0.3">
      <c r="A18" s="187"/>
      <c r="B18" s="18" t="s">
        <v>533</v>
      </c>
      <c r="C18" s="6">
        <v>8656</v>
      </c>
      <c r="D18" s="2">
        <v>-349</v>
      </c>
      <c r="E18" s="2">
        <v>-18</v>
      </c>
      <c r="F18" s="230"/>
      <c r="G18" s="230">
        <f t="shared" si="0"/>
        <v>-367</v>
      </c>
      <c r="H18" s="233">
        <f t="shared" si="1"/>
        <v>0</v>
      </c>
      <c r="I18" s="355">
        <f>IF(T_T13411121314151617181920212223242526272829303132333536373839404142434445464748495051525354555657585960616263646566676869707172737475767778798081828384858687888990919293949596979899100101102103104105106107108109110111112[[#This Row],[Total]]&lt;0,T_T13411121314151617181920212223242526272829303132333536373839404142434445464748495051525354555657585960616263646566676869707172737475767778798081828384858687888990919293949596979899100101102103104105106107108109110111112[[#This Row],[Total]]*-1,0)</f>
        <v>367</v>
      </c>
      <c r="J18" s="370"/>
    </row>
    <row r="19" spans="1:10" x14ac:dyDescent="0.3">
      <c r="A19" s="188">
        <v>45747</v>
      </c>
      <c r="B19" s="3" t="s">
        <v>534</v>
      </c>
      <c r="C19" s="6"/>
      <c r="D19" s="2">
        <v>399</v>
      </c>
      <c r="E19" s="2">
        <v>12</v>
      </c>
      <c r="F19" s="230"/>
      <c r="G19" s="230">
        <f t="shared" si="0"/>
        <v>411</v>
      </c>
      <c r="H19" s="233">
        <f t="shared" si="1"/>
        <v>411</v>
      </c>
      <c r="I19" s="355">
        <f>IF(T_T13411121314151617181920212223242526272829303132333536373839404142434445464748495051525354555657585960616263646566676869707172737475767778798081828384858687888990919293949596979899100101102103104105106107108109110111112[[#This Row],[Total]]&lt;0,T_T13411121314151617181920212223242526272829303132333536373839404142434445464748495051525354555657585960616263646566676869707172737475767778798081828384858687888990919293949596979899100101102103104105106107108109110111112[[#This Row],[Total]]*-1,0)</f>
        <v>0</v>
      </c>
      <c r="J19" s="370"/>
    </row>
    <row r="20" spans="1:10" x14ac:dyDescent="0.3">
      <c r="A20" s="188"/>
      <c r="B20" s="82" t="s">
        <v>535</v>
      </c>
      <c r="C20" s="6">
        <v>8978</v>
      </c>
      <c r="D20" s="2">
        <v>-399</v>
      </c>
      <c r="E20" s="2">
        <v>-12</v>
      </c>
      <c r="F20" s="230"/>
      <c r="G20" s="230">
        <f t="shared" si="0"/>
        <v>-411</v>
      </c>
      <c r="H20" s="233">
        <f t="shared" si="1"/>
        <v>0</v>
      </c>
      <c r="I20" s="355">
        <f>IF(T_T13411121314151617181920212223242526272829303132333536373839404142434445464748495051525354555657585960616263646566676869707172737475767778798081828384858687888990919293949596979899100101102103104105106107108109110111112[[#This Row],[Total]]&lt;0,T_T13411121314151617181920212223242526272829303132333536373839404142434445464748495051525354555657585960616263646566676869707172737475767778798081828384858687888990919293949596979899100101102103104105106107108109110111112[[#This Row],[Total]]*-1,0)</f>
        <v>411</v>
      </c>
      <c r="J20" s="370"/>
    </row>
    <row r="21" spans="1:10" x14ac:dyDescent="0.3">
      <c r="A21" s="188">
        <v>45777</v>
      </c>
      <c r="B21" s="3" t="s">
        <v>536</v>
      </c>
      <c r="C21" s="6"/>
      <c r="D21" s="2">
        <v>399</v>
      </c>
      <c r="E21" s="2">
        <v>12</v>
      </c>
      <c r="F21" s="230"/>
      <c r="G21" s="230">
        <f t="shared" si="0"/>
        <v>411</v>
      </c>
      <c r="H21" s="233">
        <f t="shared" si="1"/>
        <v>411</v>
      </c>
      <c r="I21" s="355">
        <f>IF(T_T13411121314151617181920212223242526272829303132333536373839404142434445464748495051525354555657585960616263646566676869707172737475767778798081828384858687888990919293949596979899100101102103104105106107108109110111112[[#This Row],[Total]]&lt;0,T_T13411121314151617181920212223242526272829303132333536373839404142434445464748495051525354555657585960616263646566676869707172737475767778798081828384858687888990919293949596979899100101102103104105106107108109110111112[[#This Row],[Total]]*-1,0)</f>
        <v>0</v>
      </c>
      <c r="J21" s="370"/>
    </row>
    <row r="22" spans="1:10" x14ac:dyDescent="0.3">
      <c r="A22" s="83"/>
      <c r="B22" s="82" t="s">
        <v>537</v>
      </c>
      <c r="C22" s="6">
        <v>8979</v>
      </c>
      <c r="D22" s="2">
        <v>-399</v>
      </c>
      <c r="E22" s="2">
        <v>-12</v>
      </c>
      <c r="F22" s="230"/>
      <c r="G22" s="230">
        <f t="shared" si="0"/>
        <v>-411</v>
      </c>
      <c r="H22" s="233">
        <f t="shared" si="1"/>
        <v>0</v>
      </c>
      <c r="I22" s="355">
        <f>IF(T_T13411121314151617181920212223242526272829303132333536373839404142434445464748495051525354555657585960616263646566676869707172737475767778798081828384858687888990919293949596979899100101102103104105106107108109110111112[[#This Row],[Total]]&lt;0,T_T13411121314151617181920212223242526272829303132333536373839404142434445464748495051525354555657585960616263646566676869707172737475767778798081828384858687888990919293949596979899100101102103104105106107108109110111112[[#This Row],[Total]]*-1,0)</f>
        <v>411</v>
      </c>
      <c r="J22" s="370"/>
    </row>
    <row r="23" spans="1:10" x14ac:dyDescent="0.3">
      <c r="A23" s="40">
        <v>45807</v>
      </c>
      <c r="B23" s="3" t="s">
        <v>538</v>
      </c>
      <c r="C23" s="229"/>
      <c r="D23" s="230">
        <v>399</v>
      </c>
      <c r="E23" s="230">
        <v>5</v>
      </c>
      <c r="F23" s="230"/>
      <c r="G23" s="230">
        <f t="shared" si="0"/>
        <v>404</v>
      </c>
      <c r="H23" s="233">
        <f t="shared" si="1"/>
        <v>404</v>
      </c>
      <c r="I23" s="355">
        <f>IF(T_T13411121314151617181920212223242526272829303132333536373839404142434445464748495051525354555657585960616263646566676869707172737475767778798081828384858687888990919293949596979899100101102103104105106107108109110111112[[#This Row],[Total]]&lt;0,T_T13411121314151617181920212223242526272829303132333536373839404142434445464748495051525354555657585960616263646566676869707172737475767778798081828384858687888990919293949596979899100101102103104105106107108109110111112[[#This Row],[Total]]*-1,0)</f>
        <v>0</v>
      </c>
      <c r="J23" s="370"/>
    </row>
    <row r="24" spans="1:10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404</v>
      </c>
      <c r="I24" s="355">
        <f>IF(T_T13411121314151617181920212223242526272829303132333536373839404142434445464748495051525354555657585960616263646566676869707172737475767778798081828384858687888990919293949596979899100101102103104105106107108109110111112[[#This Row],[Total]]&lt;0,T_T13411121314151617181920212223242526272829303132333536373839404142434445464748495051525354555657585960616263646566676869707172737475767778798081828384858687888990919293949596979899100101102103104105106107108109110111112[[#This Row],[Total]]*-1,0)</f>
        <v>0</v>
      </c>
      <c r="J24" s="370"/>
    </row>
    <row r="25" spans="1:10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404</v>
      </c>
      <c r="I25" s="355">
        <f>IF(T_T13411121314151617181920212223242526272829303132333536373839404142434445464748495051525354555657585960616263646566676869707172737475767778798081828384858687888990919293949596979899100101102103104105106107108109110111112[[#This Row],[Total]]&lt;0,T_T13411121314151617181920212223242526272829303132333536373839404142434445464748495051525354555657585960616263646566676869707172737475767778798081828384858687888990919293949596979899100101102103104105106107108109110111112[[#This Row],[Total]]*-1,0)</f>
        <v>0</v>
      </c>
      <c r="J25" s="370"/>
    </row>
    <row r="26" spans="1:10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404</v>
      </c>
      <c r="I26" s="355">
        <f>IF(T_T13411121314151617181920212223242526272829303132333536373839404142434445464748495051525354555657585960616263646566676869707172737475767778798081828384858687888990919293949596979899100101102103104105106107108109110111112[[#This Row],[Total]]&lt;0,T_T13411121314151617181920212223242526272829303132333536373839404142434445464748495051525354555657585960616263646566676869707172737475767778798081828384858687888990919293949596979899100101102103104105106107108109110111112[[#This Row],[Total]]*-1,0)</f>
        <v>0</v>
      </c>
      <c r="J26" s="370"/>
    </row>
    <row r="27" spans="1:10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404</v>
      </c>
      <c r="I27" s="355">
        <f>IF(T_T13411121314151617181920212223242526272829303132333536373839404142434445464748495051525354555657585960616263646566676869707172737475767778798081828384858687888990919293949596979899100101102103104105106107108109110111112[[#This Row],[Total]]&lt;0,T_T13411121314151617181920212223242526272829303132333536373839404142434445464748495051525354555657585960616263646566676869707172737475767778798081828384858687888990919293949596979899100101102103104105106107108109110111112[[#This Row],[Total]]*-1,0)</f>
        <v>0</v>
      </c>
      <c r="J27" s="370"/>
    </row>
    <row r="28" spans="1:10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404</v>
      </c>
      <c r="I28" s="355">
        <f>IF(T_T13411121314151617181920212223242526272829303132333536373839404142434445464748495051525354555657585960616263646566676869707172737475767778798081828384858687888990919293949596979899100101102103104105106107108109110111112[[#This Row],[Total]]&lt;0,T_T13411121314151617181920212223242526272829303132333536373839404142434445464748495051525354555657585960616263646566676869707172737475767778798081828384858687888990919293949596979899100101102103104105106107108109110111112[[#This Row],[Total]]*-1,0)</f>
        <v>0</v>
      </c>
      <c r="J28" s="370"/>
    </row>
    <row r="29" spans="1:10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404</v>
      </c>
      <c r="I29" s="355">
        <f>IF(T_T13411121314151617181920212223242526272829303132333536373839404142434445464748495051525354555657585960616263646566676869707172737475767778798081828384858687888990919293949596979899100101102103104105106107108109110111112[[#This Row],[Total]]&lt;0,T_T13411121314151617181920212223242526272829303132333536373839404142434445464748495051525354555657585960616263646566676869707172737475767778798081828384858687888990919293949596979899100101102103104105106107108109110111112[[#This Row],[Total]]*-1,0)</f>
        <v>0</v>
      </c>
      <c r="J29" s="370"/>
    </row>
    <row r="30" spans="1:10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404</v>
      </c>
      <c r="I30" s="355">
        <f>IF(T_T13411121314151617181920212223242526272829303132333536373839404142434445464748495051525354555657585960616263646566676869707172737475767778798081828384858687888990919293949596979899100101102103104105106107108109110111112[[#This Row],[Total]]&lt;0,T_T13411121314151617181920212223242526272829303132333536373839404142434445464748495051525354555657585960616263646566676869707172737475767778798081828384858687888990919293949596979899100101102103104105106107108109110111112[[#This Row],[Total]]*-1,0)</f>
        <v>0</v>
      </c>
      <c r="J30" s="370"/>
    </row>
    <row r="31" spans="1:10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404</v>
      </c>
      <c r="I31" s="355">
        <f>IF(T_T13411121314151617181920212223242526272829303132333536373839404142434445464748495051525354555657585960616263646566676869707172737475767778798081828384858687888990919293949596979899100101102103104105106107108109110111112[[#This Row],[Total]]&lt;0,T_T13411121314151617181920212223242526272829303132333536373839404142434445464748495051525354555657585960616263646566676869707172737475767778798081828384858687888990919293949596979899100101102103104105106107108109110111112[[#This Row],[Total]]*-1,0)</f>
        <v>0</v>
      </c>
      <c r="J31" s="370"/>
    </row>
    <row r="32" spans="1:10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404</v>
      </c>
      <c r="I32" s="355">
        <f>IF(T_T13411121314151617181920212223242526272829303132333536373839404142434445464748495051525354555657585960616263646566676869707172737475767778798081828384858687888990919293949596979899100101102103104105106107108109110111112[[#This Row],[Total]]&lt;0,T_T13411121314151617181920212223242526272829303132333536373839404142434445464748495051525354555657585960616263646566676869707172737475767778798081828384858687888990919293949596979899100101102103104105106107108109110111112[[#This Row],[Total]]*-1,0)</f>
        <v>0</v>
      </c>
      <c r="J32" s="370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404</v>
      </c>
      <c r="I33" s="355">
        <f>IF(T_T13411121314151617181920212223242526272829303132333536373839404142434445464748495051525354555657585960616263646566676869707172737475767778798081828384858687888990919293949596979899100101102103104105106107108109110111112[[#This Row],[Total]]&lt;0,T_T13411121314151617181920212223242526272829303132333536373839404142434445464748495051525354555657585960616263646566676869707172737475767778798081828384858687888990919293949596979899100101102103104105106107108109110111112[[#This Row],[Total]]*-1,0)</f>
        <v>0</v>
      </c>
      <c r="J33" s="370"/>
    </row>
    <row r="34" spans="1:10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404</v>
      </c>
      <c r="I34" s="355">
        <f>IF(T_T13411121314151617181920212223242526272829303132333536373839404142434445464748495051525354555657585960616263646566676869707172737475767778798081828384858687888990919293949596979899100101102103104105106107108109110111112[[#This Row],[Total]]&lt;0,T_T13411121314151617181920212223242526272829303132333536373839404142434445464748495051525354555657585960616263646566676869707172737475767778798081828384858687888990919293949596979899100101102103104105106107108109110111112[[#This Row],[Total]]*-1,0)</f>
        <v>0</v>
      </c>
      <c r="J34" s="370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404</v>
      </c>
      <c r="I35" s="355">
        <f>IF(T_T13411121314151617181920212223242526272829303132333536373839404142434445464748495051525354555657585960616263646566676869707172737475767778798081828384858687888990919293949596979899100101102103104105106107108109110111112[[#This Row],[Total]]&lt;0,T_T13411121314151617181920212223242526272829303132333536373839404142434445464748495051525354555657585960616263646566676869707172737475767778798081828384858687888990919293949596979899100101102103104105106107108109110111112[[#This Row],[Total]]*-1,0)</f>
        <v>0</v>
      </c>
      <c r="J35" s="370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404</v>
      </c>
      <c r="I36" s="355">
        <f>IF(T_T13411121314151617181920212223242526272829303132333536373839404142434445464748495051525354555657585960616263646566676869707172737475767778798081828384858687888990919293949596979899100101102103104105106107108109110111112[[#This Row],[Total]]&lt;0,T_T13411121314151617181920212223242526272829303132333536373839404142434445464748495051525354555657585960616263646566676869707172737475767778798081828384858687888990919293949596979899100101102103104105106107108109110111112[[#This Row],[Total]]*-1,0)</f>
        <v>0</v>
      </c>
      <c r="J36" s="370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404</v>
      </c>
      <c r="I37" s="355">
        <f>IF(T_T13411121314151617181920212223242526272829303132333536373839404142434445464748495051525354555657585960616263646566676869707172737475767778798081828384858687888990919293949596979899100101102103104105106107108109110111112[[#This Row],[Total]]&lt;0,T_T13411121314151617181920212223242526272829303132333536373839404142434445464748495051525354555657585960616263646566676869707172737475767778798081828384858687888990919293949596979899100101102103104105106107108109110111112[[#This Row],[Total]]*-1,0)</f>
        <v>0</v>
      </c>
      <c r="J37" s="370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404</v>
      </c>
      <c r="I38" s="355">
        <f>IF(T_T13411121314151617181920212223242526272829303132333536373839404142434445464748495051525354555657585960616263646566676869707172737475767778798081828384858687888990919293949596979899100101102103104105106107108109110111112[[#This Row],[Total]]&lt;0,T_T13411121314151617181920212223242526272829303132333536373839404142434445464748495051525354555657585960616263646566676869707172737475767778798081828384858687888990919293949596979899100101102103104105106107108109110111112[[#This Row],[Total]]*-1,0)</f>
        <v>0</v>
      </c>
      <c r="J38" s="370"/>
    </row>
    <row r="39" spans="1:10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404</v>
      </c>
      <c r="I39" s="355">
        <f>IF(T_T13411121314151617181920212223242526272829303132333536373839404142434445464748495051525354555657585960616263646566676869707172737475767778798081828384858687888990919293949596979899100101102103104105106107108109110111112[[#This Row],[Total]]&lt;0,T_T13411121314151617181920212223242526272829303132333536373839404142434445464748495051525354555657585960616263646566676869707172737475767778798081828384858687888990919293949596979899100101102103104105106107108109110111112[[#This Row],[Total]]*-1,0)</f>
        <v>0</v>
      </c>
      <c r="J39" s="370"/>
    </row>
    <row r="40" spans="1:10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404</v>
      </c>
      <c r="I40" s="355">
        <f>IF(T_T13411121314151617181920212223242526272829303132333536373839404142434445464748495051525354555657585960616263646566676869707172737475767778798081828384858687888990919293949596979899100101102103104105106107108109110111112[[#This Row],[Total]]&lt;0,T_T13411121314151617181920212223242526272829303132333536373839404142434445464748495051525354555657585960616263646566676869707172737475767778798081828384858687888990919293949596979899100101102103104105106107108109110111112[[#This Row],[Total]]*-1,0)</f>
        <v>0</v>
      </c>
      <c r="J40" s="370"/>
    </row>
    <row r="41" spans="1:10" x14ac:dyDescent="0.3">
      <c r="A41" s="17"/>
      <c r="B41" s="18"/>
      <c r="C41" s="6"/>
      <c r="D41" s="2"/>
      <c r="E41" s="2"/>
      <c r="F41" s="2"/>
      <c r="G41" s="177">
        <f t="shared" ref="G41:G65" si="2">SUM(D41:F41)</f>
        <v>0</v>
      </c>
      <c r="H41" s="112">
        <f>H10+G41</f>
        <v>0</v>
      </c>
    </row>
    <row r="42" spans="1:10" x14ac:dyDescent="0.3">
      <c r="A42" s="17"/>
      <c r="B42" s="18"/>
      <c r="C42" s="6"/>
      <c r="D42" s="2"/>
      <c r="E42" s="2"/>
      <c r="F42" s="2"/>
      <c r="G42" s="177">
        <f t="shared" si="2"/>
        <v>0</v>
      </c>
      <c r="H42" s="112">
        <f t="shared" ref="H42:H64" si="3">H41+G42</f>
        <v>0</v>
      </c>
    </row>
    <row r="43" spans="1:10" x14ac:dyDescent="0.3">
      <c r="A43" s="164"/>
      <c r="B43" s="161"/>
      <c r="C43" s="6"/>
      <c r="D43" s="2"/>
      <c r="E43" s="2"/>
      <c r="F43" s="2"/>
      <c r="G43" s="177">
        <f t="shared" si="2"/>
        <v>0</v>
      </c>
      <c r="H43" s="112">
        <f t="shared" si="3"/>
        <v>0</v>
      </c>
    </row>
    <row r="44" spans="1:10" x14ac:dyDescent="0.3">
      <c r="A44" s="185"/>
      <c r="B44" s="3"/>
      <c r="C44" s="6"/>
      <c r="D44" s="2"/>
      <c r="E44" s="2"/>
      <c r="F44" s="2"/>
      <c r="G44" s="177">
        <f t="shared" si="2"/>
        <v>0</v>
      </c>
      <c r="H44" s="112">
        <f t="shared" si="3"/>
        <v>0</v>
      </c>
    </row>
    <row r="45" spans="1:10" x14ac:dyDescent="0.3">
      <c r="A45" s="188"/>
      <c r="B45" s="3"/>
      <c r="C45" s="6"/>
      <c r="D45" s="2"/>
      <c r="E45" s="2"/>
      <c r="F45" s="2"/>
      <c r="G45" s="177">
        <f t="shared" si="2"/>
        <v>0</v>
      </c>
      <c r="H45" s="112">
        <f t="shared" si="3"/>
        <v>0</v>
      </c>
    </row>
    <row r="46" spans="1:10" x14ac:dyDescent="0.3">
      <c r="A46" s="107"/>
      <c r="B46" s="82"/>
      <c r="C46" s="283"/>
      <c r="D46" s="2"/>
      <c r="E46" s="2"/>
      <c r="F46" s="2"/>
      <c r="G46" s="177">
        <f t="shared" si="2"/>
        <v>0</v>
      </c>
      <c r="H46" s="112">
        <f t="shared" si="3"/>
        <v>0</v>
      </c>
    </row>
    <row r="47" spans="1:10" x14ac:dyDescent="0.3">
      <c r="A47" s="188"/>
      <c r="B47" s="3"/>
      <c r="C47" s="169"/>
      <c r="D47" s="2"/>
      <c r="E47" s="2"/>
      <c r="F47" s="2"/>
      <c r="G47" s="177">
        <f t="shared" si="2"/>
        <v>0</v>
      </c>
      <c r="H47" s="112">
        <f t="shared" si="3"/>
        <v>0</v>
      </c>
    </row>
    <row r="48" spans="1:10" x14ac:dyDescent="0.3">
      <c r="A48" s="257"/>
      <c r="B48" s="110"/>
      <c r="C48" s="330"/>
      <c r="D48" s="212"/>
      <c r="E48" s="212"/>
      <c r="F48" s="212"/>
      <c r="G48" s="281">
        <f t="shared" si="2"/>
        <v>0</v>
      </c>
      <c r="H48" s="199">
        <f t="shared" si="3"/>
        <v>0</v>
      </c>
    </row>
    <row r="49" spans="1:8" x14ac:dyDescent="0.3">
      <c r="A49" s="188"/>
      <c r="B49" s="3"/>
      <c r="C49" s="6"/>
      <c r="D49" s="2"/>
      <c r="E49" s="2"/>
      <c r="F49" s="2"/>
      <c r="G49" s="2">
        <f t="shared" si="2"/>
        <v>0</v>
      </c>
      <c r="H49" s="199">
        <f t="shared" si="3"/>
        <v>0</v>
      </c>
    </row>
    <row r="50" spans="1:8" x14ac:dyDescent="0.3">
      <c r="A50" s="107"/>
      <c r="B50" s="127"/>
      <c r="C50" s="6"/>
      <c r="D50" s="2"/>
      <c r="E50" s="2"/>
      <c r="F50" s="2"/>
      <c r="G50" s="2">
        <f t="shared" si="2"/>
        <v>0</v>
      </c>
      <c r="H50" s="199">
        <f t="shared" si="3"/>
        <v>0</v>
      </c>
    </row>
    <row r="51" spans="1:8" x14ac:dyDescent="0.3">
      <c r="A51" s="188"/>
      <c r="B51" s="3"/>
      <c r="C51" s="6"/>
      <c r="D51" s="2"/>
      <c r="E51" s="2"/>
      <c r="F51" s="2"/>
      <c r="G51" s="2">
        <f t="shared" si="2"/>
        <v>0</v>
      </c>
      <c r="H51" s="199">
        <f t="shared" si="3"/>
        <v>0</v>
      </c>
    </row>
    <row r="52" spans="1:8" x14ac:dyDescent="0.3">
      <c r="A52" s="107"/>
      <c r="B52" s="127"/>
      <c r="C52" s="19"/>
      <c r="D52" s="212"/>
      <c r="E52" s="212"/>
      <c r="F52" s="212"/>
      <c r="G52" s="212">
        <f t="shared" si="2"/>
        <v>0</v>
      </c>
      <c r="H52" s="199">
        <f t="shared" si="3"/>
        <v>0</v>
      </c>
    </row>
    <row r="53" spans="1:8" x14ac:dyDescent="0.3">
      <c r="A53" s="107"/>
      <c r="B53" s="82"/>
      <c r="C53" s="6"/>
      <c r="D53" s="2"/>
      <c r="E53" s="2"/>
      <c r="F53" s="2"/>
      <c r="G53" s="212">
        <f t="shared" si="2"/>
        <v>0</v>
      </c>
      <c r="H53" s="199">
        <f t="shared" si="3"/>
        <v>0</v>
      </c>
    </row>
    <row r="54" spans="1:8" x14ac:dyDescent="0.3">
      <c r="A54" s="107"/>
      <c r="B54" s="82"/>
      <c r="C54" s="6"/>
      <c r="D54" s="2"/>
      <c r="E54" s="2"/>
      <c r="F54" s="2"/>
      <c r="G54" s="212">
        <f t="shared" si="2"/>
        <v>0</v>
      </c>
      <c r="H54" s="199">
        <f t="shared" si="3"/>
        <v>0</v>
      </c>
    </row>
    <row r="55" spans="1:8" x14ac:dyDescent="0.3">
      <c r="A55" s="107"/>
      <c r="B55" s="82"/>
      <c r="C55" s="6"/>
      <c r="D55" s="2"/>
      <c r="E55" s="2"/>
      <c r="F55" s="2"/>
      <c r="G55" s="212">
        <f t="shared" si="2"/>
        <v>0</v>
      </c>
      <c r="H55" s="199">
        <f t="shared" si="3"/>
        <v>0</v>
      </c>
    </row>
    <row r="56" spans="1:8" x14ac:dyDescent="0.3">
      <c r="A56" s="107"/>
      <c r="B56" s="82"/>
      <c r="C56" s="19"/>
      <c r="D56" s="212"/>
      <c r="E56" s="212"/>
      <c r="F56" s="212"/>
      <c r="G56" s="212">
        <f t="shared" si="2"/>
        <v>0</v>
      </c>
      <c r="H56" s="199">
        <f t="shared" si="3"/>
        <v>0</v>
      </c>
    </row>
    <row r="57" spans="1:8" x14ac:dyDescent="0.3">
      <c r="A57" s="188"/>
      <c r="B57" s="3"/>
      <c r="C57" s="6"/>
      <c r="D57" s="2"/>
      <c r="E57" s="2"/>
      <c r="F57" s="2"/>
      <c r="G57" s="2">
        <f t="shared" si="2"/>
        <v>0</v>
      </c>
      <c r="H57" s="199">
        <f t="shared" si="3"/>
        <v>0</v>
      </c>
    </row>
    <row r="58" spans="1:8" x14ac:dyDescent="0.3">
      <c r="A58" s="107"/>
      <c r="B58" s="82"/>
      <c r="C58" s="6"/>
      <c r="D58" s="2"/>
      <c r="E58" s="2"/>
      <c r="F58" s="2"/>
      <c r="G58" s="2">
        <f t="shared" si="2"/>
        <v>0</v>
      </c>
      <c r="H58" s="199">
        <f t="shared" si="3"/>
        <v>0</v>
      </c>
    </row>
    <row r="59" spans="1:8" x14ac:dyDescent="0.3">
      <c r="A59" s="188"/>
      <c r="B59" s="3"/>
      <c r="C59" s="6"/>
      <c r="D59" s="2"/>
      <c r="E59" s="2"/>
      <c r="F59" s="2"/>
      <c r="G59" s="2">
        <f t="shared" si="2"/>
        <v>0</v>
      </c>
      <c r="H59" s="199">
        <f t="shared" si="3"/>
        <v>0</v>
      </c>
    </row>
    <row r="60" spans="1:8" x14ac:dyDescent="0.3">
      <c r="A60" s="107"/>
      <c r="B60" s="82"/>
      <c r="C60" s="6"/>
      <c r="D60" s="2"/>
      <c r="E60" s="2"/>
      <c r="F60" s="2"/>
      <c r="G60" s="2">
        <f t="shared" si="2"/>
        <v>0</v>
      </c>
      <c r="H60" s="199">
        <f t="shared" si="3"/>
        <v>0</v>
      </c>
    </row>
    <row r="61" spans="1:8" x14ac:dyDescent="0.3">
      <c r="A61" s="188"/>
      <c r="B61" s="3"/>
      <c r="C61" s="6"/>
      <c r="D61" s="2"/>
      <c r="E61" s="2"/>
      <c r="F61" s="2"/>
      <c r="G61" s="2">
        <f t="shared" si="2"/>
        <v>0</v>
      </c>
      <c r="H61" s="199">
        <f t="shared" si="3"/>
        <v>0</v>
      </c>
    </row>
    <row r="62" spans="1:8" x14ac:dyDescent="0.3">
      <c r="A62" s="107"/>
      <c r="B62" s="82"/>
      <c r="C62" s="6"/>
      <c r="D62" s="2"/>
      <c r="E62" s="2"/>
      <c r="F62" s="2"/>
      <c r="G62" s="2">
        <f t="shared" si="2"/>
        <v>0</v>
      </c>
      <c r="H62" s="199">
        <f t="shared" si="3"/>
        <v>0</v>
      </c>
    </row>
    <row r="63" spans="1:8" x14ac:dyDescent="0.3">
      <c r="A63" s="188"/>
      <c r="B63" s="3"/>
      <c r="C63" s="6"/>
      <c r="D63" s="2"/>
      <c r="E63" s="2"/>
      <c r="F63" s="2"/>
      <c r="G63" s="2">
        <f t="shared" si="2"/>
        <v>0</v>
      </c>
      <c r="H63" s="199">
        <f t="shared" si="3"/>
        <v>0</v>
      </c>
    </row>
    <row r="64" spans="1:8" x14ac:dyDescent="0.3">
      <c r="A64" s="257"/>
      <c r="B64" s="110"/>
      <c r="C64" s="6"/>
      <c r="D64" s="2"/>
      <c r="E64" s="2"/>
      <c r="F64" s="2"/>
      <c r="G64" s="2">
        <f t="shared" si="2"/>
        <v>0</v>
      </c>
      <c r="H64" s="199">
        <f t="shared" si="3"/>
        <v>0</v>
      </c>
    </row>
    <row r="65" spans="7:7" x14ac:dyDescent="0.3">
      <c r="G65" s="2">
        <f t="shared" si="2"/>
        <v>0</v>
      </c>
    </row>
  </sheetData>
  <hyperlinks>
    <hyperlink ref="B7" r:id="rId1" display="jose.orozco@outlook.com"/>
    <hyperlink ref="H7" location="Resumen!A1" display="Rsumen         "/>
  </hyperlinks>
  <pageMargins left="0.48" right="0.70866141732283472" top="0.74803149606299213" bottom="0.74803149606299213" header="0.31496062992125984" footer="0.31496062992125984"/>
  <pageSetup scale="70" orientation="portrait" verticalDpi="360" r:id="rId2"/>
  <drawing r:id="rId3"/>
  <tableParts count="1">
    <tablePart r:id="rId4"/>
  </tablePart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I40"/>
  <sheetViews>
    <sheetView showGridLines="0" zoomScale="85" zoomScaleNormal="85" workbookViewId="0">
      <selection activeCell="E21" sqref="E21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0.5546875" style="4" customWidth="1"/>
    <col min="4" max="4" width="14.109375" style="1" customWidth="1"/>
    <col min="5" max="5" width="8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4" max="14" width="19" customWidth="1"/>
  </cols>
  <sheetData>
    <row r="2" spans="1:9" ht="15.6" x14ac:dyDescent="0.3">
      <c r="A2" s="27" t="s">
        <v>36</v>
      </c>
      <c r="B2" s="41" t="s">
        <v>161</v>
      </c>
    </row>
    <row r="3" spans="1:9" x14ac:dyDescent="0.3">
      <c r="A3" s="27" t="s">
        <v>31</v>
      </c>
      <c r="B3" s="28" t="s">
        <v>253</v>
      </c>
    </row>
    <row r="4" spans="1:9" hidden="1" x14ac:dyDescent="0.3">
      <c r="A4" s="27"/>
      <c r="B4" s="28"/>
    </row>
    <row r="5" spans="1:9" hidden="1" x14ac:dyDescent="0.3">
      <c r="A5" s="27"/>
      <c r="B5" s="28"/>
    </row>
    <row r="6" spans="1:9" hidden="1" x14ac:dyDescent="0.3">
      <c r="A6" s="27"/>
      <c r="B6" s="28"/>
    </row>
    <row r="7" spans="1:9" hidden="1" x14ac:dyDescent="0.3">
      <c r="A7" s="27"/>
      <c r="B7" s="28"/>
    </row>
    <row r="8" spans="1:9" x14ac:dyDescent="0.3">
      <c r="A8" s="21"/>
      <c r="B8" s="21"/>
    </row>
    <row r="9" spans="1:9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9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IF(T_T13411121314151617181920212223242526272829303132333536373839404142434445464748495051525354555657585960616263646566676869707172737475767778798081828384858687888990919293949596979899100101102103104105106107108109110111112113[[#This Row],[Total]]&lt;0,T_T13411121314151617181920212223242526272829303132333536373839404142434445464748495051525354555657585960616263646566676869707172737475767778798081828384858687888990919293949596979899100101102103104105106107108109110111112113[[#This Row],[Total]]*-1,0)</f>
        <v>0</v>
      </c>
    </row>
    <row r="11" spans="1:9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355">
        <f>IF(T_T13411121314151617181920212223242526272829303132333536373839404142434445464748495051525354555657585960616263646566676869707172737475767778798081828384858687888990919293949596979899100101102103104105106107108109110111112113[[#This Row],[Total]]&lt;0,T_T13411121314151617181920212223242526272829303132333536373839404142434445464748495051525354555657585960616263646566676869707172737475767778798081828384858687888990919293949596979899100101102103104105106107108109110111112113[[#This Row],[Total]]*-1,0)</f>
        <v>0</v>
      </c>
    </row>
    <row r="12" spans="1:9" x14ac:dyDescent="0.3">
      <c r="A12" s="288"/>
      <c r="B12" s="118" t="s">
        <v>467</v>
      </c>
      <c r="C12" s="424"/>
      <c r="D12" s="425"/>
      <c r="E12" s="425"/>
      <c r="F12" s="425"/>
      <c r="G12" s="425"/>
      <c r="H12" s="426">
        <v>0</v>
      </c>
      <c r="I12" s="427">
        <f>IF(T_T13411121314151617181920212223242526272829303132333536373839404142434445464748495051525354555657585960616263646566676869707172737475767778798081828384858687888990919293949596979899100101102103104105106107108109110111112113[[#This Row],[Total]]&lt;0,T_T13411121314151617181920212223242526272829303132333536373839404142434445464748495051525354555657585960616263646566676869707172737475767778798081828384858687888990919293949596979899100101102103104105106107108109110111112113[[#This Row],[Total]]*-1,0)</f>
        <v>0</v>
      </c>
    </row>
    <row r="13" spans="1:9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355">
        <f>IF(T_T13411121314151617181920212223242526272829303132333536373839404142434445464748495051525354555657585960616263646566676869707172737475767778798081828384858687888990919293949596979899100101102103104105106107108109110111112113[[#This Row],[Total]]&lt;0,T_T13411121314151617181920212223242526272829303132333536373839404142434445464748495051525354555657585960616263646566676869707172737475767778798081828384858687888990919293949596979899100101102103104105106107108109110111112113[[#This Row],[Total]]*-1,0)</f>
        <v>0</v>
      </c>
    </row>
    <row r="14" spans="1:9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6">
        <f>IF(T_T13411121314151617181920212223242526272829303132333536373839404142434445464748495051525354555657585960616263646566676869707172737475767778798081828384858687888990919293949596979899100101102103104105106107108109110111112113[[#This Row],[Total]]&lt;0,T_T13411121314151617181920212223242526272829303132333536373839404142434445464748495051525354555657585960616263646566676869707172737475767778798081828384858687888990919293949596979899100101102103104105106107108109110111112113[[#This Row],[Total]]*-1,0)</f>
        <v>0</v>
      </c>
    </row>
    <row r="15" spans="1:9" x14ac:dyDescent="0.3">
      <c r="A15" s="17">
        <v>46052</v>
      </c>
      <c r="B15" s="18" t="s">
        <v>590</v>
      </c>
      <c r="C15" s="6"/>
      <c r="D15" s="2">
        <v>101</v>
      </c>
      <c r="E15" s="2">
        <v>14</v>
      </c>
      <c r="F15" s="20"/>
      <c r="G15" s="20">
        <f>SUM(D15:F15)</f>
        <v>115</v>
      </c>
      <c r="H15" s="233">
        <f>+H13+T_T13411121314151617181920212223242526272829303132333536373839404142434445464748495051525354555657585960616263646566676869707172737475767778798081828384858687888990919293949596979899100101102103104105106107108109110111112113[[#This Row],[Total]]</f>
        <v>115</v>
      </c>
      <c r="I15" s="355">
        <f>IF(T_T13411121314151617181920212223242526272829303132333536373839404142434445464748495051525354555657585960616263646566676869707172737475767778798081828384858687888990919293949596979899100101102103104105106107108109110111112113[[#This Row],[Total]]&lt;0,T_T13411121314151617181920212223242526272829303132333536373839404142434445464748495051525354555657585960616263646566676869707172737475767778798081828384858687888990919293949596979899100101102103104105106107108109110111112113[[#This Row],[Total]]*-1,0)</f>
        <v>0</v>
      </c>
    </row>
    <row r="16" spans="1:9" x14ac:dyDescent="0.3">
      <c r="A16" s="17"/>
      <c r="B16" s="18" t="s">
        <v>591</v>
      </c>
      <c r="C16" s="6">
        <v>8622</v>
      </c>
      <c r="D16" s="2">
        <v>-101</v>
      </c>
      <c r="E16" s="2">
        <v>-14</v>
      </c>
      <c r="F16" s="230"/>
      <c r="G16" s="230">
        <f t="shared" ref="G16:G38" si="0">SUM(D16:F16)</f>
        <v>-115</v>
      </c>
      <c r="H16" s="233">
        <f t="shared" ref="H16:H39" si="1">H15+G16</f>
        <v>0</v>
      </c>
      <c r="I16" s="355">
        <f>IF(T_T13411121314151617181920212223242526272829303132333536373839404142434445464748495051525354555657585960616263646566676869707172737475767778798081828384858687888990919293949596979899100101102103104105106107108109110111112113[[#This Row],[Total]]&lt;0,T_T13411121314151617181920212223242526272829303132333536373839404142434445464748495051525354555657585960616263646566676869707172737475767778798081828384858687888990919293949596979899100101102103104105106107108109110111112113[[#This Row],[Total]]*-1,0)</f>
        <v>115</v>
      </c>
    </row>
    <row r="17" spans="1:9" x14ac:dyDescent="0.3">
      <c r="A17" s="164">
        <v>45715</v>
      </c>
      <c r="B17" s="161" t="s">
        <v>532</v>
      </c>
      <c r="C17" s="6"/>
      <c r="D17" s="2">
        <v>101</v>
      </c>
      <c r="E17" s="2">
        <v>16</v>
      </c>
      <c r="F17" s="230"/>
      <c r="G17" s="230">
        <f t="shared" si="0"/>
        <v>117</v>
      </c>
      <c r="H17" s="233">
        <f t="shared" si="1"/>
        <v>117</v>
      </c>
      <c r="I17" s="355">
        <f>IF(T_T13411121314151617181920212223242526272829303132333536373839404142434445464748495051525354555657585960616263646566676869707172737475767778798081828384858687888990919293949596979899100101102103104105106107108109110111112113[[#This Row],[Total]]&lt;0,T_T13411121314151617181920212223242526272829303132333536373839404142434445464748495051525354555657585960616263646566676869707172737475767778798081828384858687888990919293949596979899100101102103104105106107108109110111112113[[#This Row],[Total]]*-1,0)</f>
        <v>0</v>
      </c>
    </row>
    <row r="18" spans="1:9" x14ac:dyDescent="0.3">
      <c r="A18" s="187"/>
      <c r="B18" s="18" t="s">
        <v>533</v>
      </c>
      <c r="C18" s="6">
        <v>8751</v>
      </c>
      <c r="D18" s="2">
        <v>-101</v>
      </c>
      <c r="E18" s="2">
        <v>-16</v>
      </c>
      <c r="F18" s="230"/>
      <c r="G18" s="230">
        <f t="shared" si="0"/>
        <v>-117</v>
      </c>
      <c r="H18" s="233">
        <f t="shared" si="1"/>
        <v>0</v>
      </c>
      <c r="I18" s="355">
        <f>IF(T_T13411121314151617181920212223242526272829303132333536373839404142434445464748495051525354555657585960616263646566676869707172737475767778798081828384858687888990919293949596979899100101102103104105106107108109110111112113[[#This Row],[Total]]&lt;0,T_T13411121314151617181920212223242526272829303132333536373839404142434445464748495051525354555657585960616263646566676869707172737475767778798081828384858687888990919293949596979899100101102103104105106107108109110111112113[[#This Row],[Total]]*-1,0)</f>
        <v>117</v>
      </c>
    </row>
    <row r="19" spans="1:9" x14ac:dyDescent="0.3">
      <c r="A19" s="188">
        <v>45747</v>
      </c>
      <c r="B19" s="3" t="s">
        <v>534</v>
      </c>
      <c r="C19" s="6"/>
      <c r="D19" s="2">
        <v>115</v>
      </c>
      <c r="E19" s="2">
        <v>15</v>
      </c>
      <c r="F19" s="230"/>
      <c r="G19" s="230">
        <f t="shared" si="0"/>
        <v>130</v>
      </c>
      <c r="H19" s="233">
        <f t="shared" si="1"/>
        <v>130</v>
      </c>
      <c r="I19" s="355">
        <f>IF(T_T13411121314151617181920212223242526272829303132333536373839404142434445464748495051525354555657585960616263646566676869707172737475767778798081828384858687888990919293949596979899100101102103104105106107108109110111112113[[#This Row],[Total]]&lt;0,T_T13411121314151617181920212223242526272829303132333536373839404142434445464748495051525354555657585960616263646566676869707172737475767778798081828384858687888990919293949596979899100101102103104105106107108109110111112113[[#This Row],[Total]]*-1,0)</f>
        <v>0</v>
      </c>
    </row>
    <row r="20" spans="1:9" x14ac:dyDescent="0.3">
      <c r="A20" s="188"/>
      <c r="B20" s="82" t="s">
        <v>535</v>
      </c>
      <c r="C20" s="6">
        <v>8835</v>
      </c>
      <c r="D20" s="2">
        <v>-115</v>
      </c>
      <c r="E20" s="2">
        <v>-15</v>
      </c>
      <c r="F20" s="230"/>
      <c r="G20" s="230">
        <f t="shared" si="0"/>
        <v>-130</v>
      </c>
      <c r="H20" s="233">
        <f t="shared" si="1"/>
        <v>0</v>
      </c>
      <c r="I20" s="355">
        <f>IF(T_T13411121314151617181920212223242526272829303132333536373839404142434445464748495051525354555657585960616263646566676869707172737475767778798081828384858687888990919293949596979899100101102103104105106107108109110111112113[[#This Row],[Total]]&lt;0,T_T13411121314151617181920212223242526272829303132333536373839404142434445464748495051525354555657585960616263646566676869707172737475767778798081828384858687888990919293949596979899100101102103104105106107108109110111112113[[#This Row],[Total]]*-1,0)</f>
        <v>130</v>
      </c>
    </row>
    <row r="21" spans="1:9" x14ac:dyDescent="0.3">
      <c r="A21" s="188">
        <v>45777</v>
      </c>
      <c r="B21" s="3" t="s">
        <v>536</v>
      </c>
      <c r="C21" s="6"/>
      <c r="D21" s="2">
        <v>115</v>
      </c>
      <c r="E21" s="2">
        <v>26</v>
      </c>
      <c r="F21" s="230"/>
      <c r="G21" s="230">
        <f t="shared" si="0"/>
        <v>141</v>
      </c>
      <c r="H21" s="233">
        <f t="shared" si="1"/>
        <v>141</v>
      </c>
      <c r="I21" s="355">
        <f>IF(T_T13411121314151617181920212223242526272829303132333536373839404142434445464748495051525354555657585960616263646566676869707172737475767778798081828384858687888990919293949596979899100101102103104105106107108109110111112113[[#This Row],[Total]]&lt;0,T_T13411121314151617181920212223242526272829303132333536373839404142434445464748495051525354555657585960616263646566676869707172737475767778798081828384858687888990919293949596979899100101102103104105106107108109110111112113[[#This Row],[Total]]*-1,0)</f>
        <v>0</v>
      </c>
    </row>
    <row r="22" spans="1:9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141</v>
      </c>
      <c r="I22" s="355">
        <f>IF(T_T13411121314151617181920212223242526272829303132333536373839404142434445464748495051525354555657585960616263646566676869707172737475767778798081828384858687888990919293949596979899100101102103104105106107108109110111112113[[#This Row],[Total]]&lt;0,T_T13411121314151617181920212223242526272829303132333536373839404142434445464748495051525354555657585960616263646566676869707172737475767778798081828384858687888990919293949596979899100101102103104105106107108109110111112113[[#This Row],[Total]]*-1,0)</f>
        <v>0</v>
      </c>
    </row>
    <row r="23" spans="1:9" x14ac:dyDescent="0.3">
      <c r="A23" s="40">
        <v>45807</v>
      </c>
      <c r="B23" s="3" t="s">
        <v>538</v>
      </c>
      <c r="C23" s="229"/>
      <c r="D23" s="230">
        <v>115</v>
      </c>
      <c r="E23" s="7">
        <v>26</v>
      </c>
      <c r="F23" s="230"/>
      <c r="G23" s="230">
        <f t="shared" si="0"/>
        <v>141</v>
      </c>
      <c r="H23" s="233">
        <f t="shared" si="1"/>
        <v>282</v>
      </c>
      <c r="I23" s="355">
        <f>IF(T_T13411121314151617181920212223242526272829303132333536373839404142434445464748495051525354555657585960616263646566676869707172737475767778798081828384858687888990919293949596979899100101102103104105106107108109110111112113[[#This Row],[Total]]&lt;0,T_T13411121314151617181920212223242526272829303132333536373839404142434445464748495051525354555657585960616263646566676869707172737475767778798081828384858687888990919293949596979899100101102103104105106107108109110111112113[[#This Row],[Total]]*-1,0)</f>
        <v>0</v>
      </c>
    </row>
    <row r="24" spans="1:9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282</v>
      </c>
      <c r="I24" s="355">
        <f>IF(T_T13411121314151617181920212223242526272829303132333536373839404142434445464748495051525354555657585960616263646566676869707172737475767778798081828384858687888990919293949596979899100101102103104105106107108109110111112113[[#This Row],[Total]]&lt;0,T_T13411121314151617181920212223242526272829303132333536373839404142434445464748495051525354555657585960616263646566676869707172737475767778798081828384858687888990919293949596979899100101102103104105106107108109110111112113[[#This Row],[Total]]*-1,0)</f>
        <v>0</v>
      </c>
    </row>
    <row r="25" spans="1:9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282</v>
      </c>
      <c r="I25" s="355">
        <f>IF(T_T13411121314151617181920212223242526272829303132333536373839404142434445464748495051525354555657585960616263646566676869707172737475767778798081828384858687888990919293949596979899100101102103104105106107108109110111112113[[#This Row],[Total]]&lt;0,T_T13411121314151617181920212223242526272829303132333536373839404142434445464748495051525354555657585960616263646566676869707172737475767778798081828384858687888990919293949596979899100101102103104105106107108109110111112113[[#This Row],[Total]]*-1,0)</f>
        <v>0</v>
      </c>
    </row>
    <row r="26" spans="1:9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282</v>
      </c>
      <c r="I26" s="355">
        <f>IF(T_T13411121314151617181920212223242526272829303132333536373839404142434445464748495051525354555657585960616263646566676869707172737475767778798081828384858687888990919293949596979899100101102103104105106107108109110111112113[[#This Row],[Total]]&lt;0,T_T13411121314151617181920212223242526272829303132333536373839404142434445464748495051525354555657585960616263646566676869707172737475767778798081828384858687888990919293949596979899100101102103104105106107108109110111112113[[#This Row],[Total]]*-1,0)</f>
        <v>0</v>
      </c>
    </row>
    <row r="27" spans="1:9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282</v>
      </c>
      <c r="I27" s="355">
        <f>IF(T_T13411121314151617181920212223242526272829303132333536373839404142434445464748495051525354555657585960616263646566676869707172737475767778798081828384858687888990919293949596979899100101102103104105106107108109110111112113[[#This Row],[Total]]&lt;0,T_T13411121314151617181920212223242526272829303132333536373839404142434445464748495051525354555657585960616263646566676869707172737475767778798081828384858687888990919293949596979899100101102103104105106107108109110111112113[[#This Row],[Total]]*-1,0)</f>
        <v>0</v>
      </c>
    </row>
    <row r="28" spans="1:9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282</v>
      </c>
      <c r="I28" s="355">
        <f>IF(T_T13411121314151617181920212223242526272829303132333536373839404142434445464748495051525354555657585960616263646566676869707172737475767778798081828384858687888990919293949596979899100101102103104105106107108109110111112113[[#This Row],[Total]]&lt;0,T_T13411121314151617181920212223242526272829303132333536373839404142434445464748495051525354555657585960616263646566676869707172737475767778798081828384858687888990919293949596979899100101102103104105106107108109110111112113[[#This Row],[Total]]*-1,0)</f>
        <v>0</v>
      </c>
    </row>
    <row r="29" spans="1:9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282</v>
      </c>
      <c r="I29" s="355">
        <f>IF(T_T13411121314151617181920212223242526272829303132333536373839404142434445464748495051525354555657585960616263646566676869707172737475767778798081828384858687888990919293949596979899100101102103104105106107108109110111112113[[#This Row],[Total]]&lt;0,T_T13411121314151617181920212223242526272829303132333536373839404142434445464748495051525354555657585960616263646566676869707172737475767778798081828384858687888990919293949596979899100101102103104105106107108109110111112113[[#This Row],[Total]]*-1,0)</f>
        <v>0</v>
      </c>
    </row>
    <row r="30" spans="1:9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282</v>
      </c>
      <c r="I30" s="355">
        <f>IF(T_T13411121314151617181920212223242526272829303132333536373839404142434445464748495051525354555657585960616263646566676869707172737475767778798081828384858687888990919293949596979899100101102103104105106107108109110111112113[[#This Row],[Total]]&lt;0,T_T13411121314151617181920212223242526272829303132333536373839404142434445464748495051525354555657585960616263646566676869707172737475767778798081828384858687888990919293949596979899100101102103104105106107108109110111112113[[#This Row],[Total]]*-1,0)</f>
        <v>0</v>
      </c>
    </row>
    <row r="31" spans="1:9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282</v>
      </c>
      <c r="I31" s="355">
        <f>IF(T_T13411121314151617181920212223242526272829303132333536373839404142434445464748495051525354555657585960616263646566676869707172737475767778798081828384858687888990919293949596979899100101102103104105106107108109110111112113[[#This Row],[Total]]&lt;0,T_T13411121314151617181920212223242526272829303132333536373839404142434445464748495051525354555657585960616263646566676869707172737475767778798081828384858687888990919293949596979899100101102103104105106107108109110111112113[[#This Row],[Total]]*-1,0)</f>
        <v>0</v>
      </c>
    </row>
    <row r="32" spans="1:9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282</v>
      </c>
      <c r="I32" s="355">
        <f>IF(T_T13411121314151617181920212223242526272829303132333536373839404142434445464748495051525354555657585960616263646566676869707172737475767778798081828384858687888990919293949596979899100101102103104105106107108109110111112113[[#This Row],[Total]]&lt;0,T_T13411121314151617181920212223242526272829303132333536373839404142434445464748495051525354555657585960616263646566676869707172737475767778798081828384858687888990919293949596979899100101102103104105106107108109110111112113[[#This Row],[Total]]*-1,0)</f>
        <v>0</v>
      </c>
    </row>
    <row r="33" spans="1:9" x14ac:dyDescent="0.3">
      <c r="A33" s="9">
        <v>45960</v>
      </c>
      <c r="B33" s="3" t="s">
        <v>548</v>
      </c>
      <c r="C33" s="6"/>
      <c r="D33" s="230"/>
      <c r="E33" s="230"/>
      <c r="F33" s="230"/>
      <c r="G33" s="230">
        <f t="shared" si="0"/>
        <v>0</v>
      </c>
      <c r="H33" s="233">
        <f t="shared" si="1"/>
        <v>282</v>
      </c>
      <c r="I33" s="355">
        <f>IF(T_T13411121314151617181920212223242526272829303132333536373839404142434445464748495051525354555657585960616263646566676869707172737475767778798081828384858687888990919293949596979899100101102103104105106107108109110111112113[[#This Row],[Total]]&lt;0,T_T13411121314151617181920212223242526272829303132333536373839404142434445464748495051525354555657585960616263646566676869707172737475767778798081828384858687888990919293949596979899100101102103104105106107108109110111112113[[#This Row],[Total]]*-1,0)</f>
        <v>0</v>
      </c>
    </row>
    <row r="34" spans="1:9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282</v>
      </c>
      <c r="I34" s="355">
        <f>IF(T_T13411121314151617181920212223242526272829303132333536373839404142434445464748495051525354555657585960616263646566676869707172737475767778798081828384858687888990919293949596979899100101102103104105106107108109110111112113[[#This Row],[Total]]&lt;0,T_T13411121314151617181920212223242526272829303132333536373839404142434445464748495051525354555657585960616263646566676869707172737475767778798081828384858687888990919293949596979899100101102103104105106107108109110111112113[[#This Row],[Total]]*-1,0)</f>
        <v>0</v>
      </c>
    </row>
    <row r="35" spans="1:9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282</v>
      </c>
      <c r="I35" s="355">
        <f>IF(T_T13411121314151617181920212223242526272829303132333536373839404142434445464748495051525354555657585960616263646566676869707172737475767778798081828384858687888990919293949596979899100101102103104105106107108109110111112113[[#This Row],[Total]]&lt;0,T_T13411121314151617181920212223242526272829303132333536373839404142434445464748495051525354555657585960616263646566676869707172737475767778798081828384858687888990919293949596979899100101102103104105106107108109110111112113[[#This Row],[Total]]*-1,0)</f>
        <v>0</v>
      </c>
    </row>
    <row r="36" spans="1:9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282</v>
      </c>
      <c r="I36" s="355">
        <f>IF(T_T13411121314151617181920212223242526272829303132333536373839404142434445464748495051525354555657585960616263646566676869707172737475767778798081828384858687888990919293949596979899100101102103104105106107108109110111112113[[#This Row],[Total]]&lt;0,T_T13411121314151617181920212223242526272829303132333536373839404142434445464748495051525354555657585960616263646566676869707172737475767778798081828384858687888990919293949596979899100101102103104105106107108109110111112113[[#This Row],[Total]]*-1,0)</f>
        <v>0</v>
      </c>
    </row>
    <row r="37" spans="1:9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282</v>
      </c>
      <c r="I37" s="355">
        <f>IF(T_T13411121314151617181920212223242526272829303132333536373839404142434445464748495051525354555657585960616263646566676869707172737475767778798081828384858687888990919293949596979899100101102103104105106107108109110111112113[[#This Row],[Total]]&lt;0,T_T13411121314151617181920212223242526272829303132333536373839404142434445464748495051525354555657585960616263646566676869707172737475767778798081828384858687888990919293949596979899100101102103104105106107108109110111112113[[#This Row],[Total]]*-1,0)</f>
        <v>0</v>
      </c>
    </row>
    <row r="38" spans="1:9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282</v>
      </c>
      <c r="I38" s="355">
        <f>IF(T_T13411121314151617181920212223242526272829303132333536373839404142434445464748495051525354555657585960616263646566676869707172737475767778798081828384858687888990919293949596979899100101102103104105106107108109110111112113[[#This Row],[Total]]&lt;0,T_T13411121314151617181920212223242526272829303132333536373839404142434445464748495051525354555657585960616263646566676869707172737475767778798081828384858687888990919293949596979899100101102103104105106107108109110111112113[[#This Row],[Total]]*-1,0)</f>
        <v>0</v>
      </c>
    </row>
    <row r="39" spans="1:9" x14ac:dyDescent="0.3">
      <c r="A39" s="107"/>
      <c r="B39" s="82"/>
      <c r="C39" s="229"/>
      <c r="D39" s="230"/>
      <c r="E39" s="230"/>
      <c r="F39" s="230"/>
      <c r="G39" s="230">
        <f>SUM(D39:F39)</f>
        <v>0</v>
      </c>
      <c r="H39" s="233">
        <f t="shared" si="1"/>
        <v>282</v>
      </c>
      <c r="I39" s="355">
        <f>IF(T_T13411121314151617181920212223242526272829303132333536373839404142434445464748495051525354555657585960616263646566676869707172737475767778798081828384858687888990919293949596979899100101102103104105106107108109110111112113[[#This Row],[Total]]&lt;0,T_T13411121314151617181920212223242526272829303132333536373839404142434445464748495051525354555657585960616263646566676869707172737475767778798081828384858687888990919293949596979899100101102103104105106107108109110111112113[[#This Row],[Total]]*-1,0)</f>
        <v>0</v>
      </c>
    </row>
    <row r="40" spans="1:9" x14ac:dyDescent="0.3">
      <c r="A40" s="107"/>
      <c r="B40" s="82"/>
      <c r="C40" s="481"/>
      <c r="D40" s="482"/>
      <c r="E40" s="482"/>
      <c r="F40" s="482"/>
      <c r="G40" s="482"/>
      <c r="H40" s="483"/>
      <c r="I40" s="473">
        <f>IF(T_T13411121314151617181920212223242526272829303132333536373839404142434445464748495051525354555657585960616263646566676869707172737475767778798081828384858687888990919293949596979899100101102103104105106107108109110111112113[[#This Row],[Total]]&lt;0,T_T13411121314151617181920212223242526272829303132333536373839404142434445464748495051525354555657585960616263646566676869707172737475767778798081828384858687888990919293949596979899100101102103104105106107108109110111112113[[#This Row],[Total]]*-1,0)</f>
        <v>0</v>
      </c>
    </row>
  </sheetData>
  <pageMargins left="0.43307086614173229" right="0.70866141732283472" top="0.74803149606299213" bottom="0.74803149606299213" header="0.31496062992125984" footer="0.31496062992125984"/>
  <pageSetup scale="75" orientation="portrait" verticalDpi="360" r:id="rId1"/>
  <tableParts count="1">
    <tablePart r:id="rId2"/>
  </tablePart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M40"/>
  <sheetViews>
    <sheetView showGridLines="0" topLeftCell="A2" zoomScaleNormal="100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0.6640625" bestFit="1" customWidth="1"/>
    <col min="14" max="14" width="14.88671875" customWidth="1"/>
  </cols>
  <sheetData>
    <row r="2" spans="1:13" ht="15.6" x14ac:dyDescent="0.3">
      <c r="A2" s="27" t="s">
        <v>36</v>
      </c>
      <c r="B2" s="41" t="s">
        <v>162</v>
      </c>
    </row>
    <row r="3" spans="1:13" hidden="1" x14ac:dyDescent="0.3">
      <c r="A3" s="27" t="s">
        <v>31</v>
      </c>
      <c r="B3" s="28" t="e">
        <f>LOOKUP(B2,#REF!,#REF!)</f>
        <v>#REF!</v>
      </c>
    </row>
    <row r="4" spans="1:13" hidden="1" x14ac:dyDescent="0.3">
      <c r="A4" s="27" t="s">
        <v>32</v>
      </c>
      <c r="B4" s="28" t="e">
        <f>LOOKUP(B2,#REF!,#REF!)</f>
        <v>#REF!</v>
      </c>
    </row>
    <row r="5" spans="1:13" hidden="1" x14ac:dyDescent="0.3">
      <c r="A5" s="27" t="s">
        <v>33</v>
      </c>
      <c r="B5" s="28" t="e">
        <f>LOOKUP(B2,#REF!,#REF!)</f>
        <v>#REF!</v>
      </c>
    </row>
    <row r="6" spans="1:13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3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3" x14ac:dyDescent="0.3">
      <c r="A8" s="21"/>
      <c r="B8" s="21" t="s">
        <v>189</v>
      </c>
    </row>
    <row r="9" spans="1:13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312" t="s">
        <v>188</v>
      </c>
    </row>
    <row r="10" spans="1:13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IF(T_T13411121314151617181920212223242526272829303132333536373839404142434445464748495051525354555657585960616263646566676869707172737475767778798081828384858687888990919293949596979899100101102103104105106107108109110111112113114[[#This Row],[Total]]&lt;0,T_T13411121314151617181920212223242526272829303132333536373839404142434445464748495051525354555657585960616263646566676869707172737475767778798081828384858687888990919293949596979899100101102103104105106107108109110111112113114[[#This Row],[Total]]*-1,0)</f>
        <v>0</v>
      </c>
      <c r="J10" s="310"/>
      <c r="M10" s="178"/>
    </row>
    <row r="11" spans="1:13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IF(T_T13411121314151617181920212223242526272829303132333536373839404142434445464748495051525354555657585960616263646566676869707172737475767778798081828384858687888990919293949596979899100101102103104105106107108109110111112113114[[#This Row],[Total]]&lt;0,T_T13411121314151617181920212223242526272829303132333536373839404142434445464748495051525354555657585960616263646566676869707172737475767778798081828384858687888990919293949596979899100101102103104105106107108109110111112113114[[#This Row],[Total]]*-1,0)</f>
        <v>0</v>
      </c>
      <c r="J11" s="309"/>
    </row>
    <row r="12" spans="1:13" x14ac:dyDescent="0.3">
      <c r="A12" s="117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IF(T_T13411121314151617181920212223242526272829303132333536373839404142434445464748495051525354555657585960616263646566676869707172737475767778798081828384858687888990919293949596979899100101102103104105106107108109110111112113114[[#This Row],[Total]]&lt;0,T_T13411121314151617181920212223242526272829303132333536373839404142434445464748495051525354555657585960616263646566676869707172737475767778798081828384858687888990919293949596979899100101102103104105106107108109110111112113114[[#This Row],[Total]]*-1,0)</f>
        <v>0</v>
      </c>
      <c r="J12" s="430"/>
    </row>
    <row r="13" spans="1:13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IF(T_T13411121314151617181920212223242526272829303132333536373839404142434445464748495051525354555657585960616263646566676869707172737475767778798081828384858687888990919293949596979899100101102103104105106107108109110111112113114[[#This Row],[Total]]&lt;0,T_T13411121314151617181920212223242526272829303132333536373839404142434445464748495051525354555657585960616263646566676869707172737475767778798081828384858687888990919293949596979899100101102103104105106107108109110111112113114[[#This Row],[Total]]*-1,0)</f>
        <v>0</v>
      </c>
      <c r="J13" s="309"/>
    </row>
    <row r="14" spans="1:13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IF(T_T13411121314151617181920212223242526272829303132333536373839404142434445464748495051525354555657585960616263646566676869707172737475767778798081828384858687888990919293949596979899100101102103104105106107108109110111112113114[[#This Row],[Total]]&lt;0,T_T13411121314151617181920212223242526272829303132333536373839404142434445464748495051525354555657585960616263646566676869707172737475767778798081828384858687888990919293949596979899100101102103104105106107108109110111112113114[[#This Row],[Total]]*-1,0)</f>
        <v>0</v>
      </c>
      <c r="J14" s="473"/>
    </row>
    <row r="15" spans="1:13" x14ac:dyDescent="0.3">
      <c r="A15" s="17">
        <v>46052</v>
      </c>
      <c r="B15" s="18" t="s">
        <v>590</v>
      </c>
      <c r="C15" s="6"/>
      <c r="D15" s="2">
        <v>126</v>
      </c>
      <c r="E15" s="2">
        <v>28</v>
      </c>
      <c r="F15" s="20"/>
      <c r="G15" s="20">
        <f>SUM(D15:F15)</f>
        <v>154</v>
      </c>
      <c r="H15" s="233">
        <f>+H13+T_T13411121314151617181920212223242526272829303132333536373839404142434445464748495051525354555657585960616263646566676869707172737475767778798081828384858687888990919293949596979899100101102103104105106107108109110111112113114[[#This Row],[Total]]</f>
        <v>154</v>
      </c>
      <c r="I15" s="240">
        <f>IF(T_T13411121314151617181920212223242526272829303132333536373839404142434445464748495051525354555657585960616263646566676869707172737475767778798081828384858687888990919293949596979899100101102103104105106107108109110111112113114[[#This Row],[Total]]&lt;0,T_T13411121314151617181920212223242526272829303132333536373839404142434445464748495051525354555657585960616263646566676869707172737475767778798081828384858687888990919293949596979899100101102103104105106107108109110111112113114[[#This Row],[Total]]*-1,0)</f>
        <v>0</v>
      </c>
      <c r="J15" s="309"/>
    </row>
    <row r="16" spans="1:13" x14ac:dyDescent="0.3">
      <c r="A16" s="17"/>
      <c r="B16" s="18" t="s">
        <v>591</v>
      </c>
      <c r="C16" s="6">
        <v>8549</v>
      </c>
      <c r="D16" s="2">
        <v>-126</v>
      </c>
      <c r="E16" s="2">
        <v>-28</v>
      </c>
      <c r="F16" s="230"/>
      <c r="G16" s="230">
        <f t="shared" ref="G16:G38" si="0">SUM(D16:F16)</f>
        <v>-154</v>
      </c>
      <c r="H16" s="233">
        <f t="shared" ref="H16:H40" si="1">H15+G16</f>
        <v>0</v>
      </c>
      <c r="I16" s="239">
        <f>IF(T_T13411121314151617181920212223242526272829303132333536373839404142434445464748495051525354555657585960616263646566676869707172737475767778798081828384858687888990919293949596979899100101102103104105106107108109110111112113114[[#This Row],[Total]]&lt;0,T_T13411121314151617181920212223242526272829303132333536373839404142434445464748495051525354555657585960616263646566676869707172737475767778798081828384858687888990919293949596979899100101102103104105106107108109110111112113114[[#This Row],[Total]]*-1,0)</f>
        <v>154</v>
      </c>
      <c r="J16" s="309"/>
    </row>
    <row r="17" spans="1:10" x14ac:dyDescent="0.3">
      <c r="A17" s="164">
        <v>45715</v>
      </c>
      <c r="B17" s="161" t="s">
        <v>532</v>
      </c>
      <c r="C17" s="6"/>
      <c r="D17" s="2">
        <v>126</v>
      </c>
      <c r="E17" s="2">
        <v>32</v>
      </c>
      <c r="F17" s="230"/>
      <c r="G17" s="230">
        <f t="shared" si="0"/>
        <v>158</v>
      </c>
      <c r="H17" s="233">
        <f t="shared" si="1"/>
        <v>158</v>
      </c>
      <c r="I17" s="240">
        <f>IF(T_T13411121314151617181920212223242526272829303132333536373839404142434445464748495051525354555657585960616263646566676869707172737475767778798081828384858687888990919293949596979899100101102103104105106107108109110111112113114[[#This Row],[Total]]&lt;0,T_T13411121314151617181920212223242526272829303132333536373839404142434445464748495051525354555657585960616263646566676869707172737475767778798081828384858687888990919293949596979899100101102103104105106107108109110111112113114[[#This Row],[Total]]*-1,0)</f>
        <v>0</v>
      </c>
      <c r="J17" s="309"/>
    </row>
    <row r="18" spans="1:10" x14ac:dyDescent="0.3">
      <c r="A18" s="187"/>
      <c r="B18" s="18" t="s">
        <v>533</v>
      </c>
      <c r="C18" s="6">
        <v>8660</v>
      </c>
      <c r="D18" s="2">
        <v>-126</v>
      </c>
      <c r="E18" s="2">
        <v>-32</v>
      </c>
      <c r="F18" s="230"/>
      <c r="G18" s="230">
        <f t="shared" si="0"/>
        <v>-158</v>
      </c>
      <c r="H18" s="233">
        <f t="shared" si="1"/>
        <v>0</v>
      </c>
      <c r="I18" s="240">
        <f>IF(T_T13411121314151617181920212223242526272829303132333536373839404142434445464748495051525354555657585960616263646566676869707172737475767778798081828384858687888990919293949596979899100101102103104105106107108109110111112113114[[#This Row],[Total]]&lt;0,T_T13411121314151617181920212223242526272829303132333536373839404142434445464748495051525354555657585960616263646566676869707172737475767778798081828384858687888990919293949596979899100101102103104105106107108109110111112113114[[#This Row],[Total]]*-1,0)</f>
        <v>158</v>
      </c>
      <c r="J18" s="309"/>
    </row>
    <row r="19" spans="1:10" x14ac:dyDescent="0.3">
      <c r="A19" s="188">
        <v>45747</v>
      </c>
      <c r="B19" s="3" t="s">
        <v>534</v>
      </c>
      <c r="C19" s="6"/>
      <c r="D19" s="2">
        <f>115+30</f>
        <v>145</v>
      </c>
      <c r="E19" s="2">
        <v>31</v>
      </c>
      <c r="F19" s="230"/>
      <c r="G19" s="230">
        <f t="shared" si="0"/>
        <v>176</v>
      </c>
      <c r="H19" s="233">
        <f t="shared" si="1"/>
        <v>176</v>
      </c>
      <c r="I19" s="240">
        <f>IF(T_T13411121314151617181920212223242526272829303132333536373839404142434445464748495051525354555657585960616263646566676869707172737475767778798081828384858687888990919293949596979899100101102103104105106107108109110111112113114[[#This Row],[Total]]&lt;0,T_T13411121314151617181920212223242526272829303132333536373839404142434445464748495051525354555657585960616263646566676869707172737475767778798081828384858687888990919293949596979899100101102103104105106107108109110111112113114[[#This Row],[Total]]*-1,0)</f>
        <v>0</v>
      </c>
      <c r="J19" s="309"/>
    </row>
    <row r="20" spans="1:10" x14ac:dyDescent="0.3">
      <c r="A20" s="188"/>
      <c r="B20" s="82" t="s">
        <v>535</v>
      </c>
      <c r="C20" s="6">
        <v>8775</v>
      </c>
      <c r="D20" s="2">
        <f>-115-30</f>
        <v>-145</v>
      </c>
      <c r="E20" s="2">
        <v>-31</v>
      </c>
      <c r="F20" s="230"/>
      <c r="G20" s="230">
        <f t="shared" si="0"/>
        <v>-176</v>
      </c>
      <c r="H20" s="233">
        <f t="shared" si="1"/>
        <v>0</v>
      </c>
      <c r="I20" s="239">
        <f>IF(T_T13411121314151617181920212223242526272829303132333536373839404142434445464748495051525354555657585960616263646566676869707172737475767778798081828384858687888990919293949596979899100101102103104105106107108109110111112113114[[#This Row],[Total]]&lt;0,T_T13411121314151617181920212223242526272829303132333536373839404142434445464748495051525354555657585960616263646566676869707172737475767778798081828384858687888990919293949596979899100101102103104105106107108109110111112113114[[#This Row],[Total]]*-1,0)</f>
        <v>176</v>
      </c>
      <c r="J20" s="311"/>
    </row>
    <row r="21" spans="1:10" x14ac:dyDescent="0.3">
      <c r="A21" s="188">
        <v>45777</v>
      </c>
      <c r="B21" s="3" t="s">
        <v>536</v>
      </c>
      <c r="C21" s="6"/>
      <c r="D21" s="2">
        <v>145</v>
      </c>
      <c r="E21" s="2">
        <v>40</v>
      </c>
      <c r="F21" s="230"/>
      <c r="G21" s="230">
        <f t="shared" si="0"/>
        <v>185</v>
      </c>
      <c r="H21" s="233">
        <f t="shared" si="1"/>
        <v>185</v>
      </c>
      <c r="I21" s="309">
        <f>IF(T_T13411121314151617181920212223242526272829303132333536373839404142434445464748495051525354555657585960616263646566676869707172737475767778798081828384858687888990919293949596979899100101102103104105106107108109110111112113114[[#This Row],[Total]]&lt;0,T_T13411121314151617181920212223242526272829303132333536373839404142434445464748495051525354555657585960616263646566676869707172737475767778798081828384858687888990919293949596979899100101102103104105106107108109110111112113114[[#This Row],[Total]]*-1,0)</f>
        <v>0</v>
      </c>
      <c r="J21" s="309"/>
    </row>
    <row r="22" spans="1:10" x14ac:dyDescent="0.3">
      <c r="A22" s="83"/>
      <c r="B22" s="82" t="s">
        <v>537</v>
      </c>
      <c r="C22" s="6">
        <v>8932</v>
      </c>
      <c r="D22" s="2">
        <v>-145</v>
      </c>
      <c r="E22" s="2">
        <v>-40</v>
      </c>
      <c r="F22" s="230"/>
      <c r="G22" s="230">
        <f t="shared" si="0"/>
        <v>-185</v>
      </c>
      <c r="H22" s="233">
        <f t="shared" si="1"/>
        <v>0</v>
      </c>
      <c r="I22" s="309">
        <f>IF(T_T13411121314151617181920212223242526272829303132333536373839404142434445464748495051525354555657585960616263646566676869707172737475767778798081828384858687888990919293949596979899100101102103104105106107108109110111112113114[[#This Row],[Total]]&lt;0,T_T13411121314151617181920212223242526272829303132333536373839404142434445464748495051525354555657585960616263646566676869707172737475767778798081828384858687888990919293949596979899100101102103104105106107108109110111112113114[[#This Row],[Total]]*-1,0)</f>
        <v>185</v>
      </c>
      <c r="J22" s="309"/>
    </row>
    <row r="23" spans="1:10" x14ac:dyDescent="0.3">
      <c r="A23" s="40">
        <v>45807</v>
      </c>
      <c r="B23" s="3" t="s">
        <v>538</v>
      </c>
      <c r="C23" s="229"/>
      <c r="D23" s="230">
        <v>145</v>
      </c>
      <c r="E23" s="230">
        <v>30</v>
      </c>
      <c r="F23" s="7"/>
      <c r="G23" s="230">
        <f t="shared" si="0"/>
        <v>175</v>
      </c>
      <c r="H23" s="233">
        <f t="shared" si="1"/>
        <v>175</v>
      </c>
      <c r="I23" s="309">
        <f>IF(T_T13411121314151617181920212223242526272829303132333536373839404142434445464748495051525354555657585960616263646566676869707172737475767778798081828384858687888990919293949596979899100101102103104105106107108109110111112113114[[#This Row],[Total]]&lt;0,T_T13411121314151617181920212223242526272829303132333536373839404142434445464748495051525354555657585960616263646566676869707172737475767778798081828384858687888990919293949596979899100101102103104105106107108109110111112113114[[#This Row],[Total]]*-1,0)</f>
        <v>0</v>
      </c>
      <c r="J23" s="309"/>
    </row>
    <row r="24" spans="1:10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175</v>
      </c>
      <c r="I24" s="311">
        <f>IF(T_T13411121314151617181920212223242526272829303132333536373839404142434445464748495051525354555657585960616263646566676869707172737475767778798081828384858687888990919293949596979899100101102103104105106107108109110111112113114[[#This Row],[Total]]&lt;0,T_T13411121314151617181920212223242526272829303132333536373839404142434445464748495051525354555657585960616263646566676869707172737475767778798081828384858687888990919293949596979899100101102103104105106107108109110111112113114[[#This Row],[Total]]*-1,0)</f>
        <v>0</v>
      </c>
      <c r="J24" s="311"/>
    </row>
    <row r="25" spans="1:10" x14ac:dyDescent="0.3">
      <c r="A25" s="9">
        <v>45838</v>
      </c>
      <c r="B25" s="3" t="s">
        <v>540</v>
      </c>
      <c r="C25" s="229"/>
      <c r="D25" s="7"/>
      <c r="E25" s="230"/>
      <c r="F25" s="230"/>
      <c r="G25" s="230">
        <f t="shared" si="0"/>
        <v>0</v>
      </c>
      <c r="H25" s="233">
        <f t="shared" si="1"/>
        <v>175</v>
      </c>
      <c r="I25" s="309">
        <f>IF(T_T13411121314151617181920212223242526272829303132333536373839404142434445464748495051525354555657585960616263646566676869707172737475767778798081828384858687888990919293949596979899100101102103104105106107108109110111112113114[[#This Row],[Total]]&lt;0,T_T13411121314151617181920212223242526272829303132333536373839404142434445464748495051525354555657585960616263646566676869707172737475767778798081828384858687888990919293949596979899100101102103104105106107108109110111112113114[[#This Row],[Total]]*-1,0)</f>
        <v>0</v>
      </c>
      <c r="J25" s="309"/>
    </row>
    <row r="26" spans="1:10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175</v>
      </c>
      <c r="I26" s="309">
        <f>IF(T_T13411121314151617181920212223242526272829303132333536373839404142434445464748495051525354555657585960616263646566676869707172737475767778798081828384858687888990919293949596979899100101102103104105106107108109110111112113114[[#This Row],[Total]]&lt;0,T_T13411121314151617181920212223242526272829303132333536373839404142434445464748495051525354555657585960616263646566676869707172737475767778798081828384858687888990919293949596979899100101102103104105106107108109110111112113114[[#This Row],[Total]]*-1,0)</f>
        <v>0</v>
      </c>
      <c r="J26" s="309"/>
    </row>
    <row r="27" spans="1:10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175</v>
      </c>
      <c r="I27" s="309">
        <f>IF(T_T13411121314151617181920212223242526272829303132333536373839404142434445464748495051525354555657585960616263646566676869707172737475767778798081828384858687888990919293949596979899100101102103104105106107108109110111112113114[[#This Row],[Total]]&lt;0,T_T13411121314151617181920212223242526272829303132333536373839404142434445464748495051525354555657585960616263646566676869707172737475767778798081828384858687888990919293949596979899100101102103104105106107108109110111112113114[[#This Row],[Total]]*-1,0)</f>
        <v>0</v>
      </c>
      <c r="J27" s="309"/>
    </row>
    <row r="28" spans="1:10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175</v>
      </c>
      <c r="I28" s="311">
        <f>IF(T_T13411121314151617181920212223242526272829303132333536373839404142434445464748495051525354555657585960616263646566676869707172737475767778798081828384858687888990919293949596979899100101102103104105106107108109110111112113114[[#This Row],[Total]]&lt;0,T_T13411121314151617181920212223242526272829303132333536373839404142434445464748495051525354555657585960616263646566676869707172737475767778798081828384858687888990919293949596979899100101102103104105106107108109110111112113114[[#This Row],[Total]]*-1,0)</f>
        <v>0</v>
      </c>
      <c r="J28" s="311"/>
    </row>
    <row r="29" spans="1:10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175</v>
      </c>
      <c r="I29" s="309">
        <f>IF(T_T13411121314151617181920212223242526272829303132333536373839404142434445464748495051525354555657585960616263646566676869707172737475767778798081828384858687888990919293949596979899100101102103104105106107108109110111112113114[[#This Row],[Total]]&lt;0,T_T13411121314151617181920212223242526272829303132333536373839404142434445464748495051525354555657585960616263646566676869707172737475767778798081828384858687888990919293949596979899100101102103104105106107108109110111112113114[[#This Row],[Total]]*-1,0)</f>
        <v>0</v>
      </c>
      <c r="J29" s="309"/>
    </row>
    <row r="30" spans="1:10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175</v>
      </c>
      <c r="I30" s="309">
        <f>IF(T_T13411121314151617181920212223242526272829303132333536373839404142434445464748495051525354555657585960616263646566676869707172737475767778798081828384858687888990919293949596979899100101102103104105106107108109110111112113114[[#This Row],[Total]]&lt;0,T_T13411121314151617181920212223242526272829303132333536373839404142434445464748495051525354555657585960616263646566676869707172737475767778798081828384858687888990919293949596979899100101102103104105106107108109110111112113114[[#This Row],[Total]]*-1,0)</f>
        <v>0</v>
      </c>
      <c r="J30" s="309"/>
    </row>
    <row r="31" spans="1:10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175</v>
      </c>
      <c r="I31" s="309">
        <f>IF(T_T13411121314151617181920212223242526272829303132333536373839404142434445464748495051525354555657585960616263646566676869707172737475767778798081828384858687888990919293949596979899100101102103104105106107108109110111112113114[[#This Row],[Total]]&lt;0,T_T13411121314151617181920212223242526272829303132333536373839404142434445464748495051525354555657585960616263646566676869707172737475767778798081828384858687888990919293949596979899100101102103104105106107108109110111112113114[[#This Row],[Total]]*-1,0)</f>
        <v>0</v>
      </c>
      <c r="J31" s="309"/>
    </row>
    <row r="32" spans="1:10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175</v>
      </c>
      <c r="I32" s="309">
        <f>IF(T_T13411121314151617181920212223242526272829303132333536373839404142434445464748495051525354555657585960616263646566676869707172737475767778798081828384858687888990919293949596979899100101102103104105106107108109110111112113114[[#This Row],[Total]]&lt;0,T_T13411121314151617181920212223242526272829303132333536373839404142434445464748495051525354555657585960616263646566676869707172737475767778798081828384858687888990919293949596979899100101102103104105106107108109110111112113114[[#This Row],[Total]]*-1,0)</f>
        <v>0</v>
      </c>
      <c r="J32" s="309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175</v>
      </c>
      <c r="I33" s="309">
        <f>IF(T_T13411121314151617181920212223242526272829303132333536373839404142434445464748495051525354555657585960616263646566676869707172737475767778798081828384858687888990919293949596979899100101102103104105106107108109110111112113114[[#This Row],[Total]]&lt;0,T_T13411121314151617181920212223242526272829303132333536373839404142434445464748495051525354555657585960616263646566676869707172737475767778798081828384858687888990919293949596979899100101102103104105106107108109110111112113114[[#This Row],[Total]]*-1,0)</f>
        <v>0</v>
      </c>
      <c r="J33" s="309"/>
    </row>
    <row r="34" spans="1:10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175</v>
      </c>
      <c r="I34" s="309">
        <f>IF(T_T13411121314151617181920212223242526272829303132333536373839404142434445464748495051525354555657585960616263646566676869707172737475767778798081828384858687888990919293949596979899100101102103104105106107108109110111112113114[[#This Row],[Total]]&lt;0,T_T13411121314151617181920212223242526272829303132333536373839404142434445464748495051525354555657585960616263646566676869707172737475767778798081828384858687888990919293949596979899100101102103104105106107108109110111112113114[[#This Row],[Total]]*-1,0)</f>
        <v>0</v>
      </c>
      <c r="J34" s="309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175</v>
      </c>
      <c r="I35" s="309">
        <f>IF(T_T13411121314151617181920212223242526272829303132333536373839404142434445464748495051525354555657585960616263646566676869707172737475767778798081828384858687888990919293949596979899100101102103104105106107108109110111112113114[[#This Row],[Total]]&lt;0,T_T13411121314151617181920212223242526272829303132333536373839404142434445464748495051525354555657585960616263646566676869707172737475767778798081828384858687888990919293949596979899100101102103104105106107108109110111112113114[[#This Row],[Total]]*-1,0)</f>
        <v>0</v>
      </c>
      <c r="J35" s="309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175</v>
      </c>
      <c r="I36" s="311">
        <f>IF(T_T13411121314151617181920212223242526272829303132333536373839404142434445464748495051525354555657585960616263646566676869707172737475767778798081828384858687888990919293949596979899100101102103104105106107108109110111112113114[[#This Row],[Total]]&lt;0,T_T13411121314151617181920212223242526272829303132333536373839404142434445464748495051525354555657585960616263646566676869707172737475767778798081828384858687888990919293949596979899100101102103104105106107108109110111112113114[[#This Row],[Total]]*-1,0)</f>
        <v>0</v>
      </c>
      <c r="J36" s="311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175</v>
      </c>
      <c r="I37" s="353">
        <f>IF(T_T13411121314151617181920212223242526272829303132333536373839404142434445464748495051525354555657585960616263646566676869707172737475767778798081828384858687888990919293949596979899100101102103104105106107108109110111112113114[[#This Row],[Total]]&lt;0,T_T13411121314151617181920212223242526272829303132333536373839404142434445464748495051525354555657585960616263646566676869707172737475767778798081828384858687888990919293949596979899100101102103104105106107108109110111112113114[[#This Row],[Total]]*-1,0)</f>
        <v>0</v>
      </c>
      <c r="J37" s="353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175</v>
      </c>
      <c r="I38" s="353">
        <f>IF(T_T13411121314151617181920212223242526272829303132333536373839404142434445464748495051525354555657585960616263646566676869707172737475767778798081828384858687888990919293949596979899100101102103104105106107108109110111112113114[[#This Row],[Total]]&lt;0,T_T13411121314151617181920212223242526272829303132333536373839404142434445464748495051525354555657585960616263646566676869707172737475767778798081828384858687888990919293949596979899100101102103104105106107108109110111112113114[[#This Row],[Total]]*-1,0)</f>
        <v>0</v>
      </c>
      <c r="J38" s="353"/>
    </row>
    <row r="39" spans="1:10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175</v>
      </c>
      <c r="I39" s="353">
        <f>IF(T_T13411121314151617181920212223242526272829303132333536373839404142434445464748495051525354555657585960616263646566676869707172737475767778798081828384858687888990919293949596979899100101102103104105106107108109110111112113114[[#This Row],[Total]]&lt;0,T_T13411121314151617181920212223242526272829303132333536373839404142434445464748495051525354555657585960616263646566676869707172737475767778798081828384858687888990919293949596979899100101102103104105106107108109110111112113114[[#This Row],[Total]]*-1,0)</f>
        <v>0</v>
      </c>
      <c r="J39" s="353"/>
    </row>
    <row r="40" spans="1:10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175</v>
      </c>
      <c r="I40" s="353">
        <f>IF(T_T13411121314151617181920212223242526272829303132333536373839404142434445464748495051525354555657585960616263646566676869707172737475767778798081828384858687888990919293949596979899100101102103104105106107108109110111112113114[[#This Row],[Total]]&lt;0,T_T13411121314151617181920212223242526272829303132333536373839404142434445464748495051525354555657585960616263646566676869707172737475767778798081828384858687888990919293949596979899100101102103104105106107108109110111112113114[[#This Row],[Total]]*-1,0)</f>
        <v>0</v>
      </c>
      <c r="J40" s="353"/>
    </row>
  </sheetData>
  <hyperlinks>
    <hyperlink ref="B7" r:id="rId1" display="jose.orozco@outlook.com"/>
    <hyperlink ref="H7" location="Resumen!A1" display="Rsumen         "/>
  </hyperlinks>
  <pageMargins left="0.70866141732283472" right="0.70866141732283472" top="0.31496062992125984" bottom="0.74803149606299213" header="0.31496062992125984" footer="0.31496062992125984"/>
  <pageSetup scale="63" orientation="portrait" verticalDpi="360" r:id="rId2"/>
  <drawing r:id="rId3"/>
  <tableParts count="1">
    <tablePart r:id="rId4"/>
  </tablePart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P40"/>
  <sheetViews>
    <sheetView showGridLines="0" zoomScale="85" zoomScaleNormal="85" workbookViewId="0">
      <selection activeCell="E25" sqref="E25"/>
    </sheetView>
  </sheetViews>
  <sheetFormatPr baseColWidth="10" defaultColWidth="9.109375" defaultRowHeight="14.4" x14ac:dyDescent="0.3"/>
  <cols>
    <col min="1" max="1" width="14.6640625" customWidth="1"/>
    <col min="2" max="2" width="38.44140625" customWidth="1"/>
    <col min="3" max="3" width="10.5546875" style="4" customWidth="1"/>
    <col min="4" max="5" width="11.88671875" style="1" customWidth="1"/>
    <col min="6" max="6" width="6.88671875" style="1" customWidth="1"/>
    <col min="7" max="7" width="11.88671875" style="1" customWidth="1"/>
    <col min="8" max="8" width="12.44140625" style="1" customWidth="1"/>
    <col min="9" max="9" width="12.88671875" hidden="1" customWidth="1"/>
    <col min="10" max="10" width="7.109375" customWidth="1"/>
    <col min="11" max="11" width="3.33203125" customWidth="1"/>
    <col min="15" max="15" width="10.88671875" bestFit="1" customWidth="1"/>
    <col min="16" max="16" width="18.88671875" customWidth="1"/>
  </cols>
  <sheetData>
    <row r="2" spans="1:16" ht="15" customHeight="1" x14ac:dyDescent="0.3">
      <c r="A2" s="27" t="s">
        <v>36</v>
      </c>
      <c r="B2" s="41" t="s">
        <v>163</v>
      </c>
    </row>
    <row r="3" spans="1:16" hidden="1" x14ac:dyDescent="0.3">
      <c r="A3" s="27" t="s">
        <v>31</v>
      </c>
      <c r="B3" s="28" t="e">
        <f>LOOKUP(B2,#REF!,#REF!)</f>
        <v>#REF!</v>
      </c>
    </row>
    <row r="4" spans="1:16" hidden="1" x14ac:dyDescent="0.3">
      <c r="A4" s="27" t="s">
        <v>32</v>
      </c>
      <c r="B4" s="28" t="e">
        <f>LOOKUP(B2,#REF!,#REF!)</f>
        <v>#REF!</v>
      </c>
    </row>
    <row r="5" spans="1:16" hidden="1" x14ac:dyDescent="0.3">
      <c r="A5" s="27" t="s">
        <v>33</v>
      </c>
      <c r="B5" s="28" t="e">
        <f>LOOKUP(B2,#REF!,#REF!)</f>
        <v>#REF!</v>
      </c>
    </row>
    <row r="6" spans="1:16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6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6" x14ac:dyDescent="0.3">
      <c r="A8" s="21"/>
      <c r="B8" s="21" t="s">
        <v>221</v>
      </c>
    </row>
    <row r="10" spans="1:16" x14ac:dyDescent="0.3">
      <c r="A10" s="11" t="s">
        <v>3</v>
      </c>
      <c r="B10" s="12" t="s">
        <v>1</v>
      </c>
      <c r="C10" s="13" t="s">
        <v>23</v>
      </c>
      <c r="D10" s="14" t="s">
        <v>21</v>
      </c>
      <c r="E10" s="14" t="s">
        <v>4</v>
      </c>
      <c r="F10" s="14" t="s">
        <v>50</v>
      </c>
      <c r="G10" s="15" t="s">
        <v>5</v>
      </c>
      <c r="H10" s="16" t="s">
        <v>28</v>
      </c>
      <c r="I10" s="34" t="s">
        <v>49</v>
      </c>
      <c r="J10" s="69" t="s">
        <v>188</v>
      </c>
      <c r="K10" s="75" t="s">
        <v>191</v>
      </c>
      <c r="O10" s="178"/>
    </row>
    <row r="11" spans="1:16" x14ac:dyDescent="0.3">
      <c r="A11" s="288"/>
      <c r="B11" s="118" t="s">
        <v>431</v>
      </c>
      <c r="C11" s="284"/>
      <c r="D11" s="285"/>
      <c r="E11" s="285"/>
      <c r="F11" s="285"/>
      <c r="G11" s="285"/>
      <c r="H11" s="233">
        <v>0</v>
      </c>
      <c r="I11" s="6">
        <f>IF(T_T13411121314151617181920212223242526272829303132333536373839404142434445464748495051525354555657585960616263646566676869707172737475767778798081828384858687888990919293949596979899100101102103104105106107108109110111112113114115[[#This Row],[Total]]&lt;0,T_T13411121314151617181920212223242526272829303132333536373839404142434445464748495051525354555657585960616263646566676869707172737475767778798081828384858687888990919293949596979899100101102103104105106107108109110111112113114115[[#This Row],[Total]]*-1,0)</f>
        <v>0</v>
      </c>
      <c r="J11" s="68"/>
      <c r="K11" s="79"/>
    </row>
    <row r="12" spans="1:16" x14ac:dyDescent="0.3">
      <c r="A12" s="288"/>
      <c r="B12" s="118" t="s">
        <v>432</v>
      </c>
      <c r="C12" s="284"/>
      <c r="D12" s="285"/>
      <c r="E12" s="285"/>
      <c r="F12" s="285"/>
      <c r="G12" s="285"/>
      <c r="H12" s="10">
        <v>0</v>
      </c>
      <c r="I12" s="240">
        <f>IF(T_T13411121314151617181920212223242526272829303132333536373839404142434445464748495051525354555657585960616263646566676869707172737475767778798081828384858687888990919293949596979899100101102103104105106107108109110111112113114115[[#This Row],[Total]]&lt;0,T_T13411121314151617181920212223242526272829303132333536373839404142434445464748495051525354555657585960616263646566676869707172737475767778798081828384858687888990919293949596979899100101102103104105106107108109110111112113114115[[#This Row],[Total]]*-1,0)</f>
        <v>0</v>
      </c>
      <c r="J12" s="240"/>
      <c r="K12" s="232"/>
    </row>
    <row r="13" spans="1:16" x14ac:dyDescent="0.3">
      <c r="A13" s="117"/>
      <c r="B13" s="118" t="s">
        <v>467</v>
      </c>
      <c r="C13" s="424"/>
      <c r="D13" s="425"/>
      <c r="E13" s="425"/>
      <c r="F13" s="425"/>
      <c r="G13" s="425"/>
      <c r="H13" s="426">
        <v>0</v>
      </c>
      <c r="I13" s="430">
        <f>IF(T_T13411121314151617181920212223242526272829303132333536373839404142434445464748495051525354555657585960616263646566676869707172737475767778798081828384858687888990919293949596979899100101102103104105106107108109110111112113114115[[#This Row],[Total]]&lt;0,T_T13411121314151617181920212223242526272829303132333536373839404142434445464748495051525354555657585960616263646566676869707172737475767778798081828384858687888990919293949596979899100101102103104105106107108109110111112113114115[[#This Row],[Total]]*-1,0)</f>
        <v>0</v>
      </c>
      <c r="J13" s="430"/>
      <c r="K13" s="419"/>
    </row>
    <row r="14" spans="1:16" x14ac:dyDescent="0.3">
      <c r="A14" s="288"/>
      <c r="B14" s="118" t="s">
        <v>502</v>
      </c>
      <c r="C14" s="289"/>
      <c r="D14" s="290"/>
      <c r="E14" s="290"/>
      <c r="F14" s="290"/>
      <c r="G14" s="290"/>
      <c r="H14" s="291">
        <v>0</v>
      </c>
      <c r="I14" s="240">
        <f>IF(T_T13411121314151617181920212223242526272829303132333536373839404142434445464748495051525354555657585960616263646566676869707172737475767778798081828384858687888990919293949596979899100101102103104105106107108109110111112113114115[[#This Row],[Total]]&lt;0,T_T13411121314151617181920212223242526272829303132333536373839404142434445464748495051525354555657585960616263646566676869707172737475767778798081828384858687888990919293949596979899100101102103104105106107108109110111112113114115[[#This Row],[Total]]*-1,0)</f>
        <v>0</v>
      </c>
      <c r="J14" s="240"/>
      <c r="K14" s="232"/>
    </row>
    <row r="15" spans="1:16" x14ac:dyDescent="0.3">
      <c r="A15" s="288"/>
      <c r="B15" s="118" t="s">
        <v>529</v>
      </c>
      <c r="C15" s="481"/>
      <c r="D15" s="482"/>
      <c r="E15" s="482"/>
      <c r="F15" s="482"/>
      <c r="G15" s="482"/>
      <c r="H15" s="484"/>
      <c r="I15" s="473">
        <f>IF(T_T13411121314151617181920212223242526272829303132333536373839404142434445464748495051525354555657585960616263646566676869707172737475767778798081828384858687888990919293949596979899100101102103104105106107108109110111112113114115[[#This Row],[Total]]&lt;0,T_T13411121314151617181920212223242526272829303132333536373839404142434445464748495051525354555657585960616263646566676869707172737475767778798081828384858687888990919293949596979899100101102103104105106107108109110111112113114115[[#This Row],[Total]]*-1,0)</f>
        <v>0</v>
      </c>
      <c r="J15" s="473"/>
      <c r="K15" s="485"/>
      <c r="P15">
        <f>388-442</f>
        <v>-54</v>
      </c>
    </row>
    <row r="16" spans="1:16" x14ac:dyDescent="0.3">
      <c r="A16" s="17">
        <v>46052</v>
      </c>
      <c r="B16" s="18" t="s">
        <v>590</v>
      </c>
      <c r="C16" s="6"/>
      <c r="D16" s="532">
        <v>388</v>
      </c>
      <c r="E16" s="2">
        <v>43</v>
      </c>
      <c r="F16" s="20"/>
      <c r="G16" s="20">
        <f>SUM(D16:F16)</f>
        <v>431</v>
      </c>
      <c r="H16" s="233">
        <f>+H14+T_T13411121314151617181920212223242526272829303132333536373839404142434445464748495051525354555657585960616263646566676869707172737475767778798081828384858687888990919293949596979899100101102103104105106107108109110111112113114115[[#This Row],[Total]]</f>
        <v>431</v>
      </c>
      <c r="I16" s="240">
        <f>IF(T_T13411121314151617181920212223242526272829303132333536373839404142434445464748495051525354555657585960616263646566676869707172737475767778798081828384858687888990919293949596979899100101102103104105106107108109110111112113114115[[#This Row],[Total]]&lt;0,T_T13411121314151617181920212223242526272829303132333536373839404142434445464748495051525354555657585960616263646566676869707172737475767778798081828384858687888990919293949596979899100101102103104105106107108109110111112113114115[[#This Row],[Total]]*-1,0)</f>
        <v>0</v>
      </c>
      <c r="J16" s="240"/>
      <c r="K16" s="232"/>
    </row>
    <row r="17" spans="1:13" x14ac:dyDescent="0.3">
      <c r="A17" s="17"/>
      <c r="B17" s="18" t="s">
        <v>591</v>
      </c>
      <c r="C17" s="6" t="s">
        <v>615</v>
      </c>
      <c r="D17" s="534">
        <v>-388</v>
      </c>
      <c r="E17" s="2">
        <v>-43</v>
      </c>
      <c r="F17" s="230"/>
      <c r="G17" s="230">
        <f t="shared" ref="G17:G39" si="0">SUM(D17:F17)</f>
        <v>-431</v>
      </c>
      <c r="H17" s="233">
        <f t="shared" ref="H17:H40" si="1">H16+G17</f>
        <v>0</v>
      </c>
      <c r="I17" s="239">
        <f>IF(T_T13411121314151617181920212223242526272829303132333536373839404142434445464748495051525354555657585960616263646566676869707172737475767778798081828384858687888990919293949596979899100101102103104105106107108109110111112113114115[[#This Row],[Total]]&lt;0,T_T13411121314151617181920212223242526272829303132333536373839404142434445464748495051525354555657585960616263646566676869707172737475767778798081828384858687888990919293949596979899100101102103104105106107108109110111112113114115[[#This Row],[Total]]*-1,0)</f>
        <v>431</v>
      </c>
      <c r="J17" s="239"/>
      <c r="K17" s="232"/>
    </row>
    <row r="18" spans="1:13" x14ac:dyDescent="0.3">
      <c r="A18" s="164">
        <v>46080</v>
      </c>
      <c r="B18" s="161" t="s">
        <v>592</v>
      </c>
      <c r="C18" s="6"/>
      <c r="D18" s="533">
        <v>388</v>
      </c>
      <c r="E18" s="2">
        <v>48</v>
      </c>
      <c r="F18" s="230"/>
      <c r="G18" s="230">
        <f t="shared" si="0"/>
        <v>436</v>
      </c>
      <c r="H18" s="233">
        <f t="shared" si="1"/>
        <v>436</v>
      </c>
      <c r="I18" s="240">
        <f>IF(T_T13411121314151617181920212223242526272829303132333536373839404142434445464748495051525354555657585960616263646566676869707172737475767778798081828384858687888990919293949596979899100101102103104105106107108109110111112113114115[[#This Row],[Total]]&lt;0,T_T13411121314151617181920212223242526272829303132333536373839404142434445464748495051525354555657585960616263646566676869707172737475767778798081828384858687888990919293949596979899100101102103104105106107108109110111112113114115[[#This Row],[Total]]*-1,0)</f>
        <v>0</v>
      </c>
      <c r="J18" s="240"/>
      <c r="K18" s="232"/>
    </row>
    <row r="19" spans="1:13" x14ac:dyDescent="0.3">
      <c r="A19" s="187"/>
      <c r="B19" s="18" t="s">
        <v>593</v>
      </c>
      <c r="C19" s="6">
        <v>8380</v>
      </c>
      <c r="D19" s="534">
        <v>-388</v>
      </c>
      <c r="E19" s="2">
        <v>-48</v>
      </c>
      <c r="F19" s="230"/>
      <c r="G19" s="230">
        <f t="shared" si="0"/>
        <v>-436</v>
      </c>
      <c r="H19" s="233">
        <f t="shared" si="1"/>
        <v>0</v>
      </c>
      <c r="I19" s="240">
        <f>IF(T_T13411121314151617181920212223242526272829303132333536373839404142434445464748495051525354555657585960616263646566676869707172737475767778798081828384858687888990919293949596979899100101102103104105106107108109110111112113114115[[#This Row],[Total]]&lt;0,T_T13411121314151617181920212223242526272829303132333536373839404142434445464748495051525354555657585960616263646566676869707172737475767778798081828384858687888990919293949596979899100101102103104105106107108109110111112113114115[[#This Row],[Total]]*-1,0)</f>
        <v>436</v>
      </c>
      <c r="J19" s="240"/>
      <c r="K19" s="232"/>
    </row>
    <row r="20" spans="1:13" x14ac:dyDescent="0.3">
      <c r="A20" s="188">
        <v>46112</v>
      </c>
      <c r="B20" s="3" t="s">
        <v>594</v>
      </c>
      <c r="C20" s="6"/>
      <c r="D20" s="533">
        <v>442</v>
      </c>
      <c r="E20" s="2">
        <v>39</v>
      </c>
      <c r="F20" s="230"/>
      <c r="G20" s="230">
        <f t="shared" si="0"/>
        <v>481</v>
      </c>
      <c r="H20" s="233">
        <f t="shared" si="1"/>
        <v>481</v>
      </c>
      <c r="I20" s="240">
        <f>IF(T_T13411121314151617181920212223242526272829303132333536373839404142434445464748495051525354555657585960616263646566676869707172737475767778798081828384858687888990919293949596979899100101102103104105106107108109110111112113114115[[#This Row],[Total]]&lt;0,T_T13411121314151617181920212223242526272829303132333536373839404142434445464748495051525354555657585960616263646566676869707172737475767778798081828384858687888990919293949596979899100101102103104105106107108109110111112113114115[[#This Row],[Total]]*-1,0)</f>
        <v>0</v>
      </c>
      <c r="J20" s="240"/>
      <c r="K20" s="232"/>
    </row>
    <row r="21" spans="1:13" x14ac:dyDescent="0.3">
      <c r="A21" s="188"/>
      <c r="B21" s="82" t="s">
        <v>595</v>
      </c>
      <c r="C21" s="6" t="s">
        <v>635</v>
      </c>
      <c r="D21" s="534">
        <f>-388-54</f>
        <v>-442</v>
      </c>
      <c r="E21" s="2">
        <v>-39</v>
      </c>
      <c r="F21" s="230"/>
      <c r="G21" s="230">
        <f t="shared" si="0"/>
        <v>-481</v>
      </c>
      <c r="H21" s="233">
        <f t="shared" si="1"/>
        <v>0</v>
      </c>
      <c r="I21" s="239">
        <f>IF(T_T13411121314151617181920212223242526272829303132333536373839404142434445464748495051525354555657585960616263646566676869707172737475767778798081828384858687888990919293949596979899100101102103104105106107108109110111112113114115[[#This Row],[Total]]&lt;0,T_T13411121314151617181920212223242526272829303132333536373839404142434445464748495051525354555657585960616263646566676869707172737475767778798081828384858687888990919293949596979899100101102103104105106107108109110111112113114115[[#This Row],[Total]]*-1,0)</f>
        <v>481</v>
      </c>
      <c r="J21" s="239"/>
      <c r="K21" s="232"/>
    </row>
    <row r="22" spans="1:13" x14ac:dyDescent="0.3">
      <c r="A22" s="188">
        <v>46142</v>
      </c>
      <c r="B22" s="3" t="s">
        <v>596</v>
      </c>
      <c r="C22" s="6"/>
      <c r="D22" s="533">
        <v>442</v>
      </c>
      <c r="E22" s="2">
        <v>33</v>
      </c>
      <c r="F22" s="230"/>
      <c r="G22" s="230">
        <f t="shared" si="0"/>
        <v>475</v>
      </c>
      <c r="H22" s="233">
        <f t="shared" si="1"/>
        <v>475</v>
      </c>
      <c r="I22" s="309">
        <f>IF(T_T13411121314151617181920212223242526272829303132333536373839404142434445464748495051525354555657585960616263646566676869707172737475767778798081828384858687888990919293949596979899100101102103104105106107108109110111112113114115[[#This Row],[Total]]&lt;0,T_T13411121314151617181920212223242526272829303132333536373839404142434445464748495051525354555657585960616263646566676869707172737475767778798081828384858687888990919293949596979899100101102103104105106107108109110111112113114115[[#This Row],[Total]]*-1,0)</f>
        <v>0</v>
      </c>
      <c r="J22" s="309"/>
      <c r="K22" s="313"/>
    </row>
    <row r="23" spans="1:13" x14ac:dyDescent="0.3">
      <c r="A23" s="83"/>
      <c r="B23" s="82" t="s">
        <v>597</v>
      </c>
      <c r="C23" s="6" t="s">
        <v>635</v>
      </c>
      <c r="D23" s="534">
        <f>-388-54</f>
        <v>-442</v>
      </c>
      <c r="E23" s="2"/>
      <c r="F23" s="230"/>
      <c r="G23" s="230">
        <f t="shared" si="0"/>
        <v>-442</v>
      </c>
      <c r="H23" s="233">
        <f t="shared" si="1"/>
        <v>33</v>
      </c>
      <c r="I23" s="309">
        <f>IF(T_T13411121314151617181920212223242526272829303132333536373839404142434445464748495051525354555657585960616263646566676869707172737475767778798081828384858687888990919293949596979899100101102103104105106107108109110111112113114115[[#This Row],[Total]]&lt;0,T_T13411121314151617181920212223242526272829303132333536373839404142434445464748495051525354555657585960616263646566676869707172737475767778798081828384858687888990919293949596979899100101102103104105106107108109110111112113114115[[#This Row],[Total]]*-1,0)</f>
        <v>442</v>
      </c>
      <c r="J23" s="309"/>
      <c r="K23" s="313"/>
    </row>
    <row r="24" spans="1:13" x14ac:dyDescent="0.3">
      <c r="A24" s="40">
        <v>46172</v>
      </c>
      <c r="B24" s="3" t="s">
        <v>598</v>
      </c>
      <c r="C24" s="229"/>
      <c r="D24" s="230">
        <v>442</v>
      </c>
      <c r="E24" s="230">
        <v>51</v>
      </c>
      <c r="F24" s="230"/>
      <c r="G24" s="230">
        <f t="shared" si="0"/>
        <v>493</v>
      </c>
      <c r="H24" s="233">
        <f t="shared" si="1"/>
        <v>526</v>
      </c>
      <c r="I24" s="309">
        <f>IF(T_T13411121314151617181920212223242526272829303132333536373839404142434445464748495051525354555657585960616263646566676869707172737475767778798081828384858687888990919293949596979899100101102103104105106107108109110111112113114115[[#This Row],[Total]]&lt;0,T_T13411121314151617181920212223242526272829303132333536373839404142434445464748495051525354555657585960616263646566676869707172737475767778798081828384858687888990919293949596979899100101102103104105106107108109110111112113114115[[#This Row],[Total]]*-1,0)</f>
        <v>0</v>
      </c>
      <c r="J24" s="309"/>
      <c r="K24" s="313"/>
    </row>
    <row r="25" spans="1:13" x14ac:dyDescent="0.3">
      <c r="A25" s="9"/>
      <c r="B25" s="18" t="s">
        <v>599</v>
      </c>
      <c r="C25" s="6">
        <v>8803</v>
      </c>
      <c r="D25" s="230">
        <v>-442</v>
      </c>
      <c r="E25" s="7"/>
      <c r="F25" s="230"/>
      <c r="G25" s="230">
        <f t="shared" si="0"/>
        <v>-442</v>
      </c>
      <c r="H25" s="233">
        <f t="shared" si="1"/>
        <v>84</v>
      </c>
      <c r="I25" s="311">
        <f>IF(T_T13411121314151617181920212223242526272829303132333536373839404142434445464748495051525354555657585960616263646566676869707172737475767778798081828384858687888990919293949596979899100101102103104105106107108109110111112113114115[[#This Row],[Total]]&lt;0,T_T13411121314151617181920212223242526272829303132333536373839404142434445464748495051525354555657585960616263646566676869707172737475767778798081828384858687888990919293949596979899100101102103104105106107108109110111112113114115[[#This Row],[Total]]*-1,0)</f>
        <v>442</v>
      </c>
      <c r="J25" s="311"/>
      <c r="K25" s="313"/>
    </row>
    <row r="26" spans="1:13" x14ac:dyDescent="0.3">
      <c r="A26" s="9">
        <v>46203</v>
      </c>
      <c r="B26" s="3" t="s">
        <v>600</v>
      </c>
      <c r="C26" s="229"/>
      <c r="D26" s="230">
        <v>442</v>
      </c>
      <c r="E26" s="230"/>
      <c r="F26" s="230"/>
      <c r="G26" s="230">
        <f t="shared" si="0"/>
        <v>442</v>
      </c>
      <c r="H26" s="233">
        <f t="shared" si="1"/>
        <v>526</v>
      </c>
      <c r="I26" s="309">
        <f>IF(T_T13411121314151617181920212223242526272829303132333536373839404142434445464748495051525354555657585960616263646566676869707172737475767778798081828384858687888990919293949596979899100101102103104105106107108109110111112113114115[[#This Row],[Total]]&lt;0,T_T13411121314151617181920212223242526272829303132333536373839404142434445464748495051525354555657585960616263646566676869707172737475767778798081828384858687888990919293949596979899100101102103104105106107108109110111112113114115[[#This Row],[Total]]*-1,0)</f>
        <v>0</v>
      </c>
      <c r="J26" s="309"/>
      <c r="K26" s="313"/>
    </row>
    <row r="27" spans="1:13" x14ac:dyDescent="0.3">
      <c r="A27" s="9"/>
      <c r="B27" s="18" t="s">
        <v>601</v>
      </c>
      <c r="C27" s="6">
        <v>8803</v>
      </c>
      <c r="D27" s="230">
        <v>-442</v>
      </c>
      <c r="E27" s="230"/>
      <c r="F27" s="230"/>
      <c r="G27" s="230">
        <f t="shared" si="0"/>
        <v>-442</v>
      </c>
      <c r="H27" s="233">
        <f t="shared" si="1"/>
        <v>84</v>
      </c>
      <c r="I27" s="309">
        <f>IF(T_T13411121314151617181920212223242526272829303132333536373839404142434445464748495051525354555657585960616263646566676869707172737475767778798081828384858687888990919293949596979899100101102103104105106107108109110111112113114115[[#This Row],[Total]]&lt;0,T_T13411121314151617181920212223242526272829303132333536373839404142434445464748495051525354555657585960616263646566676869707172737475767778798081828384858687888990919293949596979899100101102103104105106107108109110111112113114115[[#This Row],[Total]]*-1,0)</f>
        <v>442</v>
      </c>
      <c r="J27" s="309"/>
      <c r="K27" s="313"/>
    </row>
    <row r="28" spans="1:13" x14ac:dyDescent="0.3">
      <c r="A28" s="107">
        <v>46233</v>
      </c>
      <c r="B28" s="82" t="s">
        <v>602</v>
      </c>
      <c r="C28" s="229"/>
      <c r="D28" s="230">
        <v>442</v>
      </c>
      <c r="E28" s="230"/>
      <c r="F28" s="230"/>
      <c r="G28" s="230">
        <f t="shared" si="0"/>
        <v>442</v>
      </c>
      <c r="H28" s="233">
        <f t="shared" si="1"/>
        <v>526</v>
      </c>
      <c r="I28" s="309">
        <f>IF(T_T13411121314151617181920212223242526272829303132333536373839404142434445464748495051525354555657585960616263646566676869707172737475767778798081828384858687888990919293949596979899100101102103104105106107108109110111112113114115[[#This Row],[Total]]&lt;0,T_T13411121314151617181920212223242526272829303132333536373839404142434445464748495051525354555657585960616263646566676869707172737475767778798081828384858687888990919293949596979899100101102103104105106107108109110111112113114115[[#This Row],[Total]]*-1,0)</f>
        <v>0</v>
      </c>
      <c r="J28" s="309"/>
      <c r="K28" s="313"/>
    </row>
    <row r="29" spans="1:13" x14ac:dyDescent="0.3">
      <c r="A29" s="107"/>
      <c r="B29" s="82" t="s">
        <v>603</v>
      </c>
      <c r="C29" s="6">
        <v>8803</v>
      </c>
      <c r="D29" s="230">
        <v>-442</v>
      </c>
      <c r="E29" s="230"/>
      <c r="F29" s="230"/>
      <c r="G29" s="230">
        <f t="shared" si="0"/>
        <v>-442</v>
      </c>
      <c r="H29" s="233">
        <f t="shared" si="1"/>
        <v>84</v>
      </c>
      <c r="I29" s="311">
        <f>IF(T_T13411121314151617181920212223242526272829303132333536373839404142434445464748495051525354555657585960616263646566676869707172737475767778798081828384858687888990919293949596979899100101102103104105106107108109110111112113114115[[#This Row],[Total]]&lt;0,T_T13411121314151617181920212223242526272829303132333536373839404142434445464748495051525354555657585960616263646566676869707172737475767778798081828384858687888990919293949596979899100101102103104105106107108109110111112113114115[[#This Row],[Total]]*-1,0)</f>
        <v>442</v>
      </c>
      <c r="J29" s="311"/>
      <c r="K29" s="313"/>
    </row>
    <row r="30" spans="1:13" x14ac:dyDescent="0.3">
      <c r="A30" s="107">
        <v>46264</v>
      </c>
      <c r="B30" s="82" t="s">
        <v>604</v>
      </c>
      <c r="C30" s="229"/>
      <c r="D30" s="230">
        <v>442</v>
      </c>
      <c r="E30" s="230"/>
      <c r="F30" s="230"/>
      <c r="G30" s="230">
        <f t="shared" si="0"/>
        <v>442</v>
      </c>
      <c r="H30" s="233">
        <f t="shared" si="1"/>
        <v>526</v>
      </c>
      <c r="I30" s="309">
        <f>IF(T_T13411121314151617181920212223242526272829303132333536373839404142434445464748495051525354555657585960616263646566676869707172737475767778798081828384858687888990919293949596979899100101102103104105106107108109110111112113114115[[#This Row],[Total]]&lt;0,T_T13411121314151617181920212223242526272829303132333536373839404142434445464748495051525354555657585960616263646566676869707172737475767778798081828384858687888990919293949596979899100101102103104105106107108109110111112113114115[[#This Row],[Total]]*-1,0)</f>
        <v>0</v>
      </c>
      <c r="J30" s="309"/>
      <c r="K30" s="313"/>
    </row>
    <row r="31" spans="1:13" x14ac:dyDescent="0.3">
      <c r="A31" s="107"/>
      <c r="B31" s="82" t="s">
        <v>605</v>
      </c>
      <c r="C31" s="6">
        <v>8803</v>
      </c>
      <c r="D31" s="230">
        <v>-442</v>
      </c>
      <c r="E31" s="230"/>
      <c r="F31" s="230"/>
      <c r="G31" s="230">
        <f t="shared" si="0"/>
        <v>-442</v>
      </c>
      <c r="H31" s="233">
        <f t="shared" si="1"/>
        <v>84</v>
      </c>
      <c r="I31" s="309">
        <f>IF(T_T13411121314151617181920212223242526272829303132333536373839404142434445464748495051525354555657585960616263646566676869707172737475767778798081828384858687888990919293949596979899100101102103104105106107108109110111112113114115[[#This Row],[Total]]&lt;0,T_T13411121314151617181920212223242526272829303132333536373839404142434445464748495051525354555657585960616263646566676869707172737475767778798081828384858687888990919293949596979899100101102103104105106107108109110111112113114115[[#This Row],[Total]]*-1,0)</f>
        <v>442</v>
      </c>
      <c r="J31" s="309"/>
      <c r="K31" s="313"/>
      <c r="M31" t="s">
        <v>497</v>
      </c>
    </row>
    <row r="32" spans="1:13" x14ac:dyDescent="0.3">
      <c r="A32" s="9">
        <v>46295</v>
      </c>
      <c r="B32" s="3" t="s">
        <v>606</v>
      </c>
      <c r="C32" s="229"/>
      <c r="D32" s="230"/>
      <c r="E32" s="230"/>
      <c r="F32" s="230"/>
      <c r="G32" s="230">
        <f t="shared" si="0"/>
        <v>0</v>
      </c>
      <c r="H32" s="233">
        <f t="shared" si="1"/>
        <v>84</v>
      </c>
      <c r="I32" s="309">
        <f>IF(T_T13411121314151617181920212223242526272829303132333536373839404142434445464748495051525354555657585960616263646566676869707172737475767778798081828384858687888990919293949596979899100101102103104105106107108109110111112113114115[[#This Row],[Total]]&lt;0,T_T13411121314151617181920212223242526272829303132333536373839404142434445464748495051525354555657585960616263646566676869707172737475767778798081828384858687888990919293949596979899100101102103104105106107108109110111112113114115[[#This Row],[Total]]*-1,0)</f>
        <v>0</v>
      </c>
      <c r="J32" s="309"/>
      <c r="K32" s="313"/>
    </row>
    <row r="33" spans="1:11" x14ac:dyDescent="0.3">
      <c r="A33" s="9"/>
      <c r="B33" s="3" t="s">
        <v>607</v>
      </c>
      <c r="C33" s="6"/>
      <c r="D33" s="230"/>
      <c r="E33" s="230"/>
      <c r="F33" s="230"/>
      <c r="G33" s="230">
        <f t="shared" si="0"/>
        <v>0</v>
      </c>
      <c r="H33" s="233">
        <f t="shared" si="1"/>
        <v>84</v>
      </c>
      <c r="I33" s="309">
        <f>IF(T_T13411121314151617181920212223242526272829303132333536373839404142434445464748495051525354555657585960616263646566676869707172737475767778798081828384858687888990919293949596979899100101102103104105106107108109110111112113114115[[#This Row],[Total]]&lt;0,T_T13411121314151617181920212223242526272829303132333536373839404142434445464748495051525354555657585960616263646566676869707172737475767778798081828384858687888990919293949596979899100101102103104105106107108109110111112113114115[[#This Row],[Total]]*-1,0)</f>
        <v>0</v>
      </c>
      <c r="J33" s="309"/>
      <c r="K33" s="313"/>
    </row>
    <row r="34" spans="1:11" x14ac:dyDescent="0.3">
      <c r="A34" s="9">
        <v>46325</v>
      </c>
      <c r="B34" s="3" t="s">
        <v>608</v>
      </c>
      <c r="C34" s="229"/>
      <c r="D34" s="230"/>
      <c r="E34" s="230"/>
      <c r="F34" s="230"/>
      <c r="G34" s="230">
        <f t="shared" si="0"/>
        <v>0</v>
      </c>
      <c r="H34" s="233">
        <f t="shared" si="1"/>
        <v>84</v>
      </c>
      <c r="I34" s="309">
        <f>IF(T_T13411121314151617181920212223242526272829303132333536373839404142434445464748495051525354555657585960616263646566676869707172737475767778798081828384858687888990919293949596979899100101102103104105106107108109110111112113114115[[#This Row],[Total]]&lt;0,T_T13411121314151617181920212223242526272829303132333536373839404142434445464748495051525354555657585960616263646566676869707172737475767778798081828384858687888990919293949596979899100101102103104105106107108109110111112113114115[[#This Row],[Total]]*-1,0)</f>
        <v>0</v>
      </c>
      <c r="J34" s="309"/>
      <c r="K34" s="313"/>
    </row>
    <row r="35" spans="1:11" x14ac:dyDescent="0.3">
      <c r="A35" s="9"/>
      <c r="B35" s="3" t="s">
        <v>609</v>
      </c>
      <c r="C35" s="6"/>
      <c r="D35" s="230"/>
      <c r="E35" s="230"/>
      <c r="F35" s="230"/>
      <c r="G35" s="230">
        <f t="shared" si="0"/>
        <v>0</v>
      </c>
      <c r="H35" s="233">
        <f t="shared" si="1"/>
        <v>84</v>
      </c>
      <c r="I35" s="309">
        <f>IF(T_T13411121314151617181920212223242526272829303132333536373839404142434445464748495051525354555657585960616263646566676869707172737475767778798081828384858687888990919293949596979899100101102103104105106107108109110111112113114115[[#This Row],[Total]]&lt;0,T_T13411121314151617181920212223242526272829303132333536373839404142434445464748495051525354555657585960616263646566676869707172737475767778798081828384858687888990919293949596979899100101102103104105106107108109110111112113114115[[#This Row],[Total]]*-1,0)</f>
        <v>0</v>
      </c>
      <c r="J35" s="309"/>
      <c r="K35" s="313"/>
    </row>
    <row r="36" spans="1:11" x14ac:dyDescent="0.3">
      <c r="A36" s="9">
        <v>46356</v>
      </c>
      <c r="B36" s="3" t="s">
        <v>610</v>
      </c>
      <c r="C36" s="229"/>
      <c r="D36" s="230"/>
      <c r="E36" s="230"/>
      <c r="F36" s="230"/>
      <c r="G36" s="230">
        <f t="shared" si="0"/>
        <v>0</v>
      </c>
      <c r="H36" s="233">
        <f t="shared" si="1"/>
        <v>84</v>
      </c>
      <c r="I36" s="309">
        <f>IF(T_T13411121314151617181920212223242526272829303132333536373839404142434445464748495051525354555657585960616263646566676869707172737475767778798081828384858687888990919293949596979899100101102103104105106107108109110111112113114115[[#This Row],[Total]]&lt;0,T_T13411121314151617181920212223242526272829303132333536373839404142434445464748495051525354555657585960616263646566676869707172737475767778798081828384858687888990919293949596979899100101102103104105106107108109110111112113114115[[#This Row],[Total]]*-1,0)</f>
        <v>0</v>
      </c>
      <c r="J36" s="309"/>
      <c r="K36" s="313"/>
    </row>
    <row r="37" spans="1:11" x14ac:dyDescent="0.3">
      <c r="A37" s="17"/>
      <c r="B37" s="18" t="s">
        <v>611</v>
      </c>
      <c r="C37" s="6"/>
      <c r="D37" s="230"/>
      <c r="E37" s="230"/>
      <c r="F37" s="230"/>
      <c r="G37" s="230">
        <f t="shared" si="0"/>
        <v>0</v>
      </c>
      <c r="H37" s="233">
        <f t="shared" si="1"/>
        <v>84</v>
      </c>
      <c r="I37" s="311">
        <f>IF(T_T13411121314151617181920212223242526272829303132333536373839404142434445464748495051525354555657585960616263646566676869707172737475767778798081828384858687888990919293949596979899100101102103104105106107108109110111112113114115[[#This Row],[Total]]&lt;0,T_T13411121314151617181920212223242526272829303132333536373839404142434445464748495051525354555657585960616263646566676869707172737475767778798081828384858687888990919293949596979899100101102103104105106107108109110111112113114115[[#This Row],[Total]]*-1,0)</f>
        <v>0</v>
      </c>
      <c r="J37" s="311"/>
      <c r="K37" s="313"/>
    </row>
    <row r="38" spans="1:11" x14ac:dyDescent="0.3">
      <c r="A38" s="188">
        <v>46386</v>
      </c>
      <c r="B38" s="3" t="s">
        <v>612</v>
      </c>
      <c r="C38" s="229"/>
      <c r="D38" s="230"/>
      <c r="E38" s="230"/>
      <c r="F38" s="230"/>
      <c r="G38" s="230">
        <f t="shared" si="0"/>
        <v>0</v>
      </c>
      <c r="H38" s="233">
        <f t="shared" si="1"/>
        <v>84</v>
      </c>
      <c r="I38" s="353">
        <f>IF(T_T13411121314151617181920212223242526272829303132333536373839404142434445464748495051525354555657585960616263646566676869707172737475767778798081828384858687888990919293949596979899100101102103104105106107108109110111112113114115[[#This Row],[Total]]&lt;0,T_T13411121314151617181920212223242526272829303132333536373839404142434445464748495051525354555657585960616263646566676869707172737475767778798081828384858687888990919293949596979899100101102103104105106107108109110111112113114115[[#This Row],[Total]]*-1,0)</f>
        <v>0</v>
      </c>
      <c r="J38" s="353"/>
      <c r="K38" s="354"/>
    </row>
    <row r="39" spans="1:11" x14ac:dyDescent="0.3">
      <c r="A39" s="257"/>
      <c r="B39" s="110" t="s">
        <v>613</v>
      </c>
      <c r="C39" s="229"/>
      <c r="D39" s="230"/>
      <c r="E39" s="230"/>
      <c r="F39" s="230"/>
      <c r="G39" s="230">
        <f t="shared" si="0"/>
        <v>0</v>
      </c>
      <c r="H39" s="233">
        <f t="shared" si="1"/>
        <v>84</v>
      </c>
      <c r="I39" s="353">
        <f>IF(T_T13411121314151617181920212223242526272829303132333536373839404142434445464748495051525354555657585960616263646566676869707172737475767778798081828384858687888990919293949596979899100101102103104105106107108109110111112113114115[[#This Row],[Total]]&lt;0,T_T13411121314151617181920212223242526272829303132333536373839404142434445464748495051525354555657585960616263646566676869707172737475767778798081828384858687888990919293949596979899100101102103104105106107108109110111112113114115[[#This Row],[Total]]*-1,0)</f>
        <v>0</v>
      </c>
      <c r="J39" s="353"/>
      <c r="K39" s="354"/>
    </row>
    <row r="40" spans="1:11" x14ac:dyDescent="0.3">
      <c r="A40" s="107"/>
      <c r="B40" s="82"/>
      <c r="C40" s="229"/>
      <c r="D40" s="230"/>
      <c r="E40" s="230"/>
      <c r="F40" s="230"/>
      <c r="G40" s="230"/>
      <c r="H40" s="233">
        <f t="shared" si="1"/>
        <v>84</v>
      </c>
      <c r="I40" s="353">
        <f>IF(T_T13411121314151617181920212223242526272829303132333536373839404142434445464748495051525354555657585960616263646566676869707172737475767778798081828384858687888990919293949596979899100101102103104105106107108109110111112113114115[[#This Row],[Total]]&lt;0,T_T13411121314151617181920212223242526272829303132333536373839404142434445464748495051525354555657585960616263646566676869707172737475767778798081828384858687888990919293949596979899100101102103104105106107108109110111112113114115[[#This Row],[Total]]*-1,0)</f>
        <v>0</v>
      </c>
      <c r="J40" s="353"/>
      <c r="K40" s="354"/>
    </row>
  </sheetData>
  <hyperlinks>
    <hyperlink ref="B7" r:id="rId1" display="jose.orozco@outlook.com"/>
    <hyperlink ref="H7" location="Resumen!A1" display="Rsumen         "/>
  </hyperlinks>
  <pageMargins left="0.70866141732283472" right="0.70866141732283472" top="0.42" bottom="0.74803149606299213" header="0.31496062992125984" footer="0.31496062992125984"/>
  <pageSetup scale="60" orientation="portrait" horizontalDpi="4294967293" verticalDpi="360" r:id="rId2"/>
  <drawing r:id="rId3"/>
  <tableParts count="1">
    <tablePart r:id="rId4"/>
  </tablePart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S64"/>
  <sheetViews>
    <sheetView showGridLines="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0.6640625" bestFit="1" customWidth="1"/>
    <col min="14" max="14" width="15" customWidth="1"/>
  </cols>
  <sheetData>
    <row r="2" spans="1:19" ht="15.6" x14ac:dyDescent="0.3">
      <c r="A2" s="27" t="s">
        <v>36</v>
      </c>
      <c r="B2" s="41" t="s">
        <v>164</v>
      </c>
    </row>
    <row r="3" spans="1:19" x14ac:dyDescent="0.3">
      <c r="A3" s="27" t="s">
        <v>31</v>
      </c>
      <c r="B3" s="28" t="s">
        <v>434</v>
      </c>
    </row>
    <row r="4" spans="1:19" ht="1.5" customHeight="1" x14ac:dyDescent="0.3">
      <c r="A4" s="27" t="s">
        <v>32</v>
      </c>
      <c r="B4" s="28" t="e">
        <f>LOOKUP(B2,#REF!,#REF!)</f>
        <v>#REF!</v>
      </c>
    </row>
    <row r="5" spans="1:19" hidden="1" x14ac:dyDescent="0.3">
      <c r="A5" s="27" t="s">
        <v>33</v>
      </c>
      <c r="B5" s="28" t="e">
        <f>LOOKUP(B2,#REF!,#REF!)</f>
        <v>#REF!</v>
      </c>
    </row>
    <row r="6" spans="1:19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9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9" x14ac:dyDescent="0.3">
      <c r="A8" s="21"/>
      <c r="B8" s="21"/>
    </row>
    <row r="9" spans="1:19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242" t="s">
        <v>188</v>
      </c>
      <c r="K9" s="374" t="s">
        <v>191</v>
      </c>
      <c r="L9" s="461" t="s">
        <v>262</v>
      </c>
      <c r="M9" s="63"/>
      <c r="N9" s="63"/>
      <c r="O9" s="63"/>
      <c r="P9" s="63"/>
      <c r="Q9" s="63"/>
      <c r="R9" s="63"/>
      <c r="S9" s="63"/>
    </row>
    <row r="10" spans="1:19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/>
      <c r="J10" s="241"/>
      <c r="K10" s="354"/>
      <c r="L10" s="459"/>
      <c r="M10" s="301"/>
      <c r="N10" s="63"/>
      <c r="O10" s="63"/>
      <c r="P10" s="63"/>
      <c r="Q10" s="63"/>
      <c r="R10" s="63"/>
      <c r="S10" s="63"/>
    </row>
    <row r="11" spans="1:19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355">
        <f>IF(T_T13411121314151617181920212223242526272829303132333536373839404142434445464748495051525354555657585960616263646566676869707172737475767778798081828384858687888990919293949596979899100101102103104105106107108109110111112113114115116[[#This Row],[Total]]&lt;0,T_T13411121314151617181920212223242526272829303132333536373839404142434445464748495051525354555657585960616263646566676869707172737475767778798081828384858687888990919293949596979899100101102103104105106107108109110111112113114115116[[#This Row],[Total]]*-1,0)</f>
        <v>0</v>
      </c>
      <c r="J11" s="353"/>
      <c r="K11" s="354"/>
      <c r="L11" s="460"/>
    </row>
    <row r="12" spans="1:19" x14ac:dyDescent="0.3">
      <c r="A12" s="288"/>
      <c r="B12" s="118" t="s">
        <v>467</v>
      </c>
      <c r="C12" s="424"/>
      <c r="D12" s="425"/>
      <c r="E12" s="425"/>
      <c r="F12" s="425"/>
      <c r="G12" s="425"/>
      <c r="H12" s="426">
        <v>0</v>
      </c>
      <c r="I12" s="427">
        <f>IF(T_T13411121314151617181920212223242526272829303132333536373839404142434445464748495051525354555657585960616263646566676869707172737475767778798081828384858687888990919293949596979899100101102103104105106107108109110111112113114115116[[#This Row],[Total]]&lt;0,T_T13411121314151617181920212223242526272829303132333536373839404142434445464748495051525354555657585960616263646566676869707172737475767778798081828384858687888990919293949596979899100101102103104105106107108109110111112113114115116[[#This Row],[Total]]*-1,0)</f>
        <v>0</v>
      </c>
      <c r="J12" s="430"/>
      <c r="K12" s="419"/>
      <c r="L12" s="460"/>
    </row>
    <row r="13" spans="1:19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355">
        <f>IF(T_T13411121314151617181920212223242526272829303132333536373839404142434445464748495051525354555657585960616263646566676869707172737475767778798081828384858687888990919293949596979899100101102103104105106107108109110111112113114115116[[#This Row],[Total]]&lt;0,T_T13411121314151617181920212223242526272829303132333536373839404142434445464748495051525354555657585960616263646566676869707172737475767778798081828384858687888990919293949596979899100101102103104105106107108109110111112113114115116[[#This Row],[Total]]*-1,0)</f>
        <v>0</v>
      </c>
      <c r="J13" s="353"/>
      <c r="K13" s="354"/>
      <c r="L13" s="460"/>
    </row>
    <row r="14" spans="1:19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6">
        <f>IF(T_T13411121314151617181920212223242526272829303132333536373839404142434445464748495051525354555657585960616263646566676869707172737475767778798081828384858687888990919293949596979899100101102103104105106107108109110111112113114115116[[#This Row],[Total]]&lt;0,T_T13411121314151617181920212223242526272829303132333536373839404142434445464748495051525354555657585960616263646566676869707172737475767778798081828384858687888990919293949596979899100101102103104105106107108109110111112113114115116[[#This Row],[Total]]*-1,0)</f>
        <v>0</v>
      </c>
      <c r="J14" s="473"/>
      <c r="K14" s="485"/>
      <c r="L14" s="485"/>
    </row>
    <row r="15" spans="1:19" x14ac:dyDescent="0.3">
      <c r="A15" s="17">
        <v>46052</v>
      </c>
      <c r="B15" s="18" t="s">
        <v>590</v>
      </c>
      <c r="C15" s="6"/>
      <c r="D15" s="2">
        <v>337</v>
      </c>
      <c r="E15" s="2">
        <v>36</v>
      </c>
      <c r="F15" s="20"/>
      <c r="G15" s="20">
        <f>SUM(D15:F15)</f>
        <v>373</v>
      </c>
      <c r="H15" s="233">
        <f>+H13+T_T13411121314151617181920212223242526272829303132333536373839404142434445464748495051525354555657585960616263646566676869707172737475767778798081828384858687888990919293949596979899100101102103104105106107108109110111112113114115116[[#This Row],[Total]]</f>
        <v>373</v>
      </c>
      <c r="I15" s="355">
        <f>IF(T_T13411121314151617181920212223242526272829303132333536373839404142434445464748495051525354555657585960616263646566676869707172737475767778798081828384858687888990919293949596979899100101102103104105106107108109110111112113114115116[[#This Row],[Total]]&lt;0,T_T13411121314151617181920212223242526272829303132333536373839404142434445464748495051525354555657585960616263646566676869707172737475767778798081828384858687888990919293949596979899100101102103104105106107108109110111112113114115116[[#This Row],[Total]]*-1,0)</f>
        <v>0</v>
      </c>
      <c r="J15" s="353"/>
      <c r="K15" s="354"/>
      <c r="L15" s="460"/>
    </row>
    <row r="16" spans="1:19" x14ac:dyDescent="0.3">
      <c r="A16" s="17"/>
      <c r="B16" s="18" t="s">
        <v>591</v>
      </c>
      <c r="C16" s="6" t="s">
        <v>644</v>
      </c>
      <c r="D16" s="2">
        <v>-337</v>
      </c>
      <c r="E16" s="2">
        <f>-10-26</f>
        <v>-36</v>
      </c>
      <c r="F16" s="230"/>
      <c r="G16" s="230">
        <f t="shared" ref="G16:G38" si="0">SUM(D16:F16)</f>
        <v>-373</v>
      </c>
      <c r="H16" s="233">
        <f t="shared" ref="H16:H40" si="1">H15+G16</f>
        <v>0</v>
      </c>
      <c r="I16" s="355">
        <f>IF(T_T13411121314151617181920212223242526272829303132333536373839404142434445464748495051525354555657585960616263646566676869707172737475767778798081828384858687888990919293949596979899100101102103104105106107108109110111112113114115116[[#This Row],[Total]]&lt;0,T_T13411121314151617181920212223242526272829303132333536373839404142434445464748495051525354555657585960616263646566676869707172737475767778798081828384858687888990919293949596979899100101102103104105106107108109110111112113114115116[[#This Row],[Total]]*-1,0)</f>
        <v>373</v>
      </c>
      <c r="J16" s="353"/>
      <c r="K16" s="79"/>
      <c r="L16" s="460"/>
    </row>
    <row r="17" spans="1:14" x14ac:dyDescent="0.3">
      <c r="A17" s="164">
        <v>45715</v>
      </c>
      <c r="B17" s="161" t="s">
        <v>532</v>
      </c>
      <c r="C17" s="6"/>
      <c r="D17" s="2">
        <v>337</v>
      </c>
      <c r="E17" s="2">
        <v>23</v>
      </c>
      <c r="F17" s="230"/>
      <c r="G17" s="230">
        <f t="shared" si="0"/>
        <v>360</v>
      </c>
      <c r="H17" s="233">
        <f t="shared" si="1"/>
        <v>360</v>
      </c>
      <c r="I17" s="355">
        <f>IF(T_T13411121314151617181920212223242526272829303132333536373839404142434445464748495051525354555657585960616263646566676869707172737475767778798081828384858687888990919293949596979899100101102103104105106107108109110111112113114115116[[#This Row],[Total]]&lt;0,T_T13411121314151617181920212223242526272829303132333536373839404142434445464748495051525354555657585960616263646566676869707172737475767778798081828384858687888990919293949596979899100101102103104105106107108109110111112113114115116[[#This Row],[Total]]*-1,0)</f>
        <v>0</v>
      </c>
      <c r="J17" s="353"/>
      <c r="K17" s="354"/>
      <c r="L17" s="460"/>
    </row>
    <row r="18" spans="1:14" x14ac:dyDescent="0.3">
      <c r="A18" s="187"/>
      <c r="B18" s="18" t="s">
        <v>533</v>
      </c>
      <c r="C18" s="6">
        <v>8841</v>
      </c>
      <c r="D18" s="2">
        <v>-337</v>
      </c>
      <c r="E18" s="2">
        <v>-23</v>
      </c>
      <c r="F18" s="230"/>
      <c r="G18" s="230">
        <f t="shared" si="0"/>
        <v>-360</v>
      </c>
      <c r="H18" s="233">
        <f t="shared" si="1"/>
        <v>0</v>
      </c>
      <c r="I18" s="355">
        <f>IF(T_T13411121314151617181920212223242526272829303132333536373839404142434445464748495051525354555657585960616263646566676869707172737475767778798081828384858687888990919293949596979899100101102103104105106107108109110111112113114115116[[#This Row],[Total]]&lt;0,T_T13411121314151617181920212223242526272829303132333536373839404142434445464748495051525354555657585960616263646566676869707172737475767778798081828384858687888990919293949596979899100101102103104105106107108109110111112113114115116[[#This Row],[Total]]*-1,0)</f>
        <v>360</v>
      </c>
      <c r="J18" s="353"/>
      <c r="K18" s="354"/>
      <c r="L18" s="460"/>
    </row>
    <row r="19" spans="1:14" x14ac:dyDescent="0.3">
      <c r="A19" s="188">
        <v>45747</v>
      </c>
      <c r="B19" s="3" t="s">
        <v>534</v>
      </c>
      <c r="C19" s="6"/>
      <c r="D19" s="2">
        <f>355+30</f>
        <v>385</v>
      </c>
      <c r="E19" s="2">
        <v>31</v>
      </c>
      <c r="F19" s="230"/>
      <c r="G19" s="230">
        <f t="shared" si="0"/>
        <v>416</v>
      </c>
      <c r="H19" s="233">
        <f t="shared" si="1"/>
        <v>416</v>
      </c>
      <c r="I19" s="355">
        <f>IF(T_T13411121314151617181920212223242526272829303132333536373839404142434445464748495051525354555657585960616263646566676869707172737475767778798081828384858687888990919293949596979899100101102103104105106107108109110111112113114115116[[#This Row],[Total]]&lt;0,T_T13411121314151617181920212223242526272829303132333536373839404142434445464748495051525354555657585960616263646566676869707172737475767778798081828384858687888990919293949596979899100101102103104105106107108109110111112113114115116[[#This Row],[Total]]*-1,0)</f>
        <v>0</v>
      </c>
      <c r="J19" s="353"/>
      <c r="K19" s="354"/>
      <c r="L19" s="460"/>
      <c r="N19" t="s">
        <v>366</v>
      </c>
    </row>
    <row r="20" spans="1:14" x14ac:dyDescent="0.3">
      <c r="A20" s="188"/>
      <c r="B20" s="82" t="s">
        <v>535</v>
      </c>
      <c r="C20" s="6">
        <v>8841</v>
      </c>
      <c r="D20" s="2">
        <v>-385</v>
      </c>
      <c r="E20" s="2">
        <v>-31</v>
      </c>
      <c r="F20" s="230"/>
      <c r="G20" s="230">
        <f t="shared" si="0"/>
        <v>-416</v>
      </c>
      <c r="H20" s="233">
        <f t="shared" si="1"/>
        <v>0</v>
      </c>
      <c r="I20" s="355">
        <f>IF(T_T13411121314151617181920212223242526272829303132333536373839404142434445464748495051525354555657585960616263646566676869707172737475767778798081828384858687888990919293949596979899100101102103104105106107108109110111112113114115116[[#This Row],[Total]]&lt;0,T_T13411121314151617181920212223242526272829303132333536373839404142434445464748495051525354555657585960616263646566676869707172737475767778798081828384858687888990919293949596979899100101102103104105106107108109110111112113114115116[[#This Row],[Total]]*-1,0)</f>
        <v>416</v>
      </c>
      <c r="J20" s="353"/>
      <c r="K20" s="354"/>
      <c r="L20" s="460"/>
      <c r="N20" t="s">
        <v>519</v>
      </c>
    </row>
    <row r="21" spans="1:14" x14ac:dyDescent="0.3">
      <c r="A21" s="188">
        <v>45777</v>
      </c>
      <c r="B21" s="3" t="s">
        <v>536</v>
      </c>
      <c r="C21" s="6"/>
      <c r="D21" s="2">
        <v>385</v>
      </c>
      <c r="E21" s="2">
        <v>20</v>
      </c>
      <c r="F21" s="230"/>
      <c r="G21" s="230">
        <f t="shared" si="0"/>
        <v>405</v>
      </c>
      <c r="H21" s="233">
        <f t="shared" si="1"/>
        <v>405</v>
      </c>
      <c r="I21" s="355">
        <f>IF(T_T13411121314151617181920212223242526272829303132333536373839404142434445464748495051525354555657585960616263646566676869707172737475767778798081828384858687888990919293949596979899100101102103104105106107108109110111112113114115116[[#This Row],[Total]]&lt;0,T_T13411121314151617181920212223242526272829303132333536373839404142434445464748495051525354555657585960616263646566676869707172737475767778798081828384858687888990919293949596979899100101102103104105106107108109110111112113114115116[[#This Row],[Total]]*-1,0)</f>
        <v>0</v>
      </c>
      <c r="J21" s="353"/>
      <c r="K21" s="354"/>
      <c r="L21" s="460"/>
    </row>
    <row r="22" spans="1:14" x14ac:dyDescent="0.3">
      <c r="A22" s="83"/>
      <c r="B22" s="82" t="s">
        <v>537</v>
      </c>
      <c r="C22" s="6">
        <v>8889</v>
      </c>
      <c r="D22" s="2">
        <v>-385</v>
      </c>
      <c r="E22" s="2">
        <v>-20</v>
      </c>
      <c r="F22" s="230"/>
      <c r="G22" s="230">
        <f t="shared" si="0"/>
        <v>-405</v>
      </c>
      <c r="H22" s="233">
        <f t="shared" si="1"/>
        <v>0</v>
      </c>
      <c r="I22" s="355">
        <f>IF(T_T13411121314151617181920212223242526272829303132333536373839404142434445464748495051525354555657585960616263646566676869707172737475767778798081828384858687888990919293949596979899100101102103104105106107108109110111112113114115116[[#This Row],[Total]]&lt;0,T_T13411121314151617181920212223242526272829303132333536373839404142434445464748495051525354555657585960616263646566676869707172737475767778798081828384858687888990919293949596979899100101102103104105106107108109110111112113114115116[[#This Row],[Total]]*-1,0)</f>
        <v>405</v>
      </c>
      <c r="J22" s="353"/>
      <c r="K22" s="354"/>
      <c r="L22" s="460"/>
    </row>
    <row r="23" spans="1:14" x14ac:dyDescent="0.3">
      <c r="A23" s="40">
        <v>45807</v>
      </c>
      <c r="B23" s="3" t="s">
        <v>538</v>
      </c>
      <c r="C23" s="229"/>
      <c r="D23" s="230">
        <v>385</v>
      </c>
      <c r="E23" s="230">
        <v>13</v>
      </c>
      <c r="F23" s="230"/>
      <c r="G23" s="230">
        <f t="shared" si="0"/>
        <v>398</v>
      </c>
      <c r="H23" s="233">
        <f t="shared" si="1"/>
        <v>398</v>
      </c>
      <c r="I23" s="355">
        <f>IF(T_T13411121314151617181920212223242526272829303132333536373839404142434445464748495051525354555657585960616263646566676869707172737475767778798081828384858687888990919293949596979899100101102103104105106107108109110111112113114115116[[#This Row],[Total]]&lt;0,T_T13411121314151617181920212223242526272829303132333536373839404142434445464748495051525354555657585960616263646566676869707172737475767778798081828384858687888990919293949596979899100101102103104105106107108109110111112113114115116[[#This Row],[Total]]*-1,0)</f>
        <v>0</v>
      </c>
      <c r="J23" s="353"/>
      <c r="K23" s="354"/>
      <c r="L23" s="460"/>
    </row>
    <row r="24" spans="1:14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398</v>
      </c>
      <c r="I24" s="355">
        <f>IF(T_T13411121314151617181920212223242526272829303132333536373839404142434445464748495051525354555657585960616263646566676869707172737475767778798081828384858687888990919293949596979899100101102103104105106107108109110111112113114115116[[#This Row],[Total]]&lt;0,T_T13411121314151617181920212223242526272829303132333536373839404142434445464748495051525354555657585960616263646566676869707172737475767778798081828384858687888990919293949596979899100101102103104105106107108109110111112113114115116[[#This Row],[Total]]*-1,0)</f>
        <v>0</v>
      </c>
      <c r="J24" s="353"/>
      <c r="K24" s="79"/>
      <c r="L24" s="460"/>
    </row>
    <row r="25" spans="1:14" x14ac:dyDescent="0.3">
      <c r="A25" s="9">
        <v>45838</v>
      </c>
      <c r="B25" s="3" t="s">
        <v>540</v>
      </c>
      <c r="C25" s="229"/>
      <c r="D25" s="230"/>
      <c r="E25" s="7"/>
      <c r="F25" s="230"/>
      <c r="G25" s="230">
        <f t="shared" si="0"/>
        <v>0</v>
      </c>
      <c r="H25" s="233">
        <f t="shared" si="1"/>
        <v>398</v>
      </c>
      <c r="I25" s="355">
        <f>IF(T_T13411121314151617181920212223242526272829303132333536373839404142434445464748495051525354555657585960616263646566676869707172737475767778798081828384858687888990919293949596979899100101102103104105106107108109110111112113114115116[[#This Row],[Total]]&lt;0,T_T13411121314151617181920212223242526272829303132333536373839404142434445464748495051525354555657585960616263646566676869707172737475767778798081828384858687888990919293949596979899100101102103104105106107108109110111112113114115116[[#This Row],[Total]]*-1,0)</f>
        <v>0</v>
      </c>
      <c r="J25" s="353"/>
      <c r="K25" s="354"/>
      <c r="L25" s="460"/>
    </row>
    <row r="26" spans="1:14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398</v>
      </c>
      <c r="I26" s="355">
        <f>IF(T_T13411121314151617181920212223242526272829303132333536373839404142434445464748495051525354555657585960616263646566676869707172737475767778798081828384858687888990919293949596979899100101102103104105106107108109110111112113114115116[[#This Row],[Total]]&lt;0,T_T13411121314151617181920212223242526272829303132333536373839404142434445464748495051525354555657585960616263646566676869707172737475767778798081828384858687888990919293949596979899100101102103104105106107108109110111112113114115116[[#This Row],[Total]]*-1,0)</f>
        <v>0</v>
      </c>
      <c r="J26" s="353"/>
      <c r="K26" s="354"/>
      <c r="L26" s="460"/>
    </row>
    <row r="27" spans="1:14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398</v>
      </c>
      <c r="I27" s="355">
        <f>IF(T_T13411121314151617181920212223242526272829303132333536373839404142434445464748495051525354555657585960616263646566676869707172737475767778798081828384858687888990919293949596979899100101102103104105106107108109110111112113114115116[[#This Row],[Total]]&lt;0,T_T13411121314151617181920212223242526272829303132333536373839404142434445464748495051525354555657585960616263646566676869707172737475767778798081828384858687888990919293949596979899100101102103104105106107108109110111112113114115116[[#This Row],[Total]]*-1,0)</f>
        <v>0</v>
      </c>
      <c r="J27" s="353"/>
      <c r="K27" s="354"/>
      <c r="L27" s="460"/>
    </row>
    <row r="28" spans="1:14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398</v>
      </c>
      <c r="I28" s="355">
        <f>IF(T_T13411121314151617181920212223242526272829303132333536373839404142434445464748495051525354555657585960616263646566676869707172737475767778798081828384858687888990919293949596979899100101102103104105106107108109110111112113114115116[[#This Row],[Total]]&lt;0,T_T13411121314151617181920212223242526272829303132333536373839404142434445464748495051525354555657585960616263646566676869707172737475767778798081828384858687888990919293949596979899100101102103104105106107108109110111112113114115116[[#This Row],[Total]]*-1,0)</f>
        <v>0</v>
      </c>
      <c r="J28" s="353"/>
      <c r="K28" s="354"/>
      <c r="L28" s="460"/>
    </row>
    <row r="29" spans="1:14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398</v>
      </c>
      <c r="I29" s="355">
        <f>IF(T_T13411121314151617181920212223242526272829303132333536373839404142434445464748495051525354555657585960616263646566676869707172737475767778798081828384858687888990919293949596979899100101102103104105106107108109110111112113114115116[[#This Row],[Total]]&lt;0,T_T13411121314151617181920212223242526272829303132333536373839404142434445464748495051525354555657585960616263646566676869707172737475767778798081828384858687888990919293949596979899100101102103104105106107108109110111112113114115116[[#This Row],[Total]]*-1,0)</f>
        <v>0</v>
      </c>
      <c r="J29" s="353"/>
      <c r="K29" s="354"/>
      <c r="L29" s="460"/>
    </row>
    <row r="30" spans="1:14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398</v>
      </c>
      <c r="I30" s="355">
        <f>IF(T_T13411121314151617181920212223242526272829303132333536373839404142434445464748495051525354555657585960616263646566676869707172737475767778798081828384858687888990919293949596979899100101102103104105106107108109110111112113114115116[[#This Row],[Total]]&lt;0,T_T13411121314151617181920212223242526272829303132333536373839404142434445464748495051525354555657585960616263646566676869707172737475767778798081828384858687888990919293949596979899100101102103104105106107108109110111112113114115116[[#This Row],[Total]]*-1,0)</f>
        <v>0</v>
      </c>
      <c r="J30" s="353"/>
      <c r="K30" s="354"/>
      <c r="L30" s="460"/>
    </row>
    <row r="31" spans="1:14" x14ac:dyDescent="0.3">
      <c r="A31" s="9">
        <v>45930</v>
      </c>
      <c r="B31" s="3" t="s">
        <v>546</v>
      </c>
      <c r="C31" s="6"/>
      <c r="D31" s="230"/>
      <c r="E31" s="230"/>
      <c r="F31" s="230"/>
      <c r="G31" s="230">
        <f t="shared" si="0"/>
        <v>0</v>
      </c>
      <c r="H31" s="233">
        <f t="shared" si="1"/>
        <v>398</v>
      </c>
      <c r="I31" s="355">
        <f>IF(T_T13411121314151617181920212223242526272829303132333536373839404142434445464748495051525354555657585960616263646566676869707172737475767778798081828384858687888990919293949596979899100101102103104105106107108109110111112113114115116[[#This Row],[Total]]&lt;0,T_T13411121314151617181920212223242526272829303132333536373839404142434445464748495051525354555657585960616263646566676869707172737475767778798081828384858687888990919293949596979899100101102103104105106107108109110111112113114115116[[#This Row],[Total]]*-1,0)</f>
        <v>0</v>
      </c>
      <c r="J31" s="353"/>
      <c r="K31" s="354"/>
      <c r="L31" s="460"/>
    </row>
    <row r="32" spans="1:14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398</v>
      </c>
      <c r="I32" s="355">
        <f>IF(T_T13411121314151617181920212223242526272829303132333536373839404142434445464748495051525354555657585960616263646566676869707172737475767778798081828384858687888990919293949596979899100101102103104105106107108109110111112113114115116[[#This Row],[Total]]&lt;0,T_T13411121314151617181920212223242526272829303132333536373839404142434445464748495051525354555657585960616263646566676869707172737475767778798081828384858687888990919293949596979899100101102103104105106107108109110111112113114115116[[#This Row],[Total]]*-1,0)</f>
        <v>0</v>
      </c>
      <c r="J32" s="353"/>
      <c r="K32" s="354"/>
      <c r="L32" s="460"/>
    </row>
    <row r="33" spans="1:12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398</v>
      </c>
      <c r="I33" s="355">
        <f>IF(T_T13411121314151617181920212223242526272829303132333536373839404142434445464748495051525354555657585960616263646566676869707172737475767778798081828384858687888990919293949596979899100101102103104105106107108109110111112113114115116[[#This Row],[Total]]&lt;0,T_T13411121314151617181920212223242526272829303132333536373839404142434445464748495051525354555657585960616263646566676869707172737475767778798081828384858687888990919293949596979899100101102103104105106107108109110111112113114115116[[#This Row],[Total]]*-1,0)</f>
        <v>0</v>
      </c>
      <c r="J33" s="353"/>
      <c r="K33" s="354"/>
      <c r="L33" s="460"/>
    </row>
    <row r="34" spans="1:12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398</v>
      </c>
      <c r="I34" s="355">
        <f>IF(T_T13411121314151617181920212223242526272829303132333536373839404142434445464748495051525354555657585960616263646566676869707172737475767778798081828384858687888990919293949596979899100101102103104105106107108109110111112113114115116[[#This Row],[Total]]&lt;0,T_T13411121314151617181920212223242526272829303132333536373839404142434445464748495051525354555657585960616263646566676869707172737475767778798081828384858687888990919293949596979899100101102103104105106107108109110111112113114115116[[#This Row],[Total]]*-1,0)</f>
        <v>0</v>
      </c>
      <c r="J34" s="353"/>
      <c r="K34" s="354"/>
      <c r="L34" s="460"/>
    </row>
    <row r="35" spans="1:12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398</v>
      </c>
      <c r="I35" s="355">
        <f>IF(T_T13411121314151617181920212223242526272829303132333536373839404142434445464748495051525354555657585960616263646566676869707172737475767778798081828384858687888990919293949596979899100101102103104105106107108109110111112113114115116[[#This Row],[Total]]&lt;0,T_T13411121314151617181920212223242526272829303132333536373839404142434445464748495051525354555657585960616263646566676869707172737475767778798081828384858687888990919293949596979899100101102103104105106107108109110111112113114115116[[#This Row],[Total]]*-1,0)</f>
        <v>0</v>
      </c>
      <c r="J35" s="353"/>
      <c r="K35" s="354"/>
      <c r="L35" s="460"/>
    </row>
    <row r="36" spans="1:12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398</v>
      </c>
      <c r="I36" s="355">
        <f>IF(T_T13411121314151617181920212223242526272829303132333536373839404142434445464748495051525354555657585960616263646566676869707172737475767778798081828384858687888990919293949596979899100101102103104105106107108109110111112113114115116[[#This Row],[Total]]&lt;0,T_T13411121314151617181920212223242526272829303132333536373839404142434445464748495051525354555657585960616263646566676869707172737475767778798081828384858687888990919293949596979899100101102103104105106107108109110111112113114115116[[#This Row],[Total]]*-1,0)</f>
        <v>0</v>
      </c>
      <c r="J36" s="353"/>
      <c r="K36" s="354"/>
      <c r="L36" s="460"/>
    </row>
    <row r="37" spans="1:12" x14ac:dyDescent="0.3">
      <c r="A37" s="188">
        <v>46021</v>
      </c>
      <c r="B37" s="3" t="s">
        <v>552</v>
      </c>
      <c r="C37" s="6"/>
      <c r="D37" s="230"/>
      <c r="E37" s="230"/>
      <c r="F37" s="230"/>
      <c r="G37" s="230">
        <f t="shared" si="0"/>
        <v>0</v>
      </c>
      <c r="H37" s="233">
        <f t="shared" si="1"/>
        <v>398</v>
      </c>
      <c r="I37" s="355">
        <f>IF(T_T13411121314151617181920212223242526272829303132333536373839404142434445464748495051525354555657585960616263646566676869707172737475767778798081828384858687888990919293949596979899100101102103104105106107108109110111112113114115116[[#This Row],[Total]]&lt;0,T_T13411121314151617181920212223242526272829303132333536373839404142434445464748495051525354555657585960616263646566676869707172737475767778798081828384858687888990919293949596979899100101102103104105106107108109110111112113114115116[[#This Row],[Total]]*-1,0)</f>
        <v>0</v>
      </c>
      <c r="J37" s="353"/>
      <c r="K37" s="354"/>
      <c r="L37" s="460"/>
    </row>
    <row r="38" spans="1:12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398</v>
      </c>
      <c r="I38" s="355">
        <f>IF(T_T13411121314151617181920212223242526272829303132333536373839404142434445464748495051525354555657585960616263646566676869707172737475767778798081828384858687888990919293949596979899100101102103104105106107108109110111112113114115116[[#This Row],[Total]]&lt;0,T_T13411121314151617181920212223242526272829303132333536373839404142434445464748495051525354555657585960616263646566676869707172737475767778798081828384858687888990919293949596979899100101102103104105106107108109110111112113114115116[[#This Row],[Total]]*-1,0)</f>
        <v>0</v>
      </c>
      <c r="J38" s="353"/>
      <c r="K38" s="354"/>
      <c r="L38" s="460"/>
    </row>
    <row r="39" spans="1:12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398</v>
      </c>
      <c r="I39" s="355">
        <f>IF(T_T13411121314151617181920212223242526272829303132333536373839404142434445464748495051525354555657585960616263646566676869707172737475767778798081828384858687888990919293949596979899100101102103104105106107108109110111112113114115116[[#This Row],[Total]]&lt;0,T_T13411121314151617181920212223242526272829303132333536373839404142434445464748495051525354555657585960616263646566676869707172737475767778798081828384858687888990919293949596979899100101102103104105106107108109110111112113114115116[[#This Row],[Total]]*-1,0)</f>
        <v>0</v>
      </c>
      <c r="J39" s="353"/>
      <c r="K39" s="354"/>
      <c r="L39" s="460"/>
    </row>
    <row r="40" spans="1:12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398</v>
      </c>
      <c r="I40" s="355">
        <f>IF(T_T13411121314151617181920212223242526272829303132333536373839404142434445464748495051525354555657585960616263646566676869707172737475767778798081828384858687888990919293949596979899100101102103104105106107108109110111112113114115116[[#This Row],[Total]]&lt;0,T_T13411121314151617181920212223242526272829303132333536373839404142434445464748495051525354555657585960616263646566676869707172737475767778798081828384858687888990919293949596979899100101102103104105106107108109110111112113114115116[[#This Row],[Total]]*-1,0)</f>
        <v>0</v>
      </c>
      <c r="J40" s="353"/>
      <c r="K40" s="354"/>
      <c r="L40" s="460"/>
    </row>
    <row r="41" spans="1:12" x14ac:dyDescent="0.3">
      <c r="A41" s="17"/>
      <c r="B41" s="18"/>
      <c r="C41" s="6"/>
      <c r="D41" s="2"/>
      <c r="E41" s="2"/>
      <c r="F41" s="2"/>
      <c r="G41" s="177">
        <f t="shared" ref="G41:G64" si="2">SUM(D41:F41)</f>
        <v>0</v>
      </c>
      <c r="H41" s="112">
        <f>H10+G41</f>
        <v>0</v>
      </c>
    </row>
    <row r="42" spans="1:12" x14ac:dyDescent="0.3">
      <c r="A42" s="17"/>
      <c r="B42" s="18"/>
      <c r="C42" s="6"/>
      <c r="D42" s="2"/>
      <c r="E42" s="2"/>
      <c r="F42" s="2"/>
      <c r="G42" s="177">
        <f t="shared" si="2"/>
        <v>0</v>
      </c>
      <c r="H42" s="112">
        <f t="shared" ref="H42:H64" si="3">H41+G42</f>
        <v>0</v>
      </c>
    </row>
    <row r="43" spans="1:12" x14ac:dyDescent="0.3">
      <c r="A43" s="164"/>
      <c r="B43" s="161"/>
      <c r="C43" s="6"/>
      <c r="D43" s="2"/>
      <c r="E43" s="2"/>
      <c r="F43" s="2"/>
      <c r="G43" s="177">
        <f t="shared" si="2"/>
        <v>0</v>
      </c>
      <c r="H43" s="112">
        <f t="shared" si="3"/>
        <v>0</v>
      </c>
    </row>
    <row r="44" spans="1:12" x14ac:dyDescent="0.3">
      <c r="A44" s="185"/>
      <c r="B44" s="3"/>
      <c r="C44" s="6"/>
      <c r="D44" s="212"/>
      <c r="E44" s="212"/>
      <c r="F44" s="212"/>
      <c r="G44" s="281">
        <f t="shared" si="2"/>
        <v>0</v>
      </c>
      <c r="H44" s="199">
        <f t="shared" si="3"/>
        <v>0</v>
      </c>
    </row>
    <row r="45" spans="1:12" x14ac:dyDescent="0.3">
      <c r="A45" s="188"/>
      <c r="B45" s="3"/>
      <c r="C45" s="6"/>
      <c r="D45" s="2"/>
      <c r="E45" s="2"/>
      <c r="F45" s="2"/>
      <c r="G45" s="281">
        <f t="shared" si="2"/>
        <v>0</v>
      </c>
      <c r="H45" s="199">
        <f t="shared" si="3"/>
        <v>0</v>
      </c>
    </row>
    <row r="46" spans="1:12" x14ac:dyDescent="0.3">
      <c r="A46" s="107"/>
      <c r="B46" s="82"/>
      <c r="C46" s="283"/>
      <c r="D46" s="2"/>
      <c r="E46" s="2"/>
      <c r="F46" s="2"/>
      <c r="G46" s="281">
        <f t="shared" si="2"/>
        <v>0</v>
      </c>
      <c r="H46" s="199">
        <f t="shared" si="3"/>
        <v>0</v>
      </c>
    </row>
    <row r="47" spans="1:12" x14ac:dyDescent="0.3">
      <c r="A47" s="188"/>
      <c r="B47" s="3"/>
      <c r="C47" s="169"/>
      <c r="D47" s="2"/>
      <c r="E47" s="2"/>
      <c r="F47" s="2"/>
      <c r="G47" s="281">
        <f t="shared" si="2"/>
        <v>0</v>
      </c>
      <c r="H47" s="199">
        <f t="shared" si="3"/>
        <v>0</v>
      </c>
    </row>
    <row r="48" spans="1:12" x14ac:dyDescent="0.3">
      <c r="A48" s="257"/>
      <c r="B48" s="110"/>
      <c r="C48" s="330"/>
      <c r="D48" s="212"/>
      <c r="E48" s="212"/>
      <c r="F48" s="212"/>
      <c r="G48" s="281">
        <f t="shared" si="2"/>
        <v>0</v>
      </c>
      <c r="H48" s="199">
        <f t="shared" si="3"/>
        <v>0</v>
      </c>
    </row>
    <row r="49" spans="1:8" x14ac:dyDescent="0.3">
      <c r="A49" s="188"/>
      <c r="B49" s="3"/>
      <c r="C49" s="6"/>
      <c r="D49" s="2"/>
      <c r="E49" s="2"/>
      <c r="F49" s="2"/>
      <c r="G49" s="281">
        <f t="shared" si="2"/>
        <v>0</v>
      </c>
      <c r="H49" s="199">
        <f t="shared" si="3"/>
        <v>0</v>
      </c>
    </row>
    <row r="50" spans="1:8" x14ac:dyDescent="0.3">
      <c r="A50" s="107"/>
      <c r="B50" s="127"/>
      <c r="C50" s="6"/>
      <c r="D50" s="2"/>
      <c r="E50" s="2"/>
      <c r="F50" s="2"/>
      <c r="G50" s="281">
        <f t="shared" si="2"/>
        <v>0</v>
      </c>
      <c r="H50" s="199">
        <f t="shared" si="3"/>
        <v>0</v>
      </c>
    </row>
    <row r="51" spans="1:8" x14ac:dyDescent="0.3">
      <c r="A51" s="188"/>
      <c r="B51" s="3"/>
      <c r="C51" s="6"/>
      <c r="D51" s="2"/>
      <c r="E51" s="2"/>
      <c r="F51" s="2"/>
      <c r="G51" s="281">
        <f t="shared" si="2"/>
        <v>0</v>
      </c>
      <c r="H51" s="199">
        <f t="shared" si="3"/>
        <v>0</v>
      </c>
    </row>
    <row r="52" spans="1:8" x14ac:dyDescent="0.3">
      <c r="A52" s="107"/>
      <c r="B52" s="127"/>
      <c r="C52" s="6"/>
      <c r="D52" s="2"/>
      <c r="E52" s="2"/>
      <c r="F52" s="2"/>
      <c r="G52" s="281">
        <f t="shared" si="2"/>
        <v>0</v>
      </c>
      <c r="H52" s="199">
        <f t="shared" si="3"/>
        <v>0</v>
      </c>
    </row>
    <row r="53" spans="1:8" x14ac:dyDescent="0.3">
      <c r="A53" s="107"/>
      <c r="B53" s="82"/>
      <c r="C53" s="6"/>
      <c r="D53" s="2"/>
      <c r="E53" s="2"/>
      <c r="F53" s="2"/>
      <c r="G53" s="281">
        <f t="shared" si="2"/>
        <v>0</v>
      </c>
      <c r="H53" s="199">
        <f t="shared" si="3"/>
        <v>0</v>
      </c>
    </row>
    <row r="54" spans="1:8" x14ac:dyDescent="0.3">
      <c r="A54" s="107"/>
      <c r="B54" s="82"/>
      <c r="C54" s="6"/>
      <c r="D54" s="2"/>
      <c r="E54" s="2"/>
      <c r="F54" s="2"/>
      <c r="G54" s="281">
        <f t="shared" si="2"/>
        <v>0</v>
      </c>
      <c r="H54" s="199">
        <f t="shared" si="3"/>
        <v>0</v>
      </c>
    </row>
    <row r="55" spans="1:8" x14ac:dyDescent="0.3">
      <c r="A55" s="107"/>
      <c r="B55" s="82"/>
      <c r="C55" s="6"/>
      <c r="D55" s="2"/>
      <c r="E55" s="2"/>
      <c r="F55" s="2"/>
      <c r="G55" s="281">
        <f t="shared" si="2"/>
        <v>0</v>
      </c>
      <c r="H55" s="199">
        <f t="shared" si="3"/>
        <v>0</v>
      </c>
    </row>
    <row r="56" spans="1:8" x14ac:dyDescent="0.3">
      <c r="A56" s="107"/>
      <c r="B56" s="82"/>
      <c r="C56" s="19"/>
      <c r="D56" s="212"/>
      <c r="E56" s="212"/>
      <c r="F56" s="212"/>
      <c r="G56" s="281">
        <f t="shared" si="2"/>
        <v>0</v>
      </c>
      <c r="H56" s="199">
        <f t="shared" si="3"/>
        <v>0</v>
      </c>
    </row>
    <row r="57" spans="1:8" x14ac:dyDescent="0.3">
      <c r="A57" s="188"/>
      <c r="B57" s="3"/>
      <c r="C57" s="6"/>
      <c r="D57" s="2"/>
      <c r="E57" s="2"/>
      <c r="F57" s="2"/>
      <c r="G57" s="281">
        <f t="shared" si="2"/>
        <v>0</v>
      </c>
      <c r="H57" s="199">
        <f t="shared" si="3"/>
        <v>0</v>
      </c>
    </row>
    <row r="58" spans="1:8" x14ac:dyDescent="0.3">
      <c r="A58" s="107"/>
      <c r="B58" s="82"/>
      <c r="C58" s="6"/>
      <c r="D58" s="2"/>
      <c r="E58" s="2"/>
      <c r="F58" s="2"/>
      <c r="G58" s="281">
        <f t="shared" si="2"/>
        <v>0</v>
      </c>
      <c r="H58" s="199">
        <f t="shared" si="3"/>
        <v>0</v>
      </c>
    </row>
    <row r="59" spans="1:8" x14ac:dyDescent="0.3">
      <c r="A59" s="188"/>
      <c r="B59" s="3"/>
      <c r="C59" s="6"/>
      <c r="D59" s="2"/>
      <c r="E59" s="2"/>
      <c r="F59" s="2"/>
      <c r="G59" s="281">
        <f t="shared" si="2"/>
        <v>0</v>
      </c>
      <c r="H59" s="199">
        <f t="shared" si="3"/>
        <v>0</v>
      </c>
    </row>
    <row r="60" spans="1:8" x14ac:dyDescent="0.3">
      <c r="A60" s="107"/>
      <c r="B60" s="82"/>
      <c r="C60" s="6"/>
      <c r="D60" s="2"/>
      <c r="E60" s="2"/>
      <c r="F60" s="2"/>
      <c r="G60" s="281">
        <f t="shared" si="2"/>
        <v>0</v>
      </c>
      <c r="H60" s="199">
        <f t="shared" si="3"/>
        <v>0</v>
      </c>
    </row>
    <row r="61" spans="1:8" x14ac:dyDescent="0.3">
      <c r="A61" s="188"/>
      <c r="B61" s="3"/>
      <c r="C61" s="6"/>
      <c r="D61" s="2"/>
      <c r="E61" s="2"/>
      <c r="F61" s="2"/>
      <c r="G61" s="281">
        <f t="shared" si="2"/>
        <v>0</v>
      </c>
      <c r="H61" s="199">
        <f t="shared" si="3"/>
        <v>0</v>
      </c>
    </row>
    <row r="62" spans="1:8" x14ac:dyDescent="0.3">
      <c r="A62" s="107"/>
      <c r="B62" s="82"/>
      <c r="C62" s="6"/>
      <c r="D62" s="2"/>
      <c r="E62" s="2"/>
      <c r="F62" s="2"/>
      <c r="G62" s="281">
        <f t="shared" si="2"/>
        <v>0</v>
      </c>
      <c r="H62" s="199">
        <f t="shared" si="3"/>
        <v>0</v>
      </c>
    </row>
    <row r="63" spans="1:8" x14ac:dyDescent="0.3">
      <c r="A63" s="188"/>
      <c r="B63" s="3"/>
      <c r="C63" s="6"/>
      <c r="D63" s="2"/>
      <c r="E63" s="2"/>
      <c r="F63" s="2"/>
      <c r="G63" s="281">
        <f t="shared" si="2"/>
        <v>0</v>
      </c>
      <c r="H63" s="199">
        <f t="shared" si="3"/>
        <v>0</v>
      </c>
    </row>
    <row r="64" spans="1:8" x14ac:dyDescent="0.3">
      <c r="A64" s="257"/>
      <c r="B64" s="110"/>
      <c r="C64" s="6"/>
      <c r="D64" s="2"/>
      <c r="E64" s="2"/>
      <c r="F64" s="2"/>
      <c r="G64" s="281">
        <f t="shared" si="2"/>
        <v>0</v>
      </c>
      <c r="H64" s="199">
        <f t="shared" si="3"/>
        <v>0</v>
      </c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orientation="portrait" verticalDpi="360" r:id="rId2"/>
  <drawing r:id="rId3"/>
  <tableParts count="1">
    <tablePart r:id="rId4"/>
  </tablePart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N40"/>
  <sheetViews>
    <sheetView showGridLines="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7.88671875" style="1" customWidth="1"/>
    <col min="7" max="7" width="10.33203125" style="1" customWidth="1"/>
    <col min="8" max="8" width="12.44140625" style="1" customWidth="1"/>
    <col min="9" max="9" width="12.88671875" hidden="1" customWidth="1"/>
    <col min="14" max="14" width="10.6640625" bestFit="1" customWidth="1"/>
    <col min="15" max="15" width="14.44140625" customWidth="1"/>
  </cols>
  <sheetData>
    <row r="2" spans="1:14" ht="15" customHeight="1" x14ac:dyDescent="0.3">
      <c r="A2" s="27" t="s">
        <v>36</v>
      </c>
      <c r="B2" s="41" t="s">
        <v>165</v>
      </c>
    </row>
    <row r="3" spans="1:14" hidden="1" x14ac:dyDescent="0.3">
      <c r="A3" s="27" t="s">
        <v>31</v>
      </c>
      <c r="B3" s="28" t="e">
        <f>LOOKUP(B2,#REF!,#REF!)</f>
        <v>#REF!</v>
      </c>
    </row>
    <row r="4" spans="1:14" hidden="1" x14ac:dyDescent="0.3">
      <c r="A4" s="27" t="s">
        <v>32</v>
      </c>
      <c r="B4" s="28" t="e">
        <f>LOOKUP(B2,#REF!,#REF!)</f>
        <v>#REF!</v>
      </c>
    </row>
    <row r="5" spans="1:14" hidden="1" x14ac:dyDescent="0.3">
      <c r="A5" s="27" t="s">
        <v>33</v>
      </c>
      <c r="B5" s="28" t="e">
        <f>LOOKUP(B2,#REF!,#REF!)</f>
        <v>#REF!</v>
      </c>
    </row>
    <row r="6" spans="1:14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4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4" x14ac:dyDescent="0.3">
      <c r="A8" s="21"/>
      <c r="B8" s="21" t="s">
        <v>222</v>
      </c>
    </row>
    <row r="9" spans="1:14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66" t="s">
        <v>188</v>
      </c>
    </row>
    <row r="10" spans="1:14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IF(T_T13411121314151617181920212223242526272829303132333536373839404142434445464748495051525354555657585960616263646566676869707172737475767778798081828384858687888990919293949596979899100101102103104105106107108109110111112113114115116117[[#This Row],[Total]]&lt;0,T_T13411121314151617181920212223242526272829303132333536373839404142434445464748495051525354555657585960616263646566676869707172737475767778798081828384858687888990919293949596979899100101102103104105106107108109110111112113114115116117[[#This Row],[Total]]*-1,0)</f>
        <v>0</v>
      </c>
      <c r="J10" s="65"/>
      <c r="N10" s="178"/>
    </row>
    <row r="11" spans="1:14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IF(T_T13411121314151617181920212223242526272829303132333536373839404142434445464748495051525354555657585960616263646566676869707172737475767778798081828384858687888990919293949596979899100101102103104105106107108109110111112113114115116117[[#This Row],[Total]]&lt;0,T_T13411121314151617181920212223242526272829303132333536373839404142434445464748495051525354555657585960616263646566676869707172737475767778798081828384858687888990919293949596979899100101102103104105106107108109110111112113114115116117[[#This Row],[Total]]*-1,0)</f>
        <v>0</v>
      </c>
      <c r="J11" s="240"/>
    </row>
    <row r="12" spans="1:14" x14ac:dyDescent="0.3">
      <c r="A12" s="117"/>
      <c r="B12" s="118" t="s">
        <v>467</v>
      </c>
      <c r="C12" s="424"/>
      <c r="D12" s="425"/>
      <c r="E12" s="425"/>
      <c r="F12" s="425"/>
      <c r="G12" s="425"/>
      <c r="H12" s="426">
        <v>0</v>
      </c>
      <c r="I12" s="430">
        <f>IF(T_T13411121314151617181920212223242526272829303132333536373839404142434445464748495051525354555657585960616263646566676869707172737475767778798081828384858687888990919293949596979899100101102103104105106107108109110111112113114115116117[[#This Row],[Total]]&lt;0,T_T13411121314151617181920212223242526272829303132333536373839404142434445464748495051525354555657585960616263646566676869707172737475767778798081828384858687888990919293949596979899100101102103104105106107108109110111112113114115116117[[#This Row],[Total]]*-1,0)</f>
        <v>0</v>
      </c>
      <c r="J12" s="430"/>
    </row>
    <row r="13" spans="1:14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IF(T_T13411121314151617181920212223242526272829303132333536373839404142434445464748495051525354555657585960616263646566676869707172737475767778798081828384858687888990919293949596979899100101102103104105106107108109110111112113114115116117[[#This Row],[Total]]&lt;0,T_T13411121314151617181920212223242526272829303132333536373839404142434445464748495051525354555657585960616263646566676869707172737475767778798081828384858687888990919293949596979899100101102103104105106107108109110111112113114115116117[[#This Row],[Total]]*-1,0)</f>
        <v>0</v>
      </c>
      <c r="J13" s="240"/>
    </row>
    <row r="14" spans="1:14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IF(T_T13411121314151617181920212223242526272829303132333536373839404142434445464748495051525354555657585960616263646566676869707172737475767778798081828384858687888990919293949596979899100101102103104105106107108109110111112113114115116117[[#This Row],[Total]]&lt;0,T_T13411121314151617181920212223242526272829303132333536373839404142434445464748495051525354555657585960616263646566676869707172737475767778798081828384858687888990919293949596979899100101102103104105106107108109110111112113114115116117[[#This Row],[Total]]*-1,0)</f>
        <v>0</v>
      </c>
      <c r="J14" s="473"/>
    </row>
    <row r="15" spans="1:14" x14ac:dyDescent="0.3">
      <c r="A15" s="17">
        <v>46052</v>
      </c>
      <c r="B15" s="18" t="s">
        <v>590</v>
      </c>
      <c r="C15" s="6"/>
      <c r="D15" s="2">
        <v>101</v>
      </c>
      <c r="E15" s="2">
        <v>3</v>
      </c>
      <c r="F15" s="20"/>
      <c r="G15" s="20">
        <f>SUM(D15:F15)</f>
        <v>104</v>
      </c>
      <c r="H15" s="233">
        <f>+H13+T_T13411121314151617181920212223242526272829303132333536373839404142434445464748495051525354555657585960616263646566676869707172737475767778798081828384858687888990919293949596979899100101102103104105106107108109110111112113114115116117[[#This Row],[Total]]</f>
        <v>104</v>
      </c>
      <c r="I15" s="240">
        <f>IF(T_T13411121314151617181920212223242526272829303132333536373839404142434445464748495051525354555657585960616263646566676869707172737475767778798081828384858687888990919293949596979899100101102103104105106107108109110111112113114115116117[[#This Row],[Total]]&lt;0,T_T13411121314151617181920212223242526272829303132333536373839404142434445464748495051525354555657585960616263646566676869707172737475767778798081828384858687888990919293949596979899100101102103104105106107108109110111112113114115116117[[#This Row],[Total]]*-1,0)</f>
        <v>0</v>
      </c>
      <c r="J15" s="240"/>
    </row>
    <row r="16" spans="1:14" x14ac:dyDescent="0.3">
      <c r="A16" s="17"/>
      <c r="B16" s="18" t="s">
        <v>591</v>
      </c>
      <c r="C16" s="6"/>
      <c r="D16" s="2"/>
      <c r="E16" s="2"/>
      <c r="F16" s="230"/>
      <c r="G16" s="230">
        <f t="shared" ref="G16:G38" si="0">SUM(D16:F16)</f>
        <v>0</v>
      </c>
      <c r="H16" s="233">
        <f t="shared" ref="H16:H40" si="1">H15+G16</f>
        <v>104</v>
      </c>
      <c r="I16" s="239">
        <f>IF(T_T13411121314151617181920212223242526272829303132333536373839404142434445464748495051525354555657585960616263646566676869707172737475767778798081828384858687888990919293949596979899100101102103104105106107108109110111112113114115116117[[#This Row],[Total]]&lt;0,T_T13411121314151617181920212223242526272829303132333536373839404142434445464748495051525354555657585960616263646566676869707172737475767778798081828384858687888990919293949596979899100101102103104105106107108109110111112113114115116117[[#This Row],[Total]]*-1,0)</f>
        <v>0</v>
      </c>
      <c r="J16" s="239"/>
    </row>
    <row r="17" spans="1:10" x14ac:dyDescent="0.3">
      <c r="A17" s="164">
        <v>45715</v>
      </c>
      <c r="B17" s="161" t="s">
        <v>532</v>
      </c>
      <c r="C17" s="6"/>
      <c r="D17" s="2">
        <v>101</v>
      </c>
      <c r="E17" s="2">
        <v>3</v>
      </c>
      <c r="F17" s="230"/>
      <c r="G17" s="230">
        <f t="shared" si="0"/>
        <v>104</v>
      </c>
      <c r="H17" s="233">
        <f t="shared" si="1"/>
        <v>208</v>
      </c>
      <c r="I17" s="240">
        <f>IF(T_T13411121314151617181920212223242526272829303132333536373839404142434445464748495051525354555657585960616263646566676869707172737475767778798081828384858687888990919293949596979899100101102103104105106107108109110111112113114115116117[[#This Row],[Total]]&lt;0,T_T13411121314151617181920212223242526272829303132333536373839404142434445464748495051525354555657585960616263646566676869707172737475767778798081828384858687888990919293949596979899100101102103104105106107108109110111112113114115116117[[#This Row],[Total]]*-1,0)</f>
        <v>0</v>
      </c>
      <c r="J17" s="240"/>
    </row>
    <row r="18" spans="1:10" x14ac:dyDescent="0.3">
      <c r="A18" s="187"/>
      <c r="B18" s="18" t="s">
        <v>533</v>
      </c>
      <c r="C18" s="6"/>
      <c r="D18" s="2"/>
      <c r="E18" s="2"/>
      <c r="F18" s="230"/>
      <c r="G18" s="230">
        <f t="shared" si="0"/>
        <v>0</v>
      </c>
      <c r="H18" s="233">
        <f t="shared" si="1"/>
        <v>208</v>
      </c>
      <c r="I18" s="240">
        <f>IF(T_T13411121314151617181920212223242526272829303132333536373839404142434445464748495051525354555657585960616263646566676869707172737475767778798081828384858687888990919293949596979899100101102103104105106107108109110111112113114115116117[[#This Row],[Total]]&lt;0,T_T13411121314151617181920212223242526272829303132333536373839404142434445464748495051525354555657585960616263646566676869707172737475767778798081828384858687888990919293949596979899100101102103104105106107108109110111112113114115116117[[#This Row],[Total]]*-1,0)</f>
        <v>0</v>
      </c>
      <c r="J18" s="240"/>
    </row>
    <row r="19" spans="1:10" x14ac:dyDescent="0.3">
      <c r="A19" s="188">
        <v>45747</v>
      </c>
      <c r="B19" s="3" t="s">
        <v>534</v>
      </c>
      <c r="C19" s="6"/>
      <c r="D19" s="2">
        <v>115</v>
      </c>
      <c r="E19" s="2">
        <v>4</v>
      </c>
      <c r="F19" s="230"/>
      <c r="G19" s="230">
        <f t="shared" si="0"/>
        <v>119</v>
      </c>
      <c r="H19" s="233">
        <f t="shared" si="1"/>
        <v>327</v>
      </c>
      <c r="I19" s="240">
        <f>IF(T_T13411121314151617181920212223242526272829303132333536373839404142434445464748495051525354555657585960616263646566676869707172737475767778798081828384858687888990919293949596979899100101102103104105106107108109110111112113114115116117[[#This Row],[Total]]&lt;0,T_T13411121314151617181920212223242526272829303132333536373839404142434445464748495051525354555657585960616263646566676869707172737475767778798081828384858687888990919293949596979899100101102103104105106107108109110111112113114115116117[[#This Row],[Total]]*-1,0)</f>
        <v>0</v>
      </c>
      <c r="J19" s="240"/>
    </row>
    <row r="20" spans="1:10" x14ac:dyDescent="0.3">
      <c r="A20" s="188"/>
      <c r="B20" s="82" t="s">
        <v>535</v>
      </c>
      <c r="C20" s="6"/>
      <c r="D20" s="2"/>
      <c r="E20" s="2"/>
      <c r="F20" s="230"/>
      <c r="G20" s="230">
        <f t="shared" si="0"/>
        <v>0</v>
      </c>
      <c r="H20" s="233">
        <f t="shared" si="1"/>
        <v>327</v>
      </c>
      <c r="I20" s="239">
        <f>IF(T_T13411121314151617181920212223242526272829303132333536373839404142434445464748495051525354555657585960616263646566676869707172737475767778798081828384858687888990919293949596979899100101102103104105106107108109110111112113114115116117[[#This Row],[Total]]&lt;0,T_T13411121314151617181920212223242526272829303132333536373839404142434445464748495051525354555657585960616263646566676869707172737475767778798081828384858687888990919293949596979899100101102103104105106107108109110111112113114115116117[[#This Row],[Total]]*-1,0)</f>
        <v>0</v>
      </c>
      <c r="J20" s="239"/>
    </row>
    <row r="21" spans="1:10" x14ac:dyDescent="0.3">
      <c r="A21" s="188">
        <v>45777</v>
      </c>
      <c r="B21" s="3" t="s">
        <v>536</v>
      </c>
      <c r="C21" s="6"/>
      <c r="D21" s="2">
        <v>115</v>
      </c>
      <c r="E21" s="2">
        <v>2</v>
      </c>
      <c r="F21" s="230"/>
      <c r="G21" s="230">
        <f t="shared" si="0"/>
        <v>117</v>
      </c>
      <c r="H21" s="233">
        <f t="shared" si="1"/>
        <v>444</v>
      </c>
      <c r="I21" s="309">
        <f>IF(T_T13411121314151617181920212223242526272829303132333536373839404142434445464748495051525354555657585960616263646566676869707172737475767778798081828384858687888990919293949596979899100101102103104105106107108109110111112113114115116117[[#This Row],[Total]]&lt;0,T_T13411121314151617181920212223242526272829303132333536373839404142434445464748495051525354555657585960616263646566676869707172737475767778798081828384858687888990919293949596979899100101102103104105106107108109110111112113114115116117[[#This Row],[Total]]*-1,0)</f>
        <v>0</v>
      </c>
      <c r="J21" s="309"/>
    </row>
    <row r="22" spans="1:10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444</v>
      </c>
      <c r="I22" s="309">
        <f>IF(T_T13411121314151617181920212223242526272829303132333536373839404142434445464748495051525354555657585960616263646566676869707172737475767778798081828384858687888990919293949596979899100101102103104105106107108109110111112113114115116117[[#This Row],[Total]]&lt;0,T_T13411121314151617181920212223242526272829303132333536373839404142434445464748495051525354555657585960616263646566676869707172737475767778798081828384858687888990919293949596979899100101102103104105106107108109110111112113114115116117[[#This Row],[Total]]*-1,0)</f>
        <v>0</v>
      </c>
      <c r="J22" s="309"/>
    </row>
    <row r="23" spans="1:10" x14ac:dyDescent="0.3">
      <c r="A23" s="40">
        <v>45807</v>
      </c>
      <c r="B23" s="3" t="s">
        <v>538</v>
      </c>
      <c r="C23" s="229"/>
      <c r="D23" s="230">
        <v>115</v>
      </c>
      <c r="E23" s="230">
        <v>1</v>
      </c>
      <c r="F23" s="230"/>
      <c r="G23" s="230">
        <f t="shared" si="0"/>
        <v>116</v>
      </c>
      <c r="H23" s="233">
        <f t="shared" si="1"/>
        <v>560</v>
      </c>
      <c r="I23" s="309">
        <f>IF(T_T13411121314151617181920212223242526272829303132333536373839404142434445464748495051525354555657585960616263646566676869707172737475767778798081828384858687888990919293949596979899100101102103104105106107108109110111112113114115116117[[#This Row],[Total]]&lt;0,T_T13411121314151617181920212223242526272829303132333536373839404142434445464748495051525354555657585960616263646566676869707172737475767778798081828384858687888990919293949596979899100101102103104105106107108109110111112113114115116117[[#This Row],[Total]]*-1,0)</f>
        <v>0</v>
      </c>
      <c r="J23" s="309"/>
    </row>
    <row r="24" spans="1:10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560</v>
      </c>
      <c r="I24" s="311">
        <f>IF(T_T13411121314151617181920212223242526272829303132333536373839404142434445464748495051525354555657585960616263646566676869707172737475767778798081828384858687888990919293949596979899100101102103104105106107108109110111112113114115116117[[#This Row],[Total]]&lt;0,T_T13411121314151617181920212223242526272829303132333536373839404142434445464748495051525354555657585960616263646566676869707172737475767778798081828384858687888990919293949596979899100101102103104105106107108109110111112113114115116117[[#This Row],[Total]]*-1,0)</f>
        <v>0</v>
      </c>
      <c r="J24" s="311"/>
    </row>
    <row r="25" spans="1:10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560</v>
      </c>
      <c r="I25" s="309">
        <f>IF(T_T13411121314151617181920212223242526272829303132333536373839404142434445464748495051525354555657585960616263646566676869707172737475767778798081828384858687888990919293949596979899100101102103104105106107108109110111112113114115116117[[#This Row],[Total]]&lt;0,T_T13411121314151617181920212223242526272829303132333536373839404142434445464748495051525354555657585960616263646566676869707172737475767778798081828384858687888990919293949596979899100101102103104105106107108109110111112113114115116117[[#This Row],[Total]]*-1,0)</f>
        <v>0</v>
      </c>
      <c r="J25" s="309"/>
    </row>
    <row r="26" spans="1:10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560</v>
      </c>
      <c r="I26" s="309">
        <f>IF(T_T13411121314151617181920212223242526272829303132333536373839404142434445464748495051525354555657585960616263646566676869707172737475767778798081828384858687888990919293949596979899100101102103104105106107108109110111112113114115116117[[#This Row],[Total]]&lt;0,T_T13411121314151617181920212223242526272829303132333536373839404142434445464748495051525354555657585960616263646566676869707172737475767778798081828384858687888990919293949596979899100101102103104105106107108109110111112113114115116117[[#This Row],[Total]]*-1,0)</f>
        <v>0</v>
      </c>
      <c r="J26" s="309"/>
    </row>
    <row r="27" spans="1:10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560</v>
      </c>
      <c r="I27" s="309">
        <f>IF(T_T13411121314151617181920212223242526272829303132333536373839404142434445464748495051525354555657585960616263646566676869707172737475767778798081828384858687888990919293949596979899100101102103104105106107108109110111112113114115116117[[#This Row],[Total]]&lt;0,T_T13411121314151617181920212223242526272829303132333536373839404142434445464748495051525354555657585960616263646566676869707172737475767778798081828384858687888990919293949596979899100101102103104105106107108109110111112113114115116117[[#This Row],[Total]]*-1,0)</f>
        <v>0</v>
      </c>
      <c r="J27" s="309"/>
    </row>
    <row r="28" spans="1:10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560</v>
      </c>
      <c r="I28" s="311">
        <f>IF(T_T13411121314151617181920212223242526272829303132333536373839404142434445464748495051525354555657585960616263646566676869707172737475767778798081828384858687888990919293949596979899100101102103104105106107108109110111112113114115116117[[#This Row],[Total]]&lt;0,T_T13411121314151617181920212223242526272829303132333536373839404142434445464748495051525354555657585960616263646566676869707172737475767778798081828384858687888990919293949596979899100101102103104105106107108109110111112113114115116117[[#This Row],[Total]]*-1,0)</f>
        <v>0</v>
      </c>
      <c r="J28" s="311"/>
    </row>
    <row r="29" spans="1:10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560</v>
      </c>
      <c r="I29" s="309">
        <f>IF(T_T13411121314151617181920212223242526272829303132333536373839404142434445464748495051525354555657585960616263646566676869707172737475767778798081828384858687888990919293949596979899100101102103104105106107108109110111112113114115116117[[#This Row],[Total]]&lt;0,T_T13411121314151617181920212223242526272829303132333536373839404142434445464748495051525354555657585960616263646566676869707172737475767778798081828384858687888990919293949596979899100101102103104105106107108109110111112113114115116117[[#This Row],[Total]]*-1,0)</f>
        <v>0</v>
      </c>
      <c r="J29" s="309"/>
    </row>
    <row r="30" spans="1:10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560</v>
      </c>
      <c r="I30" s="309">
        <f>IF(T_T13411121314151617181920212223242526272829303132333536373839404142434445464748495051525354555657585960616263646566676869707172737475767778798081828384858687888990919293949596979899100101102103104105106107108109110111112113114115116117[[#This Row],[Total]]&lt;0,T_T13411121314151617181920212223242526272829303132333536373839404142434445464748495051525354555657585960616263646566676869707172737475767778798081828384858687888990919293949596979899100101102103104105106107108109110111112113114115116117[[#This Row],[Total]]*-1,0)</f>
        <v>0</v>
      </c>
      <c r="J30" s="309"/>
    </row>
    <row r="31" spans="1:10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560</v>
      </c>
      <c r="I31" s="309">
        <f>IF(T_T13411121314151617181920212223242526272829303132333536373839404142434445464748495051525354555657585960616263646566676869707172737475767778798081828384858687888990919293949596979899100101102103104105106107108109110111112113114115116117[[#This Row],[Total]]&lt;0,T_T13411121314151617181920212223242526272829303132333536373839404142434445464748495051525354555657585960616263646566676869707172737475767778798081828384858687888990919293949596979899100101102103104105106107108109110111112113114115116117[[#This Row],[Total]]*-1,0)</f>
        <v>0</v>
      </c>
      <c r="J31" s="309"/>
    </row>
    <row r="32" spans="1:10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560</v>
      </c>
      <c r="I32" s="309">
        <f>IF(T_T13411121314151617181920212223242526272829303132333536373839404142434445464748495051525354555657585960616263646566676869707172737475767778798081828384858687888990919293949596979899100101102103104105106107108109110111112113114115116117[[#This Row],[Total]]&lt;0,T_T13411121314151617181920212223242526272829303132333536373839404142434445464748495051525354555657585960616263646566676869707172737475767778798081828384858687888990919293949596979899100101102103104105106107108109110111112113114115116117[[#This Row],[Total]]*-1,0)</f>
        <v>0</v>
      </c>
      <c r="J32" s="309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560</v>
      </c>
      <c r="I33" s="309">
        <f>IF(T_T13411121314151617181920212223242526272829303132333536373839404142434445464748495051525354555657585960616263646566676869707172737475767778798081828384858687888990919293949596979899100101102103104105106107108109110111112113114115116117[[#This Row],[Total]]&lt;0,T_T13411121314151617181920212223242526272829303132333536373839404142434445464748495051525354555657585960616263646566676869707172737475767778798081828384858687888990919293949596979899100101102103104105106107108109110111112113114115116117[[#This Row],[Total]]*-1,0)</f>
        <v>0</v>
      </c>
      <c r="J33" s="309"/>
    </row>
    <row r="34" spans="1:10" x14ac:dyDescent="0.3">
      <c r="A34" s="9"/>
      <c r="B34" s="3" t="s">
        <v>549</v>
      </c>
      <c r="C34" s="6"/>
      <c r="D34" s="230"/>
      <c r="E34" s="230"/>
      <c r="F34" s="230"/>
      <c r="G34" s="230">
        <f t="shared" si="0"/>
        <v>0</v>
      </c>
      <c r="H34" s="233">
        <f t="shared" si="1"/>
        <v>560</v>
      </c>
      <c r="I34" s="309">
        <f>IF(T_T13411121314151617181920212223242526272829303132333536373839404142434445464748495051525354555657585960616263646566676869707172737475767778798081828384858687888990919293949596979899100101102103104105106107108109110111112113114115116117[[#This Row],[Total]]&lt;0,T_T13411121314151617181920212223242526272829303132333536373839404142434445464748495051525354555657585960616263646566676869707172737475767778798081828384858687888990919293949596979899100101102103104105106107108109110111112113114115116117[[#This Row],[Total]]*-1,0)</f>
        <v>0</v>
      </c>
      <c r="J34" s="309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560</v>
      </c>
      <c r="I35" s="309">
        <f>IF(T_T13411121314151617181920212223242526272829303132333536373839404142434445464748495051525354555657585960616263646566676869707172737475767778798081828384858687888990919293949596979899100101102103104105106107108109110111112113114115116117[[#This Row],[Total]]&lt;0,T_T13411121314151617181920212223242526272829303132333536373839404142434445464748495051525354555657585960616263646566676869707172737475767778798081828384858687888990919293949596979899100101102103104105106107108109110111112113114115116117[[#This Row],[Total]]*-1,0)</f>
        <v>0</v>
      </c>
      <c r="J35" s="309"/>
    </row>
    <row r="36" spans="1:10" x14ac:dyDescent="0.3">
      <c r="A36" s="17"/>
      <c r="B36" s="18" t="s">
        <v>551</v>
      </c>
      <c r="C36" s="6"/>
      <c r="D36" s="230"/>
      <c r="E36" s="230"/>
      <c r="F36" s="230"/>
      <c r="G36" s="230">
        <f t="shared" si="0"/>
        <v>0</v>
      </c>
      <c r="H36" s="233">
        <f t="shared" si="1"/>
        <v>560</v>
      </c>
      <c r="I36" s="311">
        <f>IF(T_T13411121314151617181920212223242526272829303132333536373839404142434445464748495051525354555657585960616263646566676869707172737475767778798081828384858687888990919293949596979899100101102103104105106107108109110111112113114115116117[[#This Row],[Total]]&lt;0,T_T13411121314151617181920212223242526272829303132333536373839404142434445464748495051525354555657585960616263646566676869707172737475767778798081828384858687888990919293949596979899100101102103104105106107108109110111112113114115116117[[#This Row],[Total]]*-1,0)</f>
        <v>0</v>
      </c>
      <c r="J36" s="311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560</v>
      </c>
      <c r="I37" s="353">
        <f>IF(T_T13411121314151617181920212223242526272829303132333536373839404142434445464748495051525354555657585960616263646566676869707172737475767778798081828384858687888990919293949596979899100101102103104105106107108109110111112113114115116117[[#This Row],[Total]]&lt;0,T_T13411121314151617181920212223242526272829303132333536373839404142434445464748495051525354555657585960616263646566676869707172737475767778798081828384858687888990919293949596979899100101102103104105106107108109110111112113114115116117[[#This Row],[Total]]*-1,0)</f>
        <v>0</v>
      </c>
      <c r="J37" s="353"/>
    </row>
    <row r="38" spans="1:10" x14ac:dyDescent="0.3">
      <c r="A38" s="257"/>
      <c r="B38" s="110" t="s">
        <v>553</v>
      </c>
      <c r="C38" s="6"/>
      <c r="D38" s="230"/>
      <c r="E38" s="230"/>
      <c r="F38" s="230"/>
      <c r="G38" s="230">
        <f t="shared" si="0"/>
        <v>0</v>
      </c>
      <c r="H38" s="233">
        <f t="shared" si="1"/>
        <v>560</v>
      </c>
      <c r="I38" s="353">
        <f>IF(T_T13411121314151617181920212223242526272829303132333536373839404142434445464748495051525354555657585960616263646566676869707172737475767778798081828384858687888990919293949596979899100101102103104105106107108109110111112113114115116117[[#This Row],[Total]]&lt;0,T_T13411121314151617181920212223242526272829303132333536373839404142434445464748495051525354555657585960616263646566676869707172737475767778798081828384858687888990919293949596979899100101102103104105106107108109110111112113114115116117[[#This Row],[Total]]*-1,0)</f>
        <v>0</v>
      </c>
      <c r="J38" s="353"/>
    </row>
    <row r="39" spans="1:10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560</v>
      </c>
      <c r="I39" s="353">
        <f>IF(T_T13411121314151617181920212223242526272829303132333536373839404142434445464748495051525354555657585960616263646566676869707172737475767778798081828384858687888990919293949596979899100101102103104105106107108109110111112113114115116117[[#This Row],[Total]]&lt;0,T_T13411121314151617181920212223242526272829303132333536373839404142434445464748495051525354555657585960616263646566676869707172737475767778798081828384858687888990919293949596979899100101102103104105106107108109110111112113114115116117[[#This Row],[Total]]*-1,0)</f>
        <v>0</v>
      </c>
      <c r="J39" s="353"/>
    </row>
    <row r="40" spans="1:10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560</v>
      </c>
      <c r="I40" s="353">
        <f>IF(T_T13411121314151617181920212223242526272829303132333536373839404142434445464748495051525354555657585960616263646566676869707172737475767778798081828384858687888990919293949596979899100101102103104105106107108109110111112113114115116117[[#This Row],[Total]]&lt;0,T_T13411121314151617181920212223242526272829303132333536373839404142434445464748495051525354555657585960616263646566676869707172737475767778798081828384858687888990919293949596979899100101102103104105106107108109110111112113114115116117[[#This Row],[Total]]*-1,0)</f>
        <v>0</v>
      </c>
      <c r="J40" s="353"/>
    </row>
  </sheetData>
  <hyperlinks>
    <hyperlink ref="B7" r:id="rId1" display="jose.orozco@outlook.com"/>
    <hyperlink ref="H7" location="Resumen!A1" display="Rsumen         "/>
  </hyperlinks>
  <pageMargins left="0.47" right="0.70866141732283472" top="0.74803149606299213" bottom="0.74803149606299213" header="0.31496062992125984" footer="0.31496062992125984"/>
  <pageSetup scale="80" orientation="portrait" verticalDpi="360" r:id="rId2"/>
  <drawing r:id="rId3"/>
  <tableParts count="1">
    <tablePart r:id="rId4"/>
  </tablePart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M40"/>
  <sheetViews>
    <sheetView showGridLines="0" showWhiteSpace="0" view="pageLayout" topLeftCell="B1" zoomScaleNormal="98" workbookViewId="0">
      <selection activeCell="D24" sqref="D24"/>
    </sheetView>
  </sheetViews>
  <sheetFormatPr baseColWidth="10" defaultColWidth="9.109375" defaultRowHeight="14.4" x14ac:dyDescent="0.3"/>
  <cols>
    <col min="1" max="1" width="12.6640625" customWidth="1"/>
    <col min="2" max="2" width="33.44140625" customWidth="1"/>
    <col min="3" max="3" width="11.33203125" style="4" customWidth="1"/>
    <col min="4" max="4" width="12.5546875" style="1" customWidth="1"/>
    <col min="5" max="5" width="10.6640625" style="1" customWidth="1"/>
    <col min="6" max="6" width="7.88671875" style="1" customWidth="1"/>
    <col min="7" max="7" width="10.6640625" style="1" customWidth="1"/>
    <col min="8" max="8" width="12.44140625" style="1" customWidth="1"/>
    <col min="9" max="9" width="12.88671875" hidden="1" customWidth="1"/>
    <col min="10" max="10" width="5.109375" customWidth="1"/>
    <col min="11" max="11" width="0.6640625" customWidth="1"/>
    <col min="12" max="12" width="14.88671875" customWidth="1"/>
  </cols>
  <sheetData>
    <row r="2" spans="1:11" ht="15.6" x14ac:dyDescent="0.3">
      <c r="A2" s="27" t="s">
        <v>36</v>
      </c>
      <c r="B2" s="41" t="s">
        <v>166</v>
      </c>
    </row>
    <row r="3" spans="1:11" ht="15.75" customHeight="1" x14ac:dyDescent="0.3">
      <c r="A3" s="27" t="s">
        <v>31</v>
      </c>
      <c r="B3" s="28" t="s">
        <v>51</v>
      </c>
      <c r="C3" s="442"/>
    </row>
    <row r="4" spans="1:11" ht="9.75" hidden="1" customHeight="1" x14ac:dyDescent="0.3">
      <c r="A4" s="27" t="s">
        <v>32</v>
      </c>
      <c r="B4" s="28" t="e">
        <f>LOOKUP(B2,#REF!,#REF!)</f>
        <v>#REF!</v>
      </c>
      <c r="C4" s="442"/>
    </row>
    <row r="5" spans="1:11" ht="9" hidden="1" customHeight="1" x14ac:dyDescent="0.3">
      <c r="A5" s="27" t="s">
        <v>33</v>
      </c>
      <c r="B5" s="28" t="e">
        <f>LOOKUP(B2,#REF!,#REF!)</f>
        <v>#REF!</v>
      </c>
    </row>
    <row r="6" spans="1:11" ht="15" hidden="1" customHeight="1" x14ac:dyDescent="0.3">
      <c r="A6" s="27" t="s">
        <v>34</v>
      </c>
      <c r="B6" s="28" t="e">
        <f>LOOKUP(B2,#REF!,#REF!)</f>
        <v>#REF!</v>
      </c>
      <c r="G6" s="25"/>
      <c r="H6" s="25"/>
    </row>
    <row r="7" spans="1:11" ht="10.5" hidden="1" customHeight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1" x14ac:dyDescent="0.3">
      <c r="A8" s="21"/>
      <c r="B8" s="21"/>
    </row>
    <row r="9" spans="1:11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173" t="s">
        <v>388</v>
      </c>
      <c r="K9" s="374" t="s">
        <v>433</v>
      </c>
    </row>
    <row r="10" spans="1:11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IF(T_T13411121314151617181920212223242526272829303132333536373839404142434445464748495051525354555657585960616263646566676869707172737475767778798081828384858687888990919293949596979899100101102103104105106107108109110111112113114115116117118[[#This Row],[Total]]&lt;0,T_T13411121314151617181920212223242526272829303132333536373839404142434445464748495051525354555657585960616263646566676869707172737475767778798081828384858687888990919293949596979899100101102103104105106107108109110111112113114115116117118[[#This Row],[Total]]*-1,0)</f>
        <v>0</v>
      </c>
      <c r="J10" s="172"/>
      <c r="K10" s="375"/>
    </row>
    <row r="11" spans="1:11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IF(T_T13411121314151617181920212223242526272829303132333536373839404142434445464748495051525354555657585960616263646566676869707172737475767778798081828384858687888990919293949596979899100101102103104105106107108109110111112113114115116117118[[#This Row],[Total]]&lt;0,T_T13411121314151617181920212223242526272829303132333536373839404142434445464748495051525354555657585960616263646566676869707172737475767778798081828384858687888990919293949596979899100101102103104105106107108109110111112113114115116117118[[#This Row],[Total]]*-1,0)</f>
        <v>0</v>
      </c>
      <c r="J11" s="232"/>
      <c r="K11" s="354"/>
    </row>
    <row r="12" spans="1:11" x14ac:dyDescent="0.3">
      <c r="A12" s="117"/>
      <c r="B12" s="118" t="s">
        <v>467</v>
      </c>
      <c r="C12" s="284"/>
      <c r="D12" s="285"/>
      <c r="E12" s="285"/>
      <c r="F12" s="285"/>
      <c r="G12" s="285"/>
      <c r="H12" s="10">
        <v>0</v>
      </c>
      <c r="I12" s="51">
        <f>IF(T_T13411121314151617181920212223242526272829303132333536373839404142434445464748495051525354555657585960616263646566676869707172737475767778798081828384858687888990919293949596979899100101102103104105106107108109110111112113114115116117118[[#This Row],[Total]]&lt;0,T_T13411121314151617181920212223242526272829303132333536373839404142434445464748495051525354555657585960616263646566676869707172737475767778798081828384858687888990919293949596979899100101102103104105106107108109110111112113114115116117118[[#This Row],[Total]]*-1,0)</f>
        <v>0</v>
      </c>
      <c r="J12" s="79"/>
      <c r="K12" s="79"/>
    </row>
    <row r="13" spans="1:11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IF(T_T13411121314151617181920212223242526272829303132333536373839404142434445464748495051525354555657585960616263646566676869707172737475767778798081828384858687888990919293949596979899100101102103104105106107108109110111112113114115116117118[[#This Row],[Total]]&lt;0,T_T13411121314151617181920212223242526272829303132333536373839404142434445464748495051525354555657585960616263646566676869707172737475767778798081828384858687888990919293949596979899100101102103104105106107108109110111112113114115116117118[[#This Row],[Total]]*-1,0)</f>
        <v>0</v>
      </c>
      <c r="J13" s="232"/>
      <c r="K13" s="354"/>
    </row>
    <row r="14" spans="1:11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IF(T_T13411121314151617181920212223242526272829303132333536373839404142434445464748495051525354555657585960616263646566676869707172737475767778798081828384858687888990919293949596979899100101102103104105106107108109110111112113114115116117118[[#This Row],[Total]]&lt;0,T_T13411121314151617181920212223242526272829303132333536373839404142434445464748495051525354555657585960616263646566676869707172737475767778798081828384858687888990919293949596979899100101102103104105106107108109110111112113114115116117118[[#This Row],[Total]]*-1,0)</f>
        <v>0</v>
      </c>
      <c r="J14" s="485"/>
      <c r="K14" s="485"/>
    </row>
    <row r="15" spans="1:11" x14ac:dyDescent="0.3">
      <c r="A15" s="17">
        <v>45687</v>
      </c>
      <c r="B15" s="18" t="s">
        <v>530</v>
      </c>
      <c r="C15" s="6"/>
      <c r="D15" s="2">
        <v>88</v>
      </c>
      <c r="E15" s="2">
        <v>4</v>
      </c>
      <c r="F15" s="20"/>
      <c r="G15" s="20">
        <f>SUM(D15:F15)</f>
        <v>92</v>
      </c>
      <c r="H15" s="233">
        <f>+H13+T_T13411121314151617181920212223242526272829303132333536373839404142434445464748495051525354555657585960616263646566676869707172737475767778798081828384858687888990919293949596979899100101102103104105106107108109110111112113114115116117118[[#This Row],[Total]]</f>
        <v>92</v>
      </c>
      <c r="I15" s="240">
        <f>IF(T_T13411121314151617181920212223242526272829303132333536373839404142434445464748495051525354555657585960616263646566676869707172737475767778798081828384858687888990919293949596979899100101102103104105106107108109110111112113114115116117118[[#This Row],[Total]]&lt;0,T_T13411121314151617181920212223242526272829303132333536373839404142434445464748495051525354555657585960616263646566676869707172737475767778798081828384858687888990919293949596979899100101102103104105106107108109110111112113114115116117118[[#This Row],[Total]]*-1,0)</f>
        <v>0</v>
      </c>
      <c r="J15" s="232"/>
      <c r="K15" s="354"/>
    </row>
    <row r="16" spans="1:11" x14ac:dyDescent="0.3">
      <c r="A16" s="17"/>
      <c r="B16" s="18" t="s">
        <v>531</v>
      </c>
      <c r="C16" s="6">
        <v>8591</v>
      </c>
      <c r="D16" s="2">
        <v>-88</v>
      </c>
      <c r="E16" s="2">
        <v>-4</v>
      </c>
      <c r="F16" s="230"/>
      <c r="G16" s="230">
        <f t="shared" ref="G16:G38" si="0">SUM(D16:F16)</f>
        <v>-92</v>
      </c>
      <c r="H16" s="233">
        <f t="shared" ref="H16:H40" si="1">H15+G16</f>
        <v>0</v>
      </c>
      <c r="I16" s="239">
        <f>IF(T_T13411121314151617181920212223242526272829303132333536373839404142434445464748495051525354555657585960616263646566676869707172737475767778798081828384858687888990919293949596979899100101102103104105106107108109110111112113114115116117118[[#This Row],[Total]]&lt;0,T_T13411121314151617181920212223242526272829303132333536373839404142434445464748495051525354555657585960616263646566676869707172737475767778798081828384858687888990919293949596979899100101102103104105106107108109110111112113114115116117118[[#This Row],[Total]]*-1,0)</f>
        <v>92</v>
      </c>
      <c r="J16" s="232"/>
      <c r="K16" s="354"/>
    </row>
    <row r="17" spans="1:13" x14ac:dyDescent="0.3">
      <c r="A17" s="164">
        <v>45715</v>
      </c>
      <c r="B17" s="161" t="s">
        <v>532</v>
      </c>
      <c r="C17" s="6"/>
      <c r="D17" s="2">
        <v>88</v>
      </c>
      <c r="E17" s="2">
        <v>23</v>
      </c>
      <c r="F17" s="230"/>
      <c r="G17" s="230">
        <f t="shared" si="0"/>
        <v>111</v>
      </c>
      <c r="H17" s="233">
        <f t="shared" si="1"/>
        <v>111</v>
      </c>
      <c r="I17" s="240">
        <f>IF(T_T13411121314151617181920212223242526272829303132333536373839404142434445464748495051525354555657585960616263646566676869707172737475767778798081828384858687888990919293949596979899100101102103104105106107108109110111112113114115116117118[[#This Row],[Total]]&lt;0,T_T13411121314151617181920212223242526272829303132333536373839404142434445464748495051525354555657585960616263646566676869707172737475767778798081828384858687888990919293949596979899100101102103104105106107108109110111112113114115116117118[[#This Row],[Total]]*-1,0)</f>
        <v>0</v>
      </c>
      <c r="J17" s="232"/>
      <c r="K17" s="354"/>
    </row>
    <row r="18" spans="1:13" x14ac:dyDescent="0.3">
      <c r="A18" s="187"/>
      <c r="B18" s="18" t="s">
        <v>533</v>
      </c>
      <c r="C18" s="6">
        <v>8769</v>
      </c>
      <c r="D18" s="2">
        <v>-88</v>
      </c>
      <c r="E18" s="2">
        <v>-23</v>
      </c>
      <c r="F18" s="230"/>
      <c r="G18" s="230">
        <f t="shared" si="0"/>
        <v>-111</v>
      </c>
      <c r="H18" s="233">
        <f t="shared" si="1"/>
        <v>0</v>
      </c>
      <c r="I18" s="240">
        <f>IF(T_T13411121314151617181920212223242526272829303132333536373839404142434445464748495051525354555657585960616263646566676869707172737475767778798081828384858687888990919293949596979899100101102103104105106107108109110111112113114115116117118[[#This Row],[Total]]&lt;0,T_T13411121314151617181920212223242526272829303132333536373839404142434445464748495051525354555657585960616263646566676869707172737475767778798081828384858687888990919293949596979899100101102103104105106107108109110111112113114115116117118[[#This Row],[Total]]*-1,0)</f>
        <v>111</v>
      </c>
      <c r="J18" s="232"/>
      <c r="K18" s="354"/>
    </row>
    <row r="19" spans="1:13" x14ac:dyDescent="0.3">
      <c r="A19" s="188">
        <v>45747</v>
      </c>
      <c r="B19" s="3" t="s">
        <v>534</v>
      </c>
      <c r="C19" s="6"/>
      <c r="D19" s="2">
        <v>101</v>
      </c>
      <c r="E19" s="2">
        <v>17</v>
      </c>
      <c r="F19" s="230"/>
      <c r="G19" s="230">
        <f t="shared" si="0"/>
        <v>118</v>
      </c>
      <c r="H19" s="233">
        <f t="shared" si="1"/>
        <v>118</v>
      </c>
      <c r="I19" s="240">
        <f>IF(T_T13411121314151617181920212223242526272829303132333536373839404142434445464748495051525354555657585960616263646566676869707172737475767778798081828384858687888990919293949596979899100101102103104105106107108109110111112113114115116117118[[#This Row],[Total]]&lt;0,T_T13411121314151617181920212223242526272829303132333536373839404142434445464748495051525354555657585960616263646566676869707172737475767778798081828384858687888990919293949596979899100101102103104105106107108109110111112113114115116117118[[#This Row],[Total]]*-1,0)</f>
        <v>0</v>
      </c>
      <c r="J19" s="232"/>
      <c r="K19" s="354"/>
    </row>
    <row r="20" spans="1:13" x14ac:dyDescent="0.3">
      <c r="A20" s="188"/>
      <c r="B20" s="82" t="s">
        <v>535</v>
      </c>
      <c r="C20" s="6">
        <v>8770</v>
      </c>
      <c r="D20" s="2">
        <v>-101</v>
      </c>
      <c r="E20" s="2">
        <v>-17</v>
      </c>
      <c r="F20" s="230"/>
      <c r="G20" s="230">
        <f t="shared" si="0"/>
        <v>-118</v>
      </c>
      <c r="H20" s="233">
        <f t="shared" si="1"/>
        <v>0</v>
      </c>
      <c r="I20" s="239">
        <f>IF(T_T13411121314151617181920212223242526272829303132333536373839404142434445464748495051525354555657585960616263646566676869707172737475767778798081828384858687888990919293949596979899100101102103104105106107108109110111112113114115116117118[[#This Row],[Total]]&lt;0,T_T13411121314151617181920212223242526272829303132333536373839404142434445464748495051525354555657585960616263646566676869707172737475767778798081828384858687888990919293949596979899100101102103104105106107108109110111112113114115116117118[[#This Row],[Total]]*-1,0)</f>
        <v>118</v>
      </c>
      <c r="J20" s="232"/>
      <c r="K20" s="354"/>
    </row>
    <row r="21" spans="1:13" x14ac:dyDescent="0.3">
      <c r="A21" s="188">
        <v>45777</v>
      </c>
      <c r="B21" s="3" t="s">
        <v>536</v>
      </c>
      <c r="C21" s="6"/>
      <c r="D21" s="2">
        <v>101</v>
      </c>
      <c r="E21" s="2">
        <v>17</v>
      </c>
      <c r="F21" s="230"/>
      <c r="G21" s="230">
        <f t="shared" si="0"/>
        <v>118</v>
      </c>
      <c r="H21" s="233">
        <f t="shared" si="1"/>
        <v>118</v>
      </c>
      <c r="I21" s="309">
        <f>IF(T_T13411121314151617181920212223242526272829303132333536373839404142434445464748495051525354555657585960616263646566676869707172737475767778798081828384858687888990919293949596979899100101102103104105106107108109110111112113114115116117118[[#This Row],[Total]]&lt;0,T_T13411121314151617181920212223242526272829303132333536373839404142434445464748495051525354555657585960616263646566676869707172737475767778798081828384858687888990919293949596979899100101102103104105106107108109110111112113114115116117118[[#This Row],[Total]]*-1,0)</f>
        <v>0</v>
      </c>
      <c r="J21" s="313"/>
      <c r="K21" s="354"/>
    </row>
    <row r="22" spans="1:13" x14ac:dyDescent="0.3">
      <c r="A22" s="83"/>
      <c r="B22" s="82" t="s">
        <v>537</v>
      </c>
      <c r="C22" s="6">
        <v>8872</v>
      </c>
      <c r="D22" s="2">
        <v>-101</v>
      </c>
      <c r="E22" s="2">
        <v>-17</v>
      </c>
      <c r="F22" s="230"/>
      <c r="G22" s="230">
        <f t="shared" si="0"/>
        <v>-118</v>
      </c>
      <c r="H22" s="233">
        <f t="shared" si="1"/>
        <v>0</v>
      </c>
      <c r="I22" s="309">
        <f>IF(T_T13411121314151617181920212223242526272829303132333536373839404142434445464748495051525354555657585960616263646566676869707172737475767778798081828384858687888990919293949596979899100101102103104105106107108109110111112113114115116117118[[#This Row],[Total]]&lt;0,T_T13411121314151617181920212223242526272829303132333536373839404142434445464748495051525354555657585960616263646566676869707172737475767778798081828384858687888990919293949596979899100101102103104105106107108109110111112113114115116117118[[#This Row],[Total]]*-1,0)</f>
        <v>118</v>
      </c>
      <c r="J22" s="313"/>
      <c r="K22" s="354"/>
    </row>
    <row r="23" spans="1:13" x14ac:dyDescent="0.3">
      <c r="A23" s="40">
        <v>45807</v>
      </c>
      <c r="B23" s="3" t="s">
        <v>538</v>
      </c>
      <c r="C23" s="229"/>
      <c r="D23" s="230">
        <v>101</v>
      </c>
      <c r="E23" s="230">
        <v>21</v>
      </c>
      <c r="F23" s="230"/>
      <c r="G23" s="230">
        <f t="shared" si="0"/>
        <v>122</v>
      </c>
      <c r="H23" s="233">
        <f t="shared" si="1"/>
        <v>122</v>
      </c>
      <c r="I23" s="309">
        <f>IF(T_T13411121314151617181920212223242526272829303132333536373839404142434445464748495051525354555657585960616263646566676869707172737475767778798081828384858687888990919293949596979899100101102103104105106107108109110111112113114115116117118[[#This Row],[Total]]&lt;0,T_T13411121314151617181920212223242526272829303132333536373839404142434445464748495051525354555657585960616263646566676869707172737475767778798081828384858687888990919293949596979899100101102103104105106107108109110111112113114115116117118[[#This Row],[Total]]*-1,0)</f>
        <v>0</v>
      </c>
      <c r="J23" s="313"/>
      <c r="K23" s="354"/>
    </row>
    <row r="24" spans="1:13" x14ac:dyDescent="0.3">
      <c r="A24" s="9"/>
      <c r="B24" s="18" t="s">
        <v>539</v>
      </c>
      <c r="C24" s="6">
        <v>8972</v>
      </c>
      <c r="D24" s="230">
        <v>8972</v>
      </c>
      <c r="E24" s="230"/>
      <c r="F24" s="230"/>
      <c r="G24" s="230">
        <f t="shared" si="0"/>
        <v>8972</v>
      </c>
      <c r="H24" s="233">
        <f t="shared" si="1"/>
        <v>9094</v>
      </c>
      <c r="I24" s="311">
        <f>IF(T_T13411121314151617181920212223242526272829303132333536373839404142434445464748495051525354555657585960616263646566676869707172737475767778798081828384858687888990919293949596979899100101102103104105106107108109110111112113114115116117118[[#This Row],[Total]]&lt;0,T_T13411121314151617181920212223242526272829303132333536373839404142434445464748495051525354555657585960616263646566676869707172737475767778798081828384858687888990919293949596979899100101102103104105106107108109110111112113114115116117118[[#This Row],[Total]]*-1,0)</f>
        <v>0</v>
      </c>
      <c r="J24" s="313"/>
      <c r="K24" s="354"/>
    </row>
    <row r="25" spans="1:13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9094</v>
      </c>
      <c r="I25" s="309">
        <f>IF(T_T13411121314151617181920212223242526272829303132333536373839404142434445464748495051525354555657585960616263646566676869707172737475767778798081828384858687888990919293949596979899100101102103104105106107108109110111112113114115116117118[[#This Row],[Total]]&lt;0,T_T13411121314151617181920212223242526272829303132333536373839404142434445464748495051525354555657585960616263646566676869707172737475767778798081828384858687888990919293949596979899100101102103104105106107108109110111112113114115116117118[[#This Row],[Total]]*-1,0)</f>
        <v>0</v>
      </c>
      <c r="J25" s="313"/>
      <c r="K25" s="354"/>
    </row>
    <row r="26" spans="1:13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9094</v>
      </c>
      <c r="I26" s="309">
        <f>IF(T_T13411121314151617181920212223242526272829303132333536373839404142434445464748495051525354555657585960616263646566676869707172737475767778798081828384858687888990919293949596979899100101102103104105106107108109110111112113114115116117118[[#This Row],[Total]]&lt;0,T_T13411121314151617181920212223242526272829303132333536373839404142434445464748495051525354555657585960616263646566676869707172737475767778798081828384858687888990919293949596979899100101102103104105106107108109110111112113114115116117118[[#This Row],[Total]]*-1,0)</f>
        <v>0</v>
      </c>
      <c r="J26" s="313"/>
      <c r="K26" s="354"/>
      <c r="M26" t="s">
        <v>574</v>
      </c>
    </row>
    <row r="27" spans="1:13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9094</v>
      </c>
      <c r="I27" s="309">
        <f>IF(T_T13411121314151617181920212223242526272829303132333536373839404142434445464748495051525354555657585960616263646566676869707172737475767778798081828384858687888990919293949596979899100101102103104105106107108109110111112113114115116117118[[#This Row],[Total]]&lt;0,T_T13411121314151617181920212223242526272829303132333536373839404142434445464748495051525354555657585960616263646566676869707172737475767778798081828384858687888990919293949596979899100101102103104105106107108109110111112113114115116117118[[#This Row],[Total]]*-1,0)</f>
        <v>0</v>
      </c>
      <c r="J27" s="313"/>
      <c r="K27" s="354"/>
    </row>
    <row r="28" spans="1:13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9094</v>
      </c>
      <c r="I28" s="311">
        <f>IF(T_T13411121314151617181920212223242526272829303132333536373839404142434445464748495051525354555657585960616263646566676869707172737475767778798081828384858687888990919293949596979899100101102103104105106107108109110111112113114115116117118[[#This Row],[Total]]&lt;0,T_T13411121314151617181920212223242526272829303132333536373839404142434445464748495051525354555657585960616263646566676869707172737475767778798081828384858687888990919293949596979899100101102103104105106107108109110111112113114115116117118[[#This Row],[Total]]*-1,0)</f>
        <v>0</v>
      </c>
      <c r="J28" s="313"/>
      <c r="K28" s="354"/>
    </row>
    <row r="29" spans="1:13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9094</v>
      </c>
      <c r="I29" s="309">
        <f>IF(T_T13411121314151617181920212223242526272829303132333536373839404142434445464748495051525354555657585960616263646566676869707172737475767778798081828384858687888990919293949596979899100101102103104105106107108109110111112113114115116117118[[#This Row],[Total]]&lt;0,T_T13411121314151617181920212223242526272829303132333536373839404142434445464748495051525354555657585960616263646566676869707172737475767778798081828384858687888990919293949596979899100101102103104105106107108109110111112113114115116117118[[#This Row],[Total]]*-1,0)</f>
        <v>0</v>
      </c>
      <c r="J29" s="313"/>
      <c r="K29" s="354"/>
    </row>
    <row r="30" spans="1:13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9094</v>
      </c>
      <c r="I30" s="309">
        <f>IF(T_T13411121314151617181920212223242526272829303132333536373839404142434445464748495051525354555657585960616263646566676869707172737475767778798081828384858687888990919293949596979899100101102103104105106107108109110111112113114115116117118[[#This Row],[Total]]&lt;0,T_T13411121314151617181920212223242526272829303132333536373839404142434445464748495051525354555657585960616263646566676869707172737475767778798081828384858687888990919293949596979899100101102103104105106107108109110111112113114115116117118[[#This Row],[Total]]*-1,0)</f>
        <v>0</v>
      </c>
      <c r="J30" s="313"/>
      <c r="K30" s="354"/>
    </row>
    <row r="31" spans="1:13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9094</v>
      </c>
      <c r="I31" s="309">
        <f>IF(T_T13411121314151617181920212223242526272829303132333536373839404142434445464748495051525354555657585960616263646566676869707172737475767778798081828384858687888990919293949596979899100101102103104105106107108109110111112113114115116117118[[#This Row],[Total]]&lt;0,T_T13411121314151617181920212223242526272829303132333536373839404142434445464748495051525354555657585960616263646566676869707172737475767778798081828384858687888990919293949596979899100101102103104105106107108109110111112113114115116117118[[#This Row],[Total]]*-1,0)</f>
        <v>0</v>
      </c>
      <c r="J31" s="313"/>
      <c r="K31" s="354"/>
    </row>
    <row r="32" spans="1:13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9094</v>
      </c>
      <c r="I32" s="309">
        <f>IF(T_T13411121314151617181920212223242526272829303132333536373839404142434445464748495051525354555657585960616263646566676869707172737475767778798081828384858687888990919293949596979899100101102103104105106107108109110111112113114115116117118[[#This Row],[Total]]&lt;0,T_T13411121314151617181920212223242526272829303132333536373839404142434445464748495051525354555657585960616263646566676869707172737475767778798081828384858687888990919293949596979899100101102103104105106107108109110111112113114115116117118[[#This Row],[Total]]*-1,0)</f>
        <v>0</v>
      </c>
      <c r="J32" s="313"/>
      <c r="K32" s="354"/>
    </row>
    <row r="33" spans="1:11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9094</v>
      </c>
      <c r="I33" s="309">
        <f>IF(T_T13411121314151617181920212223242526272829303132333536373839404142434445464748495051525354555657585960616263646566676869707172737475767778798081828384858687888990919293949596979899100101102103104105106107108109110111112113114115116117118[[#This Row],[Total]]&lt;0,T_T13411121314151617181920212223242526272829303132333536373839404142434445464748495051525354555657585960616263646566676869707172737475767778798081828384858687888990919293949596979899100101102103104105106107108109110111112113114115116117118[[#This Row],[Total]]*-1,0)</f>
        <v>0</v>
      </c>
      <c r="J33" s="313"/>
      <c r="K33" s="354"/>
    </row>
    <row r="34" spans="1:11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9094</v>
      </c>
      <c r="I34" s="309">
        <f>IF(T_T13411121314151617181920212223242526272829303132333536373839404142434445464748495051525354555657585960616263646566676869707172737475767778798081828384858687888990919293949596979899100101102103104105106107108109110111112113114115116117118[[#This Row],[Total]]&lt;0,T_T13411121314151617181920212223242526272829303132333536373839404142434445464748495051525354555657585960616263646566676869707172737475767778798081828384858687888990919293949596979899100101102103104105106107108109110111112113114115116117118[[#This Row],[Total]]*-1,0)</f>
        <v>0</v>
      </c>
      <c r="J34" s="313"/>
      <c r="K34" s="354"/>
    </row>
    <row r="35" spans="1:11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9094</v>
      </c>
      <c r="I35" s="309">
        <f>IF(T_T13411121314151617181920212223242526272829303132333536373839404142434445464748495051525354555657585960616263646566676869707172737475767778798081828384858687888990919293949596979899100101102103104105106107108109110111112113114115116117118[[#This Row],[Total]]&lt;0,T_T13411121314151617181920212223242526272829303132333536373839404142434445464748495051525354555657585960616263646566676869707172737475767778798081828384858687888990919293949596979899100101102103104105106107108109110111112113114115116117118[[#This Row],[Total]]*-1,0)</f>
        <v>0</v>
      </c>
      <c r="J35" s="313"/>
      <c r="K35" s="354"/>
    </row>
    <row r="36" spans="1:11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9094</v>
      </c>
      <c r="I36" s="311">
        <f>IF(T_T13411121314151617181920212223242526272829303132333536373839404142434445464748495051525354555657585960616263646566676869707172737475767778798081828384858687888990919293949596979899100101102103104105106107108109110111112113114115116117118[[#This Row],[Total]]&lt;0,T_T13411121314151617181920212223242526272829303132333536373839404142434445464748495051525354555657585960616263646566676869707172737475767778798081828384858687888990919293949596979899100101102103104105106107108109110111112113114115116117118[[#This Row],[Total]]*-1,0)</f>
        <v>0</v>
      </c>
      <c r="J36" s="313"/>
      <c r="K36" s="354"/>
    </row>
    <row r="37" spans="1:11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9094</v>
      </c>
      <c r="I37" s="353">
        <f>IF(T_T13411121314151617181920212223242526272829303132333536373839404142434445464748495051525354555657585960616263646566676869707172737475767778798081828384858687888990919293949596979899100101102103104105106107108109110111112113114115116117118[[#This Row],[Total]]&lt;0,T_T13411121314151617181920212223242526272829303132333536373839404142434445464748495051525354555657585960616263646566676869707172737475767778798081828384858687888990919293949596979899100101102103104105106107108109110111112113114115116117118[[#This Row],[Total]]*-1,0)</f>
        <v>0</v>
      </c>
      <c r="J37" s="354"/>
      <c r="K37" s="354"/>
    </row>
    <row r="38" spans="1:11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9094</v>
      </c>
      <c r="I38" s="353">
        <f>IF(T_T13411121314151617181920212223242526272829303132333536373839404142434445464748495051525354555657585960616263646566676869707172737475767778798081828384858687888990919293949596979899100101102103104105106107108109110111112113114115116117118[[#This Row],[Total]]&lt;0,T_T13411121314151617181920212223242526272829303132333536373839404142434445464748495051525354555657585960616263646566676869707172737475767778798081828384858687888990919293949596979899100101102103104105106107108109110111112113114115116117118[[#This Row],[Total]]*-1,0)</f>
        <v>0</v>
      </c>
      <c r="J38" s="354"/>
      <c r="K38" s="354"/>
    </row>
    <row r="39" spans="1:11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9094</v>
      </c>
      <c r="I39" s="353">
        <f>IF(T_T13411121314151617181920212223242526272829303132333536373839404142434445464748495051525354555657585960616263646566676869707172737475767778798081828384858687888990919293949596979899100101102103104105106107108109110111112113114115116117118[[#This Row],[Total]]&lt;0,T_T13411121314151617181920212223242526272829303132333536373839404142434445464748495051525354555657585960616263646566676869707172737475767778798081828384858687888990919293949596979899100101102103104105106107108109110111112113114115116117118[[#This Row],[Total]]*-1,0)</f>
        <v>0</v>
      </c>
      <c r="J39" s="354"/>
      <c r="K39" s="354"/>
    </row>
    <row r="40" spans="1:11" x14ac:dyDescent="0.3">
      <c r="A40" s="107"/>
      <c r="B40" s="82"/>
      <c r="C40" s="6"/>
      <c r="D40" s="230"/>
      <c r="E40" s="230"/>
      <c r="F40" s="230"/>
      <c r="G40" s="230">
        <f>SUM(D40:F47)</f>
        <v>0</v>
      </c>
      <c r="H40" s="233">
        <f t="shared" si="1"/>
        <v>9094</v>
      </c>
      <c r="I40" s="353">
        <f>IF(T_T13411121314151617181920212223242526272829303132333536373839404142434445464748495051525354555657585960616263646566676869707172737475767778798081828384858687888990919293949596979899100101102103104105106107108109110111112113114115116117118[[#This Row],[Total]]&lt;0,T_T13411121314151617181920212223242526272829303132333536373839404142434445464748495051525354555657585960616263646566676869707172737475767778798081828384858687888990919293949596979899100101102103104105106107108109110111112113114115116117118[[#This Row],[Total]]*-1,0)</f>
        <v>0</v>
      </c>
      <c r="J40" s="354"/>
      <c r="K40" s="354"/>
    </row>
  </sheetData>
  <hyperlinks>
    <hyperlink ref="B7" r:id="rId1" display="jose.orozco@outlook.com"/>
    <hyperlink ref="H7" location="Resumen!A1" display="Rsumen         "/>
  </hyperlinks>
  <pageMargins left="0" right="0.70866141732283472" top="0" bottom="0.74803149606299213" header="0.31496062992125984" footer="0.31496062992125984"/>
  <pageSetup scale="70" orientation="portrait" verticalDpi="360" r:id="rId2"/>
  <drawing r:id="rId3"/>
  <tableParts count="1">
    <tablePart r:id="rId4"/>
  </tablePart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O43"/>
  <sheetViews>
    <sheetView showGridLines="0" topLeftCell="A14" zoomScale="98" zoomScaleNormal="98" workbookViewId="0">
      <selection activeCell="D24" sqref="D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20.44140625" style="4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5" max="15" width="10.6640625" bestFit="1" customWidth="1"/>
    <col min="16" max="16" width="15.44140625" customWidth="1"/>
  </cols>
  <sheetData>
    <row r="2" spans="1:15" ht="15.6" x14ac:dyDescent="0.3">
      <c r="A2" s="27" t="s">
        <v>36</v>
      </c>
      <c r="B2" s="41" t="s">
        <v>167</v>
      </c>
    </row>
    <row r="3" spans="1:15" ht="0.75" customHeight="1" x14ac:dyDescent="0.3">
      <c r="A3" s="27" t="s">
        <v>31</v>
      </c>
      <c r="B3" s="28" t="e">
        <f>LOOKUP(B2,#REF!,#REF!)</f>
        <v>#REF!</v>
      </c>
    </row>
    <row r="4" spans="1:15" hidden="1" x14ac:dyDescent="0.3">
      <c r="A4" s="27" t="s">
        <v>32</v>
      </c>
      <c r="B4" s="28" t="e">
        <f>LOOKUP(B2,#REF!,#REF!)</f>
        <v>#REF!</v>
      </c>
    </row>
    <row r="5" spans="1:15" hidden="1" x14ac:dyDescent="0.3">
      <c r="A5" s="27" t="s">
        <v>33</v>
      </c>
      <c r="B5" s="28" t="e">
        <f>LOOKUP(B2,#REF!,#REF!)</f>
        <v>#REF!</v>
      </c>
    </row>
    <row r="6" spans="1:15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5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5" x14ac:dyDescent="0.3">
      <c r="A8" s="21"/>
      <c r="B8" s="21" t="s">
        <v>223</v>
      </c>
    </row>
    <row r="9" spans="1:15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69" t="s">
        <v>188</v>
      </c>
      <c r="K9" s="75" t="s">
        <v>191</v>
      </c>
    </row>
    <row r="10" spans="1:15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/>
      <c r="J10" s="68"/>
      <c r="K10" s="79"/>
      <c r="O10" s="178"/>
    </row>
    <row r="11" spans="1:15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IF(T_T13411121314151617181920212223242526272829303132333536373839404142434445464748495051525354555657585960616263646566676869707172737475767778798081828384858687888990919293949596979899100101102103104105106107108109110111112113114115116117118119[[#This Row],[Total]]&lt;0,T_T13411121314151617181920212223242526272829303132333536373839404142434445464748495051525354555657585960616263646566676869707172737475767778798081828384858687888990919293949596979899100101102103104105106107108109110111112113114115116117118119[[#This Row],[Total]]*-1,0)</f>
        <v>0</v>
      </c>
      <c r="J11" s="240"/>
      <c r="K11" s="232"/>
    </row>
    <row r="12" spans="1:15" x14ac:dyDescent="0.3">
      <c r="A12" s="117"/>
      <c r="B12" s="118" t="s">
        <v>467</v>
      </c>
      <c r="C12" s="284"/>
      <c r="D12" s="285"/>
      <c r="E12" s="285"/>
      <c r="F12" s="285"/>
      <c r="G12" s="285"/>
      <c r="H12" s="10">
        <v>0</v>
      </c>
      <c r="I12" s="51">
        <f>IF(T_T13411121314151617181920212223242526272829303132333536373839404142434445464748495051525354555657585960616263646566676869707172737475767778798081828384858687888990919293949596979899100101102103104105106107108109110111112113114115116117118119[[#This Row],[Total]]&lt;0,T_T13411121314151617181920212223242526272829303132333536373839404142434445464748495051525354555657585960616263646566676869707172737475767778798081828384858687888990919293949596979899100101102103104105106107108109110111112113114115116117118119[[#This Row],[Total]]*-1,0)</f>
        <v>0</v>
      </c>
      <c r="J12" s="51"/>
      <c r="K12" s="79"/>
    </row>
    <row r="13" spans="1:15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IF(T_T13411121314151617181920212223242526272829303132333536373839404142434445464748495051525354555657585960616263646566676869707172737475767778798081828384858687888990919293949596979899100101102103104105106107108109110111112113114115116117118119[[#This Row],[Total]]&lt;0,T_T13411121314151617181920212223242526272829303132333536373839404142434445464748495051525354555657585960616263646566676869707172737475767778798081828384858687888990919293949596979899100101102103104105106107108109110111112113114115116117118119[[#This Row],[Total]]*-1,0)</f>
        <v>0</v>
      </c>
      <c r="J13" s="240"/>
      <c r="K13" s="232"/>
    </row>
    <row r="14" spans="1:15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IF(T_T13411121314151617181920212223242526272829303132333536373839404142434445464748495051525354555657585960616263646566676869707172737475767778798081828384858687888990919293949596979899100101102103104105106107108109110111112113114115116117118119[[#This Row],[Total]]&lt;0,T_T13411121314151617181920212223242526272829303132333536373839404142434445464748495051525354555657585960616263646566676869707172737475767778798081828384858687888990919293949596979899100101102103104105106107108109110111112113114115116117118119[[#This Row],[Total]]*-1,0)</f>
        <v>0</v>
      </c>
      <c r="J14" s="473"/>
      <c r="K14" s="485"/>
    </row>
    <row r="15" spans="1:15" x14ac:dyDescent="0.3">
      <c r="A15" s="17">
        <v>45687</v>
      </c>
      <c r="B15" s="18" t="s">
        <v>530</v>
      </c>
      <c r="C15" s="6"/>
      <c r="D15" s="2">
        <v>353</v>
      </c>
      <c r="E15" s="2">
        <v>34</v>
      </c>
      <c r="F15" s="20"/>
      <c r="G15" s="20">
        <f>SUM(D15:F15)</f>
        <v>387</v>
      </c>
      <c r="H15" s="233">
        <f>+H13+T_T13411121314151617181920212223242526272829303132333536373839404142434445464748495051525354555657585960616263646566676869707172737475767778798081828384858687888990919293949596979899100101102103104105106107108109110111112113114115116117118119[[#This Row],[Total]]</f>
        <v>387</v>
      </c>
      <c r="I15" s="240">
        <f>IF(T_T13411121314151617181920212223242526272829303132333536373839404142434445464748495051525354555657585960616263646566676869707172737475767778798081828384858687888990919293949596979899100101102103104105106107108109110111112113114115116117118119[[#This Row],[Total]]&lt;0,T_T13411121314151617181920212223242526272829303132333536373839404142434445464748495051525354555657585960616263646566676869707172737475767778798081828384858687888990919293949596979899100101102103104105106107108109110111112113114115116117118119[[#This Row],[Total]]*-1,0)</f>
        <v>0</v>
      </c>
      <c r="J15" s="240"/>
      <c r="K15" s="232"/>
    </row>
    <row r="16" spans="1:15" x14ac:dyDescent="0.3">
      <c r="A16" s="17"/>
      <c r="B16" s="18" t="s">
        <v>531</v>
      </c>
      <c r="C16" s="6" t="s">
        <v>620</v>
      </c>
      <c r="D16" s="2">
        <f>-26-16-311</f>
        <v>-353</v>
      </c>
      <c r="E16" s="2">
        <v>-34</v>
      </c>
      <c r="F16" s="230"/>
      <c r="G16" s="230">
        <f t="shared" ref="G16:G38" si="0">SUM(D16:F16)</f>
        <v>-387</v>
      </c>
      <c r="H16" s="233">
        <f t="shared" ref="H16:H40" si="1">H15+G16</f>
        <v>0</v>
      </c>
      <c r="I16" s="239">
        <f>IF(T_T13411121314151617181920212223242526272829303132333536373839404142434445464748495051525354555657585960616263646566676869707172737475767778798081828384858687888990919293949596979899100101102103104105106107108109110111112113114115116117118119[[#This Row],[Total]]&lt;0,T_T13411121314151617181920212223242526272829303132333536373839404142434445464748495051525354555657585960616263646566676869707172737475767778798081828384858687888990919293949596979899100101102103104105106107108109110111112113114115116117118119[[#This Row],[Total]]*-1,0)</f>
        <v>387</v>
      </c>
      <c r="J16" s="239"/>
      <c r="K16" s="232"/>
    </row>
    <row r="17" spans="1:11" x14ac:dyDescent="0.3">
      <c r="A17" s="164">
        <v>45715</v>
      </c>
      <c r="B17" s="161" t="s">
        <v>532</v>
      </c>
      <c r="C17" s="6"/>
      <c r="D17" s="2">
        <v>353</v>
      </c>
      <c r="E17" s="2">
        <v>28</v>
      </c>
      <c r="F17" s="230"/>
      <c r="G17" s="230">
        <f t="shared" si="0"/>
        <v>381</v>
      </c>
      <c r="H17" s="233">
        <f t="shared" si="1"/>
        <v>381</v>
      </c>
      <c r="I17" s="240">
        <f>IF(T_T13411121314151617181920212223242526272829303132333536373839404142434445464748495051525354555657585960616263646566676869707172737475767778798081828384858687888990919293949596979899100101102103104105106107108109110111112113114115116117118119[[#This Row],[Total]]&lt;0,T_T13411121314151617181920212223242526272829303132333536373839404142434445464748495051525354555657585960616263646566676869707172737475767778798081828384858687888990919293949596979899100101102103104105106107108109110111112113114115116117118119[[#This Row],[Total]]*-1,0)</f>
        <v>0</v>
      </c>
      <c r="J17" s="240"/>
      <c r="K17" s="232"/>
    </row>
    <row r="18" spans="1:11" x14ac:dyDescent="0.3">
      <c r="A18" s="187"/>
      <c r="B18" s="18" t="s">
        <v>533</v>
      </c>
      <c r="C18" s="6" t="s">
        <v>649</v>
      </c>
      <c r="D18" s="2">
        <f>-8-311-34</f>
        <v>-353</v>
      </c>
      <c r="E18" s="2">
        <v>-28</v>
      </c>
      <c r="F18" s="230"/>
      <c r="G18" s="230">
        <f t="shared" si="0"/>
        <v>-381</v>
      </c>
      <c r="H18" s="233">
        <f t="shared" si="1"/>
        <v>0</v>
      </c>
      <c r="I18" s="240">
        <f>IF(T_T13411121314151617181920212223242526272829303132333536373839404142434445464748495051525354555657585960616263646566676869707172737475767778798081828384858687888990919293949596979899100101102103104105106107108109110111112113114115116117118119[[#This Row],[Total]]&lt;0,T_T13411121314151617181920212223242526272829303132333536373839404142434445464748495051525354555657585960616263646566676869707172737475767778798081828384858687888990919293949596979899100101102103104105106107108109110111112113114115116117118119[[#This Row],[Total]]*-1,0)</f>
        <v>381</v>
      </c>
      <c r="J18" s="240"/>
      <c r="K18" s="79"/>
    </row>
    <row r="19" spans="1:11" x14ac:dyDescent="0.3">
      <c r="A19" s="188">
        <v>45747</v>
      </c>
      <c r="B19" s="3" t="s">
        <v>534</v>
      </c>
      <c r="C19" s="6"/>
      <c r="D19" s="2">
        <v>404</v>
      </c>
      <c r="E19" s="2">
        <v>26</v>
      </c>
      <c r="F19" s="230"/>
      <c r="G19" s="230">
        <f t="shared" si="0"/>
        <v>430</v>
      </c>
      <c r="H19" s="233">
        <f t="shared" si="1"/>
        <v>430</v>
      </c>
      <c r="I19" s="240">
        <f>IF(T_T13411121314151617181920212223242526272829303132333536373839404142434445464748495051525354555657585960616263646566676869707172737475767778798081828384858687888990919293949596979899100101102103104105106107108109110111112113114115116117118119[[#This Row],[Total]]&lt;0,T_T13411121314151617181920212223242526272829303132333536373839404142434445464748495051525354555657585960616263646566676869707172737475767778798081828384858687888990919293949596979899100101102103104105106107108109110111112113114115116117118119[[#This Row],[Total]]*-1,0)</f>
        <v>0</v>
      </c>
      <c r="J19" s="240"/>
      <c r="K19" s="232"/>
    </row>
    <row r="20" spans="1:11" x14ac:dyDescent="0.3">
      <c r="A20" s="188"/>
      <c r="B20" s="82" t="s">
        <v>535</v>
      </c>
      <c r="C20" s="6" t="s">
        <v>683</v>
      </c>
      <c r="D20" s="2">
        <f>-311-49</f>
        <v>-360</v>
      </c>
      <c r="E20" s="2">
        <v>-26</v>
      </c>
      <c r="F20" s="230"/>
      <c r="G20" s="230">
        <f t="shared" si="0"/>
        <v>-386</v>
      </c>
      <c r="H20" s="233">
        <f t="shared" si="1"/>
        <v>44</v>
      </c>
      <c r="I20" s="239">
        <f>IF(T_T13411121314151617181920212223242526272829303132333536373839404142434445464748495051525354555657585960616263646566676869707172737475767778798081828384858687888990919293949596979899100101102103104105106107108109110111112113114115116117118119[[#This Row],[Total]]&lt;0,T_T13411121314151617181920212223242526272829303132333536373839404142434445464748495051525354555657585960616263646566676869707172737475767778798081828384858687888990919293949596979899100101102103104105106107108109110111112113114115116117118119[[#This Row],[Total]]*-1,0)</f>
        <v>386</v>
      </c>
      <c r="J20" s="239"/>
      <c r="K20" s="232"/>
    </row>
    <row r="21" spans="1:11" x14ac:dyDescent="0.3">
      <c r="A21" s="188">
        <v>45777</v>
      </c>
      <c r="B21" s="3" t="s">
        <v>536</v>
      </c>
      <c r="C21" s="6"/>
      <c r="D21" s="2">
        <v>404</v>
      </c>
      <c r="E21" s="2">
        <v>33</v>
      </c>
      <c r="F21" s="230"/>
      <c r="G21" s="230">
        <f t="shared" si="0"/>
        <v>437</v>
      </c>
      <c r="H21" s="233">
        <f t="shared" si="1"/>
        <v>481</v>
      </c>
      <c r="I21" s="309">
        <f>IF(T_T13411121314151617181920212223242526272829303132333536373839404142434445464748495051525354555657585960616263646566676869707172737475767778798081828384858687888990919293949596979899100101102103104105106107108109110111112113114115116117118119[[#This Row],[Total]]&lt;0,T_T13411121314151617181920212223242526272829303132333536373839404142434445464748495051525354555657585960616263646566676869707172737475767778798081828384858687888990919293949596979899100101102103104105106107108109110111112113114115116117118119[[#This Row],[Total]]*-1,0)</f>
        <v>0</v>
      </c>
      <c r="J21" s="309"/>
      <c r="K21" s="313"/>
    </row>
    <row r="22" spans="1:11" x14ac:dyDescent="0.3">
      <c r="A22" s="83"/>
      <c r="B22" s="82" t="s">
        <v>537</v>
      </c>
      <c r="C22" s="6" t="s">
        <v>684</v>
      </c>
      <c r="D22" s="2">
        <v>-311</v>
      </c>
      <c r="E22" s="2">
        <v>-33</v>
      </c>
      <c r="F22" s="230"/>
      <c r="G22" s="230">
        <f t="shared" si="0"/>
        <v>-344</v>
      </c>
      <c r="H22" s="233">
        <f t="shared" si="1"/>
        <v>137</v>
      </c>
      <c r="I22" s="309">
        <f>IF(T_T13411121314151617181920212223242526272829303132333536373839404142434445464748495051525354555657585960616263646566676869707172737475767778798081828384858687888990919293949596979899100101102103104105106107108109110111112113114115116117118119[[#This Row],[Total]]&lt;0,T_T13411121314151617181920212223242526272829303132333536373839404142434445464748495051525354555657585960616263646566676869707172737475767778798081828384858687888990919293949596979899100101102103104105106107108109110111112113114115116117118119[[#This Row],[Total]]*-1,0)</f>
        <v>344</v>
      </c>
      <c r="J22" s="309"/>
      <c r="K22" s="313"/>
    </row>
    <row r="23" spans="1:11" x14ac:dyDescent="0.3">
      <c r="A23" s="40">
        <v>45807</v>
      </c>
      <c r="B23" s="3" t="s">
        <v>538</v>
      </c>
      <c r="C23" s="229"/>
      <c r="D23" s="230">
        <v>404</v>
      </c>
      <c r="E23" s="230">
        <v>16</v>
      </c>
      <c r="F23" s="230"/>
      <c r="G23" s="230">
        <f t="shared" si="0"/>
        <v>420</v>
      </c>
      <c r="H23" s="233">
        <f t="shared" si="1"/>
        <v>557</v>
      </c>
      <c r="I23" s="309">
        <f>IF(T_T13411121314151617181920212223242526272829303132333536373839404142434445464748495051525354555657585960616263646566676869707172737475767778798081828384858687888990919293949596979899100101102103104105106107108109110111112113114115116117118119[[#This Row],[Total]]&lt;0,T_T13411121314151617181920212223242526272829303132333536373839404142434445464748495051525354555657585960616263646566676869707172737475767778798081828384858687888990919293949596979899100101102103104105106107108109110111112113114115116117118119[[#This Row],[Total]]*-1,0)</f>
        <v>0</v>
      </c>
      <c r="J23" s="309"/>
      <c r="K23" s="313"/>
    </row>
    <row r="24" spans="1:11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557</v>
      </c>
      <c r="I24" s="311">
        <f>IF(T_T13411121314151617181920212223242526272829303132333536373839404142434445464748495051525354555657585960616263646566676869707172737475767778798081828384858687888990919293949596979899100101102103104105106107108109110111112113114115116117118119[[#This Row],[Total]]&lt;0,T_T13411121314151617181920212223242526272829303132333536373839404142434445464748495051525354555657585960616263646566676869707172737475767778798081828384858687888990919293949596979899100101102103104105106107108109110111112113114115116117118119[[#This Row],[Total]]*-1,0)</f>
        <v>0</v>
      </c>
      <c r="J24" s="311"/>
      <c r="K24" s="313"/>
    </row>
    <row r="25" spans="1:11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557</v>
      </c>
      <c r="I25" s="309">
        <f>IF(T_T13411121314151617181920212223242526272829303132333536373839404142434445464748495051525354555657585960616263646566676869707172737475767778798081828384858687888990919293949596979899100101102103104105106107108109110111112113114115116117118119[[#This Row],[Total]]&lt;0,T_T13411121314151617181920212223242526272829303132333536373839404142434445464748495051525354555657585960616263646566676869707172737475767778798081828384858687888990919293949596979899100101102103104105106107108109110111112113114115116117118119[[#This Row],[Total]]*-1,0)</f>
        <v>0</v>
      </c>
      <c r="J25" s="309"/>
      <c r="K25" s="313"/>
    </row>
    <row r="26" spans="1:11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557</v>
      </c>
      <c r="I26" s="309">
        <f>IF(T_T13411121314151617181920212223242526272829303132333536373839404142434445464748495051525354555657585960616263646566676869707172737475767778798081828384858687888990919293949596979899100101102103104105106107108109110111112113114115116117118119[[#This Row],[Total]]&lt;0,T_T13411121314151617181920212223242526272829303132333536373839404142434445464748495051525354555657585960616263646566676869707172737475767778798081828384858687888990919293949596979899100101102103104105106107108109110111112113114115116117118119[[#This Row],[Total]]*-1,0)</f>
        <v>0</v>
      </c>
      <c r="J26" s="309"/>
      <c r="K26" s="313"/>
    </row>
    <row r="27" spans="1:11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557</v>
      </c>
      <c r="I27" s="309">
        <f>IF(T_T13411121314151617181920212223242526272829303132333536373839404142434445464748495051525354555657585960616263646566676869707172737475767778798081828384858687888990919293949596979899100101102103104105106107108109110111112113114115116117118119[[#This Row],[Total]]&lt;0,T_T13411121314151617181920212223242526272829303132333536373839404142434445464748495051525354555657585960616263646566676869707172737475767778798081828384858687888990919293949596979899100101102103104105106107108109110111112113114115116117118119[[#This Row],[Total]]*-1,0)</f>
        <v>0</v>
      </c>
      <c r="J27" s="309"/>
      <c r="K27" s="313"/>
    </row>
    <row r="28" spans="1:11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557</v>
      </c>
      <c r="I28" s="311">
        <f>IF(T_T13411121314151617181920212223242526272829303132333536373839404142434445464748495051525354555657585960616263646566676869707172737475767778798081828384858687888990919293949596979899100101102103104105106107108109110111112113114115116117118119[[#This Row],[Total]]&lt;0,T_T13411121314151617181920212223242526272829303132333536373839404142434445464748495051525354555657585960616263646566676869707172737475767778798081828384858687888990919293949596979899100101102103104105106107108109110111112113114115116117118119[[#This Row],[Total]]*-1,0)</f>
        <v>0</v>
      </c>
      <c r="J28" s="311"/>
      <c r="K28" s="313"/>
    </row>
    <row r="29" spans="1:11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557</v>
      </c>
      <c r="I29" s="309">
        <f>IF(T_T13411121314151617181920212223242526272829303132333536373839404142434445464748495051525354555657585960616263646566676869707172737475767778798081828384858687888990919293949596979899100101102103104105106107108109110111112113114115116117118119[[#This Row],[Total]]&lt;0,T_T13411121314151617181920212223242526272829303132333536373839404142434445464748495051525354555657585960616263646566676869707172737475767778798081828384858687888990919293949596979899100101102103104105106107108109110111112113114115116117118119[[#This Row],[Total]]*-1,0)</f>
        <v>0</v>
      </c>
      <c r="J29" s="309"/>
      <c r="K29" s="313"/>
    </row>
    <row r="30" spans="1:11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557</v>
      </c>
      <c r="I30" s="309">
        <f>IF(T_T13411121314151617181920212223242526272829303132333536373839404142434445464748495051525354555657585960616263646566676869707172737475767778798081828384858687888990919293949596979899100101102103104105106107108109110111112113114115116117118119[[#This Row],[Total]]&lt;0,T_T13411121314151617181920212223242526272829303132333536373839404142434445464748495051525354555657585960616263646566676869707172737475767778798081828384858687888990919293949596979899100101102103104105106107108109110111112113114115116117118119[[#This Row],[Total]]*-1,0)</f>
        <v>0</v>
      </c>
      <c r="J30" s="309"/>
      <c r="K30" s="313"/>
    </row>
    <row r="31" spans="1:11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557</v>
      </c>
      <c r="I31" s="309">
        <f>IF(T_T13411121314151617181920212223242526272829303132333536373839404142434445464748495051525354555657585960616263646566676869707172737475767778798081828384858687888990919293949596979899100101102103104105106107108109110111112113114115116117118119[[#This Row],[Total]]&lt;0,T_T13411121314151617181920212223242526272829303132333536373839404142434445464748495051525354555657585960616263646566676869707172737475767778798081828384858687888990919293949596979899100101102103104105106107108109110111112113114115116117118119[[#This Row],[Total]]*-1,0)</f>
        <v>0</v>
      </c>
      <c r="J31" s="309"/>
      <c r="K31" s="313"/>
    </row>
    <row r="32" spans="1:11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557</v>
      </c>
      <c r="I32" s="309">
        <f>IF(T_T13411121314151617181920212223242526272829303132333536373839404142434445464748495051525354555657585960616263646566676869707172737475767778798081828384858687888990919293949596979899100101102103104105106107108109110111112113114115116117118119[[#This Row],[Total]]&lt;0,T_T13411121314151617181920212223242526272829303132333536373839404142434445464748495051525354555657585960616263646566676869707172737475767778798081828384858687888990919293949596979899100101102103104105106107108109110111112113114115116117118119[[#This Row],[Total]]*-1,0)</f>
        <v>0</v>
      </c>
      <c r="J32" s="309"/>
      <c r="K32" s="313"/>
    </row>
    <row r="33" spans="1:11" x14ac:dyDescent="0.3">
      <c r="A33" s="9">
        <v>45960</v>
      </c>
      <c r="B33" s="3" t="s">
        <v>548</v>
      </c>
      <c r="C33" s="229"/>
      <c r="D33" s="7"/>
      <c r="E33" s="230"/>
      <c r="F33" s="230"/>
      <c r="G33" s="230">
        <f t="shared" si="0"/>
        <v>0</v>
      </c>
      <c r="H33" s="233">
        <f t="shared" si="1"/>
        <v>557</v>
      </c>
      <c r="I33" s="309">
        <f>IF(T_T13411121314151617181920212223242526272829303132333536373839404142434445464748495051525354555657585960616263646566676869707172737475767778798081828384858687888990919293949596979899100101102103104105106107108109110111112113114115116117118119[[#This Row],[Total]]&lt;0,T_T13411121314151617181920212223242526272829303132333536373839404142434445464748495051525354555657585960616263646566676869707172737475767778798081828384858687888990919293949596979899100101102103104105106107108109110111112113114115116117118119[[#This Row],[Total]]*-1,0)</f>
        <v>0</v>
      </c>
      <c r="J33" s="309"/>
      <c r="K33" s="313"/>
    </row>
    <row r="34" spans="1:11" x14ac:dyDescent="0.3">
      <c r="A34" s="9"/>
      <c r="B34" s="3" t="s">
        <v>549</v>
      </c>
      <c r="C34" s="6"/>
      <c r="D34" s="230"/>
      <c r="E34" s="230"/>
      <c r="F34" s="230"/>
      <c r="G34" s="230">
        <f t="shared" si="0"/>
        <v>0</v>
      </c>
      <c r="H34" s="233">
        <f t="shared" si="1"/>
        <v>557</v>
      </c>
      <c r="I34" s="309">
        <f>IF(T_T13411121314151617181920212223242526272829303132333536373839404142434445464748495051525354555657585960616263646566676869707172737475767778798081828384858687888990919293949596979899100101102103104105106107108109110111112113114115116117118119[[#This Row],[Total]]&lt;0,T_T13411121314151617181920212223242526272829303132333536373839404142434445464748495051525354555657585960616263646566676869707172737475767778798081828384858687888990919293949596979899100101102103104105106107108109110111112113114115116117118119[[#This Row],[Total]]*-1,0)</f>
        <v>0</v>
      </c>
      <c r="J34" s="309"/>
      <c r="K34" s="313"/>
    </row>
    <row r="35" spans="1:11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557</v>
      </c>
      <c r="I35" s="309">
        <f>IF(T_T13411121314151617181920212223242526272829303132333536373839404142434445464748495051525354555657585960616263646566676869707172737475767778798081828384858687888990919293949596979899100101102103104105106107108109110111112113114115116117118119[[#This Row],[Total]]&lt;0,T_T13411121314151617181920212223242526272829303132333536373839404142434445464748495051525354555657585960616263646566676869707172737475767778798081828384858687888990919293949596979899100101102103104105106107108109110111112113114115116117118119[[#This Row],[Total]]*-1,0)</f>
        <v>0</v>
      </c>
      <c r="J35" s="309"/>
      <c r="K35" s="313"/>
    </row>
    <row r="36" spans="1:11" x14ac:dyDescent="0.3">
      <c r="A36" s="17"/>
      <c r="B36" s="18" t="s">
        <v>551</v>
      </c>
      <c r="C36" s="6"/>
      <c r="D36" s="230"/>
      <c r="E36" s="230"/>
      <c r="F36" s="230"/>
      <c r="G36" s="230">
        <f t="shared" si="0"/>
        <v>0</v>
      </c>
      <c r="H36" s="233">
        <f t="shared" si="1"/>
        <v>557</v>
      </c>
      <c r="I36" s="311">
        <f>IF(T_T13411121314151617181920212223242526272829303132333536373839404142434445464748495051525354555657585960616263646566676869707172737475767778798081828384858687888990919293949596979899100101102103104105106107108109110111112113114115116117118119[[#This Row],[Total]]&lt;0,T_T13411121314151617181920212223242526272829303132333536373839404142434445464748495051525354555657585960616263646566676869707172737475767778798081828384858687888990919293949596979899100101102103104105106107108109110111112113114115116117118119[[#This Row],[Total]]*-1,0)</f>
        <v>0</v>
      </c>
      <c r="J36" s="311"/>
      <c r="K36" s="313"/>
    </row>
    <row r="37" spans="1:11" x14ac:dyDescent="0.3">
      <c r="A37" s="188">
        <v>46021</v>
      </c>
      <c r="B37" s="3" t="s">
        <v>552</v>
      </c>
      <c r="C37" s="229"/>
      <c r="D37" s="7"/>
      <c r="E37" s="230"/>
      <c r="F37" s="230"/>
      <c r="G37" s="230">
        <f t="shared" si="0"/>
        <v>0</v>
      </c>
      <c r="H37" s="233">
        <f t="shared" si="1"/>
        <v>557</v>
      </c>
      <c r="I37" s="353">
        <f>IF(T_T13411121314151617181920212223242526272829303132333536373839404142434445464748495051525354555657585960616263646566676869707172737475767778798081828384858687888990919293949596979899100101102103104105106107108109110111112113114115116117118119[[#This Row],[Total]]&lt;0,T_T13411121314151617181920212223242526272829303132333536373839404142434445464748495051525354555657585960616263646566676869707172737475767778798081828384858687888990919293949596979899100101102103104105106107108109110111112113114115116117118119[[#This Row],[Total]]*-1,0)</f>
        <v>0</v>
      </c>
      <c r="J37" s="353"/>
      <c r="K37" s="354"/>
    </row>
    <row r="38" spans="1:11" x14ac:dyDescent="0.3">
      <c r="A38" s="257"/>
      <c r="B38" s="110" t="s">
        <v>553</v>
      </c>
      <c r="C38" s="6"/>
      <c r="D38" s="230"/>
      <c r="E38" s="230"/>
      <c r="F38" s="230"/>
      <c r="G38" s="230">
        <f t="shared" si="0"/>
        <v>0</v>
      </c>
      <c r="H38" s="233">
        <f t="shared" si="1"/>
        <v>557</v>
      </c>
      <c r="I38" s="353">
        <f>IF(T_T13411121314151617181920212223242526272829303132333536373839404142434445464748495051525354555657585960616263646566676869707172737475767778798081828384858687888990919293949596979899100101102103104105106107108109110111112113114115116117118119[[#This Row],[Total]]&lt;0,T_T13411121314151617181920212223242526272829303132333536373839404142434445464748495051525354555657585960616263646566676869707172737475767778798081828384858687888990919293949596979899100101102103104105106107108109110111112113114115116117118119[[#This Row],[Total]]*-1,0)</f>
        <v>0</v>
      </c>
      <c r="J38" s="353"/>
      <c r="K38" s="354"/>
    </row>
    <row r="39" spans="1:11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557</v>
      </c>
      <c r="I39" s="353">
        <f>IF(T_T13411121314151617181920212223242526272829303132333536373839404142434445464748495051525354555657585960616263646566676869707172737475767778798081828384858687888990919293949596979899100101102103104105106107108109110111112113114115116117118119[[#This Row],[Total]]&lt;0,T_T13411121314151617181920212223242526272829303132333536373839404142434445464748495051525354555657585960616263646566676869707172737475767778798081828384858687888990919293949596979899100101102103104105106107108109110111112113114115116117118119[[#This Row],[Total]]*-1,0)</f>
        <v>0</v>
      </c>
      <c r="J39" s="353"/>
      <c r="K39" s="354"/>
    </row>
    <row r="40" spans="1:11" x14ac:dyDescent="0.3">
      <c r="A40" s="107"/>
      <c r="B40" s="515"/>
      <c r="C40" s="229"/>
      <c r="D40" s="230"/>
      <c r="E40" s="230"/>
      <c r="F40" s="230"/>
      <c r="G40" s="230">
        <f>SUM(D40:F47)</f>
        <v>0</v>
      </c>
      <c r="H40" s="233">
        <f t="shared" si="1"/>
        <v>557</v>
      </c>
      <c r="I40" s="353">
        <f>IF(T_T13411121314151617181920212223242526272829303132333536373839404142434445464748495051525354555657585960616263646566676869707172737475767778798081828384858687888990919293949596979899100101102103104105106107108109110111112113114115116117118119[[#This Row],[Total]]&lt;0,T_T13411121314151617181920212223242526272829303132333536373839404142434445464748495051525354555657585960616263646566676869707172737475767778798081828384858687888990919293949596979899100101102103104105106107108109110111112113114115116117118119[[#This Row],[Total]]*-1,0)</f>
        <v>0</v>
      </c>
      <c r="J40" s="353"/>
      <c r="K40" s="354"/>
    </row>
    <row r="41" spans="1:11" x14ac:dyDescent="0.3">
      <c r="A41" s="17"/>
      <c r="B41" s="18"/>
      <c r="C41" s="448"/>
      <c r="D41" s="449"/>
      <c r="E41" s="449"/>
      <c r="F41" s="449"/>
      <c r="G41" s="449" t="s">
        <v>366</v>
      </c>
      <c r="H41" s="450"/>
      <c r="I41" s="428">
        <f>IF(T_T13411121314151617181920212223242526272829303132333536373839404142434445464748495051525354555657585960616263646566676869707172737475767778798081828384858687888990919293949596979899100101102103104105106107108109110111112113114115116117118119[[#This Row],[Total]]&lt;0,T_T13411121314151617181920212223242526272829303132333536373839404142434445464748495051525354555657585960616263646566676869707172737475767778798081828384858687888990919293949596979899100101102103104105106107108109110111112113114115116117118119[[#This Row],[Total]]*-1,0)</f>
        <v>0</v>
      </c>
      <c r="J41" s="428"/>
      <c r="K41" s="419"/>
    </row>
    <row r="42" spans="1:11" x14ac:dyDescent="0.3">
      <c r="A42" s="510"/>
      <c r="B42" s="18"/>
      <c r="C42" s="516"/>
      <c r="D42" s="517"/>
      <c r="E42" s="517"/>
      <c r="F42" s="517"/>
      <c r="G42" s="517"/>
      <c r="H42" s="518"/>
      <c r="I42" s="519">
        <f>IF(T_T13411121314151617181920212223242526272829303132333536373839404142434445464748495051525354555657585960616263646566676869707172737475767778798081828384858687888990919293949596979899100101102103104105106107108109110111112113114115116117118119[[#This Row],[Total]]&lt;0,T_T13411121314151617181920212223242526272829303132333536373839404142434445464748495051525354555657585960616263646566676869707172737475767778798081828384858687888990919293949596979899100101102103104105106107108109110111112113114115116117118119[[#This Row],[Total]]*-1,0)</f>
        <v>0</v>
      </c>
      <c r="J42" s="519"/>
      <c r="K42" s="520"/>
    </row>
    <row r="43" spans="1:11" x14ac:dyDescent="0.3">
      <c r="A43" s="510"/>
      <c r="B43" s="18"/>
      <c r="C43" s="516"/>
      <c r="D43" s="517"/>
      <c r="E43" s="517"/>
      <c r="F43" s="517"/>
      <c r="G43" s="517"/>
      <c r="H43" s="518"/>
      <c r="I43" s="519">
        <f>IF(T_T13411121314151617181920212223242526272829303132333536373839404142434445464748495051525354555657585960616263646566676869707172737475767778798081828384858687888990919293949596979899100101102103104105106107108109110111112113114115116117118119[[#This Row],[Total]]&lt;0,T_T13411121314151617181920212223242526272829303132333536373839404142434445464748495051525354555657585960616263646566676869707172737475767778798081828384858687888990919293949596979899100101102103104105106107108109110111112113114115116117118119[[#This Row],[Total]]*-1,0)</f>
        <v>0</v>
      </c>
      <c r="J43" s="519"/>
      <c r="K43" s="520"/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orientation="portrait" verticalDpi="360" r:id="rId2"/>
  <drawing r:id="rId3"/>
  <tableParts count="1">
    <tablePart r:id="rId4"/>
  </tablePart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L40"/>
  <sheetViews>
    <sheetView showGridLines="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2" customWidth="1"/>
    <col min="2" max="2" width="34.109375" customWidth="1"/>
    <col min="3" max="3" width="9" style="4" customWidth="1"/>
    <col min="4" max="4" width="10.88671875" style="1" customWidth="1"/>
    <col min="5" max="5" width="11.88671875" style="1" customWidth="1"/>
    <col min="6" max="6" width="5" style="1" customWidth="1"/>
    <col min="7" max="7" width="8.109375" style="1" customWidth="1"/>
    <col min="8" max="8" width="12.44140625" style="1" customWidth="1"/>
    <col min="9" max="9" width="12.88671875" hidden="1" customWidth="1"/>
  </cols>
  <sheetData>
    <row r="2" spans="1:10" ht="15.6" x14ac:dyDescent="0.3">
      <c r="A2" s="27" t="s">
        <v>36</v>
      </c>
      <c r="B2" s="41" t="s">
        <v>168</v>
      </c>
    </row>
    <row r="3" spans="1:10" hidden="1" x14ac:dyDescent="0.3">
      <c r="A3" s="27" t="s">
        <v>31</v>
      </c>
      <c r="B3" s="28" t="e">
        <f>LOOKUP(B2,#REF!,#REF!)</f>
        <v>#REF!</v>
      </c>
    </row>
    <row r="4" spans="1:10" hidden="1" x14ac:dyDescent="0.3">
      <c r="A4" s="27" t="s">
        <v>32</v>
      </c>
      <c r="B4" s="28" t="e">
        <f>LOOKUP(B2,#REF!,#REF!)</f>
        <v>#REF!</v>
      </c>
    </row>
    <row r="5" spans="1:10" hidden="1" x14ac:dyDescent="0.3">
      <c r="A5" s="27" t="s">
        <v>33</v>
      </c>
      <c r="B5" s="28" t="e">
        <f>LOOKUP(B2,#REF!,#REF!)</f>
        <v>#REF!</v>
      </c>
    </row>
    <row r="6" spans="1:10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0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0" x14ac:dyDescent="0.3">
      <c r="A8" s="21"/>
      <c r="B8" s="21" t="s">
        <v>420</v>
      </c>
    </row>
    <row r="9" spans="1:10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242" t="s">
        <v>188</v>
      </c>
    </row>
    <row r="10" spans="1:10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IF(T_T13411121314151617181920212223242526272829303132333536373839404142434445464748495051525354555657585960616263646566676869707172737475767778798081828384858687888990919293949596979899100101102103104105106107108109110111112113114115116117118119120[[#This Row],[Total]]&lt;0,T_T13411121314151617181920212223242526272829303132333536373839404142434445464748495051525354555657585960616263646566676869707172737475767778798081828384858687888990919293949596979899100101102103104105106107108109110111112113114115116117118119120[[#This Row],[Total]]*-1,0)</f>
        <v>0</v>
      </c>
      <c r="J10" s="241"/>
    </row>
    <row r="11" spans="1:10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IF(T_T13411121314151617181920212223242526272829303132333536373839404142434445464748495051525354555657585960616263646566676869707172737475767778798081828384858687888990919293949596979899100101102103104105106107108109110111112113114115116117118119120[[#This Row],[Total]]&lt;0,T_T13411121314151617181920212223242526272829303132333536373839404142434445464748495051525354555657585960616263646566676869707172737475767778798081828384858687888990919293949596979899100101102103104105106107108109110111112113114115116117118119120[[#This Row],[Total]]*-1,0)</f>
        <v>0</v>
      </c>
      <c r="J11" s="240"/>
    </row>
    <row r="12" spans="1:10" x14ac:dyDescent="0.3">
      <c r="A12" s="432"/>
      <c r="B12" s="118" t="s">
        <v>467</v>
      </c>
      <c r="C12" s="284"/>
      <c r="D12" s="285"/>
      <c r="E12" s="285"/>
      <c r="F12" s="285"/>
      <c r="G12" s="285"/>
      <c r="H12" s="10">
        <v>0</v>
      </c>
      <c r="I12" s="51">
        <f>IF(T_T13411121314151617181920212223242526272829303132333536373839404142434445464748495051525354555657585960616263646566676869707172737475767778798081828384858687888990919293949596979899100101102103104105106107108109110111112113114115116117118119120[[#This Row],[Total]]&lt;0,T_T13411121314151617181920212223242526272829303132333536373839404142434445464748495051525354555657585960616263646566676869707172737475767778798081828384858687888990919293949596979899100101102103104105106107108109110111112113114115116117118119120[[#This Row],[Total]]*-1,0)</f>
        <v>0</v>
      </c>
      <c r="J12" s="51"/>
    </row>
    <row r="13" spans="1:10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IF(T_T13411121314151617181920212223242526272829303132333536373839404142434445464748495051525354555657585960616263646566676869707172737475767778798081828384858687888990919293949596979899100101102103104105106107108109110111112113114115116117118119120[[#This Row],[Total]]&lt;0,T_T13411121314151617181920212223242526272829303132333536373839404142434445464748495051525354555657585960616263646566676869707172737475767778798081828384858687888990919293949596979899100101102103104105106107108109110111112113114115116117118119120[[#This Row],[Total]]*-1,0)</f>
        <v>0</v>
      </c>
      <c r="J13" s="240"/>
    </row>
    <row r="14" spans="1:10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IF(T_T13411121314151617181920212223242526272829303132333536373839404142434445464748495051525354555657585960616263646566676869707172737475767778798081828384858687888990919293949596979899100101102103104105106107108109110111112113114115116117118119120[[#This Row],[Total]]&lt;0,T_T13411121314151617181920212223242526272829303132333536373839404142434445464748495051525354555657585960616263646566676869707172737475767778798081828384858687888990919293949596979899100101102103104105106107108109110111112113114115116117118119120[[#This Row],[Total]]*-1,0)</f>
        <v>0</v>
      </c>
      <c r="J14" s="473"/>
    </row>
    <row r="15" spans="1:10" x14ac:dyDescent="0.3">
      <c r="A15" s="17">
        <v>46052</v>
      </c>
      <c r="B15" s="18" t="s">
        <v>590</v>
      </c>
      <c r="C15" s="6"/>
      <c r="D15" s="2">
        <v>376</v>
      </c>
      <c r="E15" s="2">
        <v>69</v>
      </c>
      <c r="F15" s="20"/>
      <c r="G15" s="20">
        <f>SUM(D15:F15)</f>
        <v>445</v>
      </c>
      <c r="H15" s="233">
        <f>+H13+T_T13411121314151617181920212223242526272829303132333536373839404142434445464748495051525354555657585960616263646566676869707172737475767778798081828384858687888990919293949596979899100101102103104105106107108109110111112113114115116117118119120[[#This Row],[Total]]</f>
        <v>445</v>
      </c>
      <c r="I15" s="240">
        <f>IF(T_T13411121314151617181920212223242526272829303132333536373839404142434445464748495051525354555657585960616263646566676869707172737475767778798081828384858687888990919293949596979899100101102103104105106107108109110111112113114115116117118119120[[#This Row],[Total]]&lt;0,T_T13411121314151617181920212223242526272829303132333536373839404142434445464748495051525354555657585960616263646566676869707172737475767778798081828384858687888990919293949596979899100101102103104105106107108109110111112113114115116117118119120[[#This Row],[Total]]*-1,0)</f>
        <v>0</v>
      </c>
      <c r="J15" s="240"/>
    </row>
    <row r="16" spans="1:10" x14ac:dyDescent="0.3">
      <c r="A16" s="17"/>
      <c r="B16" s="18" t="s">
        <v>591</v>
      </c>
      <c r="C16" s="6">
        <v>8584</v>
      </c>
      <c r="D16" s="2">
        <v>-376</v>
      </c>
      <c r="E16" s="2">
        <v>-69</v>
      </c>
      <c r="F16" s="230"/>
      <c r="G16" s="230">
        <f t="shared" ref="G16:G38" si="0">SUM(D16:F16)</f>
        <v>-445</v>
      </c>
      <c r="H16" s="233">
        <f t="shared" ref="H16:H40" si="1">H15+G16</f>
        <v>0</v>
      </c>
      <c r="I16" s="239">
        <f>IF(T_T13411121314151617181920212223242526272829303132333536373839404142434445464748495051525354555657585960616263646566676869707172737475767778798081828384858687888990919293949596979899100101102103104105106107108109110111112113114115116117118119120[[#This Row],[Total]]&lt;0,T_T13411121314151617181920212223242526272829303132333536373839404142434445464748495051525354555657585960616263646566676869707172737475767778798081828384858687888990919293949596979899100101102103104105106107108109110111112113114115116117118119120[[#This Row],[Total]]*-1,0)</f>
        <v>445</v>
      </c>
      <c r="J16" s="239"/>
    </row>
    <row r="17" spans="1:12" x14ac:dyDescent="0.3">
      <c r="A17" s="164">
        <v>45715</v>
      </c>
      <c r="B17" s="161" t="s">
        <v>532</v>
      </c>
      <c r="C17" s="6"/>
      <c r="D17" s="2">
        <v>376</v>
      </c>
      <c r="E17" s="2">
        <v>27</v>
      </c>
      <c r="F17" s="230"/>
      <c r="G17" s="230">
        <f t="shared" si="0"/>
        <v>403</v>
      </c>
      <c r="H17" s="233">
        <f t="shared" si="1"/>
        <v>403</v>
      </c>
      <c r="I17" s="240">
        <f>IF(T_T13411121314151617181920212223242526272829303132333536373839404142434445464748495051525354555657585960616263646566676869707172737475767778798081828384858687888990919293949596979899100101102103104105106107108109110111112113114115116117118119120[[#This Row],[Total]]&lt;0,T_T13411121314151617181920212223242526272829303132333536373839404142434445464748495051525354555657585960616263646566676869707172737475767778798081828384858687888990919293949596979899100101102103104105106107108109110111112113114115116117118119120[[#This Row],[Total]]*-1,0)</f>
        <v>0</v>
      </c>
      <c r="J17" s="240"/>
    </row>
    <row r="18" spans="1:12" x14ac:dyDescent="0.3">
      <c r="A18" s="187"/>
      <c r="B18" s="18" t="s">
        <v>533</v>
      </c>
      <c r="C18" s="6">
        <v>8681</v>
      </c>
      <c r="D18" s="2">
        <v>-376</v>
      </c>
      <c r="E18" s="2">
        <v>-27</v>
      </c>
      <c r="F18" s="230"/>
      <c r="G18" s="230">
        <f t="shared" si="0"/>
        <v>-403</v>
      </c>
      <c r="H18" s="233">
        <f t="shared" si="1"/>
        <v>0</v>
      </c>
      <c r="I18" s="240">
        <f>IF(T_T13411121314151617181920212223242526272829303132333536373839404142434445464748495051525354555657585960616263646566676869707172737475767778798081828384858687888990919293949596979899100101102103104105106107108109110111112113114115116117118119120[[#This Row],[Total]]&lt;0,T_T13411121314151617181920212223242526272829303132333536373839404142434445464748495051525354555657585960616263646566676869707172737475767778798081828384858687888990919293949596979899100101102103104105106107108109110111112113114115116117118119120[[#This Row],[Total]]*-1,0)</f>
        <v>403</v>
      </c>
      <c r="J18" s="240"/>
    </row>
    <row r="19" spans="1:12" x14ac:dyDescent="0.3">
      <c r="A19" s="188">
        <v>45747</v>
      </c>
      <c r="B19" s="3" t="s">
        <v>534</v>
      </c>
      <c r="C19" s="6"/>
      <c r="D19" s="2">
        <f>355+60+13</f>
        <v>428</v>
      </c>
      <c r="E19" s="2">
        <v>29</v>
      </c>
      <c r="F19" s="230"/>
      <c r="G19" s="230">
        <f t="shared" si="0"/>
        <v>457</v>
      </c>
      <c r="H19" s="233">
        <f t="shared" si="1"/>
        <v>457</v>
      </c>
      <c r="I19" s="240">
        <f>IF(T_T13411121314151617181920212223242526272829303132333536373839404142434445464748495051525354555657585960616263646566676869707172737475767778798081828384858687888990919293949596979899100101102103104105106107108109110111112113114115116117118119120[[#This Row],[Total]]&lt;0,T_T13411121314151617181920212223242526272829303132333536373839404142434445464748495051525354555657585960616263646566676869707172737475767778798081828384858687888990919293949596979899100101102103104105106107108109110111112113114115116117118119120[[#This Row],[Total]]*-1,0)</f>
        <v>0</v>
      </c>
      <c r="J19" s="240"/>
    </row>
    <row r="20" spans="1:12" x14ac:dyDescent="0.3">
      <c r="A20" s="188"/>
      <c r="B20" s="82" t="s">
        <v>535</v>
      </c>
      <c r="C20" s="6">
        <v>8792</v>
      </c>
      <c r="D20" s="2">
        <v>-428</v>
      </c>
      <c r="E20" s="2">
        <v>-29</v>
      </c>
      <c r="F20" s="230"/>
      <c r="G20" s="230">
        <f t="shared" si="0"/>
        <v>-457</v>
      </c>
      <c r="H20" s="233">
        <f t="shared" si="1"/>
        <v>0</v>
      </c>
      <c r="I20" s="239">
        <f>IF(T_T13411121314151617181920212223242526272829303132333536373839404142434445464748495051525354555657585960616263646566676869707172737475767778798081828384858687888990919293949596979899100101102103104105106107108109110111112113114115116117118119120[[#This Row],[Total]]&lt;0,T_T13411121314151617181920212223242526272829303132333536373839404142434445464748495051525354555657585960616263646566676869707172737475767778798081828384858687888990919293949596979899100101102103104105106107108109110111112113114115116117118119120[[#This Row],[Total]]*-1,0)</f>
        <v>457</v>
      </c>
      <c r="J20" s="239"/>
    </row>
    <row r="21" spans="1:12" x14ac:dyDescent="0.3">
      <c r="A21" s="188">
        <v>45777</v>
      </c>
      <c r="B21" s="3" t="s">
        <v>536</v>
      </c>
      <c r="C21" s="6"/>
      <c r="D21" s="2">
        <v>428</v>
      </c>
      <c r="E21" s="2">
        <v>90</v>
      </c>
      <c r="F21" s="230"/>
      <c r="G21" s="230">
        <f t="shared" si="0"/>
        <v>518</v>
      </c>
      <c r="H21" s="233">
        <f t="shared" si="1"/>
        <v>518</v>
      </c>
      <c r="I21" s="309">
        <f>IF(T_T13411121314151617181920212223242526272829303132333536373839404142434445464748495051525354555657585960616263646566676869707172737475767778798081828384858687888990919293949596979899100101102103104105106107108109110111112113114115116117118119120[[#This Row],[Total]]&lt;0,T_T13411121314151617181920212223242526272829303132333536373839404142434445464748495051525354555657585960616263646566676869707172737475767778798081828384858687888990919293949596979899100101102103104105106107108109110111112113114115116117118119120[[#This Row],[Total]]*-1,0)</f>
        <v>0</v>
      </c>
      <c r="J21" s="309"/>
    </row>
    <row r="22" spans="1:12" x14ac:dyDescent="0.3">
      <c r="A22" s="83"/>
      <c r="B22" s="82" t="s">
        <v>537</v>
      </c>
      <c r="C22" s="6">
        <v>8923</v>
      </c>
      <c r="D22" s="2">
        <f>-355-60-13</f>
        <v>-428</v>
      </c>
      <c r="E22" s="2">
        <v>-90</v>
      </c>
      <c r="F22" s="230"/>
      <c r="G22" s="230">
        <f t="shared" si="0"/>
        <v>-518</v>
      </c>
      <c r="H22" s="233">
        <f t="shared" si="1"/>
        <v>0</v>
      </c>
      <c r="I22" s="309">
        <f>IF(T_T13411121314151617181920212223242526272829303132333536373839404142434445464748495051525354555657585960616263646566676869707172737475767778798081828384858687888990919293949596979899100101102103104105106107108109110111112113114115116117118119120[[#This Row],[Total]]&lt;0,T_T13411121314151617181920212223242526272829303132333536373839404142434445464748495051525354555657585960616263646566676869707172737475767778798081828384858687888990919293949596979899100101102103104105106107108109110111112113114115116117118119120[[#This Row],[Total]]*-1,0)</f>
        <v>518</v>
      </c>
      <c r="J22" s="309"/>
    </row>
    <row r="23" spans="1:12" x14ac:dyDescent="0.3">
      <c r="A23" s="40">
        <v>45807</v>
      </c>
      <c r="B23" s="3" t="s">
        <v>538</v>
      </c>
      <c r="C23" s="229"/>
      <c r="D23" s="230">
        <v>428</v>
      </c>
      <c r="E23" s="230">
        <v>41</v>
      </c>
      <c r="F23" s="230"/>
      <c r="G23" s="230">
        <f t="shared" si="0"/>
        <v>469</v>
      </c>
      <c r="H23" s="233">
        <f t="shared" si="1"/>
        <v>469</v>
      </c>
      <c r="I23" s="309">
        <f>IF(T_T13411121314151617181920212223242526272829303132333536373839404142434445464748495051525354555657585960616263646566676869707172737475767778798081828384858687888990919293949596979899100101102103104105106107108109110111112113114115116117118119120[[#This Row],[Total]]&lt;0,T_T13411121314151617181920212223242526272829303132333536373839404142434445464748495051525354555657585960616263646566676869707172737475767778798081828384858687888990919293949596979899100101102103104105106107108109110111112113114115116117118119120[[#This Row],[Total]]*-1,0)</f>
        <v>0</v>
      </c>
      <c r="J23" s="309"/>
    </row>
    <row r="24" spans="1:12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469</v>
      </c>
      <c r="I24" s="311">
        <f>IF(T_T13411121314151617181920212223242526272829303132333536373839404142434445464748495051525354555657585960616263646566676869707172737475767778798081828384858687888990919293949596979899100101102103104105106107108109110111112113114115116117118119120[[#This Row],[Total]]&lt;0,T_T13411121314151617181920212223242526272829303132333536373839404142434445464748495051525354555657585960616263646566676869707172737475767778798081828384858687888990919293949596979899100101102103104105106107108109110111112113114115116117118119120[[#This Row],[Total]]*-1,0)</f>
        <v>0</v>
      </c>
      <c r="J24" s="311"/>
    </row>
    <row r="25" spans="1:12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469</v>
      </c>
      <c r="I25" s="309">
        <f>IF(T_T13411121314151617181920212223242526272829303132333536373839404142434445464748495051525354555657585960616263646566676869707172737475767778798081828384858687888990919293949596979899100101102103104105106107108109110111112113114115116117118119120[[#This Row],[Total]]&lt;0,T_T13411121314151617181920212223242526272829303132333536373839404142434445464748495051525354555657585960616263646566676869707172737475767778798081828384858687888990919293949596979899100101102103104105106107108109110111112113114115116117118119120[[#This Row],[Total]]*-1,0)</f>
        <v>0</v>
      </c>
      <c r="J25" s="309"/>
    </row>
    <row r="26" spans="1:12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469</v>
      </c>
      <c r="I26" s="309">
        <f>IF(T_T13411121314151617181920212223242526272829303132333536373839404142434445464748495051525354555657585960616263646566676869707172737475767778798081828384858687888990919293949596979899100101102103104105106107108109110111112113114115116117118119120[[#This Row],[Total]]&lt;0,T_T13411121314151617181920212223242526272829303132333536373839404142434445464748495051525354555657585960616263646566676869707172737475767778798081828384858687888990919293949596979899100101102103104105106107108109110111112113114115116117118119120[[#This Row],[Total]]*-1,0)</f>
        <v>0</v>
      </c>
      <c r="J26" s="309"/>
      <c r="L26" s="346"/>
    </row>
    <row r="27" spans="1:12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469</v>
      </c>
      <c r="I27" s="309">
        <f>IF(T_T13411121314151617181920212223242526272829303132333536373839404142434445464748495051525354555657585960616263646566676869707172737475767778798081828384858687888990919293949596979899100101102103104105106107108109110111112113114115116117118119120[[#This Row],[Total]]&lt;0,T_T13411121314151617181920212223242526272829303132333536373839404142434445464748495051525354555657585960616263646566676869707172737475767778798081828384858687888990919293949596979899100101102103104105106107108109110111112113114115116117118119120[[#This Row],[Total]]*-1,0)</f>
        <v>0</v>
      </c>
      <c r="J27" s="309"/>
    </row>
    <row r="28" spans="1:12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469</v>
      </c>
      <c r="I28" s="309">
        <f>IF(T_T13411121314151617181920212223242526272829303132333536373839404142434445464748495051525354555657585960616263646566676869707172737475767778798081828384858687888990919293949596979899100101102103104105106107108109110111112113114115116117118119120[[#This Row],[Total]]&lt;0,T_T13411121314151617181920212223242526272829303132333536373839404142434445464748495051525354555657585960616263646566676869707172737475767778798081828384858687888990919293949596979899100101102103104105106107108109110111112113114115116117118119120[[#This Row],[Total]]*-1,0)</f>
        <v>0</v>
      </c>
      <c r="J28" s="309"/>
    </row>
    <row r="29" spans="1:12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469</v>
      </c>
      <c r="I29" s="309">
        <f>IF(T_T13411121314151617181920212223242526272829303132333536373839404142434445464748495051525354555657585960616263646566676869707172737475767778798081828384858687888990919293949596979899100101102103104105106107108109110111112113114115116117118119120[[#This Row],[Total]]&lt;0,T_T13411121314151617181920212223242526272829303132333536373839404142434445464748495051525354555657585960616263646566676869707172737475767778798081828384858687888990919293949596979899100101102103104105106107108109110111112113114115116117118119120[[#This Row],[Total]]*-1,0)</f>
        <v>0</v>
      </c>
      <c r="J29" s="309"/>
    </row>
    <row r="30" spans="1:12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469</v>
      </c>
      <c r="I30" s="311">
        <f>IF(T_T13411121314151617181920212223242526272829303132333536373839404142434445464748495051525354555657585960616263646566676869707172737475767778798081828384858687888990919293949596979899100101102103104105106107108109110111112113114115116117118119120[[#This Row],[Total]]&lt;0,T_T13411121314151617181920212223242526272829303132333536373839404142434445464748495051525354555657585960616263646566676869707172737475767778798081828384858687888990919293949596979899100101102103104105106107108109110111112113114115116117118119120[[#This Row],[Total]]*-1,0)</f>
        <v>0</v>
      </c>
      <c r="J30" s="311"/>
    </row>
    <row r="31" spans="1:12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469</v>
      </c>
      <c r="I31" s="309">
        <f>IF(T_T13411121314151617181920212223242526272829303132333536373839404142434445464748495051525354555657585960616263646566676869707172737475767778798081828384858687888990919293949596979899100101102103104105106107108109110111112113114115116117118119120[[#This Row],[Total]]&lt;0,T_T13411121314151617181920212223242526272829303132333536373839404142434445464748495051525354555657585960616263646566676869707172737475767778798081828384858687888990919293949596979899100101102103104105106107108109110111112113114115116117118119120[[#This Row],[Total]]*-1,0)</f>
        <v>0</v>
      </c>
      <c r="J31" s="309"/>
    </row>
    <row r="32" spans="1:12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469</v>
      </c>
      <c r="I32" s="309">
        <f>IF(T_T13411121314151617181920212223242526272829303132333536373839404142434445464748495051525354555657585960616263646566676869707172737475767778798081828384858687888990919293949596979899100101102103104105106107108109110111112113114115116117118119120[[#This Row],[Total]]&lt;0,T_T13411121314151617181920212223242526272829303132333536373839404142434445464748495051525354555657585960616263646566676869707172737475767778798081828384858687888990919293949596979899100101102103104105106107108109110111112113114115116117118119120[[#This Row],[Total]]*-1,0)</f>
        <v>0</v>
      </c>
      <c r="J32" s="309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469</v>
      </c>
      <c r="I33" s="309">
        <f>IF(T_T13411121314151617181920212223242526272829303132333536373839404142434445464748495051525354555657585960616263646566676869707172737475767778798081828384858687888990919293949596979899100101102103104105106107108109110111112113114115116117118119120[[#This Row],[Total]]&lt;0,T_T13411121314151617181920212223242526272829303132333536373839404142434445464748495051525354555657585960616263646566676869707172737475767778798081828384858687888990919293949596979899100101102103104105106107108109110111112113114115116117118119120[[#This Row],[Total]]*-1,0)</f>
        <v>0</v>
      </c>
      <c r="J33" s="309"/>
    </row>
    <row r="34" spans="1:10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469</v>
      </c>
      <c r="I34" s="309">
        <f>IF(T_T13411121314151617181920212223242526272829303132333536373839404142434445464748495051525354555657585960616263646566676869707172737475767778798081828384858687888990919293949596979899100101102103104105106107108109110111112113114115116117118119120[[#This Row],[Total]]&lt;0,T_T13411121314151617181920212223242526272829303132333536373839404142434445464748495051525354555657585960616263646566676869707172737475767778798081828384858687888990919293949596979899100101102103104105106107108109110111112113114115116117118119120[[#This Row],[Total]]*-1,0)</f>
        <v>0</v>
      </c>
      <c r="J34" s="309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469</v>
      </c>
      <c r="I35" s="309">
        <f>IF(T_T13411121314151617181920212223242526272829303132333536373839404142434445464748495051525354555657585960616263646566676869707172737475767778798081828384858687888990919293949596979899100101102103104105106107108109110111112113114115116117118119120[[#This Row],[Total]]&lt;0,T_T13411121314151617181920212223242526272829303132333536373839404142434445464748495051525354555657585960616263646566676869707172737475767778798081828384858687888990919293949596979899100101102103104105106107108109110111112113114115116117118119120[[#This Row],[Total]]*-1,0)</f>
        <v>0</v>
      </c>
      <c r="J35" s="309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469</v>
      </c>
      <c r="I36" s="309">
        <f>IF(T_T13411121314151617181920212223242526272829303132333536373839404142434445464748495051525354555657585960616263646566676869707172737475767778798081828384858687888990919293949596979899100101102103104105106107108109110111112113114115116117118119120[[#This Row],[Total]]&lt;0,T_T13411121314151617181920212223242526272829303132333536373839404142434445464748495051525354555657585960616263646566676869707172737475767778798081828384858687888990919293949596979899100101102103104105106107108109110111112113114115116117118119120[[#This Row],[Total]]*-1,0)</f>
        <v>0</v>
      </c>
      <c r="J36" s="309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469</v>
      </c>
      <c r="I37" s="309">
        <f>IF(T_T13411121314151617181920212223242526272829303132333536373839404142434445464748495051525354555657585960616263646566676869707172737475767778798081828384858687888990919293949596979899100101102103104105106107108109110111112113114115116117118119120[[#This Row],[Total]]&lt;0,T_T13411121314151617181920212223242526272829303132333536373839404142434445464748495051525354555657585960616263646566676869707172737475767778798081828384858687888990919293949596979899100101102103104105106107108109110111112113114115116117118119120[[#This Row],[Total]]*-1,0)</f>
        <v>0</v>
      </c>
      <c r="J37" s="309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469</v>
      </c>
      <c r="I38" s="311">
        <f>IF(T_T13411121314151617181920212223242526272829303132333536373839404142434445464748495051525354555657585960616263646566676869707172737475767778798081828384858687888990919293949596979899100101102103104105106107108109110111112113114115116117118119120[[#This Row],[Total]]&lt;0,T_T13411121314151617181920212223242526272829303132333536373839404142434445464748495051525354555657585960616263646566676869707172737475767778798081828384858687888990919293949596979899100101102103104105106107108109110111112113114115116117118119120[[#This Row],[Total]]*-1,0)</f>
        <v>0</v>
      </c>
      <c r="J38" s="311"/>
    </row>
    <row r="39" spans="1:10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469</v>
      </c>
      <c r="I39" s="353">
        <f>IF(T_T13411121314151617181920212223242526272829303132333536373839404142434445464748495051525354555657585960616263646566676869707172737475767778798081828384858687888990919293949596979899100101102103104105106107108109110111112113114115116117118119120[[#This Row],[Total]]&lt;0,T_T13411121314151617181920212223242526272829303132333536373839404142434445464748495051525354555657585960616263646566676869707172737475767778798081828384858687888990919293949596979899100101102103104105106107108109110111112113114115116117118119120[[#This Row],[Total]]*-1,0)</f>
        <v>0</v>
      </c>
      <c r="J39" s="353"/>
    </row>
    <row r="40" spans="1:10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469</v>
      </c>
      <c r="I40" s="353">
        <f>IF(T_T13411121314151617181920212223242526272829303132333536373839404142434445464748495051525354555657585960616263646566676869707172737475767778798081828384858687888990919293949596979899100101102103104105106107108109110111112113114115116117118119120[[#This Row],[Total]]&lt;0,T_T13411121314151617181920212223242526272829303132333536373839404142434445464748495051525354555657585960616263646566676869707172737475767778798081828384858687888990919293949596979899100101102103104105106107108109110111112113114115116117118119120[[#This Row],[Total]]*-1,0)</f>
        <v>0</v>
      </c>
      <c r="J40" s="353"/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orientation="portrait" verticalDpi="360" r:id="rId2"/>
  <drawing r:id="rId3"/>
  <tableParts count="1">
    <tablePart r:id="rId4"/>
  </tablePart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2:K42"/>
  <sheetViews>
    <sheetView showGridLines="0" zoomScale="98" zoomScaleNormal="98" workbookViewId="0">
      <selection activeCell="E21" sqref="E21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0.6640625" bestFit="1" customWidth="1"/>
    <col min="14" max="14" width="15.109375" customWidth="1"/>
  </cols>
  <sheetData>
    <row r="2" spans="1:11" ht="14.25" customHeight="1" x14ac:dyDescent="0.3">
      <c r="A2" s="27" t="s">
        <v>36</v>
      </c>
      <c r="B2" s="41" t="s">
        <v>169</v>
      </c>
    </row>
    <row r="3" spans="1:11" hidden="1" x14ac:dyDescent="0.3">
      <c r="A3" s="27" t="s">
        <v>31</v>
      </c>
      <c r="B3" s="28" t="e">
        <f>LOOKUP(B2,#REF!,#REF!)</f>
        <v>#REF!</v>
      </c>
    </row>
    <row r="4" spans="1:11" hidden="1" x14ac:dyDescent="0.3">
      <c r="A4" s="27" t="s">
        <v>32</v>
      </c>
      <c r="B4" s="28" t="e">
        <f>LOOKUP(B2,#REF!,#REF!)</f>
        <v>#REF!</v>
      </c>
    </row>
    <row r="5" spans="1:11" hidden="1" x14ac:dyDescent="0.3">
      <c r="A5" s="27" t="s">
        <v>33</v>
      </c>
      <c r="B5" s="28" t="e">
        <f>LOOKUP(B2,#REF!,#REF!)</f>
        <v>#REF!</v>
      </c>
    </row>
    <row r="6" spans="1:11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1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1" x14ac:dyDescent="0.3">
      <c r="A8" s="21"/>
      <c r="B8" s="21" t="s">
        <v>224</v>
      </c>
    </row>
    <row r="9" spans="1:11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11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292">
        <f>IF(T_T13411121314151617181920212223242526272829303132333536373839404142434445464748495051525354555657585960616263646566676869707172737475767778798081828384858687888990919293949596979899100101102103104105106107108109110111112113114115116117118119120121[[#This Row],[Total]]&lt;0,T_T13411121314151617181920212223242526272829303132333536373839404142434445464748495051525354555657585960616263646566676869707172737475767778798081828384858687888990919293949596979899100101102103104105106107108109110111112113114115116117118119120121[[#This Row],[Total]]*-1,0)</f>
        <v>0</v>
      </c>
    </row>
    <row r="11" spans="1:11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IF(T_T13411121314151617181920212223242526272829303132333536373839404142434445464748495051525354555657585960616263646566676869707172737475767778798081828384858687888990919293949596979899100101102103104105106107108109110111112113114115116117118119120121[[#This Row],[Total]]&lt;0,T_T13411121314151617181920212223242526272829303132333536373839404142434445464748495051525354555657585960616263646566676869707172737475767778798081828384858687888990919293949596979899100101102103104105106107108109110111112113114115116117118119120121[[#This Row],[Total]]*-1,0)</f>
        <v>0</v>
      </c>
    </row>
    <row r="12" spans="1:11" x14ac:dyDescent="0.3">
      <c r="A12" s="361"/>
      <c r="B12" s="118" t="s">
        <v>467</v>
      </c>
      <c r="C12" s="284"/>
      <c r="D12" s="285"/>
      <c r="E12" s="285"/>
      <c r="F12" s="285"/>
      <c r="G12" s="285"/>
      <c r="H12" s="10">
        <v>0</v>
      </c>
      <c r="I12" s="51">
        <f>IF(T_T13411121314151617181920212223242526272829303132333536373839404142434445464748495051525354555657585960616263646566676869707172737475767778798081828384858687888990919293949596979899100101102103104105106107108109110111112113114115116117118119120121[[#This Row],[Total]]&lt;0,T_T13411121314151617181920212223242526272829303132333536373839404142434445464748495051525354555657585960616263646566676869707172737475767778798081828384858687888990919293949596979899100101102103104105106107108109110111112113114115116117118119120121[[#This Row],[Total]]*-1,0)</f>
        <v>0</v>
      </c>
    </row>
    <row r="13" spans="1:11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IF(T_T13411121314151617181920212223242526272829303132333536373839404142434445464748495051525354555657585960616263646566676869707172737475767778798081828384858687888990919293949596979899100101102103104105106107108109110111112113114115116117118119120121[[#This Row],[Total]]&lt;0,T_T13411121314151617181920212223242526272829303132333536373839404142434445464748495051525354555657585960616263646566676869707172737475767778798081828384858687888990919293949596979899100101102103104105106107108109110111112113114115116117118119120121[[#This Row],[Total]]*-1,0)</f>
        <v>0</v>
      </c>
    </row>
    <row r="14" spans="1:11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IF(T_T13411121314151617181920212223242526272829303132333536373839404142434445464748495051525354555657585960616263646566676869707172737475767778798081828384858687888990919293949596979899100101102103104105106107108109110111112113114115116117118119120121[[#This Row],[Total]]&lt;0,T_T13411121314151617181920212223242526272829303132333536373839404142434445464748495051525354555657585960616263646566676869707172737475767778798081828384858687888990919293949596979899100101102103104105106107108109110111112113114115116117118119120121[[#This Row],[Total]]*-1,0)</f>
        <v>0</v>
      </c>
    </row>
    <row r="15" spans="1:11" x14ac:dyDescent="0.3">
      <c r="A15" s="17">
        <v>46052</v>
      </c>
      <c r="B15" s="18" t="s">
        <v>590</v>
      </c>
      <c r="C15" s="6"/>
      <c r="D15" s="2">
        <v>101</v>
      </c>
      <c r="E15" s="2">
        <v>15</v>
      </c>
      <c r="F15" s="20"/>
      <c r="G15" s="20">
        <f>SUM(D15:F15)</f>
        <v>116</v>
      </c>
      <c r="H15" s="233">
        <f>+H13+T_T13411121314151617181920212223242526272829303132333536373839404142434445464748495051525354555657585960616263646566676869707172737475767778798081828384858687888990919293949596979899100101102103104105106107108109110111112113114115116117118119120121[[#This Row],[Total]]</f>
        <v>116</v>
      </c>
      <c r="I15" s="240">
        <f>IF(T_T13411121314151617181920212223242526272829303132333536373839404142434445464748495051525354555657585960616263646566676869707172737475767778798081828384858687888990919293949596979899100101102103104105106107108109110111112113114115116117118119120121[[#This Row],[Total]]&lt;0,T_T13411121314151617181920212223242526272829303132333536373839404142434445464748495051525354555657585960616263646566676869707172737475767778798081828384858687888990919293949596979899100101102103104105106107108109110111112113114115116117118119120121[[#This Row],[Total]]*-1,0)</f>
        <v>0</v>
      </c>
      <c r="K15" t="s">
        <v>568</v>
      </c>
    </row>
    <row r="16" spans="1:11" x14ac:dyDescent="0.3">
      <c r="A16" s="17"/>
      <c r="B16" s="18" t="s">
        <v>591</v>
      </c>
      <c r="C16" s="6">
        <v>8967</v>
      </c>
      <c r="D16" s="2">
        <v>-101</v>
      </c>
      <c r="E16" s="2">
        <v>-15</v>
      </c>
      <c r="F16" s="230"/>
      <c r="G16" s="230">
        <f t="shared" ref="G16:G40" si="0">SUM(D16:F16)</f>
        <v>-116</v>
      </c>
      <c r="H16" s="233">
        <f t="shared" ref="H16:H42" si="1">H15+G16</f>
        <v>0</v>
      </c>
      <c r="I16" s="240">
        <f>IF(T_T13411121314151617181920212223242526272829303132333536373839404142434445464748495051525354555657585960616263646566676869707172737475767778798081828384858687888990919293949596979899100101102103104105106107108109110111112113114115116117118119120121[[#This Row],[Total]]&lt;0,T_T13411121314151617181920212223242526272829303132333536373839404142434445464748495051525354555657585960616263646566676869707172737475767778798081828384858687888990919293949596979899100101102103104105106107108109110111112113114115116117118119120121[[#This Row],[Total]]*-1,0)</f>
        <v>116</v>
      </c>
    </row>
    <row r="17" spans="1:9" x14ac:dyDescent="0.3">
      <c r="A17" s="164">
        <v>45715</v>
      </c>
      <c r="B17" s="161" t="s">
        <v>532</v>
      </c>
      <c r="C17" s="6"/>
      <c r="D17" s="2">
        <v>101</v>
      </c>
      <c r="E17" s="2">
        <v>17</v>
      </c>
      <c r="F17" s="230"/>
      <c r="G17" s="230">
        <f t="shared" si="0"/>
        <v>118</v>
      </c>
      <c r="H17" s="233">
        <f t="shared" si="1"/>
        <v>118</v>
      </c>
      <c r="I17" s="240">
        <f>IF(T_T13411121314151617181920212223242526272829303132333536373839404142434445464748495051525354555657585960616263646566676869707172737475767778798081828384858687888990919293949596979899100101102103104105106107108109110111112113114115116117118119120121[[#This Row],[Total]]&lt;0,T_T13411121314151617181920212223242526272829303132333536373839404142434445464748495051525354555657585960616263646566676869707172737475767778798081828384858687888990919293949596979899100101102103104105106107108109110111112113114115116117118119120121[[#This Row],[Total]]*-1,0)</f>
        <v>0</v>
      </c>
    </row>
    <row r="18" spans="1:9" x14ac:dyDescent="0.3">
      <c r="A18" s="187"/>
      <c r="B18" s="18" t="s">
        <v>533</v>
      </c>
      <c r="C18" s="6">
        <v>8967</v>
      </c>
      <c r="D18" s="2">
        <v>-101</v>
      </c>
      <c r="E18" s="2">
        <v>-17</v>
      </c>
      <c r="F18" s="230"/>
      <c r="G18" s="230">
        <f t="shared" si="0"/>
        <v>-118</v>
      </c>
      <c r="H18" s="233">
        <f t="shared" si="1"/>
        <v>0</v>
      </c>
      <c r="I18" s="239">
        <f>IF(T_T13411121314151617181920212223242526272829303132333536373839404142434445464748495051525354555657585960616263646566676869707172737475767778798081828384858687888990919293949596979899100101102103104105106107108109110111112113114115116117118119120121[[#This Row],[Total]]&lt;0,T_T13411121314151617181920212223242526272829303132333536373839404142434445464748495051525354555657585960616263646566676869707172737475767778798081828384858687888990919293949596979899100101102103104105106107108109110111112113114115116117118119120121[[#This Row],[Total]]*-1,0)</f>
        <v>118</v>
      </c>
    </row>
    <row r="19" spans="1:9" x14ac:dyDescent="0.3">
      <c r="A19" s="188">
        <v>45747</v>
      </c>
      <c r="B19" s="3" t="s">
        <v>534</v>
      </c>
      <c r="C19" s="6"/>
      <c r="D19" s="2">
        <v>115</v>
      </c>
      <c r="E19" s="2">
        <v>14</v>
      </c>
      <c r="F19" s="230"/>
      <c r="G19" s="230">
        <f t="shared" si="0"/>
        <v>129</v>
      </c>
      <c r="H19" s="233">
        <f t="shared" si="1"/>
        <v>129</v>
      </c>
      <c r="I19" s="240">
        <f>IF(T_T13411121314151617181920212223242526272829303132333536373839404142434445464748495051525354555657585960616263646566676869707172737475767778798081828384858687888990919293949596979899100101102103104105106107108109110111112113114115116117118119120121[[#This Row],[Total]]&lt;0,T_T13411121314151617181920212223242526272829303132333536373839404142434445464748495051525354555657585960616263646566676869707172737475767778798081828384858687888990919293949596979899100101102103104105106107108109110111112113114115116117118119120121[[#This Row],[Total]]*-1,0)</f>
        <v>0</v>
      </c>
    </row>
    <row r="20" spans="1:9" x14ac:dyDescent="0.3">
      <c r="A20" s="188"/>
      <c r="B20" s="82" t="s">
        <v>535</v>
      </c>
      <c r="C20" s="6">
        <v>8967</v>
      </c>
      <c r="D20" s="2">
        <v>-115</v>
      </c>
      <c r="E20" s="2">
        <v>-14</v>
      </c>
      <c r="F20" s="230"/>
      <c r="G20" s="230">
        <f t="shared" si="0"/>
        <v>-129</v>
      </c>
      <c r="H20" s="233">
        <f t="shared" si="1"/>
        <v>0</v>
      </c>
      <c r="I20" s="240">
        <f>IF(T_T13411121314151617181920212223242526272829303132333536373839404142434445464748495051525354555657585960616263646566676869707172737475767778798081828384858687888990919293949596979899100101102103104105106107108109110111112113114115116117118119120121[[#This Row],[Total]]&lt;0,T_T13411121314151617181920212223242526272829303132333536373839404142434445464748495051525354555657585960616263646566676869707172737475767778798081828384858687888990919293949596979899100101102103104105106107108109110111112113114115116117118119120121[[#This Row],[Total]]*-1,0)</f>
        <v>129</v>
      </c>
    </row>
    <row r="21" spans="1:9" x14ac:dyDescent="0.3">
      <c r="A21" s="188">
        <v>45777</v>
      </c>
      <c r="B21" s="3" t="s">
        <v>536</v>
      </c>
      <c r="C21" s="6"/>
      <c r="D21" s="2">
        <v>115</v>
      </c>
      <c r="E21" s="2">
        <v>17</v>
      </c>
      <c r="F21" s="230"/>
      <c r="G21" s="230">
        <f t="shared" si="0"/>
        <v>132</v>
      </c>
      <c r="H21" s="233">
        <f t="shared" si="1"/>
        <v>132</v>
      </c>
      <c r="I21" s="240">
        <f>IF(T_T13411121314151617181920212223242526272829303132333536373839404142434445464748495051525354555657585960616263646566676869707172737475767778798081828384858687888990919293949596979899100101102103104105106107108109110111112113114115116117118119120121[[#This Row],[Total]]&lt;0,T_T13411121314151617181920212223242526272829303132333536373839404142434445464748495051525354555657585960616263646566676869707172737475767778798081828384858687888990919293949596979899100101102103104105106107108109110111112113114115116117118119120121[[#This Row],[Total]]*-1,0)</f>
        <v>0</v>
      </c>
    </row>
    <row r="22" spans="1:9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132</v>
      </c>
      <c r="I22" s="239">
        <f>IF(T_T13411121314151617181920212223242526272829303132333536373839404142434445464748495051525354555657585960616263646566676869707172737475767778798081828384858687888990919293949596979899100101102103104105106107108109110111112113114115116117118119120121[[#This Row],[Total]]&lt;0,T_T13411121314151617181920212223242526272829303132333536373839404142434445464748495051525354555657585960616263646566676869707172737475767778798081828384858687888990919293949596979899100101102103104105106107108109110111112113114115116117118119120121[[#This Row],[Total]]*-1,0)</f>
        <v>0</v>
      </c>
    </row>
    <row r="23" spans="1:9" x14ac:dyDescent="0.3">
      <c r="A23" s="40">
        <v>45807</v>
      </c>
      <c r="B23" s="3" t="s">
        <v>538</v>
      </c>
      <c r="C23" s="229"/>
      <c r="D23" s="230">
        <v>115</v>
      </c>
      <c r="E23" s="230">
        <v>14</v>
      </c>
      <c r="F23" s="230"/>
      <c r="G23" s="230">
        <f t="shared" si="0"/>
        <v>129</v>
      </c>
      <c r="H23" s="233">
        <f t="shared" si="1"/>
        <v>261</v>
      </c>
      <c r="I23" s="309">
        <f>IF(T_T13411121314151617181920212223242526272829303132333536373839404142434445464748495051525354555657585960616263646566676869707172737475767778798081828384858687888990919293949596979899100101102103104105106107108109110111112113114115116117118119120121[[#This Row],[Total]]&lt;0,T_T13411121314151617181920212223242526272829303132333536373839404142434445464748495051525354555657585960616263646566676869707172737475767778798081828384858687888990919293949596979899100101102103104105106107108109110111112113114115116117118119120121[[#This Row],[Total]]*-1,0)</f>
        <v>0</v>
      </c>
    </row>
    <row r="24" spans="1:9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261</v>
      </c>
      <c r="I24" s="309">
        <f>IF(T_T13411121314151617181920212223242526272829303132333536373839404142434445464748495051525354555657585960616263646566676869707172737475767778798081828384858687888990919293949596979899100101102103104105106107108109110111112113114115116117118119120121[[#This Row],[Total]]&lt;0,T_T13411121314151617181920212223242526272829303132333536373839404142434445464748495051525354555657585960616263646566676869707172737475767778798081828384858687888990919293949596979899100101102103104105106107108109110111112113114115116117118119120121[[#This Row],[Total]]*-1,0)</f>
        <v>0</v>
      </c>
    </row>
    <row r="25" spans="1:9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261</v>
      </c>
      <c r="I25" s="309">
        <f>IF(T_T13411121314151617181920212223242526272829303132333536373839404142434445464748495051525354555657585960616263646566676869707172737475767778798081828384858687888990919293949596979899100101102103104105106107108109110111112113114115116117118119120121[[#This Row],[Total]]&lt;0,T_T13411121314151617181920212223242526272829303132333536373839404142434445464748495051525354555657585960616263646566676869707172737475767778798081828384858687888990919293949596979899100101102103104105106107108109110111112113114115116117118119120121[[#This Row],[Total]]*-1,0)</f>
        <v>0</v>
      </c>
    </row>
    <row r="26" spans="1:9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261</v>
      </c>
      <c r="I26" s="311">
        <f>IF(T_T13411121314151617181920212223242526272829303132333536373839404142434445464748495051525354555657585960616263646566676869707172737475767778798081828384858687888990919293949596979899100101102103104105106107108109110111112113114115116117118119120121[[#This Row],[Total]]&lt;0,T_T13411121314151617181920212223242526272829303132333536373839404142434445464748495051525354555657585960616263646566676869707172737475767778798081828384858687888990919293949596979899100101102103104105106107108109110111112113114115116117118119120121[[#This Row],[Total]]*-1,0)</f>
        <v>0</v>
      </c>
    </row>
    <row r="27" spans="1:9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261</v>
      </c>
      <c r="I27" s="309">
        <f>IF(T_T13411121314151617181920212223242526272829303132333536373839404142434445464748495051525354555657585960616263646566676869707172737475767778798081828384858687888990919293949596979899100101102103104105106107108109110111112113114115116117118119120121[[#This Row],[Total]]&lt;0,T_T13411121314151617181920212223242526272829303132333536373839404142434445464748495051525354555657585960616263646566676869707172737475767778798081828384858687888990919293949596979899100101102103104105106107108109110111112113114115116117118119120121[[#This Row],[Total]]*-1,0)</f>
        <v>0</v>
      </c>
    </row>
    <row r="28" spans="1:9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261</v>
      </c>
      <c r="I28" s="309">
        <f>IF(T_T13411121314151617181920212223242526272829303132333536373839404142434445464748495051525354555657585960616263646566676869707172737475767778798081828384858687888990919293949596979899100101102103104105106107108109110111112113114115116117118119120121[[#This Row],[Total]]&lt;0,T_T13411121314151617181920212223242526272829303132333536373839404142434445464748495051525354555657585960616263646566676869707172737475767778798081828384858687888990919293949596979899100101102103104105106107108109110111112113114115116117118119120121[[#This Row],[Total]]*-1,0)</f>
        <v>0</v>
      </c>
    </row>
    <row r="29" spans="1:9" x14ac:dyDescent="0.3">
      <c r="A29" s="107">
        <v>45899</v>
      </c>
      <c r="B29" s="82" t="s">
        <v>544</v>
      </c>
      <c r="C29" s="6"/>
      <c r="D29" s="7"/>
      <c r="E29" s="7"/>
      <c r="F29" s="7"/>
      <c r="G29" s="230">
        <f t="shared" si="0"/>
        <v>0</v>
      </c>
      <c r="H29" s="233">
        <f t="shared" si="1"/>
        <v>261</v>
      </c>
      <c r="I29" s="51">
        <f>IF(T_T13411121314151617181920212223242526272829303132333536373839404142434445464748495051525354555657585960616263646566676869707172737475767778798081828384858687888990919293949596979899100101102103104105106107108109110111112113114115116117118119120121[[#This Row],[Total]]&lt;0,T_T13411121314151617181920212223242526272829303132333536373839404142434445464748495051525354555657585960616263646566676869707172737475767778798081828384858687888990919293949596979899100101102103104105106107108109110111112113114115116117118119120121[[#This Row],[Total]]*-1,0)</f>
        <v>0</v>
      </c>
    </row>
    <row r="30" spans="1:9" x14ac:dyDescent="0.3">
      <c r="A30" s="107"/>
      <c r="B30" s="82" t="s">
        <v>545</v>
      </c>
      <c r="C30" s="6"/>
      <c r="D30" s="7"/>
      <c r="E30" s="7"/>
      <c r="F30" s="7"/>
      <c r="G30" s="230">
        <f t="shared" si="0"/>
        <v>0</v>
      </c>
      <c r="H30" s="233">
        <f t="shared" si="1"/>
        <v>261</v>
      </c>
      <c r="I30" s="51">
        <f>IF(T_T13411121314151617181920212223242526272829303132333536373839404142434445464748495051525354555657585960616263646566676869707172737475767778798081828384858687888990919293949596979899100101102103104105106107108109110111112113114115116117118119120121[[#This Row],[Total]]&lt;0,T_T13411121314151617181920212223242526272829303132333536373839404142434445464748495051525354555657585960616263646566676869707172737475767778798081828384858687888990919293949596979899100101102103104105106107108109110111112113114115116117118119120121[[#This Row],[Total]]*-1,0)</f>
        <v>0</v>
      </c>
    </row>
    <row r="31" spans="1:9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261</v>
      </c>
      <c r="I31" s="309">
        <f>IF(T_T13411121314151617181920212223242526272829303132333536373839404142434445464748495051525354555657585960616263646566676869707172737475767778798081828384858687888990919293949596979899100101102103104105106107108109110111112113114115116117118119120121[[#This Row],[Total]]&lt;0,T_T13411121314151617181920212223242526272829303132333536373839404142434445464748495051525354555657585960616263646566676869707172737475767778798081828384858687888990919293949596979899100101102103104105106107108109110111112113114115116117118119120121[[#This Row],[Total]]*-1,0)</f>
        <v>0</v>
      </c>
    </row>
    <row r="32" spans="1:9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261</v>
      </c>
      <c r="I32" s="311">
        <f>IF(T_T13411121314151617181920212223242526272829303132333536373839404142434445464748495051525354555657585960616263646566676869707172737475767778798081828384858687888990919293949596979899100101102103104105106107108109110111112113114115116117118119120121[[#This Row],[Total]]&lt;0,T_T13411121314151617181920212223242526272829303132333536373839404142434445464748495051525354555657585960616263646566676869707172737475767778798081828384858687888990919293949596979899100101102103104105106107108109110111112113114115116117118119120121[[#This Row],[Total]]*-1,0)</f>
        <v>0</v>
      </c>
    </row>
    <row r="33" spans="1:9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261</v>
      </c>
      <c r="I33" s="309">
        <f>IF(T_T13411121314151617181920212223242526272829303132333536373839404142434445464748495051525354555657585960616263646566676869707172737475767778798081828384858687888990919293949596979899100101102103104105106107108109110111112113114115116117118119120121[[#This Row],[Total]]&lt;0,T_T13411121314151617181920212223242526272829303132333536373839404142434445464748495051525354555657585960616263646566676869707172737475767778798081828384858687888990919293949596979899100101102103104105106107108109110111112113114115116117118119120121[[#This Row],[Total]]*-1,0)</f>
        <v>0</v>
      </c>
    </row>
    <row r="34" spans="1:9" x14ac:dyDescent="0.3">
      <c r="A34" s="9"/>
      <c r="B34" s="3" t="s">
        <v>549</v>
      </c>
      <c r="C34" s="6"/>
      <c r="D34" s="230"/>
      <c r="E34" s="7"/>
      <c r="F34" s="230"/>
      <c r="G34" s="230">
        <f t="shared" si="0"/>
        <v>0</v>
      </c>
      <c r="H34" s="233">
        <f t="shared" si="1"/>
        <v>261</v>
      </c>
      <c r="I34" s="309">
        <f>IF(T_T13411121314151617181920212223242526272829303132333536373839404142434445464748495051525354555657585960616263646566676869707172737475767778798081828384858687888990919293949596979899100101102103104105106107108109110111112113114115116117118119120121[[#This Row],[Total]]&lt;0,T_T13411121314151617181920212223242526272829303132333536373839404142434445464748495051525354555657585960616263646566676869707172737475767778798081828384858687888990919293949596979899100101102103104105106107108109110111112113114115116117118119120121[[#This Row],[Total]]*-1,0)</f>
        <v>0</v>
      </c>
    </row>
    <row r="35" spans="1:9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261</v>
      </c>
      <c r="I35" s="309">
        <f>IF(T_T13411121314151617181920212223242526272829303132333536373839404142434445464748495051525354555657585960616263646566676869707172737475767778798081828384858687888990919293949596979899100101102103104105106107108109110111112113114115116117118119120121[[#This Row],[Total]]&lt;0,T_T13411121314151617181920212223242526272829303132333536373839404142434445464748495051525354555657585960616263646566676869707172737475767778798081828384858687888990919293949596979899100101102103104105106107108109110111112113114115116117118119120121[[#This Row],[Total]]*-1,0)</f>
        <v>0</v>
      </c>
    </row>
    <row r="36" spans="1:9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261</v>
      </c>
      <c r="I36" s="309">
        <f>IF(T_T13411121314151617181920212223242526272829303132333536373839404142434445464748495051525354555657585960616263646566676869707172737475767778798081828384858687888990919293949596979899100101102103104105106107108109110111112113114115116117118119120121[[#This Row],[Total]]&lt;0,T_T13411121314151617181920212223242526272829303132333536373839404142434445464748495051525354555657585960616263646566676869707172737475767778798081828384858687888990919293949596979899100101102103104105106107108109110111112113114115116117118119120121[[#This Row],[Total]]*-1,0)</f>
        <v>0</v>
      </c>
    </row>
    <row r="37" spans="1:9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261</v>
      </c>
      <c r="I37" s="309">
        <f>IF(T_T13411121314151617181920212223242526272829303132333536373839404142434445464748495051525354555657585960616263646566676869707172737475767778798081828384858687888990919293949596979899100101102103104105106107108109110111112113114115116117118119120121[[#This Row],[Total]]&lt;0,T_T13411121314151617181920212223242526272829303132333536373839404142434445464748495051525354555657585960616263646566676869707172737475767778798081828384858687888990919293949596979899100101102103104105106107108109110111112113114115116117118119120121[[#This Row],[Total]]*-1,0)</f>
        <v>0</v>
      </c>
    </row>
    <row r="38" spans="1:9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261</v>
      </c>
      <c r="I38" s="309">
        <f>IF(T_T13411121314151617181920212223242526272829303132333536373839404142434445464748495051525354555657585960616263646566676869707172737475767778798081828384858687888990919293949596979899100101102103104105106107108109110111112113114115116117118119120121[[#This Row],[Total]]&lt;0,T_T13411121314151617181920212223242526272829303132333536373839404142434445464748495051525354555657585960616263646566676869707172737475767778798081828384858687888990919293949596979899100101102103104105106107108109110111112113114115116117118119120121[[#This Row],[Total]]*-1,0)</f>
        <v>0</v>
      </c>
    </row>
    <row r="39" spans="1:9" x14ac:dyDescent="0.3">
      <c r="A39" s="107"/>
      <c r="B39" s="82"/>
      <c r="C39" s="229"/>
      <c r="D39" s="230"/>
      <c r="E39" s="230"/>
      <c r="F39" s="230"/>
      <c r="G39" s="230">
        <f t="shared" si="0"/>
        <v>0</v>
      </c>
      <c r="H39" s="233">
        <f t="shared" si="1"/>
        <v>261</v>
      </c>
      <c r="I39" s="309">
        <f>IF(T_T13411121314151617181920212223242526272829303132333536373839404142434445464748495051525354555657585960616263646566676869707172737475767778798081828384858687888990919293949596979899100101102103104105106107108109110111112113114115116117118119120121[[#This Row],[Total]]&lt;0,T_T13411121314151617181920212223242526272829303132333536373839404142434445464748495051525354555657585960616263646566676869707172737475767778798081828384858687888990919293949596979899100101102103104105106107108109110111112113114115116117118119120121[[#This Row],[Total]]*-1,0)</f>
        <v>0</v>
      </c>
    </row>
    <row r="40" spans="1:9" x14ac:dyDescent="0.3">
      <c r="A40" s="107"/>
      <c r="B40" s="82"/>
      <c r="C40" s="229"/>
      <c r="D40" s="230"/>
      <c r="E40" s="230"/>
      <c r="F40" s="230"/>
      <c r="G40" s="230">
        <f t="shared" si="0"/>
        <v>0</v>
      </c>
      <c r="H40" s="233">
        <f t="shared" si="1"/>
        <v>261</v>
      </c>
      <c r="I40" s="309">
        <f>IF(T_T13411121314151617181920212223242526272829303132333536373839404142434445464748495051525354555657585960616263646566676869707172737475767778798081828384858687888990919293949596979899100101102103104105106107108109110111112113114115116117118119120121[[#This Row],[Total]]&lt;0,T_T13411121314151617181920212223242526272829303132333536373839404142434445464748495051525354555657585960616263646566676869707172737475767778798081828384858687888990919293949596979899100101102103104105106107108109110111112113114115116117118119120121[[#This Row],[Total]]*-1,0)</f>
        <v>0</v>
      </c>
    </row>
    <row r="41" spans="1:9" x14ac:dyDescent="0.3">
      <c r="A41" s="188"/>
      <c r="B41" s="82"/>
      <c r="C41" s="229"/>
      <c r="D41" s="230"/>
      <c r="E41" s="230"/>
      <c r="F41" s="230"/>
      <c r="G41" s="230">
        <f>SUM(D41:F48)</f>
        <v>0</v>
      </c>
      <c r="H41" s="233">
        <f t="shared" si="1"/>
        <v>261</v>
      </c>
      <c r="I41" s="309">
        <f>IF(T_T13411121314151617181920212223242526272829303132333536373839404142434445464748495051525354555657585960616263646566676869707172737475767778798081828384858687888990919293949596979899100101102103104105106107108109110111112113114115116117118119120121[[#This Row],[Total]]&lt;0,T_T13411121314151617181920212223242526272829303132333536373839404142434445464748495051525354555657585960616263646566676869707172737475767778798081828384858687888990919293949596979899100101102103104105106107108109110111112113114115116117118119120121[[#This Row],[Total]]*-1,0)</f>
        <v>0</v>
      </c>
    </row>
    <row r="42" spans="1:9" x14ac:dyDescent="0.3">
      <c r="A42" s="107"/>
      <c r="B42" s="82"/>
      <c r="C42" s="229"/>
      <c r="D42" s="230"/>
      <c r="E42" s="230"/>
      <c r="F42" s="230"/>
      <c r="G42" s="230">
        <f>SUM(D42:F49)</f>
        <v>0</v>
      </c>
      <c r="H42" s="233">
        <f t="shared" si="1"/>
        <v>261</v>
      </c>
      <c r="I42" s="311">
        <f>IF(T_T13411121314151617181920212223242526272829303132333536373839404142434445464748495051525354555657585960616263646566676869707172737475767778798081828384858687888990919293949596979899100101102103104105106107108109110111112113114115116117118119120121[[#This Row],[Total]]&lt;0,T_T13411121314151617181920212223242526272829303132333536373839404142434445464748495051525354555657585960616263646566676869707172737475767778798081828384858687888990919293949596979899100101102103104105106107108109110111112113114115116117118119120121[[#This Row],[Total]]*-1,0)</f>
        <v>0</v>
      </c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orientation="portrait" verticalDpi="360" r:id="rId2"/>
  <drawing r:id="rId3"/>
  <tableParts count="1">
    <tablePart r:id="rId4"/>
  </tablePart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O43"/>
  <sheetViews>
    <sheetView showGridLines="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5" max="15" width="10.6640625" bestFit="1" customWidth="1"/>
    <col min="16" max="16" width="13.44140625" customWidth="1"/>
  </cols>
  <sheetData>
    <row r="2" spans="1:15" ht="13.5" customHeight="1" x14ac:dyDescent="0.3">
      <c r="A2" s="27" t="s">
        <v>36</v>
      </c>
      <c r="B2" s="41" t="s">
        <v>170</v>
      </c>
    </row>
    <row r="3" spans="1:15" ht="15.75" customHeight="1" x14ac:dyDescent="0.3">
      <c r="A3" s="27" t="s">
        <v>31</v>
      </c>
      <c r="B3" t="s">
        <v>331</v>
      </c>
    </row>
    <row r="4" spans="1:15" ht="20.25" hidden="1" customHeight="1" x14ac:dyDescent="0.3">
      <c r="A4" s="27" t="s">
        <v>32</v>
      </c>
      <c r="B4" s="28" t="e">
        <f>LOOKUP(B2,#REF!,#REF!)</f>
        <v>#REF!</v>
      </c>
    </row>
    <row r="5" spans="1:15" ht="24" hidden="1" customHeight="1" x14ac:dyDescent="0.3">
      <c r="A5" s="27" t="s">
        <v>33</v>
      </c>
      <c r="B5" s="28" t="e">
        <f>LOOKUP(B2,#REF!,#REF!)</f>
        <v>#REF!</v>
      </c>
    </row>
    <row r="6" spans="1:15" ht="21" hidden="1" customHeight="1" x14ac:dyDescent="0.3">
      <c r="A6" s="27" t="s">
        <v>34</v>
      </c>
      <c r="B6" s="28" t="e">
        <f>LOOKUP(B2,#REF!,#REF!)</f>
        <v>#REF!</v>
      </c>
      <c r="G6" s="25"/>
      <c r="H6" s="25"/>
    </row>
    <row r="7" spans="1:15" ht="12" hidden="1" customHeight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5" x14ac:dyDescent="0.3">
      <c r="A8" s="21"/>
      <c r="B8" s="21"/>
    </row>
    <row r="9" spans="1:15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75" t="s">
        <v>188</v>
      </c>
      <c r="K9" s="75" t="s">
        <v>191</v>
      </c>
    </row>
    <row r="10" spans="1:15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IF(T_T13411121314151617181920212223242526272829303132333536373839404142434445464748495051525354555657585960616263646566676869707172737475767778798081828384858687888990919293949596979899100101102103104105106107108109110111112113114115116117118119120121122[[#This Row],[Total]]&lt;0,T_T13411121314151617181920212223242526272829303132333536373839404142434445464748495051525354555657585960616263646566676869707172737475767778798081828384858687888990919293949596979899100101102103104105106107108109110111112113114115116117118119120121122[[#This Row],[Total]]*-1,0)</f>
        <v>0</v>
      </c>
      <c r="J10" s="180"/>
      <c r="K10" s="114"/>
      <c r="O10" s="178"/>
    </row>
    <row r="11" spans="1:15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22">
        <f>IF(T_T13411121314151617181920212223242526272829303132333536373839404142434445464748495051525354555657585960616263646566676869707172737475767778798081828384858687888990919293949596979899100101102103104105106107108109110111112113114115116117118119120121122[[#This Row],[Total]]&lt;0,T_T13411121314151617181920212223242526272829303132333536373839404142434445464748495051525354555657585960616263646566676869707172737475767778798081828384858687888990919293949596979899100101102103104105106107108109110111112113114115116117118119120121122[[#This Row],[Total]]*-1,0)</f>
        <v>0</v>
      </c>
      <c r="J11" s="222"/>
      <c r="K11" s="224"/>
    </row>
    <row r="12" spans="1:15" x14ac:dyDescent="0.3">
      <c r="A12" s="361"/>
      <c r="B12" s="118" t="s">
        <v>467</v>
      </c>
      <c r="C12" s="284"/>
      <c r="D12" s="285"/>
      <c r="E12" s="285"/>
      <c r="F12" s="285"/>
      <c r="G12" s="285"/>
      <c r="H12" s="10">
        <v>0</v>
      </c>
      <c r="I12" s="51">
        <f>IF(T_T13411121314151617181920212223242526272829303132333536373839404142434445464748495051525354555657585960616263646566676869707172737475767778798081828384858687888990919293949596979899100101102103104105106107108109110111112113114115116117118119120121122[[#This Row],[Total]]&lt;0,T_T13411121314151617181920212223242526272829303132333536373839404142434445464748495051525354555657585960616263646566676869707172737475767778798081828384858687888990919293949596979899100101102103104105106107108109110111112113114115116117118119120121122[[#This Row],[Total]]*-1,0)</f>
        <v>0</v>
      </c>
      <c r="J12" s="51"/>
      <c r="K12" s="79"/>
    </row>
    <row r="13" spans="1:15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IF(T_T13411121314151617181920212223242526272829303132333536373839404142434445464748495051525354555657585960616263646566676869707172737475767778798081828384858687888990919293949596979899100101102103104105106107108109110111112113114115116117118119120121122[[#This Row],[Total]]&lt;0,T_T13411121314151617181920212223242526272829303132333536373839404142434445464748495051525354555657585960616263646566676869707172737475767778798081828384858687888990919293949596979899100101102103104105106107108109110111112113114115116117118119120121122[[#This Row],[Total]]*-1,0)</f>
        <v>0</v>
      </c>
      <c r="J13" s="240"/>
      <c r="K13" s="232"/>
    </row>
    <row r="14" spans="1:15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IF(T_T13411121314151617181920212223242526272829303132333536373839404142434445464748495051525354555657585960616263646566676869707172737475767778798081828384858687888990919293949596979899100101102103104105106107108109110111112113114115116117118119120121122[[#This Row],[Total]]&lt;0,T_T13411121314151617181920212223242526272829303132333536373839404142434445464748495051525354555657585960616263646566676869707172737475767778798081828384858687888990919293949596979899100101102103104105106107108109110111112113114115116117118119120121122[[#This Row],[Total]]*-1,0)</f>
        <v>0</v>
      </c>
      <c r="J14" s="473"/>
      <c r="K14" s="485"/>
    </row>
    <row r="15" spans="1:15" x14ac:dyDescent="0.3">
      <c r="A15" s="17">
        <v>46052</v>
      </c>
      <c r="B15" s="18" t="s">
        <v>590</v>
      </c>
      <c r="C15" s="6"/>
      <c r="D15" s="2">
        <v>112</v>
      </c>
      <c r="E15" s="2">
        <v>13</v>
      </c>
      <c r="F15" s="20"/>
      <c r="G15" s="20">
        <f>SUM(D15:F15)</f>
        <v>125</v>
      </c>
      <c r="H15" s="233">
        <f>+H13+T_T13411121314151617181920212223242526272829303132333536373839404142434445464748495051525354555657585960616263646566676869707172737475767778798081828384858687888990919293949596979899100101102103104105106107108109110111112113114115116117118119120121122[[#This Row],[Total]]</f>
        <v>125</v>
      </c>
      <c r="I15" s="240">
        <f>IF(T_T13411121314151617181920212223242526272829303132333536373839404142434445464748495051525354555657585960616263646566676869707172737475767778798081828384858687888990919293949596979899100101102103104105106107108109110111112113114115116117118119120121122[[#This Row],[Total]]&lt;0,T_T13411121314151617181920212223242526272829303132333536373839404142434445464748495051525354555657585960616263646566676869707172737475767778798081828384858687888990919293949596979899100101102103104105106107108109110111112113114115116117118119120121122[[#This Row],[Total]]*-1,0)</f>
        <v>0</v>
      </c>
      <c r="J15" s="240"/>
      <c r="K15" s="232"/>
    </row>
    <row r="16" spans="1:15" x14ac:dyDescent="0.3">
      <c r="A16" s="17"/>
      <c r="B16" s="18" t="s">
        <v>591</v>
      </c>
      <c r="C16" s="6">
        <v>8607</v>
      </c>
      <c r="D16" s="2">
        <v>-112</v>
      </c>
      <c r="E16" s="2">
        <v>-13</v>
      </c>
      <c r="F16" s="230"/>
      <c r="G16" s="230">
        <f t="shared" ref="G16:G38" si="0">SUM(D16:F16)</f>
        <v>-125</v>
      </c>
      <c r="H16" s="233">
        <f t="shared" ref="H16:H40" si="1">H15+G16</f>
        <v>0</v>
      </c>
      <c r="I16" s="240">
        <f>IF(T_T13411121314151617181920212223242526272829303132333536373839404142434445464748495051525354555657585960616263646566676869707172737475767778798081828384858687888990919293949596979899100101102103104105106107108109110111112113114115116117118119120121122[[#This Row],[Total]]&lt;0,T_T13411121314151617181920212223242526272829303132333536373839404142434445464748495051525354555657585960616263646566676869707172737475767778798081828384858687888990919293949596979899100101102103104105106107108109110111112113114115116117118119120121122[[#This Row],[Total]]*-1,0)</f>
        <v>125</v>
      </c>
      <c r="J16" s="240"/>
      <c r="K16" s="232"/>
    </row>
    <row r="17" spans="1:13" x14ac:dyDescent="0.3">
      <c r="A17" s="164">
        <v>45715</v>
      </c>
      <c r="B17" s="161" t="s">
        <v>532</v>
      </c>
      <c r="C17" s="6"/>
      <c r="D17" s="2">
        <v>112</v>
      </c>
      <c r="E17" s="2">
        <v>12</v>
      </c>
      <c r="F17" s="230"/>
      <c r="G17" s="230">
        <f t="shared" si="0"/>
        <v>124</v>
      </c>
      <c r="H17" s="233">
        <f t="shared" si="1"/>
        <v>124</v>
      </c>
      <c r="I17" s="240">
        <f>IF(T_T13411121314151617181920212223242526272829303132333536373839404142434445464748495051525354555657585960616263646566676869707172737475767778798081828384858687888990919293949596979899100101102103104105106107108109110111112113114115116117118119120121122[[#This Row],[Total]]&lt;0,T_T13411121314151617181920212223242526272829303132333536373839404142434445464748495051525354555657585960616263646566676869707172737475767778798081828384858687888990919293949596979899100101102103104105106107108109110111112113114115116117118119120121122[[#This Row],[Total]]*-1,0)</f>
        <v>0</v>
      </c>
      <c r="J17" s="240"/>
      <c r="K17" s="232"/>
    </row>
    <row r="18" spans="1:13" x14ac:dyDescent="0.3">
      <c r="A18" s="187"/>
      <c r="B18" s="18" t="s">
        <v>533</v>
      </c>
      <c r="C18" s="6">
        <v>8848</v>
      </c>
      <c r="D18" s="2">
        <v>-112</v>
      </c>
      <c r="E18" s="2">
        <f>-9-3</f>
        <v>-12</v>
      </c>
      <c r="F18" s="230"/>
      <c r="G18" s="230">
        <f t="shared" si="0"/>
        <v>-124</v>
      </c>
      <c r="H18" s="233">
        <f t="shared" si="1"/>
        <v>0</v>
      </c>
      <c r="I18" s="240">
        <f>IF(T_T13411121314151617181920212223242526272829303132333536373839404142434445464748495051525354555657585960616263646566676869707172737475767778798081828384858687888990919293949596979899100101102103104105106107108109110111112113114115116117118119120121122[[#This Row],[Total]]&lt;0,T_T13411121314151617181920212223242526272829303132333536373839404142434445464748495051525354555657585960616263646566676869707172737475767778798081828384858687888990919293949596979899100101102103104105106107108109110111112113114115116117118119120121122[[#This Row],[Total]]*-1,0)</f>
        <v>124</v>
      </c>
      <c r="J18" s="240"/>
      <c r="K18" s="232"/>
    </row>
    <row r="19" spans="1:13" x14ac:dyDescent="0.3">
      <c r="A19" s="188">
        <v>45747</v>
      </c>
      <c r="B19" s="3" t="s">
        <v>534</v>
      </c>
      <c r="C19" s="6"/>
      <c r="D19" s="2">
        <v>128</v>
      </c>
      <c r="E19" s="2">
        <v>13</v>
      </c>
      <c r="F19" s="230"/>
      <c r="G19" s="230">
        <f t="shared" si="0"/>
        <v>141</v>
      </c>
      <c r="H19" s="233">
        <f t="shared" si="1"/>
        <v>141</v>
      </c>
      <c r="I19" s="240">
        <f>IF(T_T13411121314151617181920212223242526272829303132333536373839404142434445464748495051525354555657585960616263646566676869707172737475767778798081828384858687888990919293949596979899100101102103104105106107108109110111112113114115116117118119120121122[[#This Row],[Total]]&lt;0,T_T13411121314151617181920212223242526272829303132333536373839404142434445464748495051525354555657585960616263646566676869707172737475767778798081828384858687888990919293949596979899100101102103104105106107108109110111112113114115116117118119120121122[[#This Row],[Total]]*-1,0)</f>
        <v>0</v>
      </c>
      <c r="J19" s="240"/>
      <c r="K19" s="232"/>
    </row>
    <row r="20" spans="1:13" x14ac:dyDescent="0.3">
      <c r="A20" s="188"/>
      <c r="B20" s="82" t="s">
        <v>535</v>
      </c>
      <c r="C20" s="6">
        <v>8848</v>
      </c>
      <c r="D20" s="2">
        <v>-128</v>
      </c>
      <c r="E20" s="2">
        <v>-13</v>
      </c>
      <c r="F20" s="230"/>
      <c r="G20" s="230">
        <f t="shared" si="0"/>
        <v>-141</v>
      </c>
      <c r="H20" s="233">
        <f t="shared" si="1"/>
        <v>0</v>
      </c>
      <c r="I20" s="240">
        <f>IF(T_T13411121314151617181920212223242526272829303132333536373839404142434445464748495051525354555657585960616263646566676869707172737475767778798081828384858687888990919293949596979899100101102103104105106107108109110111112113114115116117118119120121122[[#This Row],[Total]]&lt;0,T_T13411121314151617181920212223242526272829303132333536373839404142434445464748495051525354555657585960616263646566676869707172737475767778798081828384858687888990919293949596979899100101102103104105106107108109110111112113114115116117118119120121122[[#This Row],[Total]]*-1,0)</f>
        <v>141</v>
      </c>
      <c r="J20" s="240"/>
      <c r="K20" s="232"/>
    </row>
    <row r="21" spans="1:13" x14ac:dyDescent="0.3">
      <c r="A21" s="188">
        <v>45777</v>
      </c>
      <c r="B21" s="3" t="s">
        <v>536</v>
      </c>
      <c r="C21" s="6"/>
      <c r="D21" s="2">
        <v>128</v>
      </c>
      <c r="E21" s="2">
        <v>14</v>
      </c>
      <c r="F21" s="230"/>
      <c r="G21" s="230">
        <f t="shared" si="0"/>
        <v>142</v>
      </c>
      <c r="H21" s="233">
        <f t="shared" si="1"/>
        <v>142</v>
      </c>
      <c r="I21" s="309">
        <f>IF(T_T13411121314151617181920212223242526272829303132333536373839404142434445464748495051525354555657585960616263646566676869707172737475767778798081828384858687888990919293949596979899100101102103104105106107108109110111112113114115116117118119120121122[[#This Row],[Total]]&lt;0,T_T13411121314151617181920212223242526272829303132333536373839404142434445464748495051525354555657585960616263646566676869707172737475767778798081828384858687888990919293949596979899100101102103104105106107108109110111112113114115116117118119120121122[[#This Row],[Total]]*-1,0)</f>
        <v>0</v>
      </c>
      <c r="J21" s="309"/>
      <c r="K21" s="313"/>
    </row>
    <row r="22" spans="1:13" x14ac:dyDescent="0.3">
      <c r="A22" s="83"/>
      <c r="B22" s="82" t="s">
        <v>537</v>
      </c>
      <c r="C22" s="6">
        <v>8947</v>
      </c>
      <c r="D22" s="2">
        <v>-128</v>
      </c>
      <c r="E22" s="2">
        <v>-14</v>
      </c>
      <c r="F22" s="230"/>
      <c r="G22" s="230">
        <f t="shared" si="0"/>
        <v>-142</v>
      </c>
      <c r="H22" s="233">
        <f t="shared" si="1"/>
        <v>0</v>
      </c>
      <c r="I22" s="309">
        <f>IF(T_T13411121314151617181920212223242526272829303132333536373839404142434445464748495051525354555657585960616263646566676869707172737475767778798081828384858687888990919293949596979899100101102103104105106107108109110111112113114115116117118119120121122[[#This Row],[Total]]&lt;0,T_T13411121314151617181920212223242526272829303132333536373839404142434445464748495051525354555657585960616263646566676869707172737475767778798081828384858687888990919293949596979899100101102103104105106107108109110111112113114115116117118119120121122[[#This Row],[Total]]*-1,0)</f>
        <v>142</v>
      </c>
      <c r="J22" s="309"/>
      <c r="K22" s="313"/>
    </row>
    <row r="23" spans="1:13" x14ac:dyDescent="0.3">
      <c r="A23" s="40">
        <v>45807</v>
      </c>
      <c r="B23" s="3" t="s">
        <v>538</v>
      </c>
      <c r="C23" s="229"/>
      <c r="D23" s="230">
        <v>128</v>
      </c>
      <c r="E23" s="230">
        <v>13</v>
      </c>
      <c r="F23" s="230"/>
      <c r="G23" s="230">
        <f t="shared" si="0"/>
        <v>141</v>
      </c>
      <c r="H23" s="233">
        <f t="shared" si="1"/>
        <v>141</v>
      </c>
      <c r="I23" s="309">
        <f>IF(T_T13411121314151617181920212223242526272829303132333536373839404142434445464748495051525354555657585960616263646566676869707172737475767778798081828384858687888990919293949596979899100101102103104105106107108109110111112113114115116117118119120121122[[#This Row],[Total]]&lt;0,T_T13411121314151617181920212223242526272829303132333536373839404142434445464748495051525354555657585960616263646566676869707172737475767778798081828384858687888990919293949596979899100101102103104105106107108109110111112113114115116117118119120121122[[#This Row],[Total]]*-1,0)</f>
        <v>0</v>
      </c>
      <c r="J23" s="309"/>
      <c r="K23" s="313"/>
    </row>
    <row r="24" spans="1:13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141</v>
      </c>
      <c r="I24" s="309">
        <f>IF(T_T13411121314151617181920212223242526272829303132333536373839404142434445464748495051525354555657585960616263646566676869707172737475767778798081828384858687888990919293949596979899100101102103104105106107108109110111112113114115116117118119120121122[[#This Row],[Total]]&lt;0,T_T13411121314151617181920212223242526272829303132333536373839404142434445464748495051525354555657585960616263646566676869707172737475767778798081828384858687888990919293949596979899100101102103104105106107108109110111112113114115116117118119120121122[[#This Row],[Total]]*-1,0)</f>
        <v>0</v>
      </c>
      <c r="J24" s="338"/>
      <c r="K24" s="339"/>
      <c r="L24" s="63"/>
      <c r="M24" t="s">
        <v>573</v>
      </c>
    </row>
    <row r="25" spans="1:13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141</v>
      </c>
      <c r="I25" s="309">
        <f>IF(T_T13411121314151617181920212223242526272829303132333536373839404142434445464748495051525354555657585960616263646566676869707172737475767778798081828384858687888990919293949596979899100101102103104105106107108109110111112113114115116117118119120121122[[#This Row],[Total]]&lt;0,T_T13411121314151617181920212223242526272829303132333536373839404142434445464748495051525354555657585960616263646566676869707172737475767778798081828384858687888990919293949596979899100101102103104105106107108109110111112113114115116117118119120121122[[#This Row],[Total]]*-1,0)</f>
        <v>0</v>
      </c>
      <c r="J25" s="309"/>
      <c r="K25" s="313"/>
    </row>
    <row r="26" spans="1:13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141</v>
      </c>
      <c r="I26" s="309">
        <f>IF(T_T13411121314151617181920212223242526272829303132333536373839404142434445464748495051525354555657585960616263646566676869707172737475767778798081828384858687888990919293949596979899100101102103104105106107108109110111112113114115116117118119120121122[[#This Row],[Total]]&lt;0,T_T13411121314151617181920212223242526272829303132333536373839404142434445464748495051525354555657585960616263646566676869707172737475767778798081828384858687888990919293949596979899100101102103104105106107108109110111112113114115116117118119120121122[[#This Row],[Total]]*-1,0)</f>
        <v>0</v>
      </c>
      <c r="J26" s="309"/>
      <c r="K26" s="313"/>
    </row>
    <row r="27" spans="1:13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141</v>
      </c>
      <c r="I27" s="309">
        <f>IF(T_T13411121314151617181920212223242526272829303132333536373839404142434445464748495051525354555657585960616263646566676869707172737475767778798081828384858687888990919293949596979899100101102103104105106107108109110111112113114115116117118119120121122[[#This Row],[Total]]&lt;0,T_T13411121314151617181920212223242526272829303132333536373839404142434445464748495051525354555657585960616263646566676869707172737475767778798081828384858687888990919293949596979899100101102103104105106107108109110111112113114115116117118119120121122[[#This Row],[Total]]*-1,0)</f>
        <v>0</v>
      </c>
      <c r="J27" s="309"/>
      <c r="K27" s="313"/>
    </row>
    <row r="28" spans="1:13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141</v>
      </c>
      <c r="I28" s="309">
        <f>IF(T_T13411121314151617181920212223242526272829303132333536373839404142434445464748495051525354555657585960616263646566676869707172737475767778798081828384858687888990919293949596979899100101102103104105106107108109110111112113114115116117118119120121122[[#This Row],[Total]]&lt;0,T_T13411121314151617181920212223242526272829303132333536373839404142434445464748495051525354555657585960616263646566676869707172737475767778798081828384858687888990919293949596979899100101102103104105106107108109110111112113114115116117118119120121122[[#This Row],[Total]]*-1,0)</f>
        <v>0</v>
      </c>
      <c r="J28" s="309"/>
      <c r="K28" s="313"/>
    </row>
    <row r="29" spans="1:13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141</v>
      </c>
      <c r="I29" s="309">
        <f>IF(T_T13411121314151617181920212223242526272829303132333536373839404142434445464748495051525354555657585960616263646566676869707172737475767778798081828384858687888990919293949596979899100101102103104105106107108109110111112113114115116117118119120121122[[#This Row],[Total]]&lt;0,T_T13411121314151617181920212223242526272829303132333536373839404142434445464748495051525354555657585960616263646566676869707172737475767778798081828384858687888990919293949596979899100101102103104105106107108109110111112113114115116117118119120121122[[#This Row],[Total]]*-1,0)</f>
        <v>0</v>
      </c>
      <c r="J29" s="309"/>
      <c r="K29" s="313"/>
    </row>
    <row r="30" spans="1:13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141</v>
      </c>
      <c r="I30" s="309">
        <f>IF(T_T13411121314151617181920212223242526272829303132333536373839404142434445464748495051525354555657585960616263646566676869707172737475767778798081828384858687888990919293949596979899100101102103104105106107108109110111112113114115116117118119120121122[[#This Row],[Total]]&lt;0,T_T13411121314151617181920212223242526272829303132333536373839404142434445464748495051525354555657585960616263646566676869707172737475767778798081828384858687888990919293949596979899100101102103104105106107108109110111112113114115116117118119120121122[[#This Row],[Total]]*-1,0)</f>
        <v>0</v>
      </c>
      <c r="J30" s="309"/>
      <c r="K30" s="313"/>
    </row>
    <row r="31" spans="1:13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141</v>
      </c>
      <c r="I31" s="309">
        <f>IF(T_T13411121314151617181920212223242526272829303132333536373839404142434445464748495051525354555657585960616263646566676869707172737475767778798081828384858687888990919293949596979899100101102103104105106107108109110111112113114115116117118119120121122[[#This Row],[Total]]&lt;0,T_T13411121314151617181920212223242526272829303132333536373839404142434445464748495051525354555657585960616263646566676869707172737475767778798081828384858687888990919293949596979899100101102103104105106107108109110111112113114115116117118119120121122[[#This Row],[Total]]*-1,0)</f>
        <v>0</v>
      </c>
      <c r="J31" s="309"/>
      <c r="K31" s="313"/>
    </row>
    <row r="32" spans="1:13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141</v>
      </c>
      <c r="I32" s="309">
        <f>IF(T_T13411121314151617181920212223242526272829303132333536373839404142434445464748495051525354555657585960616263646566676869707172737475767778798081828384858687888990919293949596979899100101102103104105106107108109110111112113114115116117118119120121122[[#This Row],[Total]]&lt;0,T_T13411121314151617181920212223242526272829303132333536373839404142434445464748495051525354555657585960616263646566676869707172737475767778798081828384858687888990919293949596979899100101102103104105106107108109110111112113114115116117118119120121122[[#This Row],[Total]]*-1,0)</f>
        <v>0</v>
      </c>
      <c r="J32" s="309"/>
      <c r="K32" s="313"/>
    </row>
    <row r="33" spans="1:11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141</v>
      </c>
      <c r="I33" s="309">
        <f>IF(T_T13411121314151617181920212223242526272829303132333536373839404142434445464748495051525354555657585960616263646566676869707172737475767778798081828384858687888990919293949596979899100101102103104105106107108109110111112113114115116117118119120121122[[#This Row],[Total]]&lt;0,T_T13411121314151617181920212223242526272829303132333536373839404142434445464748495051525354555657585960616263646566676869707172737475767778798081828384858687888990919293949596979899100101102103104105106107108109110111112113114115116117118119120121122[[#This Row],[Total]]*-1,0)</f>
        <v>0</v>
      </c>
      <c r="J33" s="309"/>
      <c r="K33" s="313"/>
    </row>
    <row r="34" spans="1:11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141</v>
      </c>
      <c r="I34" s="309">
        <f>IF(T_T13411121314151617181920212223242526272829303132333536373839404142434445464748495051525354555657585960616263646566676869707172737475767778798081828384858687888990919293949596979899100101102103104105106107108109110111112113114115116117118119120121122[[#This Row],[Total]]&lt;0,T_T13411121314151617181920212223242526272829303132333536373839404142434445464748495051525354555657585960616263646566676869707172737475767778798081828384858687888990919293949596979899100101102103104105106107108109110111112113114115116117118119120121122[[#This Row],[Total]]*-1,0)</f>
        <v>0</v>
      </c>
      <c r="J34" s="309"/>
      <c r="K34" s="313"/>
    </row>
    <row r="35" spans="1:11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141</v>
      </c>
      <c r="I35" s="309">
        <f>IF(T_T13411121314151617181920212223242526272829303132333536373839404142434445464748495051525354555657585960616263646566676869707172737475767778798081828384858687888990919293949596979899100101102103104105106107108109110111112113114115116117118119120121122[[#This Row],[Total]]&lt;0,T_T13411121314151617181920212223242526272829303132333536373839404142434445464748495051525354555657585960616263646566676869707172737475767778798081828384858687888990919293949596979899100101102103104105106107108109110111112113114115116117118119120121122[[#This Row],[Total]]*-1,0)</f>
        <v>0</v>
      </c>
      <c r="J35" s="309"/>
      <c r="K35" s="313"/>
    </row>
    <row r="36" spans="1:11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141</v>
      </c>
      <c r="I36" s="309">
        <f>IF(T_T13411121314151617181920212223242526272829303132333536373839404142434445464748495051525354555657585960616263646566676869707172737475767778798081828384858687888990919293949596979899100101102103104105106107108109110111112113114115116117118119120121122[[#This Row],[Total]]&lt;0,T_T13411121314151617181920212223242526272829303132333536373839404142434445464748495051525354555657585960616263646566676869707172737475767778798081828384858687888990919293949596979899100101102103104105106107108109110111112113114115116117118119120121122[[#This Row],[Total]]*-1,0)</f>
        <v>0</v>
      </c>
      <c r="J36" s="309"/>
      <c r="K36" s="313"/>
    </row>
    <row r="37" spans="1:11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141</v>
      </c>
      <c r="I37" s="353">
        <f>IF(T_T13411121314151617181920212223242526272829303132333536373839404142434445464748495051525354555657585960616263646566676869707172737475767778798081828384858687888990919293949596979899100101102103104105106107108109110111112113114115116117118119120121122[[#This Row],[Total]]&lt;0,T_T13411121314151617181920212223242526272829303132333536373839404142434445464748495051525354555657585960616263646566676869707172737475767778798081828384858687888990919293949596979899100101102103104105106107108109110111112113114115116117118119120121122[[#This Row],[Total]]*-1,0)</f>
        <v>0</v>
      </c>
      <c r="J37" s="353"/>
      <c r="K37" s="354"/>
    </row>
    <row r="38" spans="1:11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141</v>
      </c>
      <c r="I38" s="353">
        <f>IF(T_T13411121314151617181920212223242526272829303132333536373839404142434445464748495051525354555657585960616263646566676869707172737475767778798081828384858687888990919293949596979899100101102103104105106107108109110111112113114115116117118119120121122[[#This Row],[Total]]&lt;0,T_T13411121314151617181920212223242526272829303132333536373839404142434445464748495051525354555657585960616263646566676869707172737475767778798081828384858687888990919293949596979899100101102103104105106107108109110111112113114115116117118119120121122[[#This Row],[Total]]*-1,0)</f>
        <v>0</v>
      </c>
      <c r="J38" s="353"/>
      <c r="K38" s="354"/>
    </row>
    <row r="39" spans="1:11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141</v>
      </c>
      <c r="I39" s="353">
        <f>IF(T_T13411121314151617181920212223242526272829303132333536373839404142434445464748495051525354555657585960616263646566676869707172737475767778798081828384858687888990919293949596979899100101102103104105106107108109110111112113114115116117118119120121122[[#This Row],[Total]]&lt;0,T_T13411121314151617181920212223242526272829303132333536373839404142434445464748495051525354555657585960616263646566676869707172737475767778798081828384858687888990919293949596979899100101102103104105106107108109110111112113114115116117118119120121122[[#This Row],[Total]]*-1,0)</f>
        <v>0</v>
      </c>
      <c r="J39" s="353"/>
      <c r="K39" s="354"/>
    </row>
    <row r="40" spans="1:11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141</v>
      </c>
      <c r="I40" s="353">
        <f>IF(T_T13411121314151617181920212223242526272829303132333536373839404142434445464748495051525354555657585960616263646566676869707172737475767778798081828384858687888990919293949596979899100101102103104105106107108109110111112113114115116117118119120121122[[#This Row],[Total]]&lt;0,T_T13411121314151617181920212223242526272829303132333536373839404142434445464748495051525354555657585960616263646566676869707172737475767778798081828384858687888990919293949596979899100101102103104105106107108109110111112113114115116117118119120121122[[#This Row],[Total]]*-1,0)</f>
        <v>0</v>
      </c>
      <c r="J40" s="353"/>
      <c r="K40" s="354"/>
    </row>
    <row r="41" spans="1:11" x14ac:dyDescent="0.3">
      <c r="A41" s="17"/>
      <c r="B41" s="18"/>
      <c r="C41" s="121"/>
      <c r="D41" s="70"/>
      <c r="E41" s="70"/>
      <c r="F41" s="70"/>
      <c r="G41" s="70"/>
      <c r="H41" s="612"/>
      <c r="I41" s="613"/>
      <c r="J41" s="613"/>
      <c r="K41" s="608"/>
    </row>
    <row r="42" spans="1:11" x14ac:dyDescent="0.3">
      <c r="A42" s="3"/>
      <c r="B42" s="3"/>
      <c r="C42" s="6"/>
      <c r="D42" s="2"/>
      <c r="E42" s="2"/>
      <c r="F42" s="2"/>
      <c r="G42" s="2"/>
      <c r="H42" s="2"/>
    </row>
    <row r="43" spans="1:11" x14ac:dyDescent="0.3">
      <c r="A43" s="3"/>
      <c r="B43" s="3"/>
      <c r="C43" s="6"/>
      <c r="D43" s="2"/>
      <c r="E43" s="2"/>
      <c r="F43" s="2"/>
      <c r="G43" s="2"/>
      <c r="H43" s="2"/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scale="60" orientation="portrait" verticalDpi="360" r:id="rId2"/>
  <drawing r:id="rId3"/>
  <tableParts count="1">
    <tablePart r:id="rId4"/>
  </tablePart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M40"/>
  <sheetViews>
    <sheetView showGridLines="0" zoomScale="98" zoomScaleNormal="98" workbookViewId="0">
      <selection activeCell="E21" sqref="E21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0.6640625" bestFit="1" customWidth="1"/>
    <col min="14" max="14" width="17.6640625" customWidth="1"/>
  </cols>
  <sheetData>
    <row r="2" spans="1:13" ht="13.5" customHeight="1" x14ac:dyDescent="0.3">
      <c r="A2" s="27" t="s">
        <v>36</v>
      </c>
      <c r="B2" s="41" t="s">
        <v>171</v>
      </c>
    </row>
    <row r="3" spans="1:13" hidden="1" x14ac:dyDescent="0.3">
      <c r="A3" s="27" t="s">
        <v>31</v>
      </c>
      <c r="B3" s="28" t="e">
        <f>LOOKUP(B2,#REF!,#REF!)</f>
        <v>#REF!</v>
      </c>
    </row>
    <row r="4" spans="1:13" hidden="1" x14ac:dyDescent="0.3">
      <c r="A4" s="27" t="s">
        <v>32</v>
      </c>
      <c r="B4" s="28" t="e">
        <f>LOOKUP(B2,#REF!,#REF!)</f>
        <v>#REF!</v>
      </c>
    </row>
    <row r="5" spans="1:13" hidden="1" x14ac:dyDescent="0.3">
      <c r="A5" s="27" t="s">
        <v>33</v>
      </c>
      <c r="B5" s="28" t="e">
        <f>LOOKUP(B2,#REF!,#REF!)</f>
        <v>#REF!</v>
      </c>
    </row>
    <row r="6" spans="1:13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3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3" x14ac:dyDescent="0.3">
      <c r="A8" s="21"/>
      <c r="B8" s="21" t="s">
        <v>225</v>
      </c>
    </row>
    <row r="9" spans="1:13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13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IF(T_T13411121314151617181920212223242526272829303132333536373839404142434445464748495051525354555657585960616263646566676869707172737475767778798081828384858687888990919293949596979899100101102103104105106107108109110111112113114115116117118119120121122123[[#This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13411121314151617181920212223242526272829303132333536373839404142434445464748495051525354555657585960616263646566676869707172737475767778798081828384858687888990919293949596979899100101102103104105106107108109110111112113114115116117118119120121122123[[#This Row],[Total]]*-1,0)</f>
        <v>0</v>
      </c>
      <c r="M10" s="178"/>
    </row>
    <row r="11" spans="1:13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IF(T_T13411121314151617181920212223242526272829303132333536373839404142434445464748495051525354555657585960616263646566676869707172737475767778798081828384858687888990919293949596979899100101102103104105106107108109110111112113114115116117118119120121122123[[#This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13411121314151617181920212223242526272829303132333536373839404142434445464748495051525354555657585960616263646566676869707172737475767778798081828384858687888990919293949596979899100101102103104105106107108109110111112113114115116117118119120121122123[[#This Row],[Total]]*-1,0)</f>
        <v>0</v>
      </c>
    </row>
    <row r="12" spans="1:13" x14ac:dyDescent="0.3">
      <c r="A12" s="117"/>
      <c r="B12" s="118" t="s">
        <v>467</v>
      </c>
      <c r="C12" s="284"/>
      <c r="D12" s="285"/>
      <c r="E12" s="285"/>
      <c r="F12" s="285"/>
      <c r="G12" s="285"/>
      <c r="H12" s="10">
        <v>0</v>
      </c>
      <c r="I12" s="51">
        <f>IF(T_T13411121314151617181920212223242526272829303132333536373839404142434445464748495051525354555657585960616263646566676869707172737475767778798081828384858687888990919293949596979899100101102103104105106107108109110111112113114115116117118119120121122123[[#This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13411121314151617181920212223242526272829303132333536373839404142434445464748495051525354555657585960616263646566676869707172737475767778798081828384858687888990919293949596979899100101102103104105106107108109110111112113114115116117118119120121122123[[#This Row],[Total]]*-1,0)</f>
        <v>0</v>
      </c>
    </row>
    <row r="13" spans="1:13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IF(T_T13411121314151617181920212223242526272829303132333536373839404142434445464748495051525354555657585960616263646566676869707172737475767778798081828384858687888990919293949596979899100101102103104105106107108109110111112113114115116117118119120121122123[[#This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13411121314151617181920212223242526272829303132333536373839404142434445464748495051525354555657585960616263646566676869707172737475767778798081828384858687888990919293949596979899100101102103104105106107108109110111112113114115116117118119120121122123[[#This Row],[Total]]*-1,0)</f>
        <v>0</v>
      </c>
    </row>
    <row r="14" spans="1:13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IF(T_T13411121314151617181920212223242526272829303132333536373839404142434445464748495051525354555657585960616263646566676869707172737475767778798081828384858687888990919293949596979899100101102103104105106107108109110111112113114115116117118119120121122123[[#This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13411121314151617181920212223242526272829303132333536373839404142434445464748495051525354555657585960616263646566676869707172737475767778798081828384858687888990919293949596979899100101102103104105106107108109110111112113114115116117118119120121122123[[#This Row],[Total]]*-1,0)</f>
        <v>0</v>
      </c>
    </row>
    <row r="15" spans="1:13" x14ac:dyDescent="0.3">
      <c r="A15" s="17">
        <v>45687</v>
      </c>
      <c r="B15" s="18" t="s">
        <v>530</v>
      </c>
      <c r="C15" s="6"/>
      <c r="D15" s="2">
        <v>388</v>
      </c>
      <c r="E15" s="2">
        <v>45</v>
      </c>
      <c r="F15" s="20"/>
      <c r="G15" s="20">
        <f>SUM(D15:F15)</f>
        <v>433</v>
      </c>
      <c r="H15" s="233">
        <f>+H13+T_T13411121314151617181920212223242526272829303132333536373839404142434445464748495051525354555657585960616263646566676869707172737475767778798081828384858687888990919293949596979899100101102103104105106107108109110111112113114115116117118119120121122123[[#This Row],[Total]]</f>
        <v>433</v>
      </c>
      <c r="I15" s="240">
        <f>IF(T_T13411121314151617181920212223242526272829303132333536373839404142434445464748495051525354555657585960616263646566676869707172737475767778798081828384858687888990919293949596979899100101102103104105106107108109110111112113114115116117118119120121122123[[#This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13411121314151617181920212223242526272829303132333536373839404142434445464748495051525354555657585960616263646566676869707172737475767778798081828384858687888990919293949596979899100101102103104105106107108109110111112113114115116117118119120121122123[[#This Row],[Total]]*-1,0)</f>
        <v>0</v>
      </c>
    </row>
    <row r="16" spans="1:13" x14ac:dyDescent="0.3">
      <c r="A16" s="17"/>
      <c r="B16" s="18" t="s">
        <v>531</v>
      </c>
      <c r="C16" s="6">
        <v>8762</v>
      </c>
      <c r="D16" s="2">
        <v>-388</v>
      </c>
      <c r="E16" s="2">
        <v>-45</v>
      </c>
      <c r="F16" s="230"/>
      <c r="G16" s="230">
        <f t="shared" ref="G16:G38" si="0">SUM(D16:F16)</f>
        <v>-433</v>
      </c>
      <c r="H16" s="233">
        <f t="shared" ref="H16:H40" si="1">H15+G16</f>
        <v>0</v>
      </c>
      <c r="I16" s="239">
        <f>IF(T_T13411121314151617181920212223242526272829303132333536373839404142434445464748495051525354555657585960616263646566676869707172737475767778798081828384858687888990919293949596979899100101102103104105106107108109110111112113114115116117118119120121122123[[#This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13411121314151617181920212223242526272829303132333536373839404142434445464748495051525354555657585960616263646566676869707172737475767778798081828384858687888990919293949596979899100101102103104105106107108109110111112113114115116117118119120121122123[[#This Row],[Total]]*-1,0)</f>
        <v>433</v>
      </c>
    </row>
    <row r="17" spans="1:9" x14ac:dyDescent="0.3">
      <c r="A17" s="164">
        <v>45715</v>
      </c>
      <c r="B17" s="161" t="s">
        <v>532</v>
      </c>
      <c r="C17" s="6"/>
      <c r="D17" s="2">
        <v>388</v>
      </c>
      <c r="E17" s="2">
        <v>42</v>
      </c>
      <c r="F17" s="230"/>
      <c r="G17" s="230">
        <f t="shared" si="0"/>
        <v>430</v>
      </c>
      <c r="H17" s="233">
        <f t="shared" si="1"/>
        <v>430</v>
      </c>
      <c r="I17" s="240">
        <f>IF(T_T13411121314151617181920212223242526272829303132333536373839404142434445464748495051525354555657585960616263646566676869707172737475767778798081828384858687888990919293949596979899100101102103104105106107108109110111112113114115116117118119120121122123[[#This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13411121314151617181920212223242526272829303132333536373839404142434445464748495051525354555657585960616263646566676869707172737475767778798081828384858687888990919293949596979899100101102103104105106107108109110111112113114115116117118119120121122123[[#This Row],[Total]]*-1,0)</f>
        <v>0</v>
      </c>
    </row>
    <row r="18" spans="1:9" x14ac:dyDescent="0.3">
      <c r="A18" s="187"/>
      <c r="B18" s="18" t="s">
        <v>533</v>
      </c>
      <c r="C18" s="6">
        <v>8762</v>
      </c>
      <c r="D18" s="2">
        <v>-388</v>
      </c>
      <c r="E18" s="2">
        <v>-42</v>
      </c>
      <c r="F18" s="230"/>
      <c r="G18" s="230">
        <f t="shared" si="0"/>
        <v>-430</v>
      </c>
      <c r="H18" s="233">
        <f t="shared" si="1"/>
        <v>0</v>
      </c>
      <c r="I18" s="240">
        <f>IF(T_T13411121314151617181920212223242526272829303132333536373839404142434445464748495051525354555657585960616263646566676869707172737475767778798081828384858687888990919293949596979899100101102103104105106107108109110111112113114115116117118119120121122123[[#This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13411121314151617181920212223242526272829303132333536373839404142434445464748495051525354555657585960616263646566676869707172737475767778798081828384858687888990919293949596979899100101102103104105106107108109110111112113114115116117118119120121122123[[#This Row],[Total]]*-1,0)</f>
        <v>430</v>
      </c>
    </row>
    <row r="19" spans="1:9" x14ac:dyDescent="0.3">
      <c r="A19" s="188">
        <v>45747</v>
      </c>
      <c r="B19" s="3" t="s">
        <v>534</v>
      </c>
      <c r="C19" s="6"/>
      <c r="D19" s="2">
        <v>443</v>
      </c>
      <c r="E19" s="2">
        <v>36</v>
      </c>
      <c r="F19" s="230"/>
      <c r="G19" s="230">
        <f t="shared" si="0"/>
        <v>479</v>
      </c>
      <c r="H19" s="233">
        <f t="shared" si="1"/>
        <v>479</v>
      </c>
      <c r="I19" s="240">
        <f>IF(T_T13411121314151617181920212223242526272829303132333536373839404142434445464748495051525354555657585960616263646566676869707172737475767778798081828384858687888990919293949596979899100101102103104105106107108109110111112113114115116117118119120121122123[[#This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13411121314151617181920212223242526272829303132333536373839404142434445464748495051525354555657585960616263646566676869707172737475767778798081828384858687888990919293949596979899100101102103104105106107108109110111112113114115116117118119120121122123[[#This Row],[Total]]*-1,0)</f>
        <v>0</v>
      </c>
    </row>
    <row r="20" spans="1:9" x14ac:dyDescent="0.3">
      <c r="A20" s="188"/>
      <c r="B20" s="82" t="s">
        <v>535</v>
      </c>
      <c r="C20" s="6">
        <v>8762</v>
      </c>
      <c r="D20" s="2">
        <f>-1.13</f>
        <v>-1.1299999999999999</v>
      </c>
      <c r="E20" s="2">
        <v>-36</v>
      </c>
      <c r="F20" s="230"/>
      <c r="G20" s="230">
        <f t="shared" si="0"/>
        <v>-37.130000000000003</v>
      </c>
      <c r="H20" s="233">
        <f t="shared" si="1"/>
        <v>441.87</v>
      </c>
      <c r="I20" s="239">
        <f>IF(T_T13411121314151617181920212223242526272829303132333536373839404142434445464748495051525354555657585960616263646566676869707172737475767778798081828384858687888990919293949596979899100101102103104105106107108109110111112113114115116117118119120121122123[[#This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13411121314151617181920212223242526272829303132333536373839404142434445464748495051525354555657585960616263646566676869707172737475767778798081828384858687888990919293949596979899100101102103104105106107108109110111112113114115116117118119120121122123[[#This Row],[Total]]*-1,0)</f>
        <v>37.130000000000003</v>
      </c>
    </row>
    <row r="21" spans="1:9" x14ac:dyDescent="0.3">
      <c r="A21" s="188">
        <v>45777</v>
      </c>
      <c r="B21" s="3" t="s">
        <v>536</v>
      </c>
      <c r="C21" s="6"/>
      <c r="D21" s="2">
        <v>443</v>
      </c>
      <c r="E21" s="2">
        <v>55</v>
      </c>
      <c r="F21" s="230"/>
      <c r="G21" s="230">
        <f t="shared" si="0"/>
        <v>498</v>
      </c>
      <c r="H21" s="233">
        <f t="shared" si="1"/>
        <v>939.87</v>
      </c>
      <c r="I21" s="309">
        <f>IF(T_T13411121314151617181920212223242526272829303132333536373839404142434445464748495051525354555657585960616263646566676869707172737475767778798081828384858687888990919293949596979899100101102103104105106107108109110111112113114115116117118119120121122123[[#This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13411121314151617181920212223242526272829303132333536373839404142434445464748495051525354555657585960616263646566676869707172737475767778798081828384858687888990919293949596979899100101102103104105106107108109110111112113114115116117118119120121122123[[#This Row],[Total]]*-1,0)</f>
        <v>0</v>
      </c>
    </row>
    <row r="22" spans="1:9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939.87</v>
      </c>
      <c r="I22" s="309">
        <f>IF(T_T13411121314151617181920212223242526272829303132333536373839404142434445464748495051525354555657585960616263646566676869707172737475767778798081828384858687888990919293949596979899100101102103104105106107108109110111112113114115116117118119120121122123[[#This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13411121314151617181920212223242526272829303132333536373839404142434445464748495051525354555657585960616263646566676869707172737475767778798081828384858687888990919293949596979899100101102103104105106107108109110111112113114115116117118119120121122123[[#This Row],[Total]]*-1,0)</f>
        <v>0</v>
      </c>
    </row>
    <row r="23" spans="1:9" x14ac:dyDescent="0.3">
      <c r="A23" s="40">
        <v>45807</v>
      </c>
      <c r="B23" s="3" t="s">
        <v>538</v>
      </c>
      <c r="C23" s="229"/>
      <c r="D23" s="230">
        <v>443</v>
      </c>
      <c r="E23" s="230">
        <v>41</v>
      </c>
      <c r="F23" s="230"/>
      <c r="G23" s="230">
        <f t="shared" si="0"/>
        <v>484</v>
      </c>
      <c r="H23" s="233">
        <f t="shared" si="1"/>
        <v>1423.87</v>
      </c>
      <c r="I23" s="309">
        <f>IF(T_T13411121314151617181920212223242526272829303132333536373839404142434445464748495051525354555657585960616263646566676869707172737475767778798081828384858687888990919293949596979899100101102103104105106107108109110111112113114115116117118119120121122123[[#This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13411121314151617181920212223242526272829303132333536373839404142434445464748495051525354555657585960616263646566676869707172737475767778798081828384858687888990919293949596979899100101102103104105106107108109110111112113114115116117118119120121122123[[#This Row],[Total]]*-1,0)</f>
        <v>0</v>
      </c>
    </row>
    <row r="24" spans="1:9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1423.87</v>
      </c>
      <c r="I24" s="311">
        <f>IF(T_T13411121314151617181920212223242526272829303132333536373839404142434445464748495051525354555657585960616263646566676869707172737475767778798081828384858687888990919293949596979899100101102103104105106107108109110111112113114115116117118119120121122123[[#This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13411121314151617181920212223242526272829303132333536373839404142434445464748495051525354555657585960616263646566676869707172737475767778798081828384858687888990919293949596979899100101102103104105106107108109110111112113114115116117118119120121122123[[#This Row],[Total]]*-1,0)</f>
        <v>0</v>
      </c>
    </row>
    <row r="25" spans="1:9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1423.87</v>
      </c>
      <c r="I25" s="309">
        <f>IF(T_T13411121314151617181920212223242526272829303132333536373839404142434445464748495051525354555657585960616263646566676869707172737475767778798081828384858687888990919293949596979899100101102103104105106107108109110111112113114115116117118119120121122123[[#This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13411121314151617181920212223242526272829303132333536373839404142434445464748495051525354555657585960616263646566676869707172737475767778798081828384858687888990919293949596979899100101102103104105106107108109110111112113114115116117118119120121122123[[#This Row],[Total]]*-1,0)</f>
        <v>0</v>
      </c>
    </row>
    <row r="26" spans="1:9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1423.87</v>
      </c>
      <c r="I26" s="309">
        <f>IF(T_T13411121314151617181920212223242526272829303132333536373839404142434445464748495051525354555657585960616263646566676869707172737475767778798081828384858687888990919293949596979899100101102103104105106107108109110111112113114115116117118119120121122123[[#This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13411121314151617181920212223242526272829303132333536373839404142434445464748495051525354555657585960616263646566676869707172737475767778798081828384858687888990919293949596979899100101102103104105106107108109110111112113114115116117118119120121122123[[#This Row],[Total]]*-1,0)</f>
        <v>0</v>
      </c>
    </row>
    <row r="27" spans="1:9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1423.87</v>
      </c>
      <c r="I27" s="309">
        <f>IF(T_T13411121314151617181920212223242526272829303132333536373839404142434445464748495051525354555657585960616263646566676869707172737475767778798081828384858687888990919293949596979899100101102103104105106107108109110111112113114115116117118119120121122123[[#This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13411121314151617181920212223242526272829303132333536373839404142434445464748495051525354555657585960616263646566676869707172737475767778798081828384858687888990919293949596979899100101102103104105106107108109110111112113114115116117118119120121122123[[#This Row],[Total]]*-1,0)</f>
        <v>0</v>
      </c>
    </row>
    <row r="28" spans="1:9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1423.87</v>
      </c>
      <c r="I28" s="311">
        <f>IF(T_T13411121314151617181920212223242526272829303132333536373839404142434445464748495051525354555657585960616263646566676869707172737475767778798081828384858687888990919293949596979899100101102103104105106107108109110111112113114115116117118119120121122123[[#This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13411121314151617181920212223242526272829303132333536373839404142434445464748495051525354555657585960616263646566676869707172737475767778798081828384858687888990919293949596979899100101102103104105106107108109110111112113114115116117118119120121122123[[#This Row],[Total]]*-1,0)</f>
        <v>0</v>
      </c>
    </row>
    <row r="29" spans="1:9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1423.87</v>
      </c>
      <c r="I29" s="309">
        <f>IF(T_T13411121314151617181920212223242526272829303132333536373839404142434445464748495051525354555657585960616263646566676869707172737475767778798081828384858687888990919293949596979899100101102103104105106107108109110111112113114115116117118119120121122123[[#This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13411121314151617181920212223242526272829303132333536373839404142434445464748495051525354555657585960616263646566676869707172737475767778798081828384858687888990919293949596979899100101102103104105106107108109110111112113114115116117118119120121122123[[#This Row],[Total]]*-1,0)</f>
        <v>0</v>
      </c>
    </row>
    <row r="30" spans="1:9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1423.87</v>
      </c>
      <c r="I30" s="309">
        <f>IF(T_T13411121314151617181920212223242526272829303132333536373839404142434445464748495051525354555657585960616263646566676869707172737475767778798081828384858687888990919293949596979899100101102103104105106107108109110111112113114115116117118119120121122123[[#This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13411121314151617181920212223242526272829303132333536373839404142434445464748495051525354555657585960616263646566676869707172737475767778798081828384858687888990919293949596979899100101102103104105106107108109110111112113114115116117118119120121122123[[#This Row],[Total]]*-1,0)</f>
        <v>0</v>
      </c>
    </row>
    <row r="31" spans="1:9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1423.87</v>
      </c>
      <c r="I31" s="309">
        <f>IF(T_T13411121314151617181920212223242526272829303132333536373839404142434445464748495051525354555657585960616263646566676869707172737475767778798081828384858687888990919293949596979899100101102103104105106107108109110111112113114115116117118119120121122123[[#This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13411121314151617181920212223242526272829303132333536373839404142434445464748495051525354555657585960616263646566676869707172737475767778798081828384858687888990919293949596979899100101102103104105106107108109110111112113114115116117118119120121122123[[#This Row],[Total]]*-1,0)</f>
        <v>0</v>
      </c>
    </row>
    <row r="32" spans="1:9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1423.87</v>
      </c>
      <c r="I32" s="309">
        <f>IF(T_T13411121314151617181920212223242526272829303132333536373839404142434445464748495051525354555657585960616263646566676869707172737475767778798081828384858687888990919293949596979899100101102103104105106107108109110111112113114115116117118119120121122123[[#This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13411121314151617181920212223242526272829303132333536373839404142434445464748495051525354555657585960616263646566676869707172737475767778798081828384858687888990919293949596979899100101102103104105106107108109110111112113114115116117118119120121122123[[#This Row],[Total]]*-1,0)</f>
        <v>0</v>
      </c>
    </row>
    <row r="33" spans="1:9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1423.87</v>
      </c>
      <c r="I33" s="309">
        <f>IF(T_T13411121314151617181920212223242526272829303132333536373839404142434445464748495051525354555657585960616263646566676869707172737475767778798081828384858687888990919293949596979899100101102103104105106107108109110111112113114115116117118119120121122123[[#This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13411121314151617181920212223242526272829303132333536373839404142434445464748495051525354555657585960616263646566676869707172737475767778798081828384858687888990919293949596979899100101102103104105106107108109110111112113114115116117118119120121122123[[#This Row],[Total]]*-1,0)</f>
        <v>0</v>
      </c>
    </row>
    <row r="34" spans="1:9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1423.87</v>
      </c>
      <c r="I34" s="309">
        <f>IF(T_T13411121314151617181920212223242526272829303132333536373839404142434445464748495051525354555657585960616263646566676869707172737475767778798081828384858687888990919293949596979899100101102103104105106107108109110111112113114115116117118119120121122123[[#This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13411121314151617181920212223242526272829303132333536373839404142434445464748495051525354555657585960616263646566676869707172737475767778798081828384858687888990919293949596979899100101102103104105106107108109110111112113114115116117118119120121122123[[#This Row],[Total]]*-1,0)</f>
        <v>0</v>
      </c>
    </row>
    <row r="35" spans="1:9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1423.87</v>
      </c>
      <c r="I35" s="309">
        <f>IF(T_T13411121314151617181920212223242526272829303132333536373839404142434445464748495051525354555657585960616263646566676869707172737475767778798081828384858687888990919293949596979899100101102103104105106107108109110111112113114115116117118119120121122123[[#This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13411121314151617181920212223242526272829303132333536373839404142434445464748495051525354555657585960616263646566676869707172737475767778798081828384858687888990919293949596979899100101102103104105106107108109110111112113114115116117118119120121122123[[#This Row],[Total]]*-1,0)</f>
        <v>0</v>
      </c>
    </row>
    <row r="36" spans="1:9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1423.87</v>
      </c>
      <c r="I36" s="311">
        <f>IF(T_T13411121314151617181920212223242526272829303132333536373839404142434445464748495051525354555657585960616263646566676869707172737475767778798081828384858687888990919293949596979899100101102103104105106107108109110111112113114115116117118119120121122123[[#This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13411121314151617181920212223242526272829303132333536373839404142434445464748495051525354555657585960616263646566676869707172737475767778798081828384858687888990919293949596979899100101102103104105106107108109110111112113114115116117118119120121122123[[#This Row],[Total]]*-1,0)</f>
        <v>0</v>
      </c>
    </row>
    <row r="37" spans="1:9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1423.87</v>
      </c>
      <c r="I37" s="353">
        <f>IF(T_T13411121314151617181920212223242526272829303132333536373839404142434445464748495051525354555657585960616263646566676869707172737475767778798081828384858687888990919293949596979899100101102103104105106107108109110111112113114115116117118119120121122123[[#This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13411121314151617181920212223242526272829303132333536373839404142434445464748495051525354555657585960616263646566676869707172737475767778798081828384858687888990919293949596979899100101102103104105106107108109110111112113114115116117118119120121122123[[#This Row],[Total]]*-1,0)</f>
        <v>0</v>
      </c>
    </row>
    <row r="38" spans="1:9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1423.87</v>
      </c>
      <c r="I38" s="353">
        <f>IF(T_T13411121314151617181920212223242526272829303132333536373839404142434445464748495051525354555657585960616263646566676869707172737475767778798081828384858687888990919293949596979899100101102103104105106107108109110111112113114115116117118119120121122123[[#This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13411121314151617181920212223242526272829303132333536373839404142434445464748495051525354555657585960616263646566676869707172737475767778798081828384858687888990919293949596979899100101102103104105106107108109110111112113114115116117118119120121122123[[#This Row],[Total]]*-1,0)</f>
        <v>0</v>
      </c>
    </row>
    <row r="39" spans="1:9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1423.87</v>
      </c>
      <c r="I39" s="353">
        <f>IF(T_T13411121314151617181920212223242526272829303132333536373839404142434445464748495051525354555657585960616263646566676869707172737475767778798081828384858687888990919293949596979899100101102103104105106107108109110111112113114115116117118119120121122123[[#This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13411121314151617181920212223242526272829303132333536373839404142434445464748495051525354555657585960616263646566676869707172737475767778798081828384858687888990919293949596979899100101102103104105106107108109110111112113114115116117118119120121122123[[#This Row],[Total]]*-1,0)</f>
        <v>0</v>
      </c>
    </row>
    <row r="40" spans="1:9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1423.87</v>
      </c>
      <c r="I40" s="353">
        <f>IF(T_T13411121314151617181920212223242526272829303132333536373839404142434445464748495051525354555657585960616263646566676869707172737475767778798081828384858687888990919293949596979899100101102103104105106107108109110111112113114115116117118119120121122123[[#This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13411121314151617181920212223242526272829303132333536373839404142434445464748495051525354555657585960616263646566676869707172737475767778798081828384858687888990919293949596979899100101102103104105106107108109110111112113114115116117118119120121122123[[#This Row],[Total]]*-1,0)</f>
        <v>0</v>
      </c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scale="70" orientation="portrait" verticalDpi="360" r:id="rId2"/>
  <drawing r:id="rId3"/>
  <tableParts count="1">
    <tablePart r:id="rId4"/>
  </tablePart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M40"/>
  <sheetViews>
    <sheetView showGridLines="0" zoomScale="98" zoomScaleNormal="98" workbookViewId="0">
      <selection activeCell="E23" sqref="E23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0.6640625" bestFit="1" customWidth="1"/>
    <col min="14" max="14" width="14.88671875" customWidth="1"/>
  </cols>
  <sheetData>
    <row r="2" spans="1:13" ht="15.6" x14ac:dyDescent="0.3">
      <c r="A2" s="27" t="s">
        <v>36</v>
      </c>
      <c r="B2" s="41" t="s">
        <v>172</v>
      </c>
    </row>
    <row r="3" spans="1:13" ht="5.25" hidden="1" customHeight="1" x14ac:dyDescent="0.3">
      <c r="A3" s="27" t="s">
        <v>31</v>
      </c>
      <c r="B3" s="28" t="e">
        <f>LOOKUP(B2,#REF!,#REF!)</f>
        <v>#REF!</v>
      </c>
    </row>
    <row r="4" spans="1:13" hidden="1" x14ac:dyDescent="0.3">
      <c r="A4" s="27" t="s">
        <v>32</v>
      </c>
      <c r="B4" s="28" t="e">
        <f>LOOKUP(B2,#REF!,#REF!)</f>
        <v>#REF!</v>
      </c>
    </row>
    <row r="5" spans="1:13" hidden="1" x14ac:dyDescent="0.3">
      <c r="A5" s="27" t="s">
        <v>33</v>
      </c>
      <c r="B5" s="28" t="e">
        <f>LOOKUP(B2,#REF!,#REF!)</f>
        <v>#REF!</v>
      </c>
    </row>
    <row r="6" spans="1:13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3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3" x14ac:dyDescent="0.3">
      <c r="A8" s="21"/>
      <c r="B8" s="21" t="s">
        <v>246</v>
      </c>
    </row>
    <row r="9" spans="1:13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13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IF(T_T13411121314151617181920212223242526272829303132333536373839404142434445464748495051525354555657585960616263646566676869707172737475767778798081828384858687888990919293949596979899100101102103104105106107108109110111112113114115116117118119120121122124[[#This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13411121314151617181920212223242526272829303132333536373839404142434445464748495051525354555657585960616263646566676869707172737475767778798081828384858687888990919293949596979899100101102103104105106107108109110111112113114115116117118119120121122124[[#This Row],[Total]]*-1,0)</f>
        <v>0</v>
      </c>
      <c r="M10" s="178"/>
    </row>
    <row r="11" spans="1:13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IF(T_T13411121314151617181920212223242526272829303132333536373839404142434445464748495051525354555657585960616263646566676869707172737475767778798081828384858687888990919293949596979899100101102103104105106107108109110111112113114115116117118119120121122124[[#This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13411121314151617181920212223242526272829303132333536373839404142434445464748495051525354555657585960616263646566676869707172737475767778798081828384858687888990919293949596979899100101102103104105106107108109110111112113114115116117118119120121122124[[#This Row],[Total]]*-1,0)</f>
        <v>0</v>
      </c>
    </row>
    <row r="12" spans="1:13" x14ac:dyDescent="0.3">
      <c r="A12" s="117"/>
      <c r="B12" s="118" t="s">
        <v>467</v>
      </c>
      <c r="C12" s="284"/>
      <c r="D12" s="285"/>
      <c r="E12" s="285"/>
      <c r="F12" s="285"/>
      <c r="G12" s="285"/>
      <c r="H12" s="10">
        <v>0</v>
      </c>
      <c r="I12" s="51">
        <f>IF(T_T13411121314151617181920212223242526272829303132333536373839404142434445464748495051525354555657585960616263646566676869707172737475767778798081828384858687888990919293949596979899100101102103104105106107108109110111112113114115116117118119120121122124[[#This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13411121314151617181920212223242526272829303132333536373839404142434445464748495051525354555657585960616263646566676869707172737475767778798081828384858687888990919293949596979899100101102103104105106107108109110111112113114115116117118119120121122124[[#This Row],[Total]]*-1,0)</f>
        <v>0</v>
      </c>
    </row>
    <row r="13" spans="1:13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IF(T_T13411121314151617181920212223242526272829303132333536373839404142434445464748495051525354555657585960616263646566676869707172737475767778798081828384858687888990919293949596979899100101102103104105106107108109110111112113114115116117118119120121122124[[#This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13411121314151617181920212223242526272829303132333536373839404142434445464748495051525354555657585960616263646566676869707172737475767778798081828384858687888990919293949596979899100101102103104105106107108109110111112113114115116117118119120121122124[[#This Row],[Total]]*-1,0)</f>
        <v>0</v>
      </c>
    </row>
    <row r="14" spans="1:13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IF(T_T13411121314151617181920212223242526272829303132333536373839404142434445464748495051525354555657585960616263646566676869707172737475767778798081828384858687888990919293949596979899100101102103104105106107108109110111112113114115116117118119120121122124[[#This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13411121314151617181920212223242526272829303132333536373839404142434445464748495051525354555657585960616263646566676869707172737475767778798081828384858687888990919293949596979899100101102103104105106107108109110111112113114115116117118119120121122124[[#This Row],[Total]]*-1,0)</f>
        <v>0</v>
      </c>
    </row>
    <row r="15" spans="1:13" x14ac:dyDescent="0.3">
      <c r="A15" s="17">
        <v>46052</v>
      </c>
      <c r="B15" s="18" t="s">
        <v>590</v>
      </c>
      <c r="C15" s="6"/>
      <c r="D15" s="2">
        <v>349</v>
      </c>
      <c r="E15" s="2">
        <v>2</v>
      </c>
      <c r="F15" s="20"/>
      <c r="G15" s="20">
        <f>SUM(D15:F15)</f>
        <v>351</v>
      </c>
      <c r="H15" s="233">
        <f>+H13+T_T13411121314151617181920212223242526272829303132333536373839404142434445464748495051525354555657585960616263646566676869707172737475767778798081828384858687888990919293949596979899100101102103104105106107108109110111112113114115116117118119120121122124[[#This Row],[Total]]</f>
        <v>351</v>
      </c>
      <c r="I15" s="240">
        <f>IF(T_T13411121314151617181920212223242526272829303132333536373839404142434445464748495051525354555657585960616263646566676869707172737475767778798081828384858687888990919293949596979899100101102103104105106107108109110111112113114115116117118119120121122124[[#This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13411121314151617181920212223242526272829303132333536373839404142434445464748495051525354555657585960616263646566676869707172737475767778798081828384858687888990919293949596979899100101102103104105106107108109110111112113114115116117118119120121122124[[#This Row],[Total]]*-1,0)</f>
        <v>0</v>
      </c>
    </row>
    <row r="16" spans="1:13" x14ac:dyDescent="0.3">
      <c r="A16" s="17"/>
      <c r="B16" s="18" t="s">
        <v>591</v>
      </c>
      <c r="C16" s="6">
        <v>8763</v>
      </c>
      <c r="D16" s="2">
        <v>-349</v>
      </c>
      <c r="E16" s="2">
        <v>-2</v>
      </c>
      <c r="F16" s="230"/>
      <c r="G16" s="230">
        <f t="shared" ref="G16:G38" si="0">SUM(D16:F16)</f>
        <v>-351</v>
      </c>
      <c r="H16" s="233">
        <f t="shared" ref="H16:H40" si="1">H15+G16</f>
        <v>0</v>
      </c>
      <c r="I16" s="239">
        <f>IF(T_T13411121314151617181920212223242526272829303132333536373839404142434445464748495051525354555657585960616263646566676869707172737475767778798081828384858687888990919293949596979899100101102103104105106107108109110111112113114115116117118119120121122124[[#This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13411121314151617181920212223242526272829303132333536373839404142434445464748495051525354555657585960616263646566676869707172737475767778798081828384858687888990919293949596979899100101102103104105106107108109110111112113114115116117118119120121122124[[#This Row],[Total]]*-1,0)</f>
        <v>351</v>
      </c>
    </row>
    <row r="17" spans="1:9" x14ac:dyDescent="0.3">
      <c r="A17" s="164">
        <v>45715</v>
      </c>
      <c r="B17" s="161" t="s">
        <v>532</v>
      </c>
      <c r="C17" s="6"/>
      <c r="D17" s="2">
        <v>349</v>
      </c>
      <c r="E17" s="2">
        <v>2</v>
      </c>
      <c r="F17" s="230"/>
      <c r="G17" s="230">
        <f t="shared" si="0"/>
        <v>351</v>
      </c>
      <c r="H17" s="233">
        <f t="shared" si="1"/>
        <v>351</v>
      </c>
      <c r="I17" s="240">
        <f>IF(T_T13411121314151617181920212223242526272829303132333536373839404142434445464748495051525354555657585960616263646566676869707172737475767778798081828384858687888990919293949596979899100101102103104105106107108109110111112113114115116117118119120121122124[[#This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13411121314151617181920212223242526272829303132333536373839404142434445464748495051525354555657585960616263646566676869707172737475767778798081828384858687888990919293949596979899100101102103104105106107108109110111112113114115116117118119120121122124[[#This Row],[Total]]*-1,0)</f>
        <v>0</v>
      </c>
    </row>
    <row r="18" spans="1:9" x14ac:dyDescent="0.3">
      <c r="A18" s="187"/>
      <c r="B18" s="18" t="s">
        <v>533</v>
      </c>
      <c r="C18" s="6">
        <v>8763</v>
      </c>
      <c r="D18" s="2">
        <v>-349</v>
      </c>
      <c r="E18" s="2">
        <v>-2</v>
      </c>
      <c r="F18" s="230"/>
      <c r="G18" s="230">
        <f t="shared" si="0"/>
        <v>-351</v>
      </c>
      <c r="H18" s="233">
        <f t="shared" si="1"/>
        <v>0</v>
      </c>
      <c r="I18" s="240">
        <f>IF(T_T13411121314151617181920212223242526272829303132333536373839404142434445464748495051525354555657585960616263646566676869707172737475767778798081828384858687888990919293949596979899100101102103104105106107108109110111112113114115116117118119120121122124[[#This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13411121314151617181920212223242526272829303132333536373839404142434445464748495051525354555657585960616263646566676869707172737475767778798081828384858687888990919293949596979899100101102103104105106107108109110111112113114115116117118119120121122124[[#This Row],[Total]]*-1,0)</f>
        <v>351</v>
      </c>
    </row>
    <row r="19" spans="1:9" x14ac:dyDescent="0.3">
      <c r="A19" s="188">
        <v>45747</v>
      </c>
      <c r="B19" s="3" t="s">
        <v>534</v>
      </c>
      <c r="C19" s="6"/>
      <c r="D19" s="2">
        <v>399</v>
      </c>
      <c r="E19" s="2">
        <v>5</v>
      </c>
      <c r="F19" s="230"/>
      <c r="G19" s="230">
        <f t="shared" si="0"/>
        <v>404</v>
      </c>
      <c r="H19" s="233">
        <f t="shared" si="1"/>
        <v>404</v>
      </c>
      <c r="I19" s="240">
        <f>IF(T_T13411121314151617181920212223242526272829303132333536373839404142434445464748495051525354555657585960616263646566676869707172737475767778798081828384858687888990919293949596979899100101102103104105106107108109110111112113114115116117118119120121122124[[#This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13411121314151617181920212223242526272829303132333536373839404142434445464748495051525354555657585960616263646566676869707172737475767778798081828384858687888990919293949596979899100101102103104105106107108109110111112113114115116117118119120121122124[[#This Row],[Total]]*-1,0)</f>
        <v>0</v>
      </c>
    </row>
    <row r="20" spans="1:9" x14ac:dyDescent="0.3">
      <c r="A20" s="188"/>
      <c r="B20" s="82" t="s">
        <v>535</v>
      </c>
      <c r="C20" s="6">
        <v>8976</v>
      </c>
      <c r="D20" s="2">
        <v>-399</v>
      </c>
      <c r="E20" s="2">
        <v>-5</v>
      </c>
      <c r="F20" s="230"/>
      <c r="G20" s="230">
        <f t="shared" si="0"/>
        <v>-404</v>
      </c>
      <c r="H20" s="233">
        <f t="shared" si="1"/>
        <v>0</v>
      </c>
      <c r="I20" s="239">
        <f>IF(T_T13411121314151617181920212223242526272829303132333536373839404142434445464748495051525354555657585960616263646566676869707172737475767778798081828384858687888990919293949596979899100101102103104105106107108109110111112113114115116117118119120121122124[[#This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13411121314151617181920212223242526272829303132333536373839404142434445464748495051525354555657585960616263646566676869707172737475767778798081828384858687888990919293949596979899100101102103104105106107108109110111112113114115116117118119120121122124[[#This Row],[Total]]*-1,0)</f>
        <v>404</v>
      </c>
    </row>
    <row r="21" spans="1:9" x14ac:dyDescent="0.3">
      <c r="A21" s="188">
        <v>45777</v>
      </c>
      <c r="B21" s="3" t="s">
        <v>536</v>
      </c>
      <c r="C21" s="6"/>
      <c r="D21" s="2">
        <v>399</v>
      </c>
      <c r="E21" s="2">
        <v>6</v>
      </c>
      <c r="F21" s="230"/>
      <c r="G21" s="230">
        <f t="shared" si="0"/>
        <v>405</v>
      </c>
      <c r="H21" s="233">
        <f t="shared" si="1"/>
        <v>405</v>
      </c>
      <c r="I21" s="309">
        <f>IF(T_T13411121314151617181920212223242526272829303132333536373839404142434445464748495051525354555657585960616263646566676869707172737475767778798081828384858687888990919293949596979899100101102103104105106107108109110111112113114115116117118119120121122124[[#This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13411121314151617181920212223242526272829303132333536373839404142434445464748495051525354555657585960616263646566676869707172737475767778798081828384858687888990919293949596979899100101102103104105106107108109110111112113114115116117118119120121122124[[#This Row],[Total]]*-1,0)</f>
        <v>0</v>
      </c>
    </row>
    <row r="22" spans="1:9" x14ac:dyDescent="0.3">
      <c r="A22" s="83"/>
      <c r="B22" s="82" t="s">
        <v>537</v>
      </c>
      <c r="C22" s="6">
        <v>8976</v>
      </c>
      <c r="D22" s="2">
        <v>-399</v>
      </c>
      <c r="E22" s="2">
        <v>-6</v>
      </c>
      <c r="F22" s="230"/>
      <c r="G22" s="230">
        <f t="shared" si="0"/>
        <v>-405</v>
      </c>
      <c r="H22" s="233">
        <f t="shared" si="1"/>
        <v>0</v>
      </c>
      <c r="I22" s="309">
        <f>IF(T_T13411121314151617181920212223242526272829303132333536373839404142434445464748495051525354555657585960616263646566676869707172737475767778798081828384858687888990919293949596979899100101102103104105106107108109110111112113114115116117118119120121122124[[#This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13411121314151617181920212223242526272829303132333536373839404142434445464748495051525354555657585960616263646566676869707172737475767778798081828384858687888990919293949596979899100101102103104105106107108109110111112113114115116117118119120121122124[[#This Row],[Total]]*-1,0)</f>
        <v>405</v>
      </c>
    </row>
    <row r="23" spans="1:9" x14ac:dyDescent="0.3">
      <c r="A23" s="40">
        <v>45807</v>
      </c>
      <c r="B23" s="3" t="s">
        <v>538</v>
      </c>
      <c r="C23" s="229"/>
      <c r="D23" s="230">
        <v>399</v>
      </c>
      <c r="E23" s="230">
        <v>2</v>
      </c>
      <c r="F23" s="230"/>
      <c r="G23" s="230">
        <f t="shared" si="0"/>
        <v>401</v>
      </c>
      <c r="H23" s="233">
        <f t="shared" si="1"/>
        <v>401</v>
      </c>
      <c r="I23" s="309">
        <f>IF(T_T13411121314151617181920212223242526272829303132333536373839404142434445464748495051525354555657585960616263646566676869707172737475767778798081828384858687888990919293949596979899100101102103104105106107108109110111112113114115116117118119120121122124[[#This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13411121314151617181920212223242526272829303132333536373839404142434445464748495051525354555657585960616263646566676869707172737475767778798081828384858687888990919293949596979899100101102103104105106107108109110111112113114115116117118119120121122124[[#This Row],[Total]]*-1,0)</f>
        <v>0</v>
      </c>
    </row>
    <row r="24" spans="1:9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401</v>
      </c>
      <c r="I24" s="311">
        <f>IF(T_T13411121314151617181920212223242526272829303132333536373839404142434445464748495051525354555657585960616263646566676869707172737475767778798081828384858687888990919293949596979899100101102103104105106107108109110111112113114115116117118119120121122124[[#This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13411121314151617181920212223242526272829303132333536373839404142434445464748495051525354555657585960616263646566676869707172737475767778798081828384858687888990919293949596979899100101102103104105106107108109110111112113114115116117118119120121122124[[#This Row],[Total]]*-1,0)</f>
        <v>0</v>
      </c>
    </row>
    <row r="25" spans="1:9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401</v>
      </c>
      <c r="I25" s="309">
        <f>IF(T_T13411121314151617181920212223242526272829303132333536373839404142434445464748495051525354555657585960616263646566676869707172737475767778798081828384858687888990919293949596979899100101102103104105106107108109110111112113114115116117118119120121122124[[#This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13411121314151617181920212223242526272829303132333536373839404142434445464748495051525354555657585960616263646566676869707172737475767778798081828384858687888990919293949596979899100101102103104105106107108109110111112113114115116117118119120121122124[[#This Row],[Total]]*-1,0)</f>
        <v>0</v>
      </c>
    </row>
    <row r="26" spans="1:9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401</v>
      </c>
      <c r="I26" s="309">
        <f>IF(T_T13411121314151617181920212223242526272829303132333536373839404142434445464748495051525354555657585960616263646566676869707172737475767778798081828384858687888990919293949596979899100101102103104105106107108109110111112113114115116117118119120121122124[[#This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13411121314151617181920212223242526272829303132333536373839404142434445464748495051525354555657585960616263646566676869707172737475767778798081828384858687888990919293949596979899100101102103104105106107108109110111112113114115116117118119120121122124[[#This Row],[Total]]*-1,0)</f>
        <v>0</v>
      </c>
    </row>
    <row r="27" spans="1:9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401</v>
      </c>
      <c r="I27" s="309">
        <f>IF(T_T13411121314151617181920212223242526272829303132333536373839404142434445464748495051525354555657585960616263646566676869707172737475767778798081828384858687888990919293949596979899100101102103104105106107108109110111112113114115116117118119120121122124[[#This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13411121314151617181920212223242526272829303132333536373839404142434445464748495051525354555657585960616263646566676869707172737475767778798081828384858687888990919293949596979899100101102103104105106107108109110111112113114115116117118119120121122124[[#This Row],[Total]]*-1,0)</f>
        <v>0</v>
      </c>
    </row>
    <row r="28" spans="1:9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401</v>
      </c>
      <c r="I28" s="311">
        <f>IF(T_T13411121314151617181920212223242526272829303132333536373839404142434445464748495051525354555657585960616263646566676869707172737475767778798081828384858687888990919293949596979899100101102103104105106107108109110111112113114115116117118119120121122124[[#This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13411121314151617181920212223242526272829303132333536373839404142434445464748495051525354555657585960616263646566676869707172737475767778798081828384858687888990919293949596979899100101102103104105106107108109110111112113114115116117118119120121122124[[#This Row],[Total]]*-1,0)</f>
        <v>0</v>
      </c>
    </row>
    <row r="29" spans="1:9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401</v>
      </c>
      <c r="I29" s="309">
        <f>IF(T_T13411121314151617181920212223242526272829303132333536373839404142434445464748495051525354555657585960616263646566676869707172737475767778798081828384858687888990919293949596979899100101102103104105106107108109110111112113114115116117118119120121122124[[#This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13411121314151617181920212223242526272829303132333536373839404142434445464748495051525354555657585960616263646566676869707172737475767778798081828384858687888990919293949596979899100101102103104105106107108109110111112113114115116117118119120121122124[[#This Row],[Total]]*-1,0)</f>
        <v>0</v>
      </c>
    </row>
    <row r="30" spans="1:9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401</v>
      </c>
      <c r="I30" s="309">
        <f>IF(T_T13411121314151617181920212223242526272829303132333536373839404142434445464748495051525354555657585960616263646566676869707172737475767778798081828384858687888990919293949596979899100101102103104105106107108109110111112113114115116117118119120121122124[[#This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13411121314151617181920212223242526272829303132333536373839404142434445464748495051525354555657585960616263646566676869707172737475767778798081828384858687888990919293949596979899100101102103104105106107108109110111112113114115116117118119120121122124[[#This Row],[Total]]*-1,0)</f>
        <v>0</v>
      </c>
    </row>
    <row r="31" spans="1:9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401</v>
      </c>
      <c r="I31" s="309">
        <f>IF(T_T13411121314151617181920212223242526272829303132333536373839404142434445464748495051525354555657585960616263646566676869707172737475767778798081828384858687888990919293949596979899100101102103104105106107108109110111112113114115116117118119120121122124[[#This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13411121314151617181920212223242526272829303132333536373839404142434445464748495051525354555657585960616263646566676869707172737475767778798081828384858687888990919293949596979899100101102103104105106107108109110111112113114115116117118119120121122124[[#This Row],[Total]]*-1,0)</f>
        <v>0</v>
      </c>
    </row>
    <row r="32" spans="1:9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401</v>
      </c>
      <c r="I32" s="309">
        <f>IF(T_T13411121314151617181920212223242526272829303132333536373839404142434445464748495051525354555657585960616263646566676869707172737475767778798081828384858687888990919293949596979899100101102103104105106107108109110111112113114115116117118119120121122124[[#This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13411121314151617181920212223242526272829303132333536373839404142434445464748495051525354555657585960616263646566676869707172737475767778798081828384858687888990919293949596979899100101102103104105106107108109110111112113114115116117118119120121122124[[#This Row],[Total]]*-1,0)</f>
        <v>0</v>
      </c>
    </row>
    <row r="33" spans="1:9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401</v>
      </c>
      <c r="I33" s="309">
        <f>IF(T_T13411121314151617181920212223242526272829303132333536373839404142434445464748495051525354555657585960616263646566676869707172737475767778798081828384858687888990919293949596979899100101102103104105106107108109110111112113114115116117118119120121122124[[#This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13411121314151617181920212223242526272829303132333536373839404142434445464748495051525354555657585960616263646566676869707172737475767778798081828384858687888990919293949596979899100101102103104105106107108109110111112113114115116117118119120121122124[[#This Row],[Total]]*-1,0)</f>
        <v>0</v>
      </c>
    </row>
    <row r="34" spans="1:9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401</v>
      </c>
      <c r="I34" s="309">
        <f>IF(T_T13411121314151617181920212223242526272829303132333536373839404142434445464748495051525354555657585960616263646566676869707172737475767778798081828384858687888990919293949596979899100101102103104105106107108109110111112113114115116117118119120121122124[[#This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13411121314151617181920212223242526272829303132333536373839404142434445464748495051525354555657585960616263646566676869707172737475767778798081828384858687888990919293949596979899100101102103104105106107108109110111112113114115116117118119120121122124[[#This Row],[Total]]*-1,0)</f>
        <v>0</v>
      </c>
    </row>
    <row r="35" spans="1:9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401</v>
      </c>
      <c r="I35" s="309">
        <f>IF(T_T13411121314151617181920212223242526272829303132333536373839404142434445464748495051525354555657585960616263646566676869707172737475767778798081828384858687888990919293949596979899100101102103104105106107108109110111112113114115116117118119120121122124[[#This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13411121314151617181920212223242526272829303132333536373839404142434445464748495051525354555657585960616263646566676869707172737475767778798081828384858687888990919293949596979899100101102103104105106107108109110111112113114115116117118119120121122124[[#This Row],[Total]]*-1,0)</f>
        <v>0</v>
      </c>
    </row>
    <row r="36" spans="1:9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401</v>
      </c>
      <c r="I36" s="311">
        <f>IF(T_T13411121314151617181920212223242526272829303132333536373839404142434445464748495051525354555657585960616263646566676869707172737475767778798081828384858687888990919293949596979899100101102103104105106107108109110111112113114115116117118119120121122124[[#This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13411121314151617181920212223242526272829303132333536373839404142434445464748495051525354555657585960616263646566676869707172737475767778798081828384858687888990919293949596979899100101102103104105106107108109110111112113114115116117118119120121122124[[#This Row],[Total]]*-1,0)</f>
        <v>0</v>
      </c>
    </row>
    <row r="37" spans="1:9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401</v>
      </c>
      <c r="I37" s="353">
        <f>IF(T_T13411121314151617181920212223242526272829303132333536373839404142434445464748495051525354555657585960616263646566676869707172737475767778798081828384858687888990919293949596979899100101102103104105106107108109110111112113114115116117118119120121122124[[#This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13411121314151617181920212223242526272829303132333536373839404142434445464748495051525354555657585960616263646566676869707172737475767778798081828384858687888990919293949596979899100101102103104105106107108109110111112113114115116117118119120121122124[[#This Row],[Total]]*-1,0)</f>
        <v>0</v>
      </c>
    </row>
    <row r="38" spans="1:9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401</v>
      </c>
      <c r="I38" s="353">
        <f>IF(T_T13411121314151617181920212223242526272829303132333536373839404142434445464748495051525354555657585960616263646566676869707172737475767778798081828384858687888990919293949596979899100101102103104105106107108109110111112113114115116117118119120121122124[[#This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13411121314151617181920212223242526272829303132333536373839404142434445464748495051525354555657585960616263646566676869707172737475767778798081828384858687888990919293949596979899100101102103104105106107108109110111112113114115116117118119120121122124[[#This Row],[Total]]*-1,0)</f>
        <v>0</v>
      </c>
    </row>
    <row r="39" spans="1:9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401</v>
      </c>
      <c r="I39" s="353">
        <f>IF(T_T13411121314151617181920212223242526272829303132333536373839404142434445464748495051525354555657585960616263646566676869707172737475767778798081828384858687888990919293949596979899100101102103104105106107108109110111112113114115116117118119120121122124[[#This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13411121314151617181920212223242526272829303132333536373839404142434445464748495051525354555657585960616263646566676869707172737475767778798081828384858687888990919293949596979899100101102103104105106107108109110111112113114115116117118119120121122124[[#This Row],[Total]]*-1,0)</f>
        <v>0</v>
      </c>
    </row>
    <row r="40" spans="1:9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401</v>
      </c>
      <c r="I40" s="353">
        <f>IF(T_T13411121314151617181920212223242526272829303132333536373839404142434445464748495051525354555657585960616263646566676869707172737475767778798081828384858687888990919293949596979899100101102103104105106107108109110111112113114115116117118119120121122124[[#This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13411121314151617181920212223242526272829303132333536373839404142434445464748495051525354555657585960616263646566676869707172737475767778798081828384858687888990919293949596979899100101102103104105106107108109110111112113114115116117118119120121122124[[#This Row],[Total]]*-1,0)</f>
        <v>0</v>
      </c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scale="70" orientation="portrait" verticalDpi="360" r:id="rId2"/>
  <drawing r:id="rId3"/>
  <tableParts count="1">
    <tablePart r:id="rId4"/>
  </tablePart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N42"/>
  <sheetViews>
    <sheetView showGridLines="0" topLeftCell="A2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4.88671875" customWidth="1"/>
    <col min="3" max="3" width="11.5546875" style="4" customWidth="1"/>
    <col min="4" max="4" width="12.109375" style="1" customWidth="1"/>
    <col min="5" max="5" width="10.109375" style="1" customWidth="1"/>
    <col min="6" max="6" width="7.6640625" style="1" customWidth="1"/>
    <col min="7" max="7" width="10.109375" style="1" customWidth="1"/>
    <col min="8" max="8" width="10.6640625" style="1" customWidth="1"/>
    <col min="9" max="9" width="12.88671875" hidden="1" customWidth="1"/>
    <col min="10" max="10" width="10.44140625" customWidth="1"/>
    <col min="14" max="14" width="10.6640625" bestFit="1" customWidth="1"/>
    <col min="15" max="15" width="15.6640625" customWidth="1"/>
  </cols>
  <sheetData>
    <row r="2" spans="1:14" ht="15.6" x14ac:dyDescent="0.3">
      <c r="A2" s="27" t="s">
        <v>36</v>
      </c>
      <c r="B2" s="41" t="s">
        <v>173</v>
      </c>
    </row>
    <row r="3" spans="1:14" hidden="1" x14ac:dyDescent="0.3">
      <c r="A3" s="27" t="s">
        <v>31</v>
      </c>
      <c r="B3" s="28" t="e">
        <f>LOOKUP(B2,#REF!,#REF!)</f>
        <v>#REF!</v>
      </c>
    </row>
    <row r="4" spans="1:14" hidden="1" x14ac:dyDescent="0.3">
      <c r="A4" s="27" t="s">
        <v>32</v>
      </c>
      <c r="B4" s="28" t="e">
        <f>LOOKUP(B2,#REF!,#REF!)</f>
        <v>#REF!</v>
      </c>
    </row>
    <row r="5" spans="1:14" hidden="1" x14ac:dyDescent="0.3">
      <c r="A5" s="27" t="s">
        <v>33</v>
      </c>
      <c r="B5" s="28" t="e">
        <f>LOOKUP(B2,#REF!,#REF!)</f>
        <v>#REF!</v>
      </c>
    </row>
    <row r="6" spans="1:14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4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4" x14ac:dyDescent="0.3">
      <c r="A8" s="21"/>
      <c r="B8" s="21" t="s">
        <v>479</v>
      </c>
    </row>
    <row r="9" spans="1:14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226" t="s">
        <v>188</v>
      </c>
      <c r="K9" s="367" t="s">
        <v>191</v>
      </c>
      <c r="L9" s="367" t="s">
        <v>262</v>
      </c>
    </row>
    <row r="10" spans="1:14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IF(T_T13411121314151617181920212223242526272829303132333536373839404142434445464748495051525354555657585960616263646566676869707172737475767778798081828384858687888990919293949596979899100101102103104105106107108109110111112113114115116117118119120121122125[[#This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13411121314151617181920212223242526272829303132333536373839404142434445464748495051525354555657585960616263646566676869707172737475767778798081828384858687888990919293949596979899100101102103104105106107108109110111112113114115116117118119120121122125[[#This Row],[Total]]*-1,0)</f>
        <v>0</v>
      </c>
      <c r="J10" s="225"/>
      <c r="K10" s="348"/>
      <c r="L10" s="348"/>
      <c r="N10" s="178"/>
    </row>
    <row r="11" spans="1:14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IF(T_T13411121314151617181920212223242526272829303132333536373839404142434445464748495051525354555657585960616263646566676869707172737475767778798081828384858687888990919293949596979899100101102103104105106107108109110111112113114115116117118119120121122125[[#This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13411121314151617181920212223242526272829303132333536373839404142434445464748495051525354555657585960616263646566676869707172737475767778798081828384858687888990919293949596979899100101102103104105106107108109110111112113114115116117118119120121122125[[#This Row],[Total]]*-1,0)</f>
        <v>0</v>
      </c>
      <c r="J11" s="240"/>
      <c r="K11" s="348"/>
      <c r="L11" s="348"/>
    </row>
    <row r="12" spans="1:14" x14ac:dyDescent="0.3">
      <c r="A12" s="117"/>
      <c r="B12" s="118" t="s">
        <v>467</v>
      </c>
      <c r="C12" s="284"/>
      <c r="D12" s="285"/>
      <c r="E12" s="285"/>
      <c r="F12" s="285"/>
      <c r="G12" s="285"/>
      <c r="H12" s="10">
        <v>0</v>
      </c>
      <c r="I12" s="51">
        <f>IF(T_T13411121314151617181920212223242526272829303132333536373839404142434445464748495051525354555657585960616263646566676869707172737475767778798081828384858687888990919293949596979899100101102103104105106107108109110111112113114115116117118119120121122125[[#This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13411121314151617181920212223242526272829303132333536373839404142434445464748495051525354555657585960616263646566676869707172737475767778798081828384858687888990919293949596979899100101102103104105106107108109110111112113114115116117118119120121122125[[#This Row],[Total]]*-1,0)</f>
        <v>0</v>
      </c>
      <c r="J12" s="51"/>
      <c r="K12" s="171"/>
      <c r="L12" s="171"/>
    </row>
    <row r="13" spans="1:14" x14ac:dyDescent="0.3">
      <c r="A13" s="288"/>
      <c r="B13" s="118" t="s">
        <v>502</v>
      </c>
      <c r="C13" s="364"/>
      <c r="D13" s="365"/>
      <c r="E13" s="365"/>
      <c r="F13" s="365"/>
      <c r="G13" s="365"/>
      <c r="H13" s="366">
        <v>0</v>
      </c>
      <c r="I13" s="240">
        <f>IF(T_T13411121314151617181920212223242526272829303132333536373839404142434445464748495051525354555657585960616263646566676869707172737475767778798081828384858687888990919293949596979899100101102103104105106107108109110111112113114115116117118119120121122125[[#This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13411121314151617181920212223242526272829303132333536373839404142434445464748495051525354555657585960616263646566676869707172737475767778798081828384858687888990919293949596979899100101102103104105106107108109110111112113114115116117118119120121122125[[#This Row],[Total]]*-1,0)</f>
        <v>0</v>
      </c>
      <c r="J13" s="240"/>
      <c r="K13" s="348"/>
      <c r="L13" s="348"/>
    </row>
    <row r="14" spans="1:14" x14ac:dyDescent="0.3">
      <c r="A14" s="288"/>
      <c r="B14" s="118" t="s">
        <v>529</v>
      </c>
      <c r="C14" s="503"/>
      <c r="D14" s="504"/>
      <c r="E14" s="504"/>
      <c r="F14" s="504"/>
      <c r="G14" s="504"/>
      <c r="H14" s="505"/>
      <c r="I14" s="473">
        <f>IF(T_T13411121314151617181920212223242526272829303132333536373839404142434445464748495051525354555657585960616263646566676869707172737475767778798081828384858687888990919293949596979899100101102103104105106107108109110111112113114115116117118119120121122125[[#This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13411121314151617181920212223242526272829303132333536373839404142434445464748495051525354555657585960616263646566676869707172737475767778798081828384858687888990919293949596979899100101102103104105106107108109110111112113114115116117118119120121122125[[#This Row],[Total]]*-1,0)</f>
        <v>0</v>
      </c>
      <c r="J14" s="473"/>
      <c r="K14" s="490"/>
      <c r="L14" s="490"/>
    </row>
    <row r="15" spans="1:14" x14ac:dyDescent="0.3">
      <c r="A15" s="17">
        <v>45687</v>
      </c>
      <c r="B15" s="18" t="s">
        <v>530</v>
      </c>
      <c r="C15" s="6"/>
      <c r="D15" s="2">
        <v>88</v>
      </c>
      <c r="E15" s="2">
        <v>0</v>
      </c>
      <c r="F15" s="20"/>
      <c r="G15" s="20">
        <f>SUM(D15:F15)</f>
        <v>88</v>
      </c>
      <c r="H15" s="233">
        <f>+H13+T_T13411121314151617181920212223242526272829303132333536373839404142434445464748495051525354555657585960616263646566676869707172737475767778798081828384858687888990919293949596979899100101102103104105106107108109110111112113114115116117118119120121122125[[#This Row],[Total]]</f>
        <v>88</v>
      </c>
      <c r="I15" s="240">
        <f>IF(T_T13411121314151617181920212223242526272829303132333536373839404142434445464748495051525354555657585960616263646566676869707172737475767778798081828384858687888990919293949596979899100101102103104105106107108109110111112113114115116117118119120121122125[[#This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13411121314151617181920212223242526272829303132333536373839404142434445464748495051525354555657585960616263646566676869707172737475767778798081828384858687888990919293949596979899100101102103104105106107108109110111112113114115116117118119120121122125[[#This Row],[Total]]*-1,0)</f>
        <v>0</v>
      </c>
      <c r="J15" s="240"/>
      <c r="K15" s="348"/>
      <c r="L15" s="348"/>
    </row>
    <row r="16" spans="1:14" x14ac:dyDescent="0.3">
      <c r="A16" s="17"/>
      <c r="B16" s="18" t="s">
        <v>531</v>
      </c>
      <c r="C16" s="6">
        <v>8654</v>
      </c>
      <c r="D16" s="2">
        <v>-88</v>
      </c>
      <c r="E16" s="2"/>
      <c r="F16" s="230"/>
      <c r="G16" s="230">
        <f t="shared" ref="G16:G40" si="0">SUM(D16:F16)</f>
        <v>-88</v>
      </c>
      <c r="H16" s="233">
        <f t="shared" ref="H16:H42" si="1">H15+G16</f>
        <v>0</v>
      </c>
      <c r="I16" s="239">
        <f>IF(T_T13411121314151617181920212223242526272829303132333536373839404142434445464748495051525354555657585960616263646566676869707172737475767778798081828384858687888990919293949596979899100101102103104105106107108109110111112113114115116117118119120121122125[[#This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13411121314151617181920212223242526272829303132333536373839404142434445464748495051525354555657585960616263646566676869707172737475767778798081828384858687888990919293949596979899100101102103104105106107108109110111112113114115116117118119120121122125[[#This Row],[Total]]*-1,0)</f>
        <v>88</v>
      </c>
      <c r="J16" s="239"/>
      <c r="K16" s="348"/>
      <c r="L16" s="348"/>
    </row>
    <row r="17" spans="1:12" x14ac:dyDescent="0.3">
      <c r="A17" s="164">
        <v>45715</v>
      </c>
      <c r="B17" s="161" t="s">
        <v>532</v>
      </c>
      <c r="C17" s="6"/>
      <c r="D17" s="2">
        <v>88</v>
      </c>
      <c r="E17" s="2"/>
      <c r="F17" s="230"/>
      <c r="G17" s="230">
        <f t="shared" si="0"/>
        <v>88</v>
      </c>
      <c r="H17" s="233">
        <f t="shared" si="1"/>
        <v>88</v>
      </c>
      <c r="I17" s="240">
        <f>IF(T_T13411121314151617181920212223242526272829303132333536373839404142434445464748495051525354555657585960616263646566676869707172737475767778798081828384858687888990919293949596979899100101102103104105106107108109110111112113114115116117118119120121122125[[#This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13411121314151617181920212223242526272829303132333536373839404142434445464748495051525354555657585960616263646566676869707172737475767778798081828384858687888990919293949596979899100101102103104105106107108109110111112113114115116117118119120121122125[[#This Row],[Total]]*-1,0)</f>
        <v>0</v>
      </c>
      <c r="J17" s="240"/>
      <c r="K17" s="348"/>
      <c r="L17" s="348"/>
    </row>
    <row r="18" spans="1:12" x14ac:dyDescent="0.3">
      <c r="A18" s="187"/>
      <c r="B18" s="18" t="s">
        <v>533</v>
      </c>
      <c r="C18" s="6"/>
      <c r="D18" s="2"/>
      <c r="E18" s="2"/>
      <c r="F18" s="230"/>
      <c r="G18" s="230">
        <f t="shared" si="0"/>
        <v>0</v>
      </c>
      <c r="H18" s="233">
        <f t="shared" si="1"/>
        <v>88</v>
      </c>
      <c r="I18" s="240">
        <f>IF(T_T13411121314151617181920212223242526272829303132333536373839404142434445464748495051525354555657585960616263646566676869707172737475767778798081828384858687888990919293949596979899100101102103104105106107108109110111112113114115116117118119120121122125[[#This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13411121314151617181920212223242526272829303132333536373839404142434445464748495051525354555657585960616263646566676869707172737475767778798081828384858687888990919293949596979899100101102103104105106107108109110111112113114115116117118119120121122125[[#This Row],[Total]]*-1,0)</f>
        <v>0</v>
      </c>
      <c r="J18" s="240"/>
      <c r="K18" s="348"/>
      <c r="L18" s="348"/>
    </row>
    <row r="19" spans="1:12" x14ac:dyDescent="0.3">
      <c r="A19" s="188">
        <v>45747</v>
      </c>
      <c r="B19" s="3" t="s">
        <v>534</v>
      </c>
      <c r="C19" s="6"/>
      <c r="D19" s="2">
        <v>101</v>
      </c>
      <c r="E19" s="2">
        <v>24</v>
      </c>
      <c r="F19" s="230"/>
      <c r="G19" s="230">
        <f t="shared" si="0"/>
        <v>125</v>
      </c>
      <c r="H19" s="233">
        <f t="shared" si="1"/>
        <v>213</v>
      </c>
      <c r="I19" s="240">
        <f>IF(T_T13411121314151617181920212223242526272829303132333536373839404142434445464748495051525354555657585960616263646566676869707172737475767778798081828384858687888990919293949596979899100101102103104105106107108109110111112113114115116117118119120121122125[[#This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13411121314151617181920212223242526272829303132333536373839404142434445464748495051525354555657585960616263646566676869707172737475767778798081828384858687888990919293949596979899100101102103104105106107108109110111112113114115116117118119120121122125[[#This Row],[Total]]*-1,0)</f>
        <v>0</v>
      </c>
      <c r="J19" s="240"/>
      <c r="K19" s="348"/>
      <c r="L19" s="348"/>
    </row>
    <row r="20" spans="1:12" x14ac:dyDescent="0.3">
      <c r="A20" s="188"/>
      <c r="B20" s="82" t="s">
        <v>535</v>
      </c>
      <c r="C20" s="6"/>
      <c r="D20" s="2"/>
      <c r="E20" s="2"/>
      <c r="F20" s="230"/>
      <c r="G20" s="230">
        <f t="shared" si="0"/>
        <v>0</v>
      </c>
      <c r="H20" s="233">
        <f t="shared" si="1"/>
        <v>213</v>
      </c>
      <c r="I20" s="239">
        <f>IF(T_T13411121314151617181920212223242526272829303132333536373839404142434445464748495051525354555657585960616263646566676869707172737475767778798081828384858687888990919293949596979899100101102103104105106107108109110111112113114115116117118119120121122125[[#This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13411121314151617181920212223242526272829303132333536373839404142434445464748495051525354555657585960616263646566676869707172737475767778798081828384858687888990919293949596979899100101102103104105106107108109110111112113114115116117118119120121122125[[#This Row],[Total]]*-1,0)</f>
        <v>0</v>
      </c>
      <c r="J20" s="239"/>
      <c r="K20" s="348"/>
      <c r="L20" s="348"/>
    </row>
    <row r="21" spans="1:12" x14ac:dyDescent="0.3">
      <c r="A21" s="188">
        <v>45777</v>
      </c>
      <c r="B21" s="3" t="s">
        <v>536</v>
      </c>
      <c r="C21" s="6"/>
      <c r="D21" s="2">
        <v>101</v>
      </c>
      <c r="E21" s="2">
        <v>51</v>
      </c>
      <c r="F21" s="230"/>
      <c r="G21" s="230">
        <f t="shared" si="0"/>
        <v>152</v>
      </c>
      <c r="H21" s="233">
        <f t="shared" si="1"/>
        <v>365</v>
      </c>
      <c r="I21" s="309">
        <f>IF(T_T13411121314151617181920212223242526272829303132333536373839404142434445464748495051525354555657585960616263646566676869707172737475767778798081828384858687888990919293949596979899100101102103104105106107108109110111112113114115116117118119120121122125[[#This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13411121314151617181920212223242526272829303132333536373839404142434445464748495051525354555657585960616263646566676869707172737475767778798081828384858687888990919293949596979899100101102103104105106107108109110111112113114115116117118119120121122125[[#This Row],[Total]]*-1,0)</f>
        <v>0</v>
      </c>
      <c r="J21" s="309"/>
      <c r="K21" s="348"/>
      <c r="L21" s="348"/>
    </row>
    <row r="22" spans="1:12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365</v>
      </c>
      <c r="I22" s="309">
        <f>IF(T_T13411121314151617181920212223242526272829303132333536373839404142434445464748495051525354555657585960616263646566676869707172737475767778798081828384858687888990919293949596979899100101102103104105106107108109110111112113114115116117118119120121122125[[#This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13411121314151617181920212223242526272829303132333536373839404142434445464748495051525354555657585960616263646566676869707172737475767778798081828384858687888990919293949596979899100101102103104105106107108109110111112113114115116117118119120121122125[[#This Row],[Total]]*-1,0)</f>
        <v>0</v>
      </c>
      <c r="J22" s="309"/>
      <c r="K22" s="348"/>
      <c r="L22" s="348"/>
    </row>
    <row r="23" spans="1:12" x14ac:dyDescent="0.3">
      <c r="A23" s="40">
        <v>45807</v>
      </c>
      <c r="B23" s="3" t="s">
        <v>538</v>
      </c>
      <c r="C23" s="229"/>
      <c r="D23" s="230">
        <v>101</v>
      </c>
      <c r="E23" s="230">
        <v>33</v>
      </c>
      <c r="F23" s="230"/>
      <c r="G23" s="230">
        <f t="shared" si="0"/>
        <v>134</v>
      </c>
      <c r="H23" s="233">
        <f t="shared" si="1"/>
        <v>499</v>
      </c>
      <c r="I23" s="309">
        <f>IF(T_T13411121314151617181920212223242526272829303132333536373839404142434445464748495051525354555657585960616263646566676869707172737475767778798081828384858687888990919293949596979899100101102103104105106107108109110111112113114115116117118119120121122125[[#This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13411121314151617181920212223242526272829303132333536373839404142434445464748495051525354555657585960616263646566676869707172737475767778798081828384858687888990919293949596979899100101102103104105106107108109110111112113114115116117118119120121122125[[#This Row],[Total]]*-1,0)</f>
        <v>0</v>
      </c>
      <c r="J23" s="309"/>
      <c r="K23" s="348"/>
      <c r="L23" s="348"/>
    </row>
    <row r="24" spans="1:12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499</v>
      </c>
      <c r="I24" s="311">
        <f>IF(T_T13411121314151617181920212223242526272829303132333536373839404142434445464748495051525354555657585960616263646566676869707172737475767778798081828384858687888990919293949596979899100101102103104105106107108109110111112113114115116117118119120121122125[[#This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13411121314151617181920212223242526272829303132333536373839404142434445464748495051525354555657585960616263646566676869707172737475767778798081828384858687888990919293949596979899100101102103104105106107108109110111112113114115116117118119120121122125[[#This Row],[Total]]*-1,0)</f>
        <v>0</v>
      </c>
      <c r="J24" s="311"/>
      <c r="K24" s="348"/>
      <c r="L24" s="348"/>
    </row>
    <row r="25" spans="1:12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499</v>
      </c>
      <c r="I25" s="309">
        <f>IF(T_T13411121314151617181920212223242526272829303132333536373839404142434445464748495051525354555657585960616263646566676869707172737475767778798081828384858687888990919293949596979899100101102103104105106107108109110111112113114115116117118119120121122125[[#This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13411121314151617181920212223242526272829303132333536373839404142434445464748495051525354555657585960616263646566676869707172737475767778798081828384858687888990919293949596979899100101102103104105106107108109110111112113114115116117118119120121122125[[#This Row],[Total]]*-1,0)</f>
        <v>0</v>
      </c>
      <c r="J25" s="309"/>
      <c r="K25" s="348"/>
      <c r="L25" s="348"/>
    </row>
    <row r="26" spans="1:12" x14ac:dyDescent="0.3">
      <c r="A26" s="9"/>
      <c r="B26" s="18" t="s">
        <v>541</v>
      </c>
      <c r="C26" s="6"/>
      <c r="D26" s="230"/>
      <c r="E26" s="7"/>
      <c r="F26" s="230"/>
      <c r="G26" s="230">
        <f t="shared" si="0"/>
        <v>0</v>
      </c>
      <c r="H26" s="233">
        <f t="shared" si="1"/>
        <v>499</v>
      </c>
      <c r="I26" s="309">
        <f>IF(T_T13411121314151617181920212223242526272829303132333536373839404142434445464748495051525354555657585960616263646566676869707172737475767778798081828384858687888990919293949596979899100101102103104105106107108109110111112113114115116117118119120121122125[[#This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13411121314151617181920212223242526272829303132333536373839404142434445464748495051525354555657585960616263646566676869707172737475767778798081828384858687888990919293949596979899100101102103104105106107108109110111112113114115116117118119120121122125[[#This Row],[Total]]*-1,0)</f>
        <v>0</v>
      </c>
      <c r="J26" s="309"/>
      <c r="K26" s="348"/>
      <c r="L26" s="348"/>
    </row>
    <row r="27" spans="1:12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499</v>
      </c>
      <c r="I27" s="309">
        <f>IF(T_T13411121314151617181920212223242526272829303132333536373839404142434445464748495051525354555657585960616263646566676869707172737475767778798081828384858687888990919293949596979899100101102103104105106107108109110111112113114115116117118119120121122125[[#This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13411121314151617181920212223242526272829303132333536373839404142434445464748495051525354555657585960616263646566676869707172737475767778798081828384858687888990919293949596979899100101102103104105106107108109110111112113114115116117118119120121122125[[#This Row],[Total]]*-1,0)</f>
        <v>0</v>
      </c>
      <c r="J27" s="309"/>
      <c r="K27" s="348"/>
      <c r="L27" s="348"/>
    </row>
    <row r="28" spans="1:12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ref="H28:H33" si="2">H27+G28</f>
        <v>499</v>
      </c>
      <c r="I28" s="311">
        <f>IF(T_T13411121314151617181920212223242526272829303132333536373839404142434445464748495051525354555657585960616263646566676869707172737475767778798081828384858687888990919293949596979899100101102103104105106107108109110111112113114115116117118119120121122125[[#This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13411121314151617181920212223242526272829303132333536373839404142434445464748495051525354555657585960616263646566676869707172737475767778798081828384858687888990919293949596979899100101102103104105106107108109110111112113114115116117118119120121122125[[#This Row],[Total]]*-1,0)</f>
        <v>0</v>
      </c>
      <c r="J28" s="311"/>
      <c r="K28" s="348"/>
      <c r="L28" s="348"/>
    </row>
    <row r="29" spans="1:12" x14ac:dyDescent="0.3">
      <c r="A29" s="107">
        <v>45899</v>
      </c>
      <c r="B29" s="82" t="s">
        <v>544</v>
      </c>
      <c r="C29" s="376"/>
      <c r="D29" s="377"/>
      <c r="E29" s="377"/>
      <c r="F29" s="377"/>
      <c r="G29" s="230">
        <f t="shared" si="0"/>
        <v>0</v>
      </c>
      <c r="H29" s="233">
        <f t="shared" si="2"/>
        <v>499</v>
      </c>
      <c r="I29" s="353">
        <f>IF(T_T13411121314151617181920212223242526272829303132333536373839404142434445464748495051525354555657585960616263646566676869707172737475767778798081828384858687888990919293949596979899100101102103104105106107108109110111112113114115116117118119120121122125[[#This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13411121314151617181920212223242526272829303132333536373839404142434445464748495051525354555657585960616263646566676869707172737475767778798081828384858687888990919293949596979899100101102103104105106107108109110111112113114115116117118119120121122125[[#This Row],[Total]]*-1,0)</f>
        <v>0</v>
      </c>
      <c r="J29" s="353"/>
      <c r="K29" s="360"/>
      <c r="L29" s="360"/>
    </row>
    <row r="30" spans="1:12" x14ac:dyDescent="0.3">
      <c r="A30" s="107"/>
      <c r="B30" s="82" t="s">
        <v>545</v>
      </c>
      <c r="C30" s="376"/>
      <c r="D30" s="377"/>
      <c r="E30" s="377"/>
      <c r="F30" s="377"/>
      <c r="G30" s="230">
        <f t="shared" si="0"/>
        <v>0</v>
      </c>
      <c r="H30" s="233">
        <f t="shared" si="2"/>
        <v>499</v>
      </c>
      <c r="I30" s="353">
        <f>IF(T_T13411121314151617181920212223242526272829303132333536373839404142434445464748495051525354555657585960616263646566676869707172737475767778798081828384858687888990919293949596979899100101102103104105106107108109110111112113114115116117118119120121122125[[#This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13411121314151617181920212223242526272829303132333536373839404142434445464748495051525354555657585960616263646566676869707172737475767778798081828384858687888990919293949596979899100101102103104105106107108109110111112113114115116117118119120121122125[[#This Row],[Total]]*-1,0)</f>
        <v>0</v>
      </c>
      <c r="J30" s="353"/>
      <c r="K30" s="360"/>
      <c r="L30" s="360"/>
    </row>
    <row r="31" spans="1:12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2"/>
        <v>499</v>
      </c>
      <c r="I31" s="309">
        <f>IF(T_T13411121314151617181920212223242526272829303132333536373839404142434445464748495051525354555657585960616263646566676869707172737475767778798081828384858687888990919293949596979899100101102103104105106107108109110111112113114115116117118119120121122125[[#This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13411121314151617181920212223242526272829303132333536373839404142434445464748495051525354555657585960616263646566676869707172737475767778798081828384858687888990919293949596979899100101102103104105106107108109110111112113114115116117118119120121122125[[#This Row],[Total]]*-1,0)</f>
        <v>0</v>
      </c>
      <c r="J31" s="309"/>
      <c r="K31" s="348"/>
      <c r="L31" s="348"/>
    </row>
    <row r="32" spans="1:12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2"/>
        <v>499</v>
      </c>
      <c r="I32" s="309">
        <f>IF(T_T13411121314151617181920212223242526272829303132333536373839404142434445464748495051525354555657585960616263646566676869707172737475767778798081828384858687888990919293949596979899100101102103104105106107108109110111112113114115116117118119120121122125[[#This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13411121314151617181920212223242526272829303132333536373839404142434445464748495051525354555657585960616263646566676869707172737475767778798081828384858687888990919293949596979899100101102103104105106107108109110111112113114115116117118119120121122125[[#This Row],[Total]]*-1,0)</f>
        <v>0</v>
      </c>
      <c r="J32" s="309"/>
      <c r="K32" s="348"/>
      <c r="L32" s="348"/>
    </row>
    <row r="33" spans="1:12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2"/>
        <v>499</v>
      </c>
      <c r="I33" s="309">
        <f>IF(T_T13411121314151617181920212223242526272829303132333536373839404142434445464748495051525354555657585960616263646566676869707172737475767778798081828384858687888990919293949596979899100101102103104105106107108109110111112113114115116117118119120121122125[[#This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13411121314151617181920212223242526272829303132333536373839404142434445464748495051525354555657585960616263646566676869707172737475767778798081828384858687888990919293949596979899100101102103104105106107108109110111112113114115116117118119120121122125[[#This Row],[Total]]*-1,0)</f>
        <v>0</v>
      </c>
      <c r="J33" s="309"/>
      <c r="K33" s="348"/>
      <c r="L33" s="348"/>
    </row>
    <row r="34" spans="1:12" x14ac:dyDescent="0.3">
      <c r="A34" s="9"/>
      <c r="B34" s="3" t="s">
        <v>549</v>
      </c>
      <c r="C34" s="6"/>
      <c r="D34" s="230"/>
      <c r="E34" s="230"/>
      <c r="F34" s="230"/>
      <c r="G34" s="230">
        <f t="shared" si="0"/>
        <v>0</v>
      </c>
      <c r="H34" s="233">
        <f t="shared" si="1"/>
        <v>499</v>
      </c>
      <c r="I34" s="309">
        <f>IF(T_T13411121314151617181920212223242526272829303132333536373839404142434445464748495051525354555657585960616263646566676869707172737475767778798081828384858687888990919293949596979899100101102103104105106107108109110111112113114115116117118119120121122125[[#This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13411121314151617181920212223242526272829303132333536373839404142434445464748495051525354555657585960616263646566676869707172737475767778798081828384858687888990919293949596979899100101102103104105106107108109110111112113114115116117118119120121122125[[#This Row],[Total]]*-1,0)</f>
        <v>0</v>
      </c>
      <c r="J34" s="309"/>
      <c r="K34" s="348"/>
      <c r="L34" s="348"/>
    </row>
    <row r="35" spans="1:12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499</v>
      </c>
      <c r="I35" s="309">
        <f>IF(T_T13411121314151617181920212223242526272829303132333536373839404142434445464748495051525354555657585960616263646566676869707172737475767778798081828384858687888990919293949596979899100101102103104105106107108109110111112113114115116117118119120121122125[[#This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13411121314151617181920212223242526272829303132333536373839404142434445464748495051525354555657585960616263646566676869707172737475767778798081828384858687888990919293949596979899100101102103104105106107108109110111112113114115116117118119120121122125[[#This Row],[Total]]*-1,0)</f>
        <v>0</v>
      </c>
      <c r="J35" s="309"/>
      <c r="K35" s="348"/>
      <c r="L35" s="348"/>
    </row>
    <row r="36" spans="1:12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499</v>
      </c>
      <c r="I36" s="309">
        <f>IF(T_T13411121314151617181920212223242526272829303132333536373839404142434445464748495051525354555657585960616263646566676869707172737475767778798081828384858687888990919293949596979899100101102103104105106107108109110111112113114115116117118119120121122125[[#This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13411121314151617181920212223242526272829303132333536373839404142434445464748495051525354555657585960616263646566676869707172737475767778798081828384858687888990919293949596979899100101102103104105106107108109110111112113114115116117118119120121122125[[#This Row],[Total]]*-1,0)</f>
        <v>0</v>
      </c>
      <c r="J36" s="309"/>
      <c r="K36" s="348"/>
      <c r="L36" s="348"/>
    </row>
    <row r="37" spans="1:12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499</v>
      </c>
      <c r="I37" s="309">
        <f>IF(T_T13411121314151617181920212223242526272829303132333536373839404142434445464748495051525354555657585960616263646566676869707172737475767778798081828384858687888990919293949596979899100101102103104105106107108109110111112113114115116117118119120121122125[[#This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13411121314151617181920212223242526272829303132333536373839404142434445464748495051525354555657585960616263646566676869707172737475767778798081828384858687888990919293949596979899100101102103104105106107108109110111112113114115116117118119120121122125[[#This Row],[Total]]*-1,0)</f>
        <v>0</v>
      </c>
      <c r="J37" s="309"/>
      <c r="K37" s="348"/>
      <c r="L37" s="368"/>
    </row>
    <row r="38" spans="1:12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499</v>
      </c>
      <c r="I38" s="311">
        <f>IF(T_T13411121314151617181920212223242526272829303132333536373839404142434445464748495051525354555657585960616263646566676869707172737475767778798081828384858687888990919293949596979899100101102103104105106107108109110111112113114115116117118119120121122125[[#This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13411121314151617181920212223242526272829303132333536373839404142434445464748495051525354555657585960616263646566676869707172737475767778798081828384858687888990919293949596979899100101102103104105106107108109110111112113114115116117118119120121122125[[#This Row],[Total]]*-1,0)</f>
        <v>0</v>
      </c>
      <c r="J38" s="311"/>
      <c r="K38" s="348"/>
      <c r="L38" s="348"/>
    </row>
    <row r="39" spans="1:12" x14ac:dyDescent="0.3">
      <c r="A39" s="107"/>
      <c r="B39" s="82"/>
      <c r="C39" s="229"/>
      <c r="D39" s="230"/>
      <c r="E39" s="230"/>
      <c r="F39" s="230"/>
      <c r="G39" s="230">
        <f t="shared" si="0"/>
        <v>0</v>
      </c>
      <c r="H39" s="233">
        <f t="shared" si="1"/>
        <v>499</v>
      </c>
      <c r="I39" s="353">
        <f>IF(T_T13411121314151617181920212223242526272829303132333536373839404142434445464748495051525354555657585960616263646566676869707172737475767778798081828384858687888990919293949596979899100101102103104105106107108109110111112113114115116117118119120121122125[[#This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13411121314151617181920212223242526272829303132333536373839404142434445464748495051525354555657585960616263646566676869707172737475767778798081828384858687888990919293949596979899100101102103104105106107108109110111112113114115116117118119120121122125[[#This Row],[Total]]*-1,0)</f>
        <v>0</v>
      </c>
      <c r="J39" s="353"/>
      <c r="K39" s="360"/>
      <c r="L39" s="360"/>
    </row>
    <row r="40" spans="1:12" x14ac:dyDescent="0.3">
      <c r="A40" s="107"/>
      <c r="B40" s="82"/>
      <c r="C40" s="229"/>
      <c r="D40" s="230"/>
      <c r="E40" s="230"/>
      <c r="F40" s="230"/>
      <c r="G40" s="230">
        <f t="shared" si="0"/>
        <v>0</v>
      </c>
      <c r="H40" s="233">
        <f t="shared" si="1"/>
        <v>499</v>
      </c>
      <c r="I40" s="353">
        <f>IF(T_T13411121314151617181920212223242526272829303132333536373839404142434445464748495051525354555657585960616263646566676869707172737475767778798081828384858687888990919293949596979899100101102103104105106107108109110111112113114115116117118119120121122125[[#This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13411121314151617181920212223242526272829303132333536373839404142434445464748495051525354555657585960616263646566676869707172737475767778798081828384858687888990919293949596979899100101102103104105106107108109110111112113114115116117118119120121122125[[#This Row],[Total]]*-1,0)</f>
        <v>0</v>
      </c>
      <c r="J40" s="353"/>
      <c r="K40" s="360"/>
      <c r="L40" s="360"/>
    </row>
    <row r="41" spans="1:12" x14ac:dyDescent="0.3">
      <c r="A41" s="107"/>
      <c r="B41" s="363"/>
      <c r="C41" s="229"/>
      <c r="D41" s="230"/>
      <c r="E41" s="230"/>
      <c r="F41" s="230"/>
      <c r="G41" s="230">
        <f>SUM(D41:F48)</f>
        <v>0</v>
      </c>
      <c r="H41" s="233">
        <f t="shared" si="1"/>
        <v>499</v>
      </c>
      <c r="I41" s="353">
        <f>IF(T_T13411121314151617181920212223242526272829303132333536373839404142434445464748495051525354555657585960616263646566676869707172737475767778798081828384858687888990919293949596979899100101102103104105106107108109110111112113114115116117118119120121122125[[#This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13411121314151617181920212223242526272829303132333536373839404142434445464748495051525354555657585960616263646566676869707172737475767778798081828384858687888990919293949596979899100101102103104105106107108109110111112113114115116117118119120121122125[[#This Row],[Total]]*-1,0)</f>
        <v>0</v>
      </c>
      <c r="J41" s="353"/>
      <c r="K41" s="360"/>
      <c r="L41" s="360"/>
    </row>
    <row r="42" spans="1:12" x14ac:dyDescent="0.3">
      <c r="A42" s="107"/>
      <c r="B42" s="82"/>
      <c r="C42" s="229"/>
      <c r="D42" s="230"/>
      <c r="E42" s="230"/>
      <c r="F42" s="230"/>
      <c r="G42" s="230">
        <f>SUM(D42:F49)</f>
        <v>0</v>
      </c>
      <c r="H42" s="233">
        <f t="shared" si="1"/>
        <v>499</v>
      </c>
      <c r="I42" s="353">
        <f>IF(T_T13411121314151617181920212223242526272829303132333536373839404142434445464748495051525354555657585960616263646566676869707172737475767778798081828384858687888990919293949596979899100101102103104105106107108109110111112113114115116117118119120121122125[[#This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13411121314151617181920212223242526272829303132333536373839404142434445464748495051525354555657585960616263646566676869707172737475767778798081828384858687888990919293949596979899100101102103104105106107108109110111112113114115116117118119120121122125[[#This Row],[Total]]*-1,0)</f>
        <v>0</v>
      </c>
      <c r="J42" s="353"/>
      <c r="K42" s="360"/>
      <c r="L42" s="360"/>
    </row>
  </sheetData>
  <hyperlinks>
    <hyperlink ref="B7" r:id="rId1" display="jose.orozco@outlook.com"/>
    <hyperlink ref="H7" location="Resumen!A1" display="Rsumen         "/>
  </hyperlinks>
  <pageMargins left="1.55" right="0.70866141732283472" top="0.35433070866141736" bottom="0.31496062992125984" header="0.31496062992125984" footer="0.31496062992125984"/>
  <pageSetup scale="60" orientation="portrait" verticalDpi="360" r:id="rId2"/>
  <drawing r:id="rId3"/>
  <tableParts count="1">
    <tablePart r:id="rId4"/>
  </tablePart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P40"/>
  <sheetViews>
    <sheetView showGridLines="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0.33203125" customWidth="1"/>
    <col min="3" max="3" width="10.6640625" style="4" customWidth="1"/>
    <col min="4" max="4" width="14.109375" style="1" customWidth="1"/>
    <col min="5" max="5" width="11.88671875" style="1" customWidth="1"/>
    <col min="6" max="6" width="7.44140625" style="1" customWidth="1"/>
    <col min="7" max="7" width="11.88671875" style="1" customWidth="1"/>
    <col min="8" max="8" width="12.44140625" style="1" customWidth="1"/>
    <col min="9" max="9" width="12.88671875" hidden="1" customWidth="1"/>
    <col min="12" max="12" width="4.5546875" customWidth="1"/>
    <col min="15" max="15" width="9.44140625" bestFit="1" customWidth="1"/>
    <col min="16" max="16" width="10.6640625" bestFit="1" customWidth="1"/>
    <col min="17" max="17" width="19.109375" customWidth="1"/>
  </cols>
  <sheetData>
    <row r="2" spans="1:16" ht="15.6" x14ac:dyDescent="0.3">
      <c r="A2" s="27" t="s">
        <v>36</v>
      </c>
      <c r="B2" s="41" t="s">
        <v>174</v>
      </c>
    </row>
    <row r="3" spans="1:16" hidden="1" x14ac:dyDescent="0.3">
      <c r="A3" s="27" t="s">
        <v>31</v>
      </c>
      <c r="B3" s="28" t="e">
        <f>LOOKUP(B2,#REF!,#REF!)</f>
        <v>#REF!</v>
      </c>
    </row>
    <row r="4" spans="1:16" ht="12" hidden="1" customHeight="1" x14ac:dyDescent="0.3">
      <c r="A4" s="27" t="s">
        <v>32</v>
      </c>
      <c r="B4" s="28" t="e">
        <f>LOOKUP(B2,#REF!,#REF!)</f>
        <v>#REF!</v>
      </c>
    </row>
    <row r="5" spans="1:16" hidden="1" x14ac:dyDescent="0.3">
      <c r="A5" s="27" t="s">
        <v>33</v>
      </c>
      <c r="B5" s="28" t="e">
        <f>LOOKUP(B2,#REF!,#REF!)</f>
        <v>#REF!</v>
      </c>
    </row>
    <row r="6" spans="1:16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6" ht="12.75" customHeight="1" x14ac:dyDescent="0.3">
      <c r="A7" s="27" t="s">
        <v>32</v>
      </c>
      <c r="B7" s="29" t="s">
        <v>421</v>
      </c>
      <c r="C7" s="5"/>
      <c r="G7" s="25"/>
      <c r="H7" s="26" t="s">
        <v>30</v>
      </c>
      <c r="I7" s="24"/>
    </row>
    <row r="8" spans="1:16" x14ac:dyDescent="0.3">
      <c r="A8" s="21" t="s">
        <v>31</v>
      </c>
      <c r="B8" s="21" t="s">
        <v>381</v>
      </c>
    </row>
    <row r="9" spans="1:16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54" t="s">
        <v>188</v>
      </c>
      <c r="K9" s="96" t="s">
        <v>191</v>
      </c>
      <c r="L9" s="173" t="s">
        <v>262</v>
      </c>
    </row>
    <row r="10" spans="1:16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IF(T_T13411121314151617181920212223242526272829303132333536373839404142434445464748495051525354555657585960616263646566676869707172737475767778798081828384858687888990919293949596979899100101102103104105106107108109110111112113114115116117118119120121122126[[#This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13411121314151617181920212223242526272829303132333536373839404142434445464748495051525354555657585960616263646566676869707172737475767778798081828384858687888990919293949596979899100101102103104105106107108109110111112113114115116117118119120121122126[[#This Row],[Total]]*-1,0)</f>
        <v>0</v>
      </c>
      <c r="J10" s="52"/>
      <c r="K10" s="97"/>
      <c r="L10" s="172"/>
      <c r="P10" s="178"/>
    </row>
    <row r="11" spans="1:16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IF(T_T13411121314151617181920212223242526272829303132333536373839404142434445464748495051525354555657585960616263646566676869707172737475767778798081828384858687888990919293949596979899100101102103104105106107108109110111112113114115116117118119120121122126[[#This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13411121314151617181920212223242526272829303132333536373839404142434445464748495051525354555657585960616263646566676869707172737475767778798081828384858687888990919293949596979899100101102103104105106107108109110111112113114115116117118119120121122126[[#This Row],[Total]]*-1,0)</f>
        <v>0</v>
      </c>
      <c r="J11" s="240"/>
      <c r="K11" s="232"/>
      <c r="L11" s="232"/>
    </row>
    <row r="12" spans="1:16" x14ac:dyDescent="0.3">
      <c r="A12" s="117"/>
      <c r="B12" s="118" t="s">
        <v>467</v>
      </c>
      <c r="C12" s="284"/>
      <c r="D12" s="285"/>
      <c r="E12" s="285"/>
      <c r="F12" s="285"/>
      <c r="G12" s="285"/>
      <c r="H12" s="10">
        <v>0</v>
      </c>
      <c r="I12" s="51">
        <f>IF(T_T13411121314151617181920212223242526272829303132333536373839404142434445464748495051525354555657585960616263646566676869707172737475767778798081828384858687888990919293949596979899100101102103104105106107108109110111112113114115116117118119120121122126[[#This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13411121314151617181920212223242526272829303132333536373839404142434445464748495051525354555657585960616263646566676869707172737475767778798081828384858687888990919293949596979899100101102103104105106107108109110111112113114115116117118119120121122126[[#This Row],[Total]]*-1,0)</f>
        <v>0</v>
      </c>
      <c r="J12" s="51"/>
      <c r="K12" s="79"/>
      <c r="L12" s="79"/>
    </row>
    <row r="13" spans="1:16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IF(T_T13411121314151617181920212223242526272829303132333536373839404142434445464748495051525354555657585960616263646566676869707172737475767778798081828384858687888990919293949596979899100101102103104105106107108109110111112113114115116117118119120121122126[[#This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13411121314151617181920212223242526272829303132333536373839404142434445464748495051525354555657585960616263646566676869707172737475767778798081828384858687888990919293949596979899100101102103104105106107108109110111112113114115116117118119120121122126[[#This Row],[Total]]*-1,0)</f>
        <v>0</v>
      </c>
      <c r="J13" s="240"/>
      <c r="K13" s="232"/>
      <c r="L13" s="232"/>
    </row>
    <row r="14" spans="1:16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IF(T_T13411121314151617181920212223242526272829303132333536373839404142434445464748495051525354555657585960616263646566676869707172737475767778798081828384858687888990919293949596979899100101102103104105106107108109110111112113114115116117118119120121122126[[#This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13411121314151617181920212223242526272829303132333536373839404142434445464748495051525354555657585960616263646566676869707172737475767778798081828384858687888990919293949596979899100101102103104105106107108109110111112113114115116117118119120121122126[[#This Row],[Total]]*-1,0)</f>
        <v>0</v>
      </c>
      <c r="J14" s="473"/>
      <c r="K14" s="485"/>
      <c r="L14" s="485"/>
    </row>
    <row r="15" spans="1:16" x14ac:dyDescent="0.3">
      <c r="A15" s="17">
        <v>45687</v>
      </c>
      <c r="B15" s="18" t="s">
        <v>530</v>
      </c>
      <c r="C15" s="6"/>
      <c r="D15" s="2">
        <v>88</v>
      </c>
      <c r="E15" s="2">
        <v>69</v>
      </c>
      <c r="F15" s="20"/>
      <c r="G15" s="20">
        <f>SUM(D15:F15)</f>
        <v>157</v>
      </c>
      <c r="H15" s="233">
        <f>+H13+T_T13411121314151617181920212223242526272829303132333536373839404142434445464748495051525354555657585960616263646566676869707172737475767778798081828384858687888990919293949596979899100101102103104105106107108109110111112113114115116117118119120121122126[[#This Row],[Total]]</f>
        <v>157</v>
      </c>
      <c r="I15" s="240">
        <f>IF(T_T13411121314151617181920212223242526272829303132333536373839404142434445464748495051525354555657585960616263646566676869707172737475767778798081828384858687888990919293949596979899100101102103104105106107108109110111112113114115116117118119120121122126[[#This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13411121314151617181920212223242526272829303132333536373839404142434445464748495051525354555657585960616263646566676869707172737475767778798081828384858687888990919293949596979899100101102103104105106107108109110111112113114115116117118119120121122126[[#This Row],[Total]]*-1,0)</f>
        <v>0</v>
      </c>
      <c r="J15" s="240"/>
      <c r="K15" s="232"/>
      <c r="L15" s="232"/>
      <c r="N15" t="s">
        <v>569</v>
      </c>
    </row>
    <row r="16" spans="1:16" x14ac:dyDescent="0.3">
      <c r="A16" s="17"/>
      <c r="B16" s="18" t="s">
        <v>531</v>
      </c>
      <c r="C16" s="6"/>
      <c r="D16" s="2"/>
      <c r="E16" s="2"/>
      <c r="F16" s="230"/>
      <c r="G16" s="230">
        <f t="shared" ref="G16:G38" si="0">SUM(D16:F16)</f>
        <v>0</v>
      </c>
      <c r="H16" s="233">
        <f t="shared" ref="H16:H40" si="1">H15+G16</f>
        <v>157</v>
      </c>
      <c r="I16" s="239">
        <f>IF(T_T13411121314151617181920212223242526272829303132333536373839404142434445464748495051525354555657585960616263646566676869707172737475767778798081828384858687888990919293949596979899100101102103104105106107108109110111112113114115116117118119120121122126[[#This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13411121314151617181920212223242526272829303132333536373839404142434445464748495051525354555657585960616263646566676869707172737475767778798081828384858687888990919293949596979899100101102103104105106107108109110111112113114115116117118119120121122126[[#This Row],[Total]]*-1,0)</f>
        <v>0</v>
      </c>
      <c r="J16" s="239"/>
      <c r="K16" s="232"/>
      <c r="L16" s="232"/>
      <c r="N16" t="s">
        <v>571</v>
      </c>
    </row>
    <row r="17" spans="1:15" x14ac:dyDescent="0.3">
      <c r="A17" s="164">
        <v>45715</v>
      </c>
      <c r="B17" s="161" t="s">
        <v>532</v>
      </c>
      <c r="C17" s="6"/>
      <c r="D17" s="2">
        <v>88</v>
      </c>
      <c r="E17" s="2">
        <v>32</v>
      </c>
      <c r="F17" s="230"/>
      <c r="G17" s="230">
        <f t="shared" si="0"/>
        <v>120</v>
      </c>
      <c r="H17" s="233">
        <f t="shared" si="1"/>
        <v>277</v>
      </c>
      <c r="I17" s="240">
        <f>IF(T_T13411121314151617181920212223242526272829303132333536373839404142434445464748495051525354555657585960616263646566676869707172737475767778798081828384858687888990919293949596979899100101102103104105106107108109110111112113114115116117118119120121122126[[#This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13411121314151617181920212223242526272829303132333536373839404142434445464748495051525354555657585960616263646566676869707172737475767778798081828384858687888990919293949596979899100101102103104105106107108109110111112113114115116117118119120121122126[[#This Row],[Total]]*-1,0)</f>
        <v>0</v>
      </c>
      <c r="J17" s="240"/>
      <c r="K17" s="232"/>
      <c r="L17" s="232"/>
    </row>
    <row r="18" spans="1:15" x14ac:dyDescent="0.3">
      <c r="A18" s="187"/>
      <c r="B18" s="18" t="s">
        <v>533</v>
      </c>
      <c r="C18" s="6"/>
      <c r="D18" s="2"/>
      <c r="E18" s="2"/>
      <c r="F18" s="230"/>
      <c r="G18" s="230">
        <f t="shared" si="0"/>
        <v>0</v>
      </c>
      <c r="H18" s="233">
        <f t="shared" si="1"/>
        <v>277</v>
      </c>
      <c r="I18" s="240">
        <f>IF(T_T13411121314151617181920212223242526272829303132333536373839404142434445464748495051525354555657585960616263646566676869707172737475767778798081828384858687888990919293949596979899100101102103104105106107108109110111112113114115116117118119120121122126[[#This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13411121314151617181920212223242526272829303132333536373839404142434445464748495051525354555657585960616263646566676869707172737475767778798081828384858687888990919293949596979899100101102103104105106107108109110111112113114115116117118119120121122126[[#This Row],[Total]]*-1,0)</f>
        <v>0</v>
      </c>
      <c r="J18" s="240"/>
      <c r="K18" s="232"/>
      <c r="L18" s="232"/>
    </row>
    <row r="19" spans="1:15" x14ac:dyDescent="0.3">
      <c r="A19" s="188">
        <v>45747</v>
      </c>
      <c r="B19" s="3" t="s">
        <v>534</v>
      </c>
      <c r="C19" s="6"/>
      <c r="D19" s="2">
        <v>101</v>
      </c>
      <c r="E19" s="2">
        <v>28</v>
      </c>
      <c r="F19" s="230"/>
      <c r="G19" s="230">
        <f t="shared" si="0"/>
        <v>129</v>
      </c>
      <c r="H19" s="233">
        <f t="shared" si="1"/>
        <v>406</v>
      </c>
      <c r="I19" s="240">
        <f>IF(T_T13411121314151617181920212223242526272829303132333536373839404142434445464748495051525354555657585960616263646566676869707172737475767778798081828384858687888990919293949596979899100101102103104105106107108109110111112113114115116117118119120121122126[[#This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13411121314151617181920212223242526272829303132333536373839404142434445464748495051525354555657585960616263646566676869707172737475767778798081828384858687888990919293949596979899100101102103104105106107108109110111112113114115116117118119120121122126[[#This Row],[Total]]*-1,0)</f>
        <v>0</v>
      </c>
      <c r="J19" s="240"/>
      <c r="K19" s="232"/>
      <c r="L19" s="232"/>
    </row>
    <row r="20" spans="1:15" x14ac:dyDescent="0.3">
      <c r="A20" s="188"/>
      <c r="B20" s="82" t="s">
        <v>535</v>
      </c>
      <c r="C20" s="6"/>
      <c r="D20" s="2"/>
      <c r="E20" s="2"/>
      <c r="F20" s="230"/>
      <c r="G20" s="230">
        <f t="shared" si="0"/>
        <v>0</v>
      </c>
      <c r="H20" s="233">
        <f t="shared" si="1"/>
        <v>406</v>
      </c>
      <c r="I20" s="239">
        <f>IF(T_T13411121314151617181920212223242526272829303132333536373839404142434445464748495051525354555657585960616263646566676869707172737475767778798081828384858687888990919293949596979899100101102103104105106107108109110111112113114115116117118119120121122126[[#This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13411121314151617181920212223242526272829303132333536373839404142434445464748495051525354555657585960616263646566676869707172737475767778798081828384858687888990919293949596979899100101102103104105106107108109110111112113114115116117118119120121122126[[#This Row],[Total]]*-1,0)</f>
        <v>0</v>
      </c>
      <c r="J20" s="239"/>
      <c r="K20" s="232"/>
      <c r="L20" s="232"/>
    </row>
    <row r="21" spans="1:15" x14ac:dyDescent="0.3">
      <c r="A21" s="188">
        <v>45777</v>
      </c>
      <c r="B21" s="3" t="s">
        <v>536</v>
      </c>
      <c r="C21" s="6"/>
      <c r="D21" s="2">
        <v>101</v>
      </c>
      <c r="E21" s="2">
        <v>5</v>
      </c>
      <c r="F21" s="230"/>
      <c r="G21" s="230">
        <f t="shared" si="0"/>
        <v>106</v>
      </c>
      <c r="H21" s="233">
        <f t="shared" si="1"/>
        <v>512</v>
      </c>
      <c r="I21" s="309">
        <f>IF(T_T13411121314151617181920212223242526272829303132333536373839404142434445464748495051525354555657585960616263646566676869707172737475767778798081828384858687888990919293949596979899100101102103104105106107108109110111112113114115116117118119120121122126[[#This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13411121314151617181920212223242526272829303132333536373839404142434445464748495051525354555657585960616263646566676869707172737475767778798081828384858687888990919293949596979899100101102103104105106107108109110111112113114115116117118119120121122126[[#This Row],[Total]]*-1,0)</f>
        <v>0</v>
      </c>
      <c r="J21" s="309"/>
      <c r="K21" s="313"/>
      <c r="L21" s="313"/>
    </row>
    <row r="22" spans="1:15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512</v>
      </c>
      <c r="I22" s="309">
        <f>IF(T_T13411121314151617181920212223242526272829303132333536373839404142434445464748495051525354555657585960616263646566676869707172737475767778798081828384858687888990919293949596979899100101102103104105106107108109110111112113114115116117118119120121122126[[#This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13411121314151617181920212223242526272829303132333536373839404142434445464748495051525354555657585960616263646566676869707172737475767778798081828384858687888990919293949596979899100101102103104105106107108109110111112113114115116117118119120121122126[[#This Row],[Total]]*-1,0)</f>
        <v>0</v>
      </c>
      <c r="J22" s="309"/>
      <c r="K22" s="313"/>
      <c r="L22" s="313"/>
    </row>
    <row r="23" spans="1:15" x14ac:dyDescent="0.3">
      <c r="A23" s="40">
        <v>45807</v>
      </c>
      <c r="B23" s="3" t="s">
        <v>538</v>
      </c>
      <c r="C23" s="229"/>
      <c r="D23" s="230">
        <v>101</v>
      </c>
      <c r="E23" s="230">
        <v>0</v>
      </c>
      <c r="F23" s="230"/>
      <c r="G23" s="230">
        <f t="shared" si="0"/>
        <v>101</v>
      </c>
      <c r="H23" s="233">
        <f t="shared" si="1"/>
        <v>613</v>
      </c>
      <c r="I23" s="309">
        <f>IF(T_T13411121314151617181920212223242526272829303132333536373839404142434445464748495051525354555657585960616263646566676869707172737475767778798081828384858687888990919293949596979899100101102103104105106107108109110111112113114115116117118119120121122126[[#This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13411121314151617181920212223242526272829303132333536373839404142434445464748495051525354555657585960616263646566676869707172737475767778798081828384858687888990919293949596979899100101102103104105106107108109110111112113114115116117118119120121122126[[#This Row],[Total]]*-1,0)</f>
        <v>0</v>
      </c>
      <c r="J23" s="309"/>
      <c r="K23" s="313"/>
      <c r="L23" s="313"/>
      <c r="N23">
        <v>453</v>
      </c>
      <c r="O23" t="s">
        <v>570</v>
      </c>
    </row>
    <row r="24" spans="1:15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613</v>
      </c>
      <c r="I24" s="311">
        <f>IF(T_T13411121314151617181920212223242526272829303132333536373839404142434445464748495051525354555657585960616263646566676869707172737475767778798081828384858687888990919293949596979899100101102103104105106107108109110111112113114115116117118119120121122126[[#This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13411121314151617181920212223242526272829303132333536373839404142434445464748495051525354555657585960616263646566676869707172737475767778798081828384858687888990919293949596979899100101102103104105106107108109110111112113114115116117118119120121122126[[#This Row],[Total]]*-1,0)</f>
        <v>0</v>
      </c>
      <c r="J24" s="311"/>
      <c r="K24" s="313"/>
      <c r="L24" s="313"/>
    </row>
    <row r="25" spans="1:15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613</v>
      </c>
      <c r="I25" s="309">
        <f>IF(T_T13411121314151617181920212223242526272829303132333536373839404142434445464748495051525354555657585960616263646566676869707172737475767778798081828384858687888990919293949596979899100101102103104105106107108109110111112113114115116117118119120121122126[[#This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13411121314151617181920212223242526272829303132333536373839404142434445464748495051525354555657585960616263646566676869707172737475767778798081828384858687888990919293949596979899100101102103104105106107108109110111112113114115116117118119120121122126[[#This Row],[Total]]*-1,0)</f>
        <v>0</v>
      </c>
      <c r="J25" s="309"/>
      <c r="K25" s="313"/>
      <c r="L25" s="313"/>
    </row>
    <row r="26" spans="1:15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613</v>
      </c>
      <c r="I26" s="309">
        <f>IF(T_T13411121314151617181920212223242526272829303132333536373839404142434445464748495051525354555657585960616263646566676869707172737475767778798081828384858687888990919293949596979899100101102103104105106107108109110111112113114115116117118119120121122126[[#This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13411121314151617181920212223242526272829303132333536373839404142434445464748495051525354555657585960616263646566676869707172737475767778798081828384858687888990919293949596979899100101102103104105106107108109110111112113114115116117118119120121122126[[#This Row],[Total]]*-1,0)</f>
        <v>0</v>
      </c>
      <c r="J26" s="309"/>
      <c r="K26" s="313"/>
      <c r="L26" s="313"/>
    </row>
    <row r="27" spans="1:15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613</v>
      </c>
      <c r="I27" s="309">
        <f>IF(T_T13411121314151617181920212223242526272829303132333536373839404142434445464748495051525354555657585960616263646566676869707172737475767778798081828384858687888990919293949596979899100101102103104105106107108109110111112113114115116117118119120121122126[[#This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13411121314151617181920212223242526272829303132333536373839404142434445464748495051525354555657585960616263646566676869707172737475767778798081828384858687888990919293949596979899100101102103104105106107108109110111112113114115116117118119120121122126[[#This Row],[Total]]*-1,0)</f>
        <v>0</v>
      </c>
      <c r="J27" s="309"/>
      <c r="K27" s="313"/>
      <c r="L27" s="313"/>
    </row>
    <row r="28" spans="1:15" x14ac:dyDescent="0.3">
      <c r="A28" s="107"/>
      <c r="B28" s="82" t="s">
        <v>543</v>
      </c>
      <c r="C28" s="6"/>
      <c r="D28" s="230"/>
      <c r="E28" s="7"/>
      <c r="F28" s="230"/>
      <c r="G28" s="230">
        <f t="shared" si="0"/>
        <v>0</v>
      </c>
      <c r="H28" s="233">
        <f t="shared" si="1"/>
        <v>613</v>
      </c>
      <c r="I28" s="311">
        <f>IF(T_T13411121314151617181920212223242526272829303132333536373839404142434445464748495051525354555657585960616263646566676869707172737475767778798081828384858687888990919293949596979899100101102103104105106107108109110111112113114115116117118119120121122126[[#This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13411121314151617181920212223242526272829303132333536373839404142434445464748495051525354555657585960616263646566676869707172737475767778798081828384858687888990919293949596979899100101102103104105106107108109110111112113114115116117118119120121122126[[#This Row],[Total]]*-1,0)</f>
        <v>0</v>
      </c>
      <c r="J28" s="311"/>
      <c r="K28" s="313"/>
      <c r="L28" s="313"/>
    </row>
    <row r="29" spans="1:15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613</v>
      </c>
      <c r="I29" s="309">
        <f>IF(T_T13411121314151617181920212223242526272829303132333536373839404142434445464748495051525354555657585960616263646566676869707172737475767778798081828384858687888990919293949596979899100101102103104105106107108109110111112113114115116117118119120121122126[[#This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13411121314151617181920212223242526272829303132333536373839404142434445464748495051525354555657585960616263646566676869707172737475767778798081828384858687888990919293949596979899100101102103104105106107108109110111112113114115116117118119120121122126[[#This Row],[Total]]*-1,0)</f>
        <v>0</v>
      </c>
      <c r="J29" s="309"/>
      <c r="K29" s="313"/>
      <c r="L29" s="313"/>
    </row>
    <row r="30" spans="1:15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613</v>
      </c>
      <c r="I30" s="309">
        <f>IF(T_T13411121314151617181920212223242526272829303132333536373839404142434445464748495051525354555657585960616263646566676869707172737475767778798081828384858687888990919293949596979899100101102103104105106107108109110111112113114115116117118119120121122126[[#This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13411121314151617181920212223242526272829303132333536373839404142434445464748495051525354555657585960616263646566676869707172737475767778798081828384858687888990919293949596979899100101102103104105106107108109110111112113114115116117118119120121122126[[#This Row],[Total]]*-1,0)</f>
        <v>0</v>
      </c>
      <c r="J30" s="309"/>
      <c r="K30" s="313"/>
      <c r="L30" s="313"/>
    </row>
    <row r="31" spans="1:15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613</v>
      </c>
      <c r="I31" s="309">
        <f>IF(T_T13411121314151617181920212223242526272829303132333536373839404142434445464748495051525354555657585960616263646566676869707172737475767778798081828384858687888990919293949596979899100101102103104105106107108109110111112113114115116117118119120121122126[[#This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13411121314151617181920212223242526272829303132333536373839404142434445464748495051525354555657585960616263646566676869707172737475767778798081828384858687888990919293949596979899100101102103104105106107108109110111112113114115116117118119120121122126[[#This Row],[Total]]*-1,0)</f>
        <v>0</v>
      </c>
      <c r="J31" s="309"/>
      <c r="K31" s="313"/>
      <c r="L31" s="313"/>
    </row>
    <row r="32" spans="1:15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613</v>
      </c>
      <c r="I32" s="309">
        <f>IF(T_T13411121314151617181920212223242526272829303132333536373839404142434445464748495051525354555657585960616263646566676869707172737475767778798081828384858687888990919293949596979899100101102103104105106107108109110111112113114115116117118119120121122126[[#This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13411121314151617181920212223242526272829303132333536373839404142434445464748495051525354555657585960616263646566676869707172737475767778798081828384858687888990919293949596979899100101102103104105106107108109110111112113114115116117118119120121122126[[#This Row],[Total]]*-1,0)</f>
        <v>0</v>
      </c>
      <c r="J32" s="309"/>
      <c r="K32" s="313"/>
      <c r="L32" s="313"/>
    </row>
    <row r="33" spans="1:12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613</v>
      </c>
      <c r="I33" s="309">
        <f>IF(T_T13411121314151617181920212223242526272829303132333536373839404142434445464748495051525354555657585960616263646566676869707172737475767778798081828384858687888990919293949596979899100101102103104105106107108109110111112113114115116117118119120121122126[[#This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13411121314151617181920212223242526272829303132333536373839404142434445464748495051525354555657585960616263646566676869707172737475767778798081828384858687888990919293949596979899100101102103104105106107108109110111112113114115116117118119120121122126[[#This Row],[Total]]*-1,0)</f>
        <v>0</v>
      </c>
      <c r="J33" s="309"/>
      <c r="K33" s="313"/>
      <c r="L33" s="313"/>
    </row>
    <row r="34" spans="1:12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613</v>
      </c>
      <c r="I34" s="309">
        <f>IF(T_T13411121314151617181920212223242526272829303132333536373839404142434445464748495051525354555657585960616263646566676869707172737475767778798081828384858687888990919293949596979899100101102103104105106107108109110111112113114115116117118119120121122126[[#This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13411121314151617181920212223242526272829303132333536373839404142434445464748495051525354555657585960616263646566676869707172737475767778798081828384858687888990919293949596979899100101102103104105106107108109110111112113114115116117118119120121122126[[#This Row],[Total]]*-1,0)</f>
        <v>0</v>
      </c>
      <c r="J34" s="309"/>
      <c r="K34" s="313"/>
      <c r="L34" s="313"/>
    </row>
    <row r="35" spans="1:12" x14ac:dyDescent="0.3">
      <c r="A35" s="9">
        <v>45991</v>
      </c>
      <c r="B35" s="3" t="s">
        <v>550</v>
      </c>
      <c r="C35" s="229"/>
      <c r="D35" s="230"/>
      <c r="E35" s="7"/>
      <c r="F35" s="230"/>
      <c r="G35" s="230">
        <f t="shared" si="0"/>
        <v>0</v>
      </c>
      <c r="H35" s="233">
        <f t="shared" si="1"/>
        <v>613</v>
      </c>
      <c r="I35" s="309">
        <f>IF(T_T13411121314151617181920212223242526272829303132333536373839404142434445464748495051525354555657585960616263646566676869707172737475767778798081828384858687888990919293949596979899100101102103104105106107108109110111112113114115116117118119120121122126[[#This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13411121314151617181920212223242526272829303132333536373839404142434445464748495051525354555657585960616263646566676869707172737475767778798081828384858687888990919293949596979899100101102103104105106107108109110111112113114115116117118119120121122126[[#This Row],[Total]]*-1,0)</f>
        <v>0</v>
      </c>
      <c r="J35" s="309"/>
      <c r="K35" s="313"/>
      <c r="L35" s="313"/>
    </row>
    <row r="36" spans="1:12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613</v>
      </c>
      <c r="I36" s="311">
        <f>IF(T_T13411121314151617181920212223242526272829303132333536373839404142434445464748495051525354555657585960616263646566676869707172737475767778798081828384858687888990919293949596979899100101102103104105106107108109110111112113114115116117118119120121122126[[#This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13411121314151617181920212223242526272829303132333536373839404142434445464748495051525354555657585960616263646566676869707172737475767778798081828384858687888990919293949596979899100101102103104105106107108109110111112113114115116117118119120121122126[[#This Row],[Total]]*-1,0)</f>
        <v>0</v>
      </c>
      <c r="J36" s="311"/>
      <c r="K36" s="313"/>
      <c r="L36" s="313"/>
    </row>
    <row r="37" spans="1:12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613</v>
      </c>
      <c r="I37" s="353">
        <f>IF(T_T13411121314151617181920212223242526272829303132333536373839404142434445464748495051525354555657585960616263646566676869707172737475767778798081828384858687888990919293949596979899100101102103104105106107108109110111112113114115116117118119120121122126[[#This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13411121314151617181920212223242526272829303132333536373839404142434445464748495051525354555657585960616263646566676869707172737475767778798081828384858687888990919293949596979899100101102103104105106107108109110111112113114115116117118119120121122126[[#This Row],[Total]]*-1,0)</f>
        <v>0</v>
      </c>
      <c r="J37" s="353"/>
      <c r="K37" s="354"/>
      <c r="L37" s="354"/>
    </row>
    <row r="38" spans="1:12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613</v>
      </c>
      <c r="I38" s="353">
        <f>IF(T_T13411121314151617181920212223242526272829303132333536373839404142434445464748495051525354555657585960616263646566676869707172737475767778798081828384858687888990919293949596979899100101102103104105106107108109110111112113114115116117118119120121122126[[#This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13411121314151617181920212223242526272829303132333536373839404142434445464748495051525354555657585960616263646566676869707172737475767778798081828384858687888990919293949596979899100101102103104105106107108109110111112113114115116117118119120121122126[[#This Row],[Total]]*-1,0)</f>
        <v>0</v>
      </c>
      <c r="J38" s="353"/>
      <c r="K38" s="354"/>
      <c r="L38" s="354"/>
    </row>
    <row r="39" spans="1:12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613</v>
      </c>
      <c r="I39" s="353">
        <f>IF(T_T13411121314151617181920212223242526272829303132333536373839404142434445464748495051525354555657585960616263646566676869707172737475767778798081828384858687888990919293949596979899100101102103104105106107108109110111112113114115116117118119120121122126[[#This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13411121314151617181920212223242526272829303132333536373839404142434445464748495051525354555657585960616263646566676869707172737475767778798081828384858687888990919293949596979899100101102103104105106107108109110111112113114115116117118119120121122126[[#This Row],[Total]]*-1,0)</f>
        <v>0</v>
      </c>
      <c r="J39" s="353"/>
      <c r="K39" s="354"/>
      <c r="L39" s="354"/>
    </row>
    <row r="40" spans="1:12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613</v>
      </c>
      <c r="I40" s="353">
        <f>IF(T_T13411121314151617181920212223242526272829303132333536373839404142434445464748495051525354555657585960616263646566676869707172737475767778798081828384858687888990919293949596979899100101102103104105106107108109110111112113114115116117118119120121122126[[#This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13411121314151617181920212223242526272829303132333536373839404142434445464748495051525354555657585960616263646566676869707172737475767778798081828384858687888990919293949596979899100101102103104105106107108109110111112113114115116117118119120121122126[[#This Row],[Total]]*-1,0)</f>
        <v>0</v>
      </c>
      <c r="J40" s="353"/>
      <c r="K40" s="354"/>
      <c r="L40" s="354"/>
    </row>
  </sheetData>
  <hyperlinks>
    <hyperlink ref="B7" r:id="rId1" display="jose.orozco@outlook.com"/>
    <hyperlink ref="H7" location="Resumen!A1" display="Rsumen         "/>
  </hyperlinks>
  <pageMargins left="0.25" right="0.25" top="0.75" bottom="0.75" header="0.3" footer="0.3"/>
  <pageSetup scale="65" orientation="portrait" verticalDpi="360" r:id="rId2"/>
  <drawing r:id="rId3"/>
  <tableParts count="1">
    <tablePart r:id="rId4"/>
  </tablePart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N42"/>
  <sheetViews>
    <sheetView showGridLines="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1" max="11" width="9.44140625" customWidth="1"/>
    <col min="14" max="14" width="10.6640625" bestFit="1" customWidth="1"/>
    <col min="15" max="15" width="15.109375" customWidth="1"/>
  </cols>
  <sheetData>
    <row r="2" spans="1:14" ht="15.6" x14ac:dyDescent="0.3">
      <c r="A2" s="27" t="s">
        <v>36</v>
      </c>
      <c r="B2" s="41" t="s">
        <v>175</v>
      </c>
    </row>
    <row r="3" spans="1:14" ht="2.25" customHeight="1" x14ac:dyDescent="0.3">
      <c r="A3" s="27" t="s">
        <v>31</v>
      </c>
      <c r="B3" s="28" t="e">
        <f>LOOKUP(B2,#REF!,#REF!)</f>
        <v>#REF!</v>
      </c>
    </row>
    <row r="4" spans="1:14" hidden="1" x14ac:dyDescent="0.3">
      <c r="A4" s="27" t="s">
        <v>32</v>
      </c>
      <c r="B4" s="28" t="e">
        <f>LOOKUP(B2,#REF!,#REF!)</f>
        <v>#REF!</v>
      </c>
    </row>
    <row r="5" spans="1:14" hidden="1" x14ac:dyDescent="0.3">
      <c r="A5" s="27" t="s">
        <v>33</v>
      </c>
      <c r="B5" s="28" t="e">
        <f>LOOKUP(B2,#REF!,#REF!)</f>
        <v>#REF!</v>
      </c>
    </row>
    <row r="6" spans="1:14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4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4" x14ac:dyDescent="0.3">
      <c r="A8" s="21"/>
      <c r="B8" s="21" t="s">
        <v>377</v>
      </c>
    </row>
    <row r="9" spans="1:14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96" t="s">
        <v>188</v>
      </c>
    </row>
    <row r="10" spans="1:14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IF(T_T13411121314151617181920212223242526272829303132333536373839404142434445464748495051525354555657585960616263646566676869707172737475767778798081828384858687888990919293949596979899100101102103104105106107108109110111112113114115116117118119120121122127[[#This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13411121314151617181920212223242526272829303132333536373839404142434445464748495051525354555657585960616263646566676869707172737475767778798081828384858687888990919293949596979899100101102103104105106107108109110111112113114115116117118119120121122127[[#This Row],[Total]]*-1,0)</f>
        <v>0</v>
      </c>
      <c r="J10" s="213"/>
      <c r="K10" s="63"/>
      <c r="N10" s="178"/>
    </row>
    <row r="11" spans="1:14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94">
        <f>IF(T_T13411121314151617181920212223242526272829303132333536373839404142434445464748495051525354555657585960616263646566676869707172737475767778798081828384858687888990919293949596979899100101102103104105106107108109110111112113114115116117118119120121122127[[#This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13411121314151617181920212223242526272829303132333536373839404142434445464748495051525354555657585960616263646566676869707172737475767778798081828384858687888990919293949596979899100101102103104105106107108109110111112113114115116117118119120121122127[[#This Row],[Total]]*-1,0)</f>
        <v>0</v>
      </c>
      <c r="J11" s="93"/>
      <c r="N11" s="178"/>
    </row>
    <row r="12" spans="1:14" x14ac:dyDescent="0.3">
      <c r="A12" s="432"/>
      <c r="B12" s="118" t="s">
        <v>467</v>
      </c>
      <c r="C12" s="284"/>
      <c r="D12" s="285"/>
      <c r="E12" s="285"/>
      <c r="F12" s="285"/>
      <c r="G12" s="285"/>
      <c r="H12" s="10">
        <v>0</v>
      </c>
      <c r="I12" s="73">
        <f>IF(T_T13411121314151617181920212223242526272829303132333536373839404142434445464748495051525354555657585960616263646566676869707172737475767778798081828384858687888990919293949596979899100101102103104105106107108109110111112113114115116117118119120121122127[[#This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13411121314151617181920212223242526272829303132333536373839404142434445464748495051525354555657585960616263646566676869707172737475767778798081828384858687888990919293949596979899100101102103104105106107108109110111112113114115116117118119120121122127[[#This Row],[Total]]*-1,0)</f>
        <v>0</v>
      </c>
      <c r="J12" s="51"/>
      <c r="N12" s="178"/>
    </row>
    <row r="13" spans="1:14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6">
        <f>IF(T_T13411121314151617181920212223242526272829303132333536373839404142434445464748495051525354555657585960616263646566676869707172737475767778798081828384858687888990919293949596979899100101102103104105106107108109110111112113114115116117118119120121122127[[#This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13411121314151617181920212223242526272829303132333536373839404142434445464748495051525354555657585960616263646566676869707172737475767778798081828384858687888990919293949596979899100101102103104105106107108109110111112113114115116117118119120121122127[[#This Row],[Total]]*-1,0)</f>
        <v>0</v>
      </c>
      <c r="J13" s="93"/>
    </row>
    <row r="14" spans="1:14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6">
        <f>IF(T_T13411121314151617181920212223242526272829303132333536373839404142434445464748495051525354555657585960616263646566676869707172737475767778798081828384858687888990919293949596979899100101102103104105106107108109110111112113114115116117118119120121122127[[#This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13411121314151617181920212223242526272829303132333536373839404142434445464748495051525354555657585960616263646566676869707172737475767778798081828384858687888990919293949596979899100101102103104105106107108109110111112113114115116117118119120121122127[[#This Row],[Total]]*-1,0)</f>
        <v>0</v>
      </c>
      <c r="J14" s="473"/>
    </row>
    <row r="15" spans="1:14" x14ac:dyDescent="0.3">
      <c r="A15" s="17">
        <v>46052</v>
      </c>
      <c r="B15" s="18" t="s">
        <v>590</v>
      </c>
      <c r="C15" s="6"/>
      <c r="D15" s="2">
        <v>414</v>
      </c>
      <c r="E15" s="2">
        <v>42</v>
      </c>
      <c r="F15" s="20"/>
      <c r="G15" s="20">
        <f>SUM(D15:F15)</f>
        <v>456</v>
      </c>
      <c r="H15" s="233">
        <f>+H13+T_T13411121314151617181920212223242526272829303132333536373839404142434445464748495051525354555657585960616263646566676869707172737475767778798081828384858687888990919293949596979899100101102103104105106107108109110111112113114115116117118119120121122127[[#This Row],[Total]]</f>
        <v>456</v>
      </c>
      <c r="I15" s="240">
        <f>IF(T_T13411121314151617181920212223242526272829303132333536373839404142434445464748495051525354555657585960616263646566676869707172737475767778798081828384858687888990919293949596979899100101102103104105106107108109110111112113114115116117118119120121122127[[#This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13411121314151617181920212223242526272829303132333536373839404142434445464748495051525354555657585960616263646566676869707172737475767778798081828384858687888990919293949596979899100101102103104105106107108109110111112113114115116117118119120121122127[[#This Row],[Total]]*-1,0)</f>
        <v>0</v>
      </c>
      <c r="J15" s="240"/>
      <c r="M15" t="s">
        <v>565</v>
      </c>
    </row>
    <row r="16" spans="1:14" x14ac:dyDescent="0.3">
      <c r="A16" s="17"/>
      <c r="B16" s="18" t="s">
        <v>591</v>
      </c>
      <c r="C16" s="6" t="s">
        <v>651</v>
      </c>
      <c r="D16" s="2">
        <f>-103-311</f>
        <v>-414</v>
      </c>
      <c r="E16" s="2">
        <v>-42</v>
      </c>
      <c r="F16" s="230"/>
      <c r="G16" s="230">
        <f t="shared" ref="G16:G40" si="0">SUM(D16:F16)</f>
        <v>-456</v>
      </c>
      <c r="H16" s="233">
        <f t="shared" ref="H16:H42" si="1">H15+G16</f>
        <v>0</v>
      </c>
      <c r="I16" s="240">
        <f>IF(T_T13411121314151617181920212223242526272829303132333536373839404142434445464748495051525354555657585960616263646566676869707172737475767778798081828384858687888990919293949596979899100101102103104105106107108109110111112113114115116117118119120121122127[[#This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13411121314151617181920212223242526272829303132333536373839404142434445464748495051525354555657585960616263646566676869707172737475767778798081828384858687888990919293949596979899100101102103104105106107108109110111112113114115116117118119120121122127[[#This Row],[Total]]*-1,0)</f>
        <v>456</v>
      </c>
      <c r="J16" s="240"/>
    </row>
    <row r="17" spans="1:10" x14ac:dyDescent="0.3">
      <c r="A17" s="164">
        <v>45715</v>
      </c>
      <c r="B17" s="161" t="s">
        <v>532</v>
      </c>
      <c r="C17" s="6"/>
      <c r="D17" s="2">
        <v>414</v>
      </c>
      <c r="E17" s="2">
        <v>40</v>
      </c>
      <c r="F17" s="230"/>
      <c r="G17" s="230">
        <f t="shared" si="0"/>
        <v>454</v>
      </c>
      <c r="H17" s="233">
        <f t="shared" si="1"/>
        <v>454</v>
      </c>
      <c r="I17" s="240">
        <f>IF(T_T13411121314151617181920212223242526272829303132333536373839404142434445464748495051525354555657585960616263646566676869707172737475767778798081828384858687888990919293949596979899100101102103104105106107108109110111112113114115116117118119120121122127[[#This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13411121314151617181920212223242526272829303132333536373839404142434445464748495051525354555657585960616263646566676869707172737475767778798081828384858687888990919293949596979899100101102103104105106107108109110111112113114115116117118119120121122127[[#This Row],[Total]]*-1,0)</f>
        <v>0</v>
      </c>
      <c r="J17" s="240"/>
    </row>
    <row r="18" spans="1:10" x14ac:dyDescent="0.3">
      <c r="A18" s="187"/>
      <c r="B18" s="18" t="s">
        <v>533</v>
      </c>
      <c r="C18" s="6" t="s">
        <v>652</v>
      </c>
      <c r="D18" s="2">
        <f>-103-311</f>
        <v>-414</v>
      </c>
      <c r="E18" s="2">
        <v>-40</v>
      </c>
      <c r="F18" s="230"/>
      <c r="G18" s="230">
        <f t="shared" si="0"/>
        <v>-454</v>
      </c>
      <c r="H18" s="233">
        <f t="shared" si="1"/>
        <v>0</v>
      </c>
      <c r="I18" s="239">
        <f>IF(T_T13411121314151617181920212223242526272829303132333536373839404142434445464748495051525354555657585960616263646566676869707172737475767778798081828384858687888990919293949596979899100101102103104105106107108109110111112113114115116117118119120121122127[[#This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13411121314151617181920212223242526272829303132333536373839404142434445464748495051525354555657585960616263646566676869707172737475767778798081828384858687888990919293949596979899100101102103104105106107108109110111112113114115116117118119120121122127[[#This Row],[Total]]*-1,0)</f>
        <v>454</v>
      </c>
      <c r="J18" s="239"/>
    </row>
    <row r="19" spans="1:10" x14ac:dyDescent="0.3">
      <c r="A19" s="188">
        <v>45747</v>
      </c>
      <c r="B19" s="3" t="s">
        <v>534</v>
      </c>
      <c r="C19" s="6"/>
      <c r="D19" s="2">
        <v>473</v>
      </c>
      <c r="E19" s="2">
        <v>37</v>
      </c>
      <c r="F19" s="230"/>
      <c r="G19" s="230">
        <f t="shared" si="0"/>
        <v>510</v>
      </c>
      <c r="H19" s="233">
        <f t="shared" si="1"/>
        <v>510</v>
      </c>
      <c r="I19" s="240">
        <f>IF(T_T13411121314151617181920212223242526272829303132333536373839404142434445464748495051525354555657585960616263646566676869707172737475767778798081828384858687888990919293949596979899100101102103104105106107108109110111112113114115116117118119120121122127[[#This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13411121314151617181920212223242526272829303132333536373839404142434445464748495051525354555657585960616263646566676869707172737475767778798081828384858687888990919293949596979899100101102103104105106107108109110111112113114115116117118119120121122127[[#This Row],[Total]]*-1,0)</f>
        <v>0</v>
      </c>
      <c r="J19" s="240"/>
    </row>
    <row r="20" spans="1:10" x14ac:dyDescent="0.3">
      <c r="A20" s="188"/>
      <c r="B20" s="82" t="s">
        <v>535</v>
      </c>
      <c r="C20" s="6" t="s">
        <v>653</v>
      </c>
      <c r="D20" s="2">
        <f>-118-355</f>
        <v>-473</v>
      </c>
      <c r="E20" s="2">
        <v>-37</v>
      </c>
      <c r="F20" s="230"/>
      <c r="G20" s="230">
        <f t="shared" si="0"/>
        <v>-510</v>
      </c>
      <c r="H20" s="233">
        <f t="shared" si="1"/>
        <v>0</v>
      </c>
      <c r="I20" s="240">
        <f>IF(T_T13411121314151617181920212223242526272829303132333536373839404142434445464748495051525354555657585960616263646566676869707172737475767778798081828384858687888990919293949596979899100101102103104105106107108109110111112113114115116117118119120121122127[[#This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13411121314151617181920212223242526272829303132333536373839404142434445464748495051525354555657585960616263646566676869707172737475767778798081828384858687888990919293949596979899100101102103104105106107108109110111112113114115116117118119120121122127[[#This Row],[Total]]*-1,0)</f>
        <v>510</v>
      </c>
      <c r="J20" s="240"/>
    </row>
    <row r="21" spans="1:10" x14ac:dyDescent="0.3">
      <c r="A21" s="188">
        <v>45777</v>
      </c>
      <c r="B21" s="3" t="s">
        <v>536</v>
      </c>
      <c r="C21" s="443"/>
      <c r="D21" s="444">
        <v>473</v>
      </c>
      <c r="E21" s="444">
        <v>41</v>
      </c>
      <c r="F21" s="444"/>
      <c r="G21" s="230">
        <f t="shared" si="0"/>
        <v>514</v>
      </c>
      <c r="H21" s="233">
        <f t="shared" si="1"/>
        <v>514</v>
      </c>
      <c r="I21" s="430">
        <f>IF(T_T13411121314151617181920212223242526272829303132333536373839404142434445464748495051525354555657585960616263646566676869707172737475767778798081828384858687888990919293949596979899100101102103104105106107108109110111112113114115116117118119120121122127[[#This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13411121314151617181920212223242526272829303132333536373839404142434445464748495051525354555657585960616263646566676869707172737475767778798081828384858687888990919293949596979899100101102103104105106107108109110111112113114115116117118119120121122127[[#This Row],[Total]]*-1,0)</f>
        <v>0</v>
      </c>
      <c r="J21" s="430"/>
    </row>
    <row r="22" spans="1:10" x14ac:dyDescent="0.3">
      <c r="A22" s="83"/>
      <c r="B22" s="82" t="s">
        <v>537</v>
      </c>
      <c r="C22" s="6" t="s">
        <v>655</v>
      </c>
      <c r="D22" s="444">
        <f>-355-118</f>
        <v>-473</v>
      </c>
      <c r="E22" s="444">
        <v>-41</v>
      </c>
      <c r="F22" s="444"/>
      <c r="G22" s="230">
        <f t="shared" si="0"/>
        <v>-514</v>
      </c>
      <c r="H22" s="233">
        <f t="shared" si="1"/>
        <v>0</v>
      </c>
      <c r="I22" s="430">
        <f>IF(T_T13411121314151617181920212223242526272829303132333536373839404142434445464748495051525354555657585960616263646566676869707172737475767778798081828384858687888990919293949596979899100101102103104105106107108109110111112113114115116117118119120121122127[[#This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13411121314151617181920212223242526272829303132333536373839404142434445464748495051525354555657585960616263646566676869707172737475767778798081828384858687888990919293949596979899100101102103104105106107108109110111112113114115116117118119120121122127[[#This Row],[Total]]*-1,0)</f>
        <v>514</v>
      </c>
      <c r="J22" s="430"/>
    </row>
    <row r="23" spans="1:10" x14ac:dyDescent="0.3">
      <c r="A23" s="40">
        <v>45807</v>
      </c>
      <c r="B23" s="3" t="s">
        <v>538</v>
      </c>
      <c r="C23" s="443"/>
      <c r="D23" s="444">
        <v>473</v>
      </c>
      <c r="E23" s="444">
        <v>38</v>
      </c>
      <c r="F23" s="444"/>
      <c r="G23" s="230">
        <f t="shared" si="0"/>
        <v>511</v>
      </c>
      <c r="H23" s="233">
        <f t="shared" si="1"/>
        <v>511</v>
      </c>
      <c r="I23" s="430">
        <f>IF(T_T13411121314151617181920212223242526272829303132333536373839404142434445464748495051525354555657585960616263646566676869707172737475767778798081828384858687888990919293949596979899100101102103104105106107108109110111112113114115116117118119120121122127[[#This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13411121314151617181920212223242526272829303132333536373839404142434445464748495051525354555657585960616263646566676869707172737475767778798081828384858687888990919293949596979899100101102103104105106107108109110111112113114115116117118119120121122127[[#This Row],[Total]]*-1,0)</f>
        <v>0</v>
      </c>
      <c r="J23" s="430"/>
    </row>
    <row r="24" spans="1:10" x14ac:dyDescent="0.3">
      <c r="A24" s="9"/>
      <c r="B24" s="18" t="s">
        <v>539</v>
      </c>
      <c r="C24" s="6"/>
      <c r="D24" s="444"/>
      <c r="E24" s="444"/>
      <c r="F24" s="444"/>
      <c r="G24" s="230">
        <f t="shared" si="0"/>
        <v>0</v>
      </c>
      <c r="H24" s="233">
        <f t="shared" si="1"/>
        <v>511</v>
      </c>
      <c r="I24" s="430">
        <f>IF(T_T13411121314151617181920212223242526272829303132333536373839404142434445464748495051525354555657585960616263646566676869707172737475767778798081828384858687888990919293949596979899100101102103104105106107108109110111112113114115116117118119120121122127[[#This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13411121314151617181920212223242526272829303132333536373839404142434445464748495051525354555657585960616263646566676869707172737475767778798081828384858687888990919293949596979899100101102103104105106107108109110111112113114115116117118119120121122127[[#This Row],[Total]]*-1,0)</f>
        <v>0</v>
      </c>
      <c r="J24" s="430"/>
    </row>
    <row r="25" spans="1:10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511</v>
      </c>
      <c r="I25" s="309">
        <f>IF(T_T13411121314151617181920212223242526272829303132333536373839404142434445464748495051525354555657585960616263646566676869707172737475767778798081828384858687888990919293949596979899100101102103104105106107108109110111112113114115116117118119120121122127[[#This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13411121314151617181920212223242526272829303132333536373839404142434445464748495051525354555657585960616263646566676869707172737475767778798081828384858687888990919293949596979899100101102103104105106107108109110111112113114115116117118119120121122127[[#This Row],[Total]]*-1,0)</f>
        <v>0</v>
      </c>
      <c r="J25" s="309"/>
    </row>
    <row r="26" spans="1:10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511</v>
      </c>
      <c r="I26" s="309">
        <f>IF(T_T13411121314151617181920212223242526272829303132333536373839404142434445464748495051525354555657585960616263646566676869707172737475767778798081828384858687888990919293949596979899100101102103104105106107108109110111112113114115116117118119120121122127[[#This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13411121314151617181920212223242526272829303132333536373839404142434445464748495051525354555657585960616263646566676869707172737475767778798081828384858687888990919293949596979899100101102103104105106107108109110111112113114115116117118119120121122127[[#This Row],[Total]]*-1,0)</f>
        <v>0</v>
      </c>
      <c r="J26" s="309"/>
    </row>
    <row r="27" spans="1:10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511</v>
      </c>
      <c r="I27" s="309">
        <f>IF(T_T13411121314151617181920212223242526272829303132333536373839404142434445464748495051525354555657585960616263646566676869707172737475767778798081828384858687888990919293949596979899100101102103104105106107108109110111112113114115116117118119120121122127[[#This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13411121314151617181920212223242526272829303132333536373839404142434445464748495051525354555657585960616263646566676869707172737475767778798081828384858687888990919293949596979899100101102103104105106107108109110111112113114115116117118119120121122127[[#This Row],[Total]]*-1,0)</f>
        <v>0</v>
      </c>
      <c r="J27" s="309"/>
    </row>
    <row r="28" spans="1:10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511</v>
      </c>
      <c r="I28" s="311">
        <f>IF(T_T13411121314151617181920212223242526272829303132333536373839404142434445464748495051525354555657585960616263646566676869707172737475767778798081828384858687888990919293949596979899100101102103104105106107108109110111112113114115116117118119120121122127[[#This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13411121314151617181920212223242526272829303132333536373839404142434445464748495051525354555657585960616263646566676869707172737475767778798081828384858687888990919293949596979899100101102103104105106107108109110111112113114115116117118119120121122127[[#This Row],[Total]]*-1,0)</f>
        <v>0</v>
      </c>
      <c r="J28" s="311"/>
    </row>
    <row r="29" spans="1:10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511</v>
      </c>
      <c r="I29" s="309">
        <f>IF(T_T13411121314151617181920212223242526272829303132333536373839404142434445464748495051525354555657585960616263646566676869707172737475767778798081828384858687888990919293949596979899100101102103104105106107108109110111112113114115116117118119120121122127[[#This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13411121314151617181920212223242526272829303132333536373839404142434445464748495051525354555657585960616263646566676869707172737475767778798081828384858687888990919293949596979899100101102103104105106107108109110111112113114115116117118119120121122127[[#This Row],[Total]]*-1,0)</f>
        <v>0</v>
      </c>
      <c r="J29" s="309"/>
    </row>
    <row r="30" spans="1:10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511</v>
      </c>
      <c r="I30" s="309">
        <f>IF(T_T13411121314151617181920212223242526272829303132333536373839404142434445464748495051525354555657585960616263646566676869707172737475767778798081828384858687888990919293949596979899100101102103104105106107108109110111112113114115116117118119120121122127[[#This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13411121314151617181920212223242526272829303132333536373839404142434445464748495051525354555657585960616263646566676869707172737475767778798081828384858687888990919293949596979899100101102103104105106107108109110111112113114115116117118119120121122127[[#This Row],[Total]]*-1,0)</f>
        <v>0</v>
      </c>
      <c r="J30" s="309"/>
    </row>
    <row r="31" spans="1:10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511</v>
      </c>
      <c r="I31" s="309">
        <f>IF(T_T13411121314151617181920212223242526272829303132333536373839404142434445464748495051525354555657585960616263646566676869707172737475767778798081828384858687888990919293949596979899100101102103104105106107108109110111112113114115116117118119120121122127[[#This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13411121314151617181920212223242526272829303132333536373839404142434445464748495051525354555657585960616263646566676869707172737475767778798081828384858687888990919293949596979899100101102103104105106107108109110111112113114115116117118119120121122127[[#This Row],[Total]]*-1,0)</f>
        <v>0</v>
      </c>
      <c r="J31" s="309"/>
    </row>
    <row r="32" spans="1:10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511</v>
      </c>
      <c r="I32" s="311">
        <f>IF(T_T13411121314151617181920212223242526272829303132333536373839404142434445464748495051525354555657585960616263646566676869707172737475767778798081828384858687888990919293949596979899100101102103104105106107108109110111112113114115116117118119120121122127[[#This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13411121314151617181920212223242526272829303132333536373839404142434445464748495051525354555657585960616263646566676869707172737475767778798081828384858687888990919293949596979899100101102103104105106107108109110111112113114115116117118119120121122127[[#This Row],[Total]]*-1,0)</f>
        <v>0</v>
      </c>
      <c r="J32" s="311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511</v>
      </c>
      <c r="I33" s="309">
        <f>IF(T_T13411121314151617181920212223242526272829303132333536373839404142434445464748495051525354555657585960616263646566676869707172737475767778798081828384858687888990919293949596979899100101102103104105106107108109110111112113114115116117118119120121122127[[#This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13411121314151617181920212223242526272829303132333536373839404142434445464748495051525354555657585960616263646566676869707172737475767778798081828384858687888990919293949596979899100101102103104105106107108109110111112113114115116117118119120121122127[[#This Row],[Total]]*-1,0)</f>
        <v>0</v>
      </c>
      <c r="J33" s="309"/>
    </row>
    <row r="34" spans="1:10" x14ac:dyDescent="0.3">
      <c r="A34" s="9"/>
      <c r="B34" s="3" t="s">
        <v>549</v>
      </c>
      <c r="C34" s="6"/>
      <c r="D34" s="230"/>
      <c r="E34" s="230"/>
      <c r="F34" s="230"/>
      <c r="G34" s="230">
        <f t="shared" si="0"/>
        <v>0</v>
      </c>
      <c r="H34" s="233">
        <f t="shared" si="1"/>
        <v>511</v>
      </c>
      <c r="I34" s="309">
        <f>IF(T_T13411121314151617181920212223242526272829303132333536373839404142434445464748495051525354555657585960616263646566676869707172737475767778798081828384858687888990919293949596979899100101102103104105106107108109110111112113114115116117118119120121122127[[#This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13411121314151617181920212223242526272829303132333536373839404142434445464748495051525354555657585960616263646566676869707172737475767778798081828384858687888990919293949596979899100101102103104105106107108109110111112113114115116117118119120121122127[[#This Row],[Total]]*-1,0)</f>
        <v>0</v>
      </c>
      <c r="J34" s="309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511</v>
      </c>
      <c r="I35" s="309">
        <f>IF(T_T13411121314151617181920212223242526272829303132333536373839404142434445464748495051525354555657585960616263646566676869707172737475767778798081828384858687888990919293949596979899100101102103104105106107108109110111112113114115116117118119120121122127[[#This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13411121314151617181920212223242526272829303132333536373839404142434445464748495051525354555657585960616263646566676869707172737475767778798081828384858687888990919293949596979899100101102103104105106107108109110111112113114115116117118119120121122127[[#This Row],[Total]]*-1,0)</f>
        <v>0</v>
      </c>
      <c r="J35" s="309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511</v>
      </c>
      <c r="I36" s="309">
        <f>IF(T_T13411121314151617181920212223242526272829303132333536373839404142434445464748495051525354555657585960616263646566676869707172737475767778798081828384858687888990919293949596979899100101102103104105106107108109110111112113114115116117118119120121122127[[#This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13411121314151617181920212223242526272829303132333536373839404142434445464748495051525354555657585960616263646566676869707172737475767778798081828384858687888990919293949596979899100101102103104105106107108109110111112113114115116117118119120121122127[[#This Row],[Total]]*-1,0)</f>
        <v>0</v>
      </c>
      <c r="J36" s="309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511</v>
      </c>
      <c r="I37" s="309">
        <f>IF(T_T13411121314151617181920212223242526272829303132333536373839404142434445464748495051525354555657585960616263646566676869707172737475767778798081828384858687888990919293949596979899100101102103104105106107108109110111112113114115116117118119120121122127[[#This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13411121314151617181920212223242526272829303132333536373839404142434445464748495051525354555657585960616263646566676869707172737475767778798081828384858687888990919293949596979899100101102103104105106107108109110111112113114115116117118119120121122127[[#This Row],[Total]]*-1,0)</f>
        <v>0</v>
      </c>
      <c r="J37" s="309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511</v>
      </c>
      <c r="I38" s="309">
        <f>IF(T_T13411121314151617181920212223242526272829303132333536373839404142434445464748495051525354555657585960616263646566676869707172737475767778798081828384858687888990919293949596979899100101102103104105106107108109110111112113114115116117118119120121122127[[#This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13411121314151617181920212223242526272829303132333536373839404142434445464748495051525354555657585960616263646566676869707172737475767778798081828384858687888990919293949596979899100101102103104105106107108109110111112113114115116117118119120121122127[[#This Row],[Total]]*-1,0)</f>
        <v>0</v>
      </c>
      <c r="J38" s="309"/>
    </row>
    <row r="39" spans="1:10" x14ac:dyDescent="0.3">
      <c r="A39" s="107"/>
      <c r="B39" s="82"/>
      <c r="C39" s="229"/>
      <c r="D39" s="230"/>
      <c r="E39" s="230"/>
      <c r="F39" s="230"/>
      <c r="G39" s="230">
        <f t="shared" si="0"/>
        <v>0</v>
      </c>
      <c r="H39" s="233">
        <f t="shared" si="1"/>
        <v>511</v>
      </c>
      <c r="I39" s="309">
        <f>IF(T_T13411121314151617181920212223242526272829303132333536373839404142434445464748495051525354555657585960616263646566676869707172737475767778798081828384858687888990919293949596979899100101102103104105106107108109110111112113114115116117118119120121122127[[#This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13411121314151617181920212223242526272829303132333536373839404142434445464748495051525354555657585960616263646566676869707172737475767778798081828384858687888990919293949596979899100101102103104105106107108109110111112113114115116117118119120121122127[[#This Row],[Total]]*-1,0)</f>
        <v>0</v>
      </c>
      <c r="J39" s="309"/>
    </row>
    <row r="40" spans="1:10" x14ac:dyDescent="0.3">
      <c r="A40" s="107"/>
      <c r="B40" s="82"/>
      <c r="C40" s="229"/>
      <c r="D40" s="230"/>
      <c r="E40" s="230"/>
      <c r="F40" s="230"/>
      <c r="G40" s="230">
        <f t="shared" si="0"/>
        <v>0</v>
      </c>
      <c r="H40" s="233">
        <f t="shared" si="1"/>
        <v>511</v>
      </c>
      <c r="I40" s="311">
        <f>IF(T_T13411121314151617181920212223242526272829303132333536373839404142434445464748495051525354555657585960616263646566676869707172737475767778798081828384858687888990919293949596979899100101102103104105106107108109110111112113114115116117118119120121122127[[#This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13411121314151617181920212223242526272829303132333536373839404142434445464748495051525354555657585960616263646566676869707172737475767778798081828384858687888990919293949596979899100101102103104105106107108109110111112113114115116117118119120121122127[[#This Row],[Total]]*-1,0)</f>
        <v>0</v>
      </c>
      <c r="J40" s="311"/>
    </row>
    <row r="41" spans="1:10" x14ac:dyDescent="0.3">
      <c r="A41" s="107"/>
      <c r="B41" s="82"/>
      <c r="C41" s="229"/>
      <c r="D41" s="230"/>
      <c r="E41" s="230"/>
      <c r="F41" s="230"/>
      <c r="G41" s="230">
        <f>SUM(D41:F48)</f>
        <v>0</v>
      </c>
      <c r="H41" s="233">
        <f t="shared" si="1"/>
        <v>511</v>
      </c>
      <c r="I41" s="353">
        <f>IF(T_T13411121314151617181920212223242526272829303132333536373839404142434445464748495051525354555657585960616263646566676869707172737475767778798081828384858687888990919293949596979899100101102103104105106107108109110111112113114115116117118119120121122127[[#This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13411121314151617181920212223242526272829303132333536373839404142434445464748495051525354555657585960616263646566676869707172737475767778798081828384858687888990919293949596979899100101102103104105106107108109110111112113114115116117118119120121122127[[#This Row],[Total]]*-1,0)</f>
        <v>0</v>
      </c>
      <c r="J41" s="353"/>
    </row>
    <row r="42" spans="1:10" x14ac:dyDescent="0.3">
      <c r="A42" s="107"/>
      <c r="B42" s="82"/>
      <c r="C42" s="229"/>
      <c r="D42" s="230"/>
      <c r="E42" s="230"/>
      <c r="F42" s="230"/>
      <c r="G42" s="230">
        <f>SUM(D42:F49)</f>
        <v>0</v>
      </c>
      <c r="H42" s="233">
        <f t="shared" si="1"/>
        <v>511</v>
      </c>
      <c r="I42" s="353">
        <f>IF(T_T13411121314151617181920212223242526272829303132333536373839404142434445464748495051525354555657585960616263646566676869707172737475767778798081828384858687888990919293949596979899100101102103104105106107108109110111112113114115116117118119120121122127[[#This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13411121314151617181920212223242526272829303132333536373839404142434445464748495051525354555657585960616263646566676869707172737475767778798081828384858687888990919293949596979899100101102103104105106107108109110111112113114115116117118119120121122127[[#This Row],[Total]]*-1,0)</f>
        <v>0</v>
      </c>
      <c r="J42" s="353"/>
    </row>
  </sheetData>
  <hyperlinks>
    <hyperlink ref="B7" r:id="rId1" display="jose.orozco@outlook.com"/>
    <hyperlink ref="H7" location="Resumen!A1" display="Rsumen         "/>
  </hyperlinks>
  <pageMargins left="0.70866141732283472" right="0.70866141732283472" top="0.74803149606299213" bottom="0.74803149606299213" header="0.31496062992125984" footer="0.31496062992125984"/>
  <pageSetup scale="55" orientation="portrait" horizontalDpi="4294967293" verticalDpi="360" r:id="rId2"/>
  <drawing r:id="rId3"/>
  <tableParts count="1">
    <tablePart r:id="rId4"/>
  </tablePart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N40"/>
  <sheetViews>
    <sheetView showGridLines="0" topLeftCell="A11" zoomScale="90" zoomScaleNormal="90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6.6640625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4" max="14" width="11.5546875" bestFit="1" customWidth="1"/>
    <col min="15" max="15" width="16" customWidth="1"/>
  </cols>
  <sheetData>
    <row r="2" spans="1:14" ht="15.6" x14ac:dyDescent="0.3">
      <c r="A2" s="27" t="s">
        <v>36</v>
      </c>
      <c r="B2" s="41" t="s">
        <v>176</v>
      </c>
    </row>
    <row r="3" spans="1:14" ht="3" customHeight="1" x14ac:dyDescent="0.3">
      <c r="A3" s="27" t="s">
        <v>31</v>
      </c>
      <c r="B3" s="28" t="e">
        <f>LOOKUP(B2,#REF!,#REF!)</f>
        <v>#REF!</v>
      </c>
    </row>
    <row r="4" spans="1:14" hidden="1" x14ac:dyDescent="0.3">
      <c r="A4" s="27" t="s">
        <v>32</v>
      </c>
      <c r="B4" s="28" t="e">
        <f>LOOKUP(B2,#REF!,#REF!)</f>
        <v>#REF!</v>
      </c>
    </row>
    <row r="5" spans="1:14" hidden="1" x14ac:dyDescent="0.3">
      <c r="A5" s="27" t="s">
        <v>33</v>
      </c>
      <c r="B5" s="28" t="e">
        <f>LOOKUP(B2,#REF!,#REF!)</f>
        <v>#REF!</v>
      </c>
    </row>
    <row r="6" spans="1:14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4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4" x14ac:dyDescent="0.3">
      <c r="A8" s="21"/>
      <c r="B8" s="21" t="s">
        <v>226</v>
      </c>
    </row>
    <row r="9" spans="1:14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69" t="s">
        <v>188</v>
      </c>
    </row>
    <row r="10" spans="1:14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/>
      <c r="J10" s="68"/>
      <c r="N10" s="178"/>
    </row>
    <row r="11" spans="1:14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IF(T_T13411121314151617181920212223242526272829303132333536373839404142434445464748495051525354555657585960616263646566676869707172737475767778798081828384858687888990919293949596979899100101102103104105106107108109110111112113114115116117118119120121122128[[#This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13411121314151617181920212223242526272829303132333536373839404142434445464748495051525354555657585960616263646566676869707172737475767778798081828384858687888990919293949596979899100101102103104105106107108109110111112113114115116117118119120121122128[[#This Row],[Total]]*-1,0)</f>
        <v>0</v>
      </c>
      <c r="J11" s="240"/>
    </row>
    <row r="12" spans="1:14" x14ac:dyDescent="0.3">
      <c r="A12" s="117"/>
      <c r="B12" s="118" t="s">
        <v>467</v>
      </c>
      <c r="C12" s="284"/>
      <c r="D12" s="285"/>
      <c r="E12" s="285"/>
      <c r="F12" s="285"/>
      <c r="G12" s="285"/>
      <c r="H12" s="10">
        <v>0</v>
      </c>
      <c r="I12" s="51">
        <f>IF(T_T13411121314151617181920212223242526272829303132333536373839404142434445464748495051525354555657585960616263646566676869707172737475767778798081828384858687888990919293949596979899100101102103104105106107108109110111112113114115116117118119120121122128[[#This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13411121314151617181920212223242526272829303132333536373839404142434445464748495051525354555657585960616263646566676869707172737475767778798081828384858687888990919293949596979899100101102103104105106107108109110111112113114115116117118119120121122128[[#This Row],[Total]]*-1,0)</f>
        <v>0</v>
      </c>
      <c r="J12" s="51"/>
    </row>
    <row r="13" spans="1:14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IF(T_T13411121314151617181920212223242526272829303132333536373839404142434445464748495051525354555657585960616263646566676869707172737475767778798081828384858687888990919293949596979899100101102103104105106107108109110111112113114115116117118119120121122128[[#This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13411121314151617181920212223242526272829303132333536373839404142434445464748495051525354555657585960616263646566676869707172737475767778798081828384858687888990919293949596979899100101102103104105106107108109110111112113114115116117118119120121122128[[#This Row],[Total]]*-1,0)</f>
        <v>0</v>
      </c>
      <c r="J13" s="240"/>
    </row>
    <row r="14" spans="1:14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IF(T_T13411121314151617181920212223242526272829303132333536373839404142434445464748495051525354555657585960616263646566676869707172737475767778798081828384858687888990919293949596979899100101102103104105106107108109110111112113114115116117118119120121122128[[#This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13411121314151617181920212223242526272829303132333536373839404142434445464748495051525354555657585960616263646566676869707172737475767778798081828384858687888990919293949596979899100101102103104105106107108109110111112113114115116117118119120121122128[[#This Row],[Total]]*-1,0)</f>
        <v>0</v>
      </c>
      <c r="J14" s="473"/>
    </row>
    <row r="15" spans="1:14" x14ac:dyDescent="0.3">
      <c r="A15" s="17">
        <v>46052</v>
      </c>
      <c r="B15" s="18" t="s">
        <v>590</v>
      </c>
      <c r="C15" s="6"/>
      <c r="D15" s="2">
        <v>349</v>
      </c>
      <c r="E15" s="2">
        <v>11</v>
      </c>
      <c r="F15" s="20"/>
      <c r="G15" s="20">
        <f>SUM(D15:F15)</f>
        <v>360</v>
      </c>
      <c r="H15" s="233">
        <f>+H13+T_T13411121314151617181920212223242526272829303132333536373839404142434445464748495051525354555657585960616263646566676869707172737475767778798081828384858687888990919293949596979899100101102103104105106107108109110111112113114115116117118119120121122128[[#This Row],[Total]]</f>
        <v>360</v>
      </c>
      <c r="I15" s="240">
        <f>IF(T_T13411121314151617181920212223242526272829303132333536373839404142434445464748495051525354555657585960616263646566676869707172737475767778798081828384858687888990919293949596979899100101102103104105106107108109110111112113114115116117118119120121122128[[#This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13411121314151617181920212223242526272829303132333536373839404142434445464748495051525354555657585960616263646566676869707172737475767778798081828384858687888990919293949596979899100101102103104105106107108109110111112113114115116117118119120121122128[[#This Row],[Total]]*-1,0)</f>
        <v>0</v>
      </c>
      <c r="J15" s="240"/>
    </row>
    <row r="16" spans="1:14" x14ac:dyDescent="0.3">
      <c r="A16" s="17"/>
      <c r="B16" s="18" t="s">
        <v>591</v>
      </c>
      <c r="C16" s="6">
        <v>8559</v>
      </c>
      <c r="D16" s="2">
        <v>-349</v>
      </c>
      <c r="E16" s="2">
        <v>-11</v>
      </c>
      <c r="F16" s="230"/>
      <c r="G16" s="230">
        <f t="shared" ref="G16:G38" si="0">SUM(D16:F16)</f>
        <v>-360</v>
      </c>
      <c r="H16" s="233">
        <f t="shared" ref="H16:H40" si="1">H15+G16</f>
        <v>0</v>
      </c>
      <c r="I16" s="239">
        <f>IF(T_T13411121314151617181920212223242526272829303132333536373839404142434445464748495051525354555657585960616263646566676869707172737475767778798081828384858687888990919293949596979899100101102103104105106107108109110111112113114115116117118119120121122128[[#This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13411121314151617181920212223242526272829303132333536373839404142434445464748495051525354555657585960616263646566676869707172737475767778798081828384858687888990919293949596979899100101102103104105106107108109110111112113114115116117118119120121122128[[#This Row],[Total]]*-1,0)</f>
        <v>360</v>
      </c>
      <c r="J16" s="239"/>
    </row>
    <row r="17" spans="1:10" x14ac:dyDescent="0.3">
      <c r="A17" s="164">
        <v>45715</v>
      </c>
      <c r="B17" s="161" t="s">
        <v>532</v>
      </c>
      <c r="C17" s="6"/>
      <c r="D17" s="2">
        <f>311+26+12</f>
        <v>349</v>
      </c>
      <c r="E17" s="2">
        <v>21</v>
      </c>
      <c r="F17" s="230"/>
      <c r="G17" s="230">
        <f t="shared" si="0"/>
        <v>370</v>
      </c>
      <c r="H17" s="233">
        <f t="shared" si="1"/>
        <v>370</v>
      </c>
      <c r="I17" s="240">
        <f>IF(T_T13411121314151617181920212223242526272829303132333536373839404142434445464748495051525354555657585960616263646566676869707172737475767778798081828384858687888990919293949596979899100101102103104105106107108109110111112113114115116117118119120121122128[[#This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13411121314151617181920212223242526272829303132333536373839404142434445464748495051525354555657585960616263646566676869707172737475767778798081828384858687888990919293949596979899100101102103104105106107108109110111112113114115116117118119120121122128[[#This Row],[Total]]*-1,0)</f>
        <v>0</v>
      </c>
      <c r="J17" s="240"/>
    </row>
    <row r="18" spans="1:10" x14ac:dyDescent="0.3">
      <c r="A18" s="187"/>
      <c r="B18" s="18" t="s">
        <v>533</v>
      </c>
      <c r="C18" s="6">
        <v>8738</v>
      </c>
      <c r="D18" s="2">
        <v>-349</v>
      </c>
      <c r="E18" s="2">
        <v>-21</v>
      </c>
      <c r="F18" s="230"/>
      <c r="G18" s="230">
        <f t="shared" si="0"/>
        <v>-370</v>
      </c>
      <c r="H18" s="233">
        <f t="shared" si="1"/>
        <v>0</v>
      </c>
      <c r="I18" s="240">
        <f>IF(T_T13411121314151617181920212223242526272829303132333536373839404142434445464748495051525354555657585960616263646566676869707172737475767778798081828384858687888990919293949596979899100101102103104105106107108109110111112113114115116117118119120121122128[[#This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13411121314151617181920212223242526272829303132333536373839404142434445464748495051525354555657585960616263646566676869707172737475767778798081828384858687888990919293949596979899100101102103104105106107108109110111112113114115116117118119120121122128[[#This Row],[Total]]*-1,0)</f>
        <v>370</v>
      </c>
      <c r="J18" s="240"/>
    </row>
    <row r="19" spans="1:10" x14ac:dyDescent="0.3">
      <c r="A19" s="188">
        <v>45747</v>
      </c>
      <c r="B19" s="3" t="s">
        <v>534</v>
      </c>
      <c r="C19" s="6"/>
      <c r="D19" s="2">
        <f>355+30+13</f>
        <v>398</v>
      </c>
      <c r="E19" s="2">
        <v>14</v>
      </c>
      <c r="F19" s="230"/>
      <c r="G19" s="230">
        <f t="shared" si="0"/>
        <v>412</v>
      </c>
      <c r="H19" s="233">
        <f t="shared" si="1"/>
        <v>412</v>
      </c>
      <c r="I19" s="240">
        <f>IF(T_T13411121314151617181920212223242526272829303132333536373839404142434445464748495051525354555657585960616263646566676869707172737475767778798081828384858687888990919293949596979899100101102103104105106107108109110111112113114115116117118119120121122128[[#This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13411121314151617181920212223242526272829303132333536373839404142434445464748495051525354555657585960616263646566676869707172737475767778798081828384858687888990919293949596979899100101102103104105106107108109110111112113114115116117118119120121122128[[#This Row],[Total]]*-1,0)</f>
        <v>0</v>
      </c>
      <c r="J19" s="240"/>
    </row>
    <row r="20" spans="1:10" x14ac:dyDescent="0.3">
      <c r="A20" s="188"/>
      <c r="B20" s="82" t="s">
        <v>535</v>
      </c>
      <c r="C20" s="6">
        <v>8799</v>
      </c>
      <c r="D20" s="2">
        <v>-398</v>
      </c>
      <c r="E20" s="2">
        <v>-14</v>
      </c>
      <c r="F20" s="230"/>
      <c r="G20" s="230">
        <f t="shared" si="0"/>
        <v>-412</v>
      </c>
      <c r="H20" s="233">
        <f t="shared" si="1"/>
        <v>0</v>
      </c>
      <c r="I20" s="239">
        <f>IF(T_T13411121314151617181920212223242526272829303132333536373839404142434445464748495051525354555657585960616263646566676869707172737475767778798081828384858687888990919293949596979899100101102103104105106107108109110111112113114115116117118119120121122128[[#This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13411121314151617181920212223242526272829303132333536373839404142434445464748495051525354555657585960616263646566676869707172737475767778798081828384858687888990919293949596979899100101102103104105106107108109110111112113114115116117118119120121122128[[#This Row],[Total]]*-1,0)</f>
        <v>412</v>
      </c>
      <c r="J20" s="239"/>
    </row>
    <row r="21" spans="1:10" x14ac:dyDescent="0.3">
      <c r="A21" s="188">
        <v>45777</v>
      </c>
      <c r="B21" s="3" t="s">
        <v>536</v>
      </c>
      <c r="C21" s="6"/>
      <c r="D21" s="2">
        <v>398</v>
      </c>
      <c r="E21" s="2">
        <v>18</v>
      </c>
      <c r="F21" s="230"/>
      <c r="G21" s="230">
        <f t="shared" si="0"/>
        <v>416</v>
      </c>
      <c r="H21" s="233">
        <f t="shared" si="1"/>
        <v>416</v>
      </c>
      <c r="I21" s="309">
        <f>IF(T_T13411121314151617181920212223242526272829303132333536373839404142434445464748495051525354555657585960616263646566676869707172737475767778798081828384858687888990919293949596979899100101102103104105106107108109110111112113114115116117118119120121122128[[#This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13411121314151617181920212223242526272829303132333536373839404142434445464748495051525354555657585960616263646566676869707172737475767778798081828384858687888990919293949596979899100101102103104105106107108109110111112113114115116117118119120121122128[[#This Row],[Total]]*-1,0)</f>
        <v>0</v>
      </c>
      <c r="J21" s="309"/>
    </row>
    <row r="22" spans="1:10" x14ac:dyDescent="0.3">
      <c r="A22" s="83"/>
      <c r="B22" s="82" t="s">
        <v>537</v>
      </c>
      <c r="C22" s="6">
        <v>8895</v>
      </c>
      <c r="D22" s="2">
        <v>-398</v>
      </c>
      <c r="E22" s="2">
        <v>-18</v>
      </c>
      <c r="F22" s="230"/>
      <c r="G22" s="230">
        <f t="shared" si="0"/>
        <v>-416</v>
      </c>
      <c r="H22" s="233">
        <f t="shared" si="1"/>
        <v>0</v>
      </c>
      <c r="I22" s="309">
        <f>IF(T_T13411121314151617181920212223242526272829303132333536373839404142434445464748495051525354555657585960616263646566676869707172737475767778798081828384858687888990919293949596979899100101102103104105106107108109110111112113114115116117118119120121122128[[#This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13411121314151617181920212223242526272829303132333536373839404142434445464748495051525354555657585960616263646566676869707172737475767778798081828384858687888990919293949596979899100101102103104105106107108109110111112113114115116117118119120121122128[[#This Row],[Total]]*-1,0)</f>
        <v>416</v>
      </c>
      <c r="J22" s="309"/>
    </row>
    <row r="23" spans="1:10" x14ac:dyDescent="0.3">
      <c r="A23" s="40">
        <v>45807</v>
      </c>
      <c r="B23" s="3" t="s">
        <v>538</v>
      </c>
      <c r="C23" s="229"/>
      <c r="D23" s="230">
        <v>398</v>
      </c>
      <c r="E23" s="7">
        <v>13</v>
      </c>
      <c r="F23" s="230"/>
      <c r="G23" s="230">
        <f t="shared" si="0"/>
        <v>411</v>
      </c>
      <c r="H23" s="233">
        <f t="shared" si="1"/>
        <v>411</v>
      </c>
      <c r="I23" s="309">
        <f>IF(T_T13411121314151617181920212223242526272829303132333536373839404142434445464748495051525354555657585960616263646566676869707172737475767778798081828384858687888990919293949596979899100101102103104105106107108109110111112113114115116117118119120121122128[[#This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13411121314151617181920212223242526272829303132333536373839404142434445464748495051525354555657585960616263646566676869707172737475767778798081828384858687888990919293949596979899100101102103104105106107108109110111112113114115116117118119120121122128[[#This Row],[Total]]*-1,0)</f>
        <v>0</v>
      </c>
      <c r="J23" s="309"/>
    </row>
    <row r="24" spans="1:10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411</v>
      </c>
      <c r="I24" s="311">
        <f>IF(T_T13411121314151617181920212223242526272829303132333536373839404142434445464748495051525354555657585960616263646566676869707172737475767778798081828384858687888990919293949596979899100101102103104105106107108109110111112113114115116117118119120121122128[[#This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13411121314151617181920212223242526272829303132333536373839404142434445464748495051525354555657585960616263646566676869707172737475767778798081828384858687888990919293949596979899100101102103104105106107108109110111112113114115116117118119120121122128[[#This Row],[Total]]*-1,0)</f>
        <v>0</v>
      </c>
      <c r="J24" s="311"/>
    </row>
    <row r="25" spans="1:10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411</v>
      </c>
      <c r="I25" s="309">
        <f>IF(T_T13411121314151617181920212223242526272829303132333536373839404142434445464748495051525354555657585960616263646566676869707172737475767778798081828384858687888990919293949596979899100101102103104105106107108109110111112113114115116117118119120121122128[[#This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13411121314151617181920212223242526272829303132333536373839404142434445464748495051525354555657585960616263646566676869707172737475767778798081828384858687888990919293949596979899100101102103104105106107108109110111112113114115116117118119120121122128[[#This Row],[Total]]*-1,0)</f>
        <v>0</v>
      </c>
      <c r="J25" s="309"/>
    </row>
    <row r="26" spans="1:10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411</v>
      </c>
      <c r="I26" s="309">
        <f>IF(T_T13411121314151617181920212223242526272829303132333536373839404142434445464748495051525354555657585960616263646566676869707172737475767778798081828384858687888990919293949596979899100101102103104105106107108109110111112113114115116117118119120121122128[[#This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13411121314151617181920212223242526272829303132333536373839404142434445464748495051525354555657585960616263646566676869707172737475767778798081828384858687888990919293949596979899100101102103104105106107108109110111112113114115116117118119120121122128[[#This Row],[Total]]*-1,0)</f>
        <v>0</v>
      </c>
      <c r="J26" s="309"/>
    </row>
    <row r="27" spans="1:10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411</v>
      </c>
      <c r="I27" s="309">
        <f>IF(T_T13411121314151617181920212223242526272829303132333536373839404142434445464748495051525354555657585960616263646566676869707172737475767778798081828384858687888990919293949596979899100101102103104105106107108109110111112113114115116117118119120121122128[[#This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13411121314151617181920212223242526272829303132333536373839404142434445464748495051525354555657585960616263646566676869707172737475767778798081828384858687888990919293949596979899100101102103104105106107108109110111112113114115116117118119120121122128[[#This Row],[Total]]*-1,0)</f>
        <v>0</v>
      </c>
      <c r="J27" s="309"/>
    </row>
    <row r="28" spans="1:10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411</v>
      </c>
      <c r="I28" s="311">
        <f>IF(T_T13411121314151617181920212223242526272829303132333536373839404142434445464748495051525354555657585960616263646566676869707172737475767778798081828384858687888990919293949596979899100101102103104105106107108109110111112113114115116117118119120121122128[[#This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13411121314151617181920212223242526272829303132333536373839404142434445464748495051525354555657585960616263646566676869707172737475767778798081828384858687888990919293949596979899100101102103104105106107108109110111112113114115116117118119120121122128[[#This Row],[Total]]*-1,0)</f>
        <v>0</v>
      </c>
      <c r="J28" s="311"/>
    </row>
    <row r="29" spans="1:10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411</v>
      </c>
      <c r="I29" s="309">
        <f>IF(T_T13411121314151617181920212223242526272829303132333536373839404142434445464748495051525354555657585960616263646566676869707172737475767778798081828384858687888990919293949596979899100101102103104105106107108109110111112113114115116117118119120121122128[[#This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13411121314151617181920212223242526272829303132333536373839404142434445464748495051525354555657585960616263646566676869707172737475767778798081828384858687888990919293949596979899100101102103104105106107108109110111112113114115116117118119120121122128[[#This Row],[Total]]*-1,0)</f>
        <v>0</v>
      </c>
      <c r="J29" s="309"/>
    </row>
    <row r="30" spans="1:10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411</v>
      </c>
      <c r="I30" s="309">
        <f>IF(T_T13411121314151617181920212223242526272829303132333536373839404142434445464748495051525354555657585960616263646566676869707172737475767778798081828384858687888990919293949596979899100101102103104105106107108109110111112113114115116117118119120121122128[[#This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13411121314151617181920212223242526272829303132333536373839404142434445464748495051525354555657585960616263646566676869707172737475767778798081828384858687888990919293949596979899100101102103104105106107108109110111112113114115116117118119120121122128[[#This Row],[Total]]*-1,0)</f>
        <v>0</v>
      </c>
      <c r="J30" s="309"/>
    </row>
    <row r="31" spans="1:10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411</v>
      </c>
      <c r="I31" s="309">
        <f>IF(T_T13411121314151617181920212223242526272829303132333536373839404142434445464748495051525354555657585960616263646566676869707172737475767778798081828384858687888990919293949596979899100101102103104105106107108109110111112113114115116117118119120121122128[[#This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13411121314151617181920212223242526272829303132333536373839404142434445464748495051525354555657585960616263646566676869707172737475767778798081828384858687888990919293949596979899100101102103104105106107108109110111112113114115116117118119120121122128[[#This Row],[Total]]*-1,0)</f>
        <v>0</v>
      </c>
      <c r="J31" s="309"/>
    </row>
    <row r="32" spans="1:10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411</v>
      </c>
      <c r="I32" s="309">
        <f>IF(T_T13411121314151617181920212223242526272829303132333536373839404142434445464748495051525354555657585960616263646566676869707172737475767778798081828384858687888990919293949596979899100101102103104105106107108109110111112113114115116117118119120121122128[[#This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13411121314151617181920212223242526272829303132333536373839404142434445464748495051525354555657585960616263646566676869707172737475767778798081828384858687888990919293949596979899100101102103104105106107108109110111112113114115116117118119120121122128[[#This Row],[Total]]*-1,0)</f>
        <v>0</v>
      </c>
      <c r="J32" s="309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411</v>
      </c>
      <c r="I33" s="309">
        <f>IF(T_T13411121314151617181920212223242526272829303132333536373839404142434445464748495051525354555657585960616263646566676869707172737475767778798081828384858687888990919293949596979899100101102103104105106107108109110111112113114115116117118119120121122128[[#This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13411121314151617181920212223242526272829303132333536373839404142434445464748495051525354555657585960616263646566676869707172737475767778798081828384858687888990919293949596979899100101102103104105106107108109110111112113114115116117118119120121122128[[#This Row],[Total]]*-1,0)</f>
        <v>0</v>
      </c>
      <c r="J33" s="309"/>
    </row>
    <row r="34" spans="1:10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411</v>
      </c>
      <c r="I34" s="309">
        <f>IF(T_T13411121314151617181920212223242526272829303132333536373839404142434445464748495051525354555657585960616263646566676869707172737475767778798081828384858687888990919293949596979899100101102103104105106107108109110111112113114115116117118119120121122128[[#This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13411121314151617181920212223242526272829303132333536373839404142434445464748495051525354555657585960616263646566676869707172737475767778798081828384858687888990919293949596979899100101102103104105106107108109110111112113114115116117118119120121122128[[#This Row],[Total]]*-1,0)</f>
        <v>0</v>
      </c>
      <c r="J34" s="309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411</v>
      </c>
      <c r="I35" s="309">
        <f>IF(T_T13411121314151617181920212223242526272829303132333536373839404142434445464748495051525354555657585960616263646566676869707172737475767778798081828384858687888990919293949596979899100101102103104105106107108109110111112113114115116117118119120121122128[[#This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13411121314151617181920212223242526272829303132333536373839404142434445464748495051525354555657585960616263646566676869707172737475767778798081828384858687888990919293949596979899100101102103104105106107108109110111112113114115116117118119120121122128[[#This Row],[Total]]*-1,0)</f>
        <v>0</v>
      </c>
      <c r="J35" s="309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411</v>
      </c>
      <c r="I36" s="311">
        <f>IF(T_T13411121314151617181920212223242526272829303132333536373839404142434445464748495051525354555657585960616263646566676869707172737475767778798081828384858687888990919293949596979899100101102103104105106107108109110111112113114115116117118119120121122128[[#This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13411121314151617181920212223242526272829303132333536373839404142434445464748495051525354555657585960616263646566676869707172737475767778798081828384858687888990919293949596979899100101102103104105106107108109110111112113114115116117118119120121122128[[#This Row],[Total]]*-1,0)</f>
        <v>0</v>
      </c>
      <c r="J36" s="311"/>
    </row>
    <row r="37" spans="1:10" x14ac:dyDescent="0.3">
      <c r="A37" s="188">
        <v>46021</v>
      </c>
      <c r="B37" s="3" t="s">
        <v>552</v>
      </c>
      <c r="C37" s="229"/>
      <c r="D37" s="230"/>
      <c r="E37" s="7"/>
      <c r="F37" s="230"/>
      <c r="G37" s="230">
        <f t="shared" si="0"/>
        <v>0</v>
      </c>
      <c r="H37" s="233">
        <f t="shared" si="1"/>
        <v>411</v>
      </c>
      <c r="I37" s="353">
        <f>IF(T_T13411121314151617181920212223242526272829303132333536373839404142434445464748495051525354555657585960616263646566676869707172737475767778798081828384858687888990919293949596979899100101102103104105106107108109110111112113114115116117118119120121122128[[#This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13411121314151617181920212223242526272829303132333536373839404142434445464748495051525354555657585960616263646566676869707172737475767778798081828384858687888990919293949596979899100101102103104105106107108109110111112113114115116117118119120121122128[[#This Row],[Total]]*-1,0)</f>
        <v>0</v>
      </c>
      <c r="J37" s="353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411</v>
      </c>
      <c r="I38" s="353">
        <f>IF(T_T13411121314151617181920212223242526272829303132333536373839404142434445464748495051525354555657585960616263646566676869707172737475767778798081828384858687888990919293949596979899100101102103104105106107108109110111112113114115116117118119120121122128[[#This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13411121314151617181920212223242526272829303132333536373839404142434445464748495051525354555657585960616263646566676869707172737475767778798081828384858687888990919293949596979899100101102103104105106107108109110111112113114115116117118119120121122128[[#This Row],[Total]]*-1,0)</f>
        <v>0</v>
      </c>
      <c r="J38" s="353"/>
    </row>
    <row r="39" spans="1:10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411</v>
      </c>
      <c r="I39" s="353">
        <f>IF(T_T13411121314151617181920212223242526272829303132333536373839404142434445464748495051525354555657585960616263646566676869707172737475767778798081828384858687888990919293949596979899100101102103104105106107108109110111112113114115116117118119120121122128[[#This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13411121314151617181920212223242526272829303132333536373839404142434445464748495051525354555657585960616263646566676869707172737475767778798081828384858687888990919293949596979899100101102103104105106107108109110111112113114115116117118119120121122128[[#This Row],[Total]]*-1,0)</f>
        <v>0</v>
      </c>
      <c r="J39" s="353"/>
    </row>
    <row r="40" spans="1:10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411</v>
      </c>
      <c r="I40" s="353">
        <f>IF(T_T13411121314151617181920212223242526272829303132333536373839404142434445464748495051525354555657585960616263646566676869707172737475767778798081828384858687888990919293949596979899100101102103104105106107108109110111112113114115116117118119120121122128[[#This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13411121314151617181920212223242526272829303132333536373839404142434445464748495051525354555657585960616263646566676869707172737475767778798081828384858687888990919293949596979899100101102103104105106107108109110111112113114115116117118119120121122128[[#This Row],[Total]]*-1,0)</f>
        <v>0</v>
      </c>
      <c r="J40" s="353"/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orientation="portrait" verticalDpi="360" r:id="rId2"/>
  <drawing r:id="rId3"/>
  <tableParts count="1">
    <tablePart r:id="rId4"/>
  </tablePart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O40"/>
  <sheetViews>
    <sheetView showGridLines="0" zoomScale="86" zoomScaleNormal="86" workbookViewId="0">
      <selection activeCell="E24" sqref="E24"/>
    </sheetView>
  </sheetViews>
  <sheetFormatPr baseColWidth="10" defaultColWidth="9.109375" defaultRowHeight="14.4" x14ac:dyDescent="0.3"/>
  <cols>
    <col min="1" max="1" width="12.88671875" customWidth="1"/>
    <col min="2" max="2" width="33.33203125" customWidth="1"/>
    <col min="3" max="3" width="10.88671875" style="4" customWidth="1"/>
    <col min="4" max="4" width="12.6640625" style="1" customWidth="1"/>
    <col min="5" max="5" width="11.88671875" style="1" customWidth="1"/>
    <col min="6" max="6" width="7.6640625" style="1" customWidth="1"/>
    <col min="7" max="7" width="10.44140625" style="1" customWidth="1"/>
    <col min="8" max="8" width="12.44140625" style="1" customWidth="1"/>
    <col min="9" max="9" width="12.88671875" hidden="1" customWidth="1"/>
    <col min="15" max="15" width="10.6640625" bestFit="1" customWidth="1"/>
    <col min="16" max="16" width="16.5546875" customWidth="1"/>
  </cols>
  <sheetData>
    <row r="2" spans="1:15" ht="15.6" x14ac:dyDescent="0.3">
      <c r="A2" s="27" t="s">
        <v>36</v>
      </c>
      <c r="B2" s="41" t="s">
        <v>177</v>
      </c>
    </row>
    <row r="3" spans="1:15" ht="0.75" customHeight="1" x14ac:dyDescent="0.3">
      <c r="A3" s="27" t="s">
        <v>31</v>
      </c>
      <c r="B3" s="28" t="e">
        <f>LOOKUP(B2,#REF!,#REF!)</f>
        <v>#REF!</v>
      </c>
    </row>
    <row r="4" spans="1:15" hidden="1" x14ac:dyDescent="0.3">
      <c r="A4" s="27" t="s">
        <v>32</v>
      </c>
      <c r="B4" s="28" t="e">
        <f>LOOKUP(B2,#REF!,#REF!)</f>
        <v>#REF!</v>
      </c>
    </row>
    <row r="5" spans="1:15" hidden="1" x14ac:dyDescent="0.3">
      <c r="A5" s="27" t="s">
        <v>33</v>
      </c>
      <c r="B5" s="28" t="e">
        <f>LOOKUP(B2,#REF!,#REF!)</f>
        <v>#REF!</v>
      </c>
    </row>
    <row r="6" spans="1:15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5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5" x14ac:dyDescent="0.3">
      <c r="A8" s="21"/>
      <c r="B8" s="21" t="s">
        <v>389</v>
      </c>
    </row>
    <row r="9" spans="1:15" x14ac:dyDescent="0.3">
      <c r="A9" s="55" t="s">
        <v>3</v>
      </c>
      <c r="B9" s="56" t="s">
        <v>1</v>
      </c>
      <c r="C9" s="57" t="s">
        <v>23</v>
      </c>
      <c r="D9" s="58" t="s">
        <v>21</v>
      </c>
      <c r="E9" s="58" t="s">
        <v>4</v>
      </c>
      <c r="F9" s="58" t="s">
        <v>50</v>
      </c>
      <c r="G9" s="59" t="s">
        <v>5</v>
      </c>
      <c r="H9" s="60" t="s">
        <v>28</v>
      </c>
      <c r="I9" s="34" t="s">
        <v>49</v>
      </c>
      <c r="J9" s="69" t="s">
        <v>188</v>
      </c>
      <c r="K9" s="226" t="s">
        <v>191</v>
      </c>
    </row>
    <row r="10" spans="1:15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/>
      <c r="J10" s="68"/>
      <c r="K10" s="224"/>
      <c r="O10" s="178"/>
    </row>
    <row r="11" spans="1:15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IF(T_T13411121314151617181920212223242526272829303132333536373839404142434445464748495051525354555657585960616263646566676869707172737475767778798081828384858687888990919293949596979899100101102103104105106107108109110111112113114115116117118119120121122129[[#This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13411121314151617181920212223242526272829303132333536373839404142434445464748495051525354555657585960616263646566676869707172737475767778798081828384858687888990919293949596979899100101102103104105106107108109110111112113114115116117118119120121122129[[#This Row],[Total]]*-1,0)</f>
        <v>0</v>
      </c>
      <c r="J11" s="240"/>
      <c r="K11" s="232"/>
    </row>
    <row r="12" spans="1:15" x14ac:dyDescent="0.3">
      <c r="A12" s="117"/>
      <c r="B12" s="118" t="s">
        <v>467</v>
      </c>
      <c r="C12" s="284"/>
      <c r="D12" s="285"/>
      <c r="E12" s="285"/>
      <c r="F12" s="285"/>
      <c r="G12" s="285"/>
      <c r="H12" s="10">
        <v>0</v>
      </c>
      <c r="I12" s="51">
        <f>IF(T_T13411121314151617181920212223242526272829303132333536373839404142434445464748495051525354555657585960616263646566676869707172737475767778798081828384858687888990919293949596979899100101102103104105106107108109110111112113114115116117118119120121122129[[#This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13411121314151617181920212223242526272829303132333536373839404142434445464748495051525354555657585960616263646566676869707172737475767778798081828384858687888990919293949596979899100101102103104105106107108109110111112113114115116117118119120121122129[[#This Row],[Total]]*-1,0)</f>
        <v>0</v>
      </c>
      <c r="J12" s="51"/>
      <c r="K12" s="79"/>
    </row>
    <row r="13" spans="1:15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IF(T_T13411121314151617181920212223242526272829303132333536373839404142434445464748495051525354555657585960616263646566676869707172737475767778798081828384858687888990919293949596979899100101102103104105106107108109110111112113114115116117118119120121122129[[#This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13411121314151617181920212223242526272829303132333536373839404142434445464748495051525354555657585960616263646566676869707172737475767778798081828384858687888990919293949596979899100101102103104105106107108109110111112113114115116117118119120121122129[[#This Row],[Total]]*-1,0)</f>
        <v>0</v>
      </c>
      <c r="J13" s="240"/>
      <c r="K13" s="232"/>
    </row>
    <row r="14" spans="1:15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IF(T_T13411121314151617181920212223242526272829303132333536373839404142434445464748495051525354555657585960616263646566676869707172737475767778798081828384858687888990919293949596979899100101102103104105106107108109110111112113114115116117118119120121122129[[#This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13411121314151617181920212223242526272829303132333536373839404142434445464748495051525354555657585960616263646566676869707172737475767778798081828384858687888990919293949596979899100101102103104105106107108109110111112113114115116117118119120121122129[[#This Row],[Total]]*-1,0)</f>
        <v>0</v>
      </c>
      <c r="J14" s="473"/>
      <c r="K14" s="485"/>
    </row>
    <row r="15" spans="1:15" x14ac:dyDescent="0.3">
      <c r="A15" s="17">
        <v>46052</v>
      </c>
      <c r="B15" s="18" t="s">
        <v>590</v>
      </c>
      <c r="C15" s="6"/>
      <c r="D15" s="2">
        <v>101</v>
      </c>
      <c r="E15" s="2">
        <v>32</v>
      </c>
      <c r="F15" s="20"/>
      <c r="G15" s="20">
        <f>SUM(D15:F15)</f>
        <v>133</v>
      </c>
      <c r="H15" s="233">
        <f>+H13+T_T13411121314151617181920212223242526272829303132333536373839404142434445464748495051525354555657585960616263646566676869707172737475767778798081828384858687888990919293949596979899100101102103104105106107108109110111112113114115116117118119120121122129[[#This Row],[Total]]</f>
        <v>133</v>
      </c>
      <c r="I15" s="240">
        <f>IF(T_T13411121314151617181920212223242526272829303132333536373839404142434445464748495051525354555657585960616263646566676869707172737475767778798081828384858687888990919293949596979899100101102103104105106107108109110111112113114115116117118119120121122129[[#This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13411121314151617181920212223242526272829303132333536373839404142434445464748495051525354555657585960616263646566676869707172737475767778798081828384858687888990919293949596979899100101102103104105106107108109110111112113114115116117118119120121122129[[#This Row],[Total]]*-1,0)</f>
        <v>0</v>
      </c>
      <c r="J15" s="240"/>
      <c r="K15" s="232"/>
    </row>
    <row r="16" spans="1:15" x14ac:dyDescent="0.3">
      <c r="A16" s="17"/>
      <c r="B16" s="18" t="s">
        <v>591</v>
      </c>
      <c r="C16" s="6">
        <v>8833</v>
      </c>
      <c r="D16" s="2">
        <v>-101</v>
      </c>
      <c r="E16" s="2">
        <v>-32</v>
      </c>
      <c r="F16" s="230"/>
      <c r="G16" s="230">
        <f t="shared" ref="G16:G38" si="0">SUM(D16:F16)</f>
        <v>-133</v>
      </c>
      <c r="H16" s="233">
        <f t="shared" ref="H16:H40" si="1">H15+G16</f>
        <v>0</v>
      </c>
      <c r="I16" s="239">
        <f>IF(T_T13411121314151617181920212223242526272829303132333536373839404142434445464748495051525354555657585960616263646566676869707172737475767778798081828384858687888990919293949596979899100101102103104105106107108109110111112113114115116117118119120121122129[[#This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13411121314151617181920212223242526272829303132333536373839404142434445464748495051525354555657585960616263646566676869707172737475767778798081828384858687888990919293949596979899100101102103104105106107108109110111112113114115116117118119120121122129[[#This Row],[Total]]*-1,0)</f>
        <v>133</v>
      </c>
      <c r="J16" s="239"/>
      <c r="K16" s="232"/>
    </row>
    <row r="17" spans="1:13" x14ac:dyDescent="0.3">
      <c r="A17" s="164">
        <v>45715</v>
      </c>
      <c r="B17" s="161" t="s">
        <v>532</v>
      </c>
      <c r="C17" s="6"/>
      <c r="D17" s="2">
        <v>101</v>
      </c>
      <c r="E17" s="2">
        <v>37</v>
      </c>
      <c r="F17" s="230"/>
      <c r="G17" s="230">
        <f t="shared" si="0"/>
        <v>138</v>
      </c>
      <c r="H17" s="233">
        <f t="shared" si="1"/>
        <v>138</v>
      </c>
      <c r="I17" s="240">
        <f>IF(T_T13411121314151617181920212223242526272829303132333536373839404142434445464748495051525354555657585960616263646566676869707172737475767778798081828384858687888990919293949596979899100101102103104105106107108109110111112113114115116117118119120121122129[[#This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13411121314151617181920212223242526272829303132333536373839404142434445464748495051525354555657585960616263646566676869707172737475767778798081828384858687888990919293949596979899100101102103104105106107108109110111112113114115116117118119120121122129[[#This Row],[Total]]*-1,0)</f>
        <v>0</v>
      </c>
      <c r="J17" s="240"/>
      <c r="K17" s="232"/>
    </row>
    <row r="18" spans="1:13" x14ac:dyDescent="0.3">
      <c r="A18" s="187"/>
      <c r="B18" s="18" t="s">
        <v>533</v>
      </c>
      <c r="C18" s="6">
        <v>8833</v>
      </c>
      <c r="D18" s="2">
        <v>-101</v>
      </c>
      <c r="E18" s="2">
        <v>-37</v>
      </c>
      <c r="F18" s="230"/>
      <c r="G18" s="230">
        <f t="shared" si="0"/>
        <v>-138</v>
      </c>
      <c r="H18" s="233">
        <f t="shared" si="1"/>
        <v>0</v>
      </c>
      <c r="I18" s="240">
        <f>IF(T_T13411121314151617181920212223242526272829303132333536373839404142434445464748495051525354555657585960616263646566676869707172737475767778798081828384858687888990919293949596979899100101102103104105106107108109110111112113114115116117118119120121122129[[#This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13411121314151617181920212223242526272829303132333536373839404142434445464748495051525354555657585960616263646566676869707172737475767778798081828384858687888990919293949596979899100101102103104105106107108109110111112113114115116117118119120121122129[[#This Row],[Total]]*-1,0)</f>
        <v>138</v>
      </c>
      <c r="J18" s="240"/>
      <c r="K18" s="232"/>
    </row>
    <row r="19" spans="1:13" x14ac:dyDescent="0.3">
      <c r="A19" s="188">
        <v>45747</v>
      </c>
      <c r="B19" s="3" t="s">
        <v>534</v>
      </c>
      <c r="C19" s="6"/>
      <c r="D19" s="2">
        <v>115</v>
      </c>
      <c r="E19" s="2">
        <v>33</v>
      </c>
      <c r="F19" s="230"/>
      <c r="G19" s="230">
        <f t="shared" si="0"/>
        <v>148</v>
      </c>
      <c r="H19" s="233">
        <f t="shared" si="1"/>
        <v>148</v>
      </c>
      <c r="I19" s="240">
        <f>IF(T_T13411121314151617181920212223242526272829303132333536373839404142434445464748495051525354555657585960616263646566676869707172737475767778798081828384858687888990919293949596979899100101102103104105106107108109110111112113114115116117118119120121122129[[#This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13411121314151617181920212223242526272829303132333536373839404142434445464748495051525354555657585960616263646566676869707172737475767778798081828384858687888990919293949596979899100101102103104105106107108109110111112113114115116117118119120121122129[[#This Row],[Total]]*-1,0)</f>
        <v>0</v>
      </c>
      <c r="J19" s="240"/>
      <c r="K19" s="232"/>
    </row>
    <row r="20" spans="1:13" x14ac:dyDescent="0.3">
      <c r="A20" s="188"/>
      <c r="B20" s="82" t="s">
        <v>535</v>
      </c>
      <c r="C20" s="6">
        <v>-8833</v>
      </c>
      <c r="D20" s="2">
        <v>-115</v>
      </c>
      <c r="E20" s="2">
        <v>-33</v>
      </c>
      <c r="F20" s="230"/>
      <c r="G20" s="230">
        <f t="shared" si="0"/>
        <v>-148</v>
      </c>
      <c r="H20" s="233">
        <f t="shared" si="1"/>
        <v>0</v>
      </c>
      <c r="I20" s="239">
        <f>IF(T_T13411121314151617181920212223242526272829303132333536373839404142434445464748495051525354555657585960616263646566676869707172737475767778798081828384858687888990919293949596979899100101102103104105106107108109110111112113114115116117118119120121122129[[#This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13411121314151617181920212223242526272829303132333536373839404142434445464748495051525354555657585960616263646566676869707172737475767778798081828384858687888990919293949596979899100101102103104105106107108109110111112113114115116117118119120121122129[[#This Row],[Total]]*-1,0)</f>
        <v>148</v>
      </c>
      <c r="J20" s="239"/>
      <c r="K20" s="232"/>
    </row>
    <row r="21" spans="1:13" x14ac:dyDescent="0.3">
      <c r="A21" s="188">
        <v>45777</v>
      </c>
      <c r="B21" s="3" t="s">
        <v>536</v>
      </c>
      <c r="C21" s="6"/>
      <c r="D21" s="2">
        <v>115</v>
      </c>
      <c r="E21" s="2">
        <v>32</v>
      </c>
      <c r="F21" s="230"/>
      <c r="G21" s="230">
        <f t="shared" si="0"/>
        <v>147</v>
      </c>
      <c r="H21" s="233">
        <f t="shared" si="1"/>
        <v>147</v>
      </c>
      <c r="I21" s="309">
        <f>IF(T_T13411121314151617181920212223242526272829303132333536373839404142434445464748495051525354555657585960616263646566676869707172737475767778798081828384858687888990919293949596979899100101102103104105106107108109110111112113114115116117118119120121122129[[#This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13411121314151617181920212223242526272829303132333536373839404142434445464748495051525354555657585960616263646566676869707172737475767778798081828384858687888990919293949596979899100101102103104105106107108109110111112113114115116117118119120121122129[[#This Row],[Total]]*-1,0)</f>
        <v>0</v>
      </c>
      <c r="J21" s="309"/>
      <c r="K21" s="313"/>
    </row>
    <row r="22" spans="1:13" x14ac:dyDescent="0.3">
      <c r="A22" s="83"/>
      <c r="B22" s="82" t="s">
        <v>537</v>
      </c>
      <c r="C22" s="6">
        <v>8883</v>
      </c>
      <c r="D22" s="2">
        <v>-115</v>
      </c>
      <c r="E22" s="2">
        <v>-32</v>
      </c>
      <c r="F22" s="230"/>
      <c r="G22" s="230">
        <f t="shared" si="0"/>
        <v>-147</v>
      </c>
      <c r="H22" s="233">
        <f t="shared" si="1"/>
        <v>0</v>
      </c>
      <c r="I22" s="309">
        <f>IF(T_T13411121314151617181920212223242526272829303132333536373839404142434445464748495051525354555657585960616263646566676869707172737475767778798081828384858687888990919293949596979899100101102103104105106107108109110111112113114115116117118119120121122129[[#This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13411121314151617181920212223242526272829303132333536373839404142434445464748495051525354555657585960616263646566676869707172737475767778798081828384858687888990919293949596979899100101102103104105106107108109110111112113114115116117118119120121122129[[#This Row],[Total]]*-1,0)</f>
        <v>147</v>
      </c>
      <c r="J22" s="309"/>
      <c r="K22" s="313"/>
    </row>
    <row r="23" spans="1:13" x14ac:dyDescent="0.3">
      <c r="A23" s="40">
        <v>45807</v>
      </c>
      <c r="B23" s="3" t="s">
        <v>538</v>
      </c>
      <c r="C23" s="229"/>
      <c r="D23" s="230">
        <v>115</v>
      </c>
      <c r="E23" s="230">
        <v>35</v>
      </c>
      <c r="F23" s="230"/>
      <c r="G23" s="230">
        <f t="shared" si="0"/>
        <v>150</v>
      </c>
      <c r="H23" s="233">
        <f t="shared" si="1"/>
        <v>150</v>
      </c>
      <c r="I23" s="309">
        <f>IF(T_T13411121314151617181920212223242526272829303132333536373839404142434445464748495051525354555657585960616263646566676869707172737475767778798081828384858687888990919293949596979899100101102103104105106107108109110111112113114115116117118119120121122129[[#This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13411121314151617181920212223242526272829303132333536373839404142434445464748495051525354555657585960616263646566676869707172737475767778798081828384858687888990919293949596979899100101102103104105106107108109110111112113114115116117118119120121122129[[#This Row],[Total]]*-1,0)</f>
        <v>0</v>
      </c>
      <c r="J23" s="309"/>
      <c r="K23" s="313"/>
    </row>
    <row r="24" spans="1:13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150</v>
      </c>
      <c r="I24" s="311">
        <f>IF(T_T13411121314151617181920212223242526272829303132333536373839404142434445464748495051525354555657585960616263646566676869707172737475767778798081828384858687888990919293949596979899100101102103104105106107108109110111112113114115116117118119120121122129[[#This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13411121314151617181920212223242526272829303132333536373839404142434445464748495051525354555657585960616263646566676869707172737475767778798081828384858687888990919293949596979899100101102103104105106107108109110111112113114115116117118119120121122129[[#This Row],[Total]]*-1,0)</f>
        <v>0</v>
      </c>
      <c r="J24" s="311"/>
      <c r="K24" s="313"/>
    </row>
    <row r="25" spans="1:13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150</v>
      </c>
      <c r="I25" s="309">
        <f>IF(T_T13411121314151617181920212223242526272829303132333536373839404142434445464748495051525354555657585960616263646566676869707172737475767778798081828384858687888990919293949596979899100101102103104105106107108109110111112113114115116117118119120121122129[[#This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13411121314151617181920212223242526272829303132333536373839404142434445464748495051525354555657585960616263646566676869707172737475767778798081828384858687888990919293949596979899100101102103104105106107108109110111112113114115116117118119120121122129[[#This Row],[Total]]*-1,0)</f>
        <v>0</v>
      </c>
      <c r="J25" s="309"/>
      <c r="K25" s="313"/>
    </row>
    <row r="26" spans="1:13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150</v>
      </c>
      <c r="I26" s="309">
        <f>IF(T_T13411121314151617181920212223242526272829303132333536373839404142434445464748495051525354555657585960616263646566676869707172737475767778798081828384858687888990919293949596979899100101102103104105106107108109110111112113114115116117118119120121122129[[#This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13411121314151617181920212223242526272829303132333536373839404142434445464748495051525354555657585960616263646566676869707172737475767778798081828384858687888990919293949596979899100101102103104105106107108109110111112113114115116117118119120121122129[[#This Row],[Total]]*-1,0)</f>
        <v>0</v>
      </c>
      <c r="J26" s="309"/>
      <c r="K26" s="313"/>
    </row>
    <row r="27" spans="1:13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150</v>
      </c>
      <c r="I27" s="309">
        <f>IF(T_T13411121314151617181920212223242526272829303132333536373839404142434445464748495051525354555657585960616263646566676869707172737475767778798081828384858687888990919293949596979899100101102103104105106107108109110111112113114115116117118119120121122129[[#This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13411121314151617181920212223242526272829303132333536373839404142434445464748495051525354555657585960616263646566676869707172737475767778798081828384858687888990919293949596979899100101102103104105106107108109110111112113114115116117118119120121122129[[#This Row],[Total]]*-1,0)</f>
        <v>0</v>
      </c>
      <c r="J27" s="309"/>
      <c r="K27" s="313"/>
    </row>
    <row r="28" spans="1:13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150</v>
      </c>
      <c r="I28" s="311">
        <f>IF(T_T13411121314151617181920212223242526272829303132333536373839404142434445464748495051525354555657585960616263646566676869707172737475767778798081828384858687888990919293949596979899100101102103104105106107108109110111112113114115116117118119120121122129[[#This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13411121314151617181920212223242526272829303132333536373839404142434445464748495051525354555657585960616263646566676869707172737475767778798081828384858687888990919293949596979899100101102103104105106107108109110111112113114115116117118119120121122129[[#This Row],[Total]]*-1,0)</f>
        <v>0</v>
      </c>
      <c r="J28" s="311"/>
      <c r="K28" s="313"/>
    </row>
    <row r="29" spans="1:13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150</v>
      </c>
      <c r="I29" s="309">
        <f>IF(T_T13411121314151617181920212223242526272829303132333536373839404142434445464748495051525354555657585960616263646566676869707172737475767778798081828384858687888990919293949596979899100101102103104105106107108109110111112113114115116117118119120121122129[[#This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13411121314151617181920212223242526272829303132333536373839404142434445464748495051525354555657585960616263646566676869707172737475767778798081828384858687888990919293949596979899100101102103104105106107108109110111112113114115116117118119120121122129[[#This Row],[Total]]*-1,0)</f>
        <v>0</v>
      </c>
      <c r="J29" s="309"/>
      <c r="K29" s="79"/>
    </row>
    <row r="30" spans="1:13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150</v>
      </c>
      <c r="I30" s="309">
        <f>IF(T_T13411121314151617181920212223242526272829303132333536373839404142434445464748495051525354555657585960616263646566676869707172737475767778798081828384858687888990919293949596979899100101102103104105106107108109110111112113114115116117118119120121122129[[#This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13411121314151617181920212223242526272829303132333536373839404142434445464748495051525354555657585960616263646566676869707172737475767778798081828384858687888990919293949596979899100101102103104105106107108109110111112113114115116117118119120121122129[[#This Row],[Total]]*-1,0)</f>
        <v>0</v>
      </c>
      <c r="J30" s="309"/>
      <c r="K30" s="313"/>
    </row>
    <row r="31" spans="1:13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150</v>
      </c>
      <c r="I31" s="309">
        <f>IF(T_T13411121314151617181920212223242526272829303132333536373839404142434445464748495051525354555657585960616263646566676869707172737475767778798081828384858687888990919293949596979899100101102103104105106107108109110111112113114115116117118119120121122129[[#This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13411121314151617181920212223242526272829303132333536373839404142434445464748495051525354555657585960616263646566676869707172737475767778798081828384858687888990919293949596979899100101102103104105106107108109110111112113114115116117118119120121122129[[#This Row],[Total]]*-1,0)</f>
        <v>0</v>
      </c>
      <c r="J31" s="309"/>
      <c r="K31" s="313"/>
      <c r="M31" t="s">
        <v>578</v>
      </c>
    </row>
    <row r="32" spans="1:13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150</v>
      </c>
      <c r="I32" s="309">
        <f>IF(T_T13411121314151617181920212223242526272829303132333536373839404142434445464748495051525354555657585960616263646566676869707172737475767778798081828384858687888990919293949596979899100101102103104105106107108109110111112113114115116117118119120121122129[[#This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13411121314151617181920212223242526272829303132333536373839404142434445464748495051525354555657585960616263646566676869707172737475767778798081828384858687888990919293949596979899100101102103104105106107108109110111112113114115116117118119120121122129[[#This Row],[Total]]*-1,0)</f>
        <v>0</v>
      </c>
      <c r="J32" s="309"/>
      <c r="K32" s="313"/>
    </row>
    <row r="33" spans="1:11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150</v>
      </c>
      <c r="I33" s="309">
        <f>IF(T_T13411121314151617181920212223242526272829303132333536373839404142434445464748495051525354555657585960616263646566676869707172737475767778798081828384858687888990919293949596979899100101102103104105106107108109110111112113114115116117118119120121122129[[#This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13411121314151617181920212223242526272829303132333536373839404142434445464748495051525354555657585960616263646566676869707172737475767778798081828384858687888990919293949596979899100101102103104105106107108109110111112113114115116117118119120121122129[[#This Row],[Total]]*-1,0)</f>
        <v>0</v>
      </c>
      <c r="J33" s="309"/>
      <c r="K33" s="313"/>
    </row>
    <row r="34" spans="1:11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150</v>
      </c>
      <c r="I34" s="309">
        <f>IF(T_T13411121314151617181920212223242526272829303132333536373839404142434445464748495051525354555657585960616263646566676869707172737475767778798081828384858687888990919293949596979899100101102103104105106107108109110111112113114115116117118119120121122129[[#This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13411121314151617181920212223242526272829303132333536373839404142434445464748495051525354555657585960616263646566676869707172737475767778798081828384858687888990919293949596979899100101102103104105106107108109110111112113114115116117118119120121122129[[#This Row],[Total]]*-1,0)</f>
        <v>0</v>
      </c>
      <c r="J34" s="309"/>
      <c r="K34" s="313"/>
    </row>
    <row r="35" spans="1:11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150</v>
      </c>
      <c r="I35" s="309">
        <f>IF(T_T13411121314151617181920212223242526272829303132333536373839404142434445464748495051525354555657585960616263646566676869707172737475767778798081828384858687888990919293949596979899100101102103104105106107108109110111112113114115116117118119120121122129[[#This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13411121314151617181920212223242526272829303132333536373839404142434445464748495051525354555657585960616263646566676869707172737475767778798081828384858687888990919293949596979899100101102103104105106107108109110111112113114115116117118119120121122129[[#This Row],[Total]]*-1,0)</f>
        <v>0</v>
      </c>
      <c r="J35" s="309"/>
      <c r="K35" s="313"/>
    </row>
    <row r="36" spans="1:11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150</v>
      </c>
      <c r="I36" s="311">
        <f>IF(T_T13411121314151617181920212223242526272829303132333536373839404142434445464748495051525354555657585960616263646566676869707172737475767778798081828384858687888990919293949596979899100101102103104105106107108109110111112113114115116117118119120121122129[[#This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13411121314151617181920212223242526272829303132333536373839404142434445464748495051525354555657585960616263646566676869707172737475767778798081828384858687888990919293949596979899100101102103104105106107108109110111112113114115116117118119120121122129[[#This Row],[Total]]*-1,0)</f>
        <v>0</v>
      </c>
      <c r="J36" s="311"/>
      <c r="K36" s="313"/>
    </row>
    <row r="37" spans="1:11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150</v>
      </c>
      <c r="I37" s="353">
        <f>IF(T_T13411121314151617181920212223242526272829303132333536373839404142434445464748495051525354555657585960616263646566676869707172737475767778798081828384858687888990919293949596979899100101102103104105106107108109110111112113114115116117118119120121122129[[#This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13411121314151617181920212223242526272829303132333536373839404142434445464748495051525354555657585960616263646566676869707172737475767778798081828384858687888990919293949596979899100101102103104105106107108109110111112113114115116117118119120121122129[[#This Row],[Total]]*-1,0)</f>
        <v>0</v>
      </c>
      <c r="J37" s="353"/>
      <c r="K37" s="354"/>
    </row>
    <row r="38" spans="1:11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150</v>
      </c>
      <c r="I38" s="353">
        <f>IF(T_T13411121314151617181920212223242526272829303132333536373839404142434445464748495051525354555657585960616263646566676869707172737475767778798081828384858687888990919293949596979899100101102103104105106107108109110111112113114115116117118119120121122129[[#This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13411121314151617181920212223242526272829303132333536373839404142434445464748495051525354555657585960616263646566676869707172737475767778798081828384858687888990919293949596979899100101102103104105106107108109110111112113114115116117118119120121122129[[#This Row],[Total]]*-1,0)</f>
        <v>0</v>
      </c>
      <c r="J38" s="353"/>
      <c r="K38" s="354"/>
    </row>
    <row r="39" spans="1:11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150</v>
      </c>
      <c r="I39" s="353">
        <f>IF(T_T13411121314151617181920212223242526272829303132333536373839404142434445464748495051525354555657585960616263646566676869707172737475767778798081828384858687888990919293949596979899100101102103104105106107108109110111112113114115116117118119120121122129[[#This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13411121314151617181920212223242526272829303132333536373839404142434445464748495051525354555657585960616263646566676869707172737475767778798081828384858687888990919293949596979899100101102103104105106107108109110111112113114115116117118119120121122129[[#This Row],[Total]]*-1,0)</f>
        <v>0</v>
      </c>
      <c r="J39" s="353"/>
      <c r="K39" s="354"/>
    </row>
    <row r="40" spans="1:11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150</v>
      </c>
      <c r="I40" s="353">
        <f>IF(T_T13411121314151617181920212223242526272829303132333536373839404142434445464748495051525354555657585960616263646566676869707172737475767778798081828384858687888990919293949596979899100101102103104105106107108109110111112113114115116117118119120121122129[[#This Row],[Total]]&lt;0,T_T13411121314151617181920212223242526272829303132333536373839404142434445464748495051525354555657585960616263646566676869707172737475767778798081828384858687888990919293949596979899100101102103104105106107108109110111112113114115116117118119120121122129[[#This Row],[Total]]*-1,0)</f>
        <v>0</v>
      </c>
      <c r="J40" s="353"/>
      <c r="K40" s="354"/>
    </row>
  </sheetData>
  <hyperlinks>
    <hyperlink ref="B7" r:id="rId1" display="jose.orozco@outlook.com"/>
    <hyperlink ref="H7" location="Resumen!A1" display="Rsumen         "/>
  </hyperlinks>
  <pageMargins left="0.47" right="0.23622047244094491" top="6.8" bottom="0.74803149606299213" header="0.31496062992125984" footer="0.31496062992125984"/>
  <pageSetup scale="85" orientation="portrait" verticalDpi="360" r:id="rId2"/>
  <drawing r:id="rId3"/>
  <tableParts count="1">
    <tablePart r:id="rId4"/>
  </tablePart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O40"/>
  <sheetViews>
    <sheetView showGridLines="0" zoomScale="98" zoomScaleNormal="98" workbookViewId="0">
      <selection activeCell="D24" sqref="D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5" max="15" width="10.6640625" bestFit="1" customWidth="1"/>
    <col min="16" max="16" width="18.109375" customWidth="1"/>
  </cols>
  <sheetData>
    <row r="2" spans="1:15" ht="15" customHeight="1" x14ac:dyDescent="0.3">
      <c r="A2" s="27" t="s">
        <v>36</v>
      </c>
      <c r="B2" s="41" t="s">
        <v>178</v>
      </c>
    </row>
    <row r="3" spans="1:15" hidden="1" x14ac:dyDescent="0.3">
      <c r="A3" s="27" t="s">
        <v>31</v>
      </c>
      <c r="B3" s="28" t="e">
        <f>LOOKUP(B2,#REF!,#REF!)</f>
        <v>#REF!</v>
      </c>
    </row>
    <row r="4" spans="1:15" hidden="1" x14ac:dyDescent="0.3">
      <c r="A4" s="27" t="s">
        <v>32</v>
      </c>
      <c r="B4" s="28" t="e">
        <f>LOOKUP(B2,#REF!,#REF!)</f>
        <v>#REF!</v>
      </c>
    </row>
    <row r="5" spans="1:15" hidden="1" x14ac:dyDescent="0.3">
      <c r="A5" s="27" t="s">
        <v>33</v>
      </c>
      <c r="B5" s="28" t="e">
        <f>LOOKUP(B2,#REF!,#REF!)</f>
        <v>#REF!</v>
      </c>
    </row>
    <row r="6" spans="1:15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5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5" x14ac:dyDescent="0.3">
      <c r="A8" s="21"/>
      <c r="B8" s="21" t="s">
        <v>227</v>
      </c>
    </row>
    <row r="9" spans="1:15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75" t="s">
        <v>188</v>
      </c>
      <c r="K9" s="173" t="s">
        <v>191</v>
      </c>
    </row>
    <row r="10" spans="1:15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IF(T_T13411121314151617181920212223242526272829303132333536373839404142434445464748495051525354555657585960616263646566676869707172737475767778798081828384858687888990919293949596979899100101102103104105106107108109110111112113114115116117118119120121122130[[#This Row],[Total]]&lt;0,T_T13411121314151617181920212223242526272829303132333536373839404142434445464748495051525354555657585960616263646566676869707172737475767778798081828384858687888990919293949596979899100101102103104105106107108109110111112113114115116117118119120121122130[[#This Row],[Total]]*-1,0)</f>
        <v>0</v>
      </c>
      <c r="J10" s="52"/>
      <c r="K10" s="172"/>
      <c r="O10" s="178"/>
    </row>
    <row r="11" spans="1:15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IF(T_T13411121314151617181920212223242526272829303132333536373839404142434445464748495051525354555657585960616263646566676869707172737475767778798081828384858687888990919293949596979899100101102103104105106107108109110111112113114115116117118119120121122130[[#This Row],[Total]]&lt;0,T_T13411121314151617181920212223242526272829303132333536373839404142434445464748495051525354555657585960616263646566676869707172737475767778798081828384858687888990919293949596979899100101102103104105106107108109110111112113114115116117118119120121122130[[#This Row],[Total]]*-1,0)</f>
        <v>0</v>
      </c>
      <c r="J11" s="240"/>
      <c r="K11" s="232"/>
    </row>
    <row r="12" spans="1:15" x14ac:dyDescent="0.3">
      <c r="A12" s="117"/>
      <c r="B12" s="118" t="s">
        <v>467</v>
      </c>
      <c r="C12" s="284"/>
      <c r="D12" s="285"/>
      <c r="E12" s="285"/>
      <c r="F12" s="285"/>
      <c r="G12" s="285"/>
      <c r="H12" s="10">
        <v>0</v>
      </c>
      <c r="I12" s="51">
        <f>IF(T_T13411121314151617181920212223242526272829303132333536373839404142434445464748495051525354555657585960616263646566676869707172737475767778798081828384858687888990919293949596979899100101102103104105106107108109110111112113114115116117118119120121122130[[#This Row],[Total]]&lt;0,T_T13411121314151617181920212223242526272829303132333536373839404142434445464748495051525354555657585960616263646566676869707172737475767778798081828384858687888990919293949596979899100101102103104105106107108109110111112113114115116117118119120121122130[[#This Row],[Total]]*-1,0)</f>
        <v>0</v>
      </c>
      <c r="J12" s="51"/>
      <c r="K12" s="79"/>
    </row>
    <row r="13" spans="1:15" x14ac:dyDescent="0.3">
      <c r="A13" s="288"/>
      <c r="B13" s="118" t="s">
        <v>502</v>
      </c>
      <c r="C13" s="289"/>
      <c r="D13" s="290"/>
      <c r="E13" s="290"/>
      <c r="F13" s="290"/>
      <c r="G13" s="290"/>
      <c r="H13" s="10">
        <v>0</v>
      </c>
      <c r="I13" s="240">
        <f>IF(T_T13411121314151617181920212223242526272829303132333536373839404142434445464748495051525354555657585960616263646566676869707172737475767778798081828384858687888990919293949596979899100101102103104105106107108109110111112113114115116117118119120121122130[[#This Row],[Total]]&lt;0,T_T13411121314151617181920212223242526272829303132333536373839404142434445464748495051525354555657585960616263646566676869707172737475767778798081828384858687888990919293949596979899100101102103104105106107108109110111112113114115116117118119120121122130[[#This Row],[Total]]*-1,0)</f>
        <v>0</v>
      </c>
      <c r="J13" s="240"/>
      <c r="K13" s="232"/>
    </row>
    <row r="14" spans="1:15" x14ac:dyDescent="0.3">
      <c r="A14" s="288"/>
      <c r="B14" s="118" t="s">
        <v>529</v>
      </c>
      <c r="C14" s="481"/>
      <c r="D14" s="482"/>
      <c r="E14" s="482"/>
      <c r="F14" s="482"/>
      <c r="G14" s="482"/>
      <c r="H14" s="483"/>
      <c r="I14" s="473">
        <f>IF(T_T13411121314151617181920212223242526272829303132333536373839404142434445464748495051525354555657585960616263646566676869707172737475767778798081828384858687888990919293949596979899100101102103104105106107108109110111112113114115116117118119120121122130[[#This Row],[Total]]&lt;0,T_T13411121314151617181920212223242526272829303132333536373839404142434445464748495051525354555657585960616263646566676869707172737475767778798081828384858687888990919293949596979899100101102103104105106107108109110111112113114115116117118119120121122130[[#This Row],[Total]]*-1,0)</f>
        <v>0</v>
      </c>
      <c r="J14" s="473"/>
      <c r="K14" s="485"/>
    </row>
    <row r="15" spans="1:15" x14ac:dyDescent="0.3">
      <c r="A15" s="17">
        <v>46052</v>
      </c>
      <c r="B15" s="18" t="s">
        <v>590</v>
      </c>
      <c r="C15" s="6"/>
      <c r="D15" s="2">
        <v>126</v>
      </c>
      <c r="E15" s="2"/>
      <c r="F15" s="20"/>
      <c r="G15" s="20">
        <f>SUM(D15:F15)</f>
        <v>126</v>
      </c>
      <c r="H15" s="233">
        <f>+H13+T_T13411121314151617181920212223242526272829303132333536373839404142434445464748495051525354555657585960616263646566676869707172737475767778798081828384858687888990919293949596979899100101102103104105106107108109110111112113114115116117118119120121122130[[#This Row],[Total]]</f>
        <v>126</v>
      </c>
      <c r="I15" s="240">
        <f>IF(T_T13411121314151617181920212223242526272829303132333536373839404142434445464748495051525354555657585960616263646566676869707172737475767778798081828384858687888990919293949596979899100101102103104105106107108109110111112113114115116117118119120121122130[[#This Row],[Total]]&lt;0,T_T13411121314151617181920212223242526272829303132333536373839404142434445464748495051525354555657585960616263646566676869707172737475767778798081828384858687888990919293949596979899100101102103104105106107108109110111112113114115116117118119120121122130[[#This Row],[Total]]*-1,0)</f>
        <v>0</v>
      </c>
      <c r="J15" s="240"/>
      <c r="K15" s="232"/>
    </row>
    <row r="16" spans="1:15" x14ac:dyDescent="0.3">
      <c r="A16" s="17"/>
      <c r="B16" s="18" t="s">
        <v>591</v>
      </c>
      <c r="C16" s="6">
        <v>8867</v>
      </c>
      <c r="D16" s="2">
        <v>-126</v>
      </c>
      <c r="E16" s="2"/>
      <c r="F16" s="230"/>
      <c r="G16" s="230">
        <f t="shared" ref="G16:G38" si="0">SUM(D16:F16)</f>
        <v>-126</v>
      </c>
      <c r="H16" s="233">
        <f t="shared" ref="H16:H40" si="1">H15+G16</f>
        <v>0</v>
      </c>
      <c r="I16" s="239">
        <f>IF(T_T13411121314151617181920212223242526272829303132333536373839404142434445464748495051525354555657585960616263646566676869707172737475767778798081828384858687888990919293949596979899100101102103104105106107108109110111112113114115116117118119120121122130[[#This Row],[Total]]&lt;0,T_T13411121314151617181920212223242526272829303132333536373839404142434445464748495051525354555657585960616263646566676869707172737475767778798081828384858687888990919293949596979899100101102103104105106107108109110111112113114115116117118119120121122130[[#This Row],[Total]]*-1,0)</f>
        <v>126</v>
      </c>
      <c r="J16" s="239"/>
      <c r="K16" s="232"/>
    </row>
    <row r="17" spans="1:11" x14ac:dyDescent="0.3">
      <c r="A17" s="164">
        <v>45715</v>
      </c>
      <c r="B17" s="161" t="s">
        <v>532</v>
      </c>
      <c r="C17" s="6"/>
      <c r="D17" s="2">
        <v>126</v>
      </c>
      <c r="E17" s="2"/>
      <c r="F17" s="230"/>
      <c r="G17" s="230">
        <f t="shared" si="0"/>
        <v>126</v>
      </c>
      <c r="H17" s="233">
        <f t="shared" si="1"/>
        <v>126</v>
      </c>
      <c r="I17" s="240">
        <f>IF(T_T13411121314151617181920212223242526272829303132333536373839404142434445464748495051525354555657585960616263646566676869707172737475767778798081828384858687888990919293949596979899100101102103104105106107108109110111112113114115116117118119120121122130[[#This Row],[Total]]&lt;0,T_T13411121314151617181920212223242526272829303132333536373839404142434445464748495051525354555657585960616263646566676869707172737475767778798081828384858687888990919293949596979899100101102103104105106107108109110111112113114115116117118119120121122130[[#This Row],[Total]]*-1,0)</f>
        <v>0</v>
      </c>
      <c r="J17" s="240"/>
      <c r="K17" s="232"/>
    </row>
    <row r="18" spans="1:11" x14ac:dyDescent="0.3">
      <c r="A18" s="187"/>
      <c r="B18" s="18" t="s">
        <v>533</v>
      </c>
      <c r="C18" s="6">
        <v>8867</v>
      </c>
      <c r="D18" s="2">
        <v>-126</v>
      </c>
      <c r="E18" s="2"/>
      <c r="F18" s="230"/>
      <c r="G18" s="230">
        <f t="shared" si="0"/>
        <v>-126</v>
      </c>
      <c r="H18" s="233">
        <f t="shared" si="1"/>
        <v>0</v>
      </c>
      <c r="I18" s="240">
        <f>IF(T_T13411121314151617181920212223242526272829303132333536373839404142434445464748495051525354555657585960616263646566676869707172737475767778798081828384858687888990919293949596979899100101102103104105106107108109110111112113114115116117118119120121122130[[#This Row],[Total]]&lt;0,T_T13411121314151617181920212223242526272829303132333536373839404142434445464748495051525354555657585960616263646566676869707172737475767778798081828384858687888990919293949596979899100101102103104105106107108109110111112113114115116117118119120121122130[[#This Row],[Total]]*-1,0)</f>
        <v>126</v>
      </c>
      <c r="J18" s="240"/>
      <c r="K18" s="232"/>
    </row>
    <row r="19" spans="1:11" x14ac:dyDescent="0.3">
      <c r="A19" s="188">
        <v>45747</v>
      </c>
      <c r="B19" s="3" t="s">
        <v>534</v>
      </c>
      <c r="C19" s="6"/>
      <c r="D19" s="2">
        <v>145</v>
      </c>
      <c r="E19" s="2"/>
      <c r="F19" s="230"/>
      <c r="G19" s="230">
        <f t="shared" si="0"/>
        <v>145</v>
      </c>
      <c r="H19" s="233">
        <f t="shared" si="1"/>
        <v>145</v>
      </c>
      <c r="I19" s="240">
        <f>IF(T_T13411121314151617181920212223242526272829303132333536373839404142434445464748495051525354555657585960616263646566676869707172737475767778798081828384858687888990919293949596979899100101102103104105106107108109110111112113114115116117118119120121122130[[#This Row],[Total]]&lt;0,T_T13411121314151617181920212223242526272829303132333536373839404142434445464748495051525354555657585960616263646566676869707172737475767778798081828384858687888990919293949596979899100101102103104105106107108109110111112113114115116117118119120121122130[[#This Row],[Total]]*-1,0)</f>
        <v>0</v>
      </c>
      <c r="J19" s="240"/>
      <c r="K19" s="232"/>
    </row>
    <row r="20" spans="1:11" x14ac:dyDescent="0.3">
      <c r="A20" s="188"/>
      <c r="B20" s="82" t="s">
        <v>535</v>
      </c>
      <c r="C20" s="6">
        <v>8867</v>
      </c>
      <c r="D20" s="2">
        <v>-145</v>
      </c>
      <c r="E20" s="2"/>
      <c r="F20" s="230"/>
      <c r="G20" s="230">
        <f t="shared" si="0"/>
        <v>-145</v>
      </c>
      <c r="H20" s="233">
        <f t="shared" si="1"/>
        <v>0</v>
      </c>
      <c r="I20" s="239">
        <f>IF(T_T13411121314151617181920212223242526272829303132333536373839404142434445464748495051525354555657585960616263646566676869707172737475767778798081828384858687888990919293949596979899100101102103104105106107108109110111112113114115116117118119120121122130[[#This Row],[Total]]&lt;0,T_T13411121314151617181920212223242526272829303132333536373839404142434445464748495051525354555657585960616263646566676869707172737475767778798081828384858687888990919293949596979899100101102103104105106107108109110111112113114115116117118119120121122130[[#This Row],[Total]]*-1,0)</f>
        <v>145</v>
      </c>
      <c r="J20" s="239"/>
      <c r="K20" s="232"/>
    </row>
    <row r="21" spans="1:11" x14ac:dyDescent="0.3">
      <c r="A21" s="188">
        <v>45777</v>
      </c>
      <c r="B21" s="3" t="s">
        <v>536</v>
      </c>
      <c r="C21" s="6"/>
      <c r="D21" s="2">
        <v>145</v>
      </c>
      <c r="E21" s="2"/>
      <c r="F21" s="230"/>
      <c r="G21" s="230">
        <f t="shared" si="0"/>
        <v>145</v>
      </c>
      <c r="H21" s="233">
        <f t="shared" si="1"/>
        <v>145</v>
      </c>
      <c r="I21" s="309">
        <f>IF(T_T13411121314151617181920212223242526272829303132333536373839404142434445464748495051525354555657585960616263646566676869707172737475767778798081828384858687888990919293949596979899100101102103104105106107108109110111112113114115116117118119120121122130[[#This Row],[Total]]&lt;0,T_T13411121314151617181920212223242526272829303132333536373839404142434445464748495051525354555657585960616263646566676869707172737475767778798081828384858687888990919293949596979899100101102103104105106107108109110111112113114115116117118119120121122130[[#This Row],[Total]]*-1,0)</f>
        <v>0</v>
      </c>
      <c r="J21" s="309"/>
      <c r="K21" s="313"/>
    </row>
    <row r="22" spans="1:11" x14ac:dyDescent="0.3">
      <c r="A22" s="83"/>
      <c r="B22" s="82" t="s">
        <v>537</v>
      </c>
      <c r="C22" s="6">
        <v>8875</v>
      </c>
      <c r="D22" s="2">
        <v>-145</v>
      </c>
      <c r="E22" s="2"/>
      <c r="F22" s="230"/>
      <c r="G22" s="230">
        <f t="shared" si="0"/>
        <v>-145</v>
      </c>
      <c r="H22" s="233">
        <f t="shared" si="1"/>
        <v>0</v>
      </c>
      <c r="I22" s="309">
        <f>IF(T_T13411121314151617181920212223242526272829303132333536373839404142434445464748495051525354555657585960616263646566676869707172737475767778798081828384858687888990919293949596979899100101102103104105106107108109110111112113114115116117118119120121122130[[#This Row],[Total]]&lt;0,T_T13411121314151617181920212223242526272829303132333536373839404142434445464748495051525354555657585960616263646566676869707172737475767778798081828384858687888990919293949596979899100101102103104105106107108109110111112113114115116117118119120121122130[[#This Row],[Total]]*-1,0)</f>
        <v>145</v>
      </c>
      <c r="J22" s="309"/>
      <c r="K22" s="313"/>
    </row>
    <row r="23" spans="1:11" x14ac:dyDescent="0.3">
      <c r="A23" s="40">
        <v>45807</v>
      </c>
      <c r="B23" s="3" t="s">
        <v>538</v>
      </c>
      <c r="C23" s="229"/>
      <c r="D23" s="230">
        <v>145</v>
      </c>
      <c r="E23" s="230"/>
      <c r="F23" s="230"/>
      <c r="G23" s="230">
        <f t="shared" si="0"/>
        <v>145</v>
      </c>
      <c r="H23" s="233">
        <f t="shared" si="1"/>
        <v>145</v>
      </c>
      <c r="I23" s="309">
        <f>IF(T_T13411121314151617181920212223242526272829303132333536373839404142434445464748495051525354555657585960616263646566676869707172737475767778798081828384858687888990919293949596979899100101102103104105106107108109110111112113114115116117118119120121122130[[#This Row],[Total]]&lt;0,T_T13411121314151617181920212223242526272829303132333536373839404142434445464748495051525354555657585960616263646566676869707172737475767778798081828384858687888990919293949596979899100101102103104105106107108109110111112113114115116117118119120121122130[[#This Row],[Total]]*-1,0)</f>
        <v>0</v>
      </c>
      <c r="J23" s="309"/>
      <c r="K23" s="313"/>
    </row>
    <row r="24" spans="1:11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145</v>
      </c>
      <c r="I24" s="311">
        <f>IF(T_T13411121314151617181920212223242526272829303132333536373839404142434445464748495051525354555657585960616263646566676869707172737475767778798081828384858687888990919293949596979899100101102103104105106107108109110111112113114115116117118119120121122130[[#This Row],[Total]]&lt;0,T_T13411121314151617181920212223242526272829303132333536373839404142434445464748495051525354555657585960616263646566676869707172737475767778798081828384858687888990919293949596979899100101102103104105106107108109110111112113114115116117118119120121122130[[#This Row],[Total]]*-1,0)</f>
        <v>0</v>
      </c>
      <c r="J24" s="311"/>
      <c r="K24" s="313"/>
    </row>
    <row r="25" spans="1:11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145</v>
      </c>
      <c r="I25" s="309">
        <f>IF(T_T13411121314151617181920212223242526272829303132333536373839404142434445464748495051525354555657585960616263646566676869707172737475767778798081828384858687888990919293949596979899100101102103104105106107108109110111112113114115116117118119120121122130[[#This Row],[Total]]&lt;0,T_T13411121314151617181920212223242526272829303132333536373839404142434445464748495051525354555657585960616263646566676869707172737475767778798081828384858687888990919293949596979899100101102103104105106107108109110111112113114115116117118119120121122130[[#This Row],[Total]]*-1,0)</f>
        <v>0</v>
      </c>
      <c r="J25" s="309"/>
      <c r="K25" s="313"/>
    </row>
    <row r="26" spans="1:11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145</v>
      </c>
      <c r="I26" s="309">
        <f>IF(T_T13411121314151617181920212223242526272829303132333536373839404142434445464748495051525354555657585960616263646566676869707172737475767778798081828384858687888990919293949596979899100101102103104105106107108109110111112113114115116117118119120121122130[[#This Row],[Total]]&lt;0,T_T13411121314151617181920212223242526272829303132333536373839404142434445464748495051525354555657585960616263646566676869707172737475767778798081828384858687888990919293949596979899100101102103104105106107108109110111112113114115116117118119120121122130[[#This Row],[Total]]*-1,0)</f>
        <v>0</v>
      </c>
      <c r="J26" s="309"/>
      <c r="K26" s="313"/>
    </row>
    <row r="27" spans="1:11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145</v>
      </c>
      <c r="I27" s="309">
        <f>IF(T_T13411121314151617181920212223242526272829303132333536373839404142434445464748495051525354555657585960616263646566676869707172737475767778798081828384858687888990919293949596979899100101102103104105106107108109110111112113114115116117118119120121122130[[#This Row],[Total]]&lt;0,T_T13411121314151617181920212223242526272829303132333536373839404142434445464748495051525354555657585960616263646566676869707172737475767778798081828384858687888990919293949596979899100101102103104105106107108109110111112113114115116117118119120121122130[[#This Row],[Total]]*-1,0)</f>
        <v>0</v>
      </c>
      <c r="J27" s="309"/>
      <c r="K27" s="313"/>
    </row>
    <row r="28" spans="1:11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145</v>
      </c>
      <c r="I28" s="311">
        <f>IF(T_T13411121314151617181920212223242526272829303132333536373839404142434445464748495051525354555657585960616263646566676869707172737475767778798081828384858687888990919293949596979899100101102103104105106107108109110111112113114115116117118119120121122130[[#This Row],[Total]]&lt;0,T_T13411121314151617181920212223242526272829303132333536373839404142434445464748495051525354555657585960616263646566676869707172737475767778798081828384858687888990919293949596979899100101102103104105106107108109110111112113114115116117118119120121122130[[#This Row],[Total]]*-1,0)</f>
        <v>0</v>
      </c>
      <c r="J28" s="311"/>
      <c r="K28" s="313"/>
    </row>
    <row r="29" spans="1:11" x14ac:dyDescent="0.3">
      <c r="A29" s="107">
        <v>45899</v>
      </c>
      <c r="B29" s="82" t="s">
        <v>544</v>
      </c>
      <c r="C29" s="229"/>
      <c r="D29" s="7"/>
      <c r="E29" s="230"/>
      <c r="F29" s="230"/>
      <c r="G29" s="230">
        <f t="shared" si="0"/>
        <v>0</v>
      </c>
      <c r="H29" s="233">
        <f t="shared" si="1"/>
        <v>145</v>
      </c>
      <c r="I29" s="309">
        <f>IF(T_T13411121314151617181920212223242526272829303132333536373839404142434445464748495051525354555657585960616263646566676869707172737475767778798081828384858687888990919293949596979899100101102103104105106107108109110111112113114115116117118119120121122130[[#This Row],[Total]]&lt;0,T_T13411121314151617181920212223242526272829303132333536373839404142434445464748495051525354555657585960616263646566676869707172737475767778798081828384858687888990919293949596979899100101102103104105106107108109110111112113114115116117118119120121122130[[#This Row],[Total]]*-1,0)</f>
        <v>0</v>
      </c>
      <c r="J29" s="309"/>
      <c r="K29" s="313"/>
    </row>
    <row r="30" spans="1:11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145</v>
      </c>
      <c r="I30" s="309">
        <f>IF(T_T13411121314151617181920212223242526272829303132333536373839404142434445464748495051525354555657585960616263646566676869707172737475767778798081828384858687888990919293949596979899100101102103104105106107108109110111112113114115116117118119120121122130[[#This Row],[Total]]&lt;0,T_T13411121314151617181920212223242526272829303132333536373839404142434445464748495051525354555657585960616263646566676869707172737475767778798081828384858687888990919293949596979899100101102103104105106107108109110111112113114115116117118119120121122130[[#This Row],[Total]]*-1,0)</f>
        <v>0</v>
      </c>
      <c r="J30" s="309"/>
      <c r="K30" s="313"/>
    </row>
    <row r="31" spans="1:11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145</v>
      </c>
      <c r="I31" s="309">
        <f>IF(T_T13411121314151617181920212223242526272829303132333536373839404142434445464748495051525354555657585960616263646566676869707172737475767778798081828384858687888990919293949596979899100101102103104105106107108109110111112113114115116117118119120121122130[[#This Row],[Total]]&lt;0,T_T13411121314151617181920212223242526272829303132333536373839404142434445464748495051525354555657585960616263646566676869707172737475767778798081828384858687888990919293949596979899100101102103104105106107108109110111112113114115116117118119120121122130[[#This Row],[Total]]*-1,0)</f>
        <v>0</v>
      </c>
      <c r="J31" s="309"/>
      <c r="K31" s="313"/>
    </row>
    <row r="32" spans="1:11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145</v>
      </c>
      <c r="I32" s="309">
        <f>IF(T_T13411121314151617181920212223242526272829303132333536373839404142434445464748495051525354555657585960616263646566676869707172737475767778798081828384858687888990919293949596979899100101102103104105106107108109110111112113114115116117118119120121122130[[#This Row],[Total]]&lt;0,T_T13411121314151617181920212223242526272829303132333536373839404142434445464748495051525354555657585960616263646566676869707172737475767778798081828384858687888990919293949596979899100101102103104105106107108109110111112113114115116117118119120121122130[[#This Row],[Total]]*-1,0)</f>
        <v>0</v>
      </c>
      <c r="J32" s="309"/>
      <c r="K32" s="313"/>
    </row>
    <row r="33" spans="1:11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145</v>
      </c>
      <c r="I33" s="309">
        <f>IF(T_T13411121314151617181920212223242526272829303132333536373839404142434445464748495051525354555657585960616263646566676869707172737475767778798081828384858687888990919293949596979899100101102103104105106107108109110111112113114115116117118119120121122130[[#This Row],[Total]]&lt;0,T_T13411121314151617181920212223242526272829303132333536373839404142434445464748495051525354555657585960616263646566676869707172737475767778798081828384858687888990919293949596979899100101102103104105106107108109110111112113114115116117118119120121122130[[#This Row],[Total]]*-1,0)</f>
        <v>0</v>
      </c>
      <c r="J33" s="309"/>
      <c r="K33" s="313"/>
    </row>
    <row r="34" spans="1:11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145</v>
      </c>
      <c r="I34" s="309">
        <f>IF(T_T13411121314151617181920212223242526272829303132333536373839404142434445464748495051525354555657585960616263646566676869707172737475767778798081828384858687888990919293949596979899100101102103104105106107108109110111112113114115116117118119120121122130[[#This Row],[Total]]&lt;0,T_T13411121314151617181920212223242526272829303132333536373839404142434445464748495051525354555657585960616263646566676869707172737475767778798081828384858687888990919293949596979899100101102103104105106107108109110111112113114115116117118119120121122130[[#This Row],[Total]]*-1,0)</f>
        <v>0</v>
      </c>
      <c r="J34" s="309"/>
      <c r="K34" s="313"/>
    </row>
    <row r="35" spans="1:11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145</v>
      </c>
      <c r="I35" s="309">
        <f>IF(T_T13411121314151617181920212223242526272829303132333536373839404142434445464748495051525354555657585960616263646566676869707172737475767778798081828384858687888990919293949596979899100101102103104105106107108109110111112113114115116117118119120121122130[[#This Row],[Total]]&lt;0,T_T13411121314151617181920212223242526272829303132333536373839404142434445464748495051525354555657585960616263646566676869707172737475767778798081828384858687888990919293949596979899100101102103104105106107108109110111112113114115116117118119120121122130[[#This Row],[Total]]*-1,0)</f>
        <v>0</v>
      </c>
      <c r="J35" s="309"/>
      <c r="K35" s="313"/>
    </row>
    <row r="36" spans="1:11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145</v>
      </c>
      <c r="I36" s="311">
        <f>IF(T_T13411121314151617181920212223242526272829303132333536373839404142434445464748495051525354555657585960616263646566676869707172737475767778798081828384858687888990919293949596979899100101102103104105106107108109110111112113114115116117118119120121122130[[#This Row],[Total]]&lt;0,T_T13411121314151617181920212223242526272829303132333536373839404142434445464748495051525354555657585960616263646566676869707172737475767778798081828384858687888990919293949596979899100101102103104105106107108109110111112113114115116117118119120121122130[[#This Row],[Total]]*-1,0)</f>
        <v>0</v>
      </c>
      <c r="J36" s="311"/>
      <c r="K36" s="313"/>
    </row>
    <row r="37" spans="1:11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145</v>
      </c>
      <c r="I37" s="353">
        <f>IF(T_T13411121314151617181920212223242526272829303132333536373839404142434445464748495051525354555657585960616263646566676869707172737475767778798081828384858687888990919293949596979899100101102103104105106107108109110111112113114115116117118119120121122130[[#This Row],[Total]]&lt;0,T_T13411121314151617181920212223242526272829303132333536373839404142434445464748495051525354555657585960616263646566676869707172737475767778798081828384858687888990919293949596979899100101102103104105106107108109110111112113114115116117118119120121122130[[#This Row],[Total]]*-1,0)</f>
        <v>0</v>
      </c>
      <c r="J37" s="353"/>
      <c r="K37" s="354"/>
    </row>
    <row r="38" spans="1:11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145</v>
      </c>
      <c r="I38" s="353">
        <f>IF(T_T13411121314151617181920212223242526272829303132333536373839404142434445464748495051525354555657585960616263646566676869707172737475767778798081828384858687888990919293949596979899100101102103104105106107108109110111112113114115116117118119120121122130[[#This Row],[Total]]&lt;0,T_T13411121314151617181920212223242526272829303132333536373839404142434445464748495051525354555657585960616263646566676869707172737475767778798081828384858687888990919293949596979899100101102103104105106107108109110111112113114115116117118119120121122130[[#This Row],[Total]]*-1,0)</f>
        <v>0</v>
      </c>
      <c r="J38" s="353"/>
      <c r="K38" s="354"/>
    </row>
    <row r="39" spans="1:11" x14ac:dyDescent="0.3">
      <c r="A39" s="107"/>
      <c r="B39" s="82"/>
      <c r="C39" s="229"/>
      <c r="D39" s="230"/>
      <c r="E39" s="7"/>
      <c r="F39" s="230"/>
      <c r="G39" s="230">
        <f>SUM(D39:F46)</f>
        <v>0</v>
      </c>
      <c r="H39" s="233">
        <f t="shared" si="1"/>
        <v>145</v>
      </c>
      <c r="I39" s="353">
        <f>IF(T_T13411121314151617181920212223242526272829303132333536373839404142434445464748495051525354555657585960616263646566676869707172737475767778798081828384858687888990919293949596979899100101102103104105106107108109110111112113114115116117118119120121122130[[#This Row],[Total]]&lt;0,T_T13411121314151617181920212223242526272829303132333536373839404142434445464748495051525354555657585960616263646566676869707172737475767778798081828384858687888990919293949596979899100101102103104105106107108109110111112113114115116117118119120121122130[[#This Row],[Total]]*-1,0)</f>
        <v>0</v>
      </c>
      <c r="J39" s="353"/>
      <c r="K39" s="354"/>
    </row>
    <row r="40" spans="1:11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145</v>
      </c>
      <c r="I40" s="353">
        <f>IF(T_T13411121314151617181920212223242526272829303132333536373839404142434445464748495051525354555657585960616263646566676869707172737475767778798081828384858687888990919293949596979899100101102103104105106107108109110111112113114115116117118119120121122130[[#This Row],[Total]]&lt;0,T_T13411121314151617181920212223242526272829303132333536373839404142434445464748495051525354555657585960616263646566676869707172737475767778798081828384858687888990919293949596979899100101102103104105106107108109110111112113114115116117118119120121122130[[#This Row],[Total]]*-1,0)</f>
        <v>0</v>
      </c>
      <c r="J40" s="353"/>
      <c r="K40" s="354"/>
    </row>
  </sheetData>
  <hyperlinks>
    <hyperlink ref="B7" r:id="rId1" display="jose.orozco@outlook.com"/>
    <hyperlink ref="H7" location="Resumen!A1" display="Rsumen         "/>
  </hyperlinks>
  <pageMargins left="0.70866141732283472" right="0.70866141732283472" top="0.74803149606299213" bottom="0.74803149606299213" header="0.31496062992125984" footer="0.31496062992125984"/>
  <pageSetup scale="65" orientation="portrait" verticalDpi="360" r:id="rId2"/>
  <drawing r:id="rId3"/>
  <tableParts count="1">
    <tablePart r:id="rId4"/>
  </tablePart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N40"/>
  <sheetViews>
    <sheetView showGridLines="0" topLeftCell="A2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13.33203125" style="4" bestFit="1" customWidth="1"/>
    <col min="4" max="4" width="14.109375" style="1" customWidth="1"/>
    <col min="5" max="5" width="9.6640625" style="1" customWidth="1"/>
    <col min="6" max="6" width="6.88671875" style="1" customWidth="1"/>
    <col min="7" max="7" width="11.88671875" style="1" customWidth="1"/>
    <col min="8" max="8" width="12.44140625" style="1" customWidth="1"/>
    <col min="9" max="9" width="12.88671875" hidden="1" customWidth="1"/>
    <col min="10" max="10" width="13.88671875" customWidth="1"/>
    <col min="13" max="13" width="9.33203125" customWidth="1"/>
    <col min="14" max="14" width="10.6640625" bestFit="1" customWidth="1"/>
    <col min="15" max="15" width="15.88671875" customWidth="1"/>
  </cols>
  <sheetData>
    <row r="2" spans="1:14" ht="15.6" x14ac:dyDescent="0.3">
      <c r="A2" s="27" t="s">
        <v>36</v>
      </c>
      <c r="B2" s="41" t="s">
        <v>179</v>
      </c>
    </row>
    <row r="3" spans="1:14" x14ac:dyDescent="0.3">
      <c r="A3" s="27" t="s">
        <v>480</v>
      </c>
      <c r="B3" s="28" t="s">
        <v>228</v>
      </c>
    </row>
    <row r="4" spans="1:14" ht="14.25" customHeight="1" x14ac:dyDescent="0.3">
      <c r="A4" s="27" t="s">
        <v>32</v>
      </c>
      <c r="B4" s="28"/>
    </row>
    <row r="5" spans="1:14" hidden="1" x14ac:dyDescent="0.3">
      <c r="A5" s="27" t="s">
        <v>33</v>
      </c>
      <c r="B5" s="28" t="e">
        <f>LOOKUP(B2,#REF!,#REF!)</f>
        <v>#REF!</v>
      </c>
    </row>
    <row r="6" spans="1:14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4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4" x14ac:dyDescent="0.3">
      <c r="A8" s="21"/>
      <c r="B8" s="21"/>
      <c r="D8" s="115"/>
    </row>
    <row r="9" spans="1:14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69" t="s">
        <v>188</v>
      </c>
      <c r="K9" s="416" t="s">
        <v>191</v>
      </c>
    </row>
    <row r="10" spans="1:14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/>
      <c r="J10" s="68"/>
      <c r="K10" s="419"/>
      <c r="N10" s="178"/>
    </row>
    <row r="11" spans="1:14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IF(T_T134131[[#This Row],[Total]]&lt;0,T_T134131[[#This Row],[Total]]*-1,0)</f>
        <v>0</v>
      </c>
      <c r="J11" s="51"/>
      <c r="K11" s="419"/>
    </row>
    <row r="12" spans="1:14" x14ac:dyDescent="0.3">
      <c r="A12" s="117"/>
      <c r="B12" s="118" t="s">
        <v>467</v>
      </c>
      <c r="C12" s="284"/>
      <c r="D12" s="285"/>
      <c r="E12" s="285"/>
      <c r="F12" s="285"/>
      <c r="G12" s="285"/>
      <c r="H12" s="10">
        <v>0</v>
      </c>
      <c r="I12" s="51">
        <f>IF(T_T134131[[#This Row],[Total]]&lt;0,T_T134131[[#This Row],[Total]]*-1,0)</f>
        <v>0</v>
      </c>
      <c r="J12" s="51"/>
      <c r="K12" s="79"/>
    </row>
    <row r="13" spans="1:14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IF(T_T134131[[#This Row],[Total]]&lt;0,T_T134131[[#This Row],[Total]]*-1,0)</f>
        <v>0</v>
      </c>
      <c r="J13" s="240"/>
      <c r="K13" s="419"/>
    </row>
    <row r="14" spans="1:14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IF(T_T134131[[#This Row],[Total]]&lt;0,T_T134131[[#This Row],[Total]]*-1,0)</f>
        <v>0</v>
      </c>
      <c r="J14" s="473"/>
      <c r="K14" s="485"/>
    </row>
    <row r="15" spans="1:14" x14ac:dyDescent="0.3">
      <c r="A15" s="17">
        <v>46052</v>
      </c>
      <c r="B15" s="18" t="s">
        <v>590</v>
      </c>
      <c r="C15" s="6"/>
      <c r="D15" s="2">
        <v>211</v>
      </c>
      <c r="E15" s="2"/>
      <c r="F15" s="20"/>
      <c r="G15" s="20">
        <f>SUM(D15:F15)</f>
        <v>211</v>
      </c>
      <c r="H15" s="233">
        <f>+H13+T_T134131[[#This Row],[Total]]</f>
        <v>211</v>
      </c>
      <c r="I15" s="240">
        <f>IF(T_T134131[[#This Row],[Total]]&lt;0,T_T134131[[#This Row],[Total]]*-1,0)</f>
        <v>0</v>
      </c>
      <c r="J15" s="240"/>
      <c r="K15" s="419"/>
      <c r="M15" t="s">
        <v>556</v>
      </c>
    </row>
    <row r="16" spans="1:14" x14ac:dyDescent="0.3">
      <c r="A16" s="17"/>
      <c r="B16" s="18" t="s">
        <v>591</v>
      </c>
      <c r="C16" s="6">
        <v>8546</v>
      </c>
      <c r="D16" s="2">
        <v>-211</v>
      </c>
      <c r="E16" s="2"/>
      <c r="F16" s="230"/>
      <c r="G16" s="230">
        <f t="shared" ref="G16:G38" si="0">SUM(D16:F16)</f>
        <v>-211</v>
      </c>
      <c r="H16" s="233">
        <f t="shared" ref="H16:H40" si="1">H15+G16</f>
        <v>0</v>
      </c>
      <c r="I16" s="239">
        <f>IF(T_T134131[[#This Row],[Total]]&lt;0,T_T134131[[#This Row],[Total]]*-1,0)</f>
        <v>211</v>
      </c>
      <c r="J16" s="239"/>
      <c r="K16" s="419"/>
    </row>
    <row r="17" spans="1:13" x14ac:dyDescent="0.3">
      <c r="A17" s="164">
        <v>45715</v>
      </c>
      <c r="B17" s="161" t="s">
        <v>532</v>
      </c>
      <c r="C17" s="6"/>
      <c r="D17" s="2">
        <v>211</v>
      </c>
      <c r="E17" s="2">
        <v>17</v>
      </c>
      <c r="F17" s="230"/>
      <c r="G17" s="230">
        <f t="shared" si="0"/>
        <v>228</v>
      </c>
      <c r="H17" s="233">
        <f t="shared" si="1"/>
        <v>228</v>
      </c>
      <c r="I17" s="240">
        <f>IF(T_T134131[[#This Row],[Total]]&lt;0,T_T134131[[#This Row],[Total]]*-1,0)</f>
        <v>0</v>
      </c>
      <c r="J17" s="240"/>
      <c r="K17" s="419"/>
    </row>
    <row r="18" spans="1:13" x14ac:dyDescent="0.3">
      <c r="A18" s="187"/>
      <c r="B18" s="18" t="s">
        <v>533</v>
      </c>
      <c r="C18" s="6"/>
      <c r="D18" s="2"/>
      <c r="E18" s="2"/>
      <c r="F18" s="230"/>
      <c r="G18" s="230">
        <f t="shared" si="0"/>
        <v>0</v>
      </c>
      <c r="H18" s="233">
        <f t="shared" si="1"/>
        <v>228</v>
      </c>
      <c r="I18" s="240">
        <f>IF(T_T134131[[#This Row],[Total]]&lt;0,T_T134131[[#This Row],[Total]]*-1,0)</f>
        <v>0</v>
      </c>
      <c r="J18" s="240"/>
      <c r="K18" s="419"/>
    </row>
    <row r="19" spans="1:13" x14ac:dyDescent="0.3">
      <c r="A19" s="188">
        <v>45747</v>
      </c>
      <c r="B19" s="3" t="s">
        <v>534</v>
      </c>
      <c r="C19" s="6"/>
      <c r="D19" s="2">
        <v>241</v>
      </c>
      <c r="E19" s="2"/>
      <c r="F19" s="230"/>
      <c r="G19" s="230">
        <f t="shared" si="0"/>
        <v>241</v>
      </c>
      <c r="H19" s="233">
        <f t="shared" si="1"/>
        <v>469</v>
      </c>
      <c r="I19" s="240">
        <f>IF(T_T134131[[#This Row],[Total]]&lt;0,T_T134131[[#This Row],[Total]]*-1,0)</f>
        <v>0</v>
      </c>
      <c r="J19" s="240"/>
      <c r="K19" s="419"/>
    </row>
    <row r="20" spans="1:13" x14ac:dyDescent="0.3">
      <c r="A20" s="188"/>
      <c r="B20" s="82" t="s">
        <v>535</v>
      </c>
      <c r="C20" s="6"/>
      <c r="D20" s="2"/>
      <c r="E20" s="2"/>
      <c r="F20" s="230"/>
      <c r="G20" s="230">
        <f t="shared" si="0"/>
        <v>0</v>
      </c>
      <c r="H20" s="233">
        <f t="shared" si="1"/>
        <v>469</v>
      </c>
      <c r="I20" s="239">
        <f>IF(T_T134131[[#This Row],[Total]]&lt;0,T_T134131[[#This Row],[Total]]*-1,0)</f>
        <v>0</v>
      </c>
      <c r="J20" s="239"/>
      <c r="K20" s="419"/>
    </row>
    <row r="21" spans="1:13" x14ac:dyDescent="0.3">
      <c r="A21" s="188">
        <v>45777</v>
      </c>
      <c r="B21" s="3" t="s">
        <v>536</v>
      </c>
      <c r="C21" s="6"/>
      <c r="D21" s="2">
        <v>241</v>
      </c>
      <c r="E21" s="2">
        <v>1</v>
      </c>
      <c r="F21" s="230"/>
      <c r="G21" s="230">
        <f t="shared" si="0"/>
        <v>242</v>
      </c>
      <c r="H21" s="233">
        <f t="shared" si="1"/>
        <v>711</v>
      </c>
      <c r="I21" s="309">
        <f>IF(T_T134131[[#This Row],[Total]]&lt;0,T_T134131[[#This Row],[Total]]*-1,0)</f>
        <v>0</v>
      </c>
      <c r="J21" s="309"/>
      <c r="K21" s="419"/>
    </row>
    <row r="22" spans="1:13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711</v>
      </c>
      <c r="I22" s="309">
        <f>IF(T_T134131[[#This Row],[Total]]&lt;0,T_T134131[[#This Row],[Total]]*-1,0)</f>
        <v>0</v>
      </c>
      <c r="J22" s="309"/>
      <c r="K22" s="419"/>
    </row>
    <row r="23" spans="1:13" x14ac:dyDescent="0.3">
      <c r="A23" s="40">
        <v>45807</v>
      </c>
      <c r="B23" s="3" t="s">
        <v>538</v>
      </c>
      <c r="C23" s="229"/>
      <c r="D23" s="7">
        <v>241</v>
      </c>
      <c r="E23" s="230">
        <v>12</v>
      </c>
      <c r="F23" s="230"/>
      <c r="G23" s="230">
        <f t="shared" si="0"/>
        <v>253</v>
      </c>
      <c r="H23" s="233">
        <f t="shared" si="1"/>
        <v>964</v>
      </c>
      <c r="I23" s="309">
        <f>IF(T_T134131[[#This Row],[Total]]&lt;0,T_T134131[[#This Row],[Total]]*-1,0)</f>
        <v>0</v>
      </c>
      <c r="J23" s="309"/>
      <c r="K23" s="419"/>
    </row>
    <row r="24" spans="1:13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964</v>
      </c>
      <c r="I24" s="311">
        <f>IF(T_T134131[[#This Row],[Total]]&lt;0,T_T134131[[#This Row],[Total]]*-1,0)</f>
        <v>0</v>
      </c>
      <c r="J24" s="311"/>
      <c r="K24" s="419"/>
    </row>
    <row r="25" spans="1:13" x14ac:dyDescent="0.3">
      <c r="A25" s="9">
        <v>45838</v>
      </c>
      <c r="B25" s="3" t="s">
        <v>540</v>
      </c>
      <c r="C25" s="6"/>
      <c r="D25" s="230"/>
      <c r="E25" s="230"/>
      <c r="F25" s="230"/>
      <c r="G25" s="230">
        <f t="shared" si="0"/>
        <v>0</v>
      </c>
      <c r="H25" s="233">
        <f t="shared" si="1"/>
        <v>964</v>
      </c>
      <c r="I25" s="309">
        <f>IF(T_T134131[[#This Row],[Total]]&lt;0,T_T134131[[#This Row],[Total]]*-1,0)</f>
        <v>0</v>
      </c>
      <c r="J25" s="309"/>
      <c r="K25" s="419"/>
    </row>
    <row r="26" spans="1:13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964</v>
      </c>
      <c r="I26" s="309">
        <f>IF(T_T134131[[#This Row],[Total]]&lt;0,T_T134131[[#This Row],[Total]]*-1,0)</f>
        <v>0</v>
      </c>
      <c r="J26" s="309"/>
      <c r="K26" s="419"/>
    </row>
    <row r="27" spans="1:13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964</v>
      </c>
      <c r="I27" s="309">
        <f>IF(T_T134131[[#This Row],[Total]]&lt;0,T_T134131[[#This Row],[Total]]*-1,0)</f>
        <v>0</v>
      </c>
      <c r="J27" s="309"/>
      <c r="K27" s="419"/>
    </row>
    <row r="28" spans="1:13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964</v>
      </c>
      <c r="I28" s="311">
        <f>IF(T_T134131[[#This Row],[Total]]&lt;0,T_T134131[[#This Row],[Total]]*-1,0)</f>
        <v>0</v>
      </c>
      <c r="J28" s="311"/>
      <c r="K28" s="419"/>
    </row>
    <row r="29" spans="1:13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964</v>
      </c>
      <c r="I29" s="309">
        <f>IF(T_T134131[[#This Row],[Total]]&lt;0,T_T134131[[#This Row],[Total]]*-1,0)</f>
        <v>0</v>
      </c>
      <c r="J29" s="309"/>
      <c r="K29" s="419"/>
      <c r="M29" t="s">
        <v>527</v>
      </c>
    </row>
    <row r="30" spans="1:13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964</v>
      </c>
      <c r="I30" s="309">
        <f>IF(T_T134131[[#This Row],[Total]]&lt;0,T_T134131[[#This Row],[Total]]*-1,0)</f>
        <v>0</v>
      </c>
      <c r="J30" s="309"/>
      <c r="K30" s="419"/>
    </row>
    <row r="31" spans="1:13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964</v>
      </c>
      <c r="I31" s="309">
        <f>IF(T_T134131[[#This Row],[Total]]&lt;0,T_T134131[[#This Row],[Total]]*-1,0)</f>
        <v>0</v>
      </c>
      <c r="J31" s="309"/>
      <c r="K31" s="419"/>
    </row>
    <row r="32" spans="1:13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964</v>
      </c>
      <c r="I32" s="309">
        <f>IF(T_T134131[[#This Row],[Total]]&lt;0,T_T134131[[#This Row],[Total]]*-1,0)</f>
        <v>0</v>
      </c>
      <c r="J32" s="309"/>
      <c r="K32" s="419"/>
    </row>
    <row r="33" spans="1:11" x14ac:dyDescent="0.3">
      <c r="A33" s="9">
        <v>45960</v>
      </c>
      <c r="B33" s="3" t="s">
        <v>548</v>
      </c>
      <c r="C33" s="6"/>
      <c r="D33" s="230"/>
      <c r="E33" s="230"/>
      <c r="F33" s="230"/>
      <c r="G33" s="230">
        <f t="shared" si="0"/>
        <v>0</v>
      </c>
      <c r="H33" s="233">
        <f t="shared" si="1"/>
        <v>964</v>
      </c>
      <c r="I33" s="309">
        <f>IF(T_T134131[[#This Row],[Total]]&lt;0,T_T134131[[#This Row],[Total]]*-1,0)</f>
        <v>0</v>
      </c>
      <c r="J33" s="309"/>
      <c r="K33" s="419"/>
    </row>
    <row r="34" spans="1:11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964</v>
      </c>
      <c r="I34" s="309">
        <f>IF(T_T134131[[#This Row],[Total]]&lt;0,T_T134131[[#This Row],[Total]]*-1,0)</f>
        <v>0</v>
      </c>
      <c r="J34" s="309"/>
      <c r="K34" s="419"/>
    </row>
    <row r="35" spans="1:11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964</v>
      </c>
      <c r="I35" s="309">
        <f>IF(T_T134131[[#This Row],[Total]]&lt;0,T_T134131[[#This Row],[Total]]*-1,0)</f>
        <v>0</v>
      </c>
      <c r="J35" s="309"/>
      <c r="K35" s="419"/>
    </row>
    <row r="36" spans="1:11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964</v>
      </c>
      <c r="I36" s="311">
        <f>IF(T_T134131[[#This Row],[Total]]&lt;0,T_T134131[[#This Row],[Total]]*-1,0)</f>
        <v>0</v>
      </c>
      <c r="J36" s="311"/>
      <c r="K36" s="419"/>
    </row>
    <row r="37" spans="1:11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964</v>
      </c>
      <c r="I37" s="353">
        <f>IF(T_T134131[[#This Row],[Total]]&lt;0,T_T134131[[#This Row],[Total]]*-1,0)</f>
        <v>0</v>
      </c>
      <c r="J37" s="353"/>
      <c r="K37" s="419"/>
    </row>
    <row r="38" spans="1:11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964</v>
      </c>
      <c r="I38" s="353">
        <f>IF(T_T134131[[#This Row],[Total]]&lt;0,T_T134131[[#This Row],[Total]]*-1,0)</f>
        <v>0</v>
      </c>
      <c r="J38" s="353"/>
      <c r="K38" s="419"/>
    </row>
    <row r="39" spans="1:11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964</v>
      </c>
      <c r="I39" s="353">
        <f>IF(T_T134131[[#This Row],[Total]]&lt;0,T_T134131[[#This Row],[Total]]*-1,0)</f>
        <v>0</v>
      </c>
      <c r="J39" s="353"/>
      <c r="K39" s="419"/>
    </row>
    <row r="40" spans="1:11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964</v>
      </c>
      <c r="I40" s="353">
        <f>IF(T_T134131[[#This Row],[Total]]&lt;0,T_T134131[[#This Row],[Total]]*-1,0)</f>
        <v>0</v>
      </c>
      <c r="J40" s="353"/>
      <c r="K40" s="419"/>
    </row>
  </sheetData>
  <hyperlinks>
    <hyperlink ref="B7" r:id="rId1" display="jose.orozco@outlook.com"/>
    <hyperlink ref="H7" location="Resumen!A1" display="Rsumen         "/>
  </hyperlinks>
  <pageMargins left="0.31496062992125984" right="0.28000000000000003" top="0.74803149606299213" bottom="0.74803149606299213" header="0.31496062992125984" footer="0.31496062992125984"/>
  <pageSetup scale="85" orientation="portrait" horizontalDpi="360" verticalDpi="360" r:id="rId2"/>
  <drawing r:id="rId3"/>
  <tableParts count="1">
    <tablePart r:id="rId4"/>
  </tablePart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N40"/>
  <sheetViews>
    <sheetView showGridLines="0" zoomScale="84" zoomScaleNormal="84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4" customWidth="1"/>
    <col min="3" max="3" width="9.6640625" style="4" customWidth="1"/>
    <col min="4" max="4" width="10.6640625" style="1" customWidth="1"/>
    <col min="5" max="5" width="11.88671875" style="1" customWidth="1"/>
    <col min="6" max="6" width="5.88671875" style="1" customWidth="1"/>
    <col min="7" max="7" width="10.109375" style="1" customWidth="1"/>
    <col min="8" max="8" width="12.44140625" style="1" customWidth="1"/>
    <col min="9" max="9" width="12.88671875" hidden="1" customWidth="1"/>
    <col min="14" max="14" width="10.6640625" bestFit="1" customWidth="1"/>
    <col min="15" max="15" width="16.44140625" customWidth="1"/>
  </cols>
  <sheetData>
    <row r="2" spans="1:14" ht="13.5" customHeight="1" x14ac:dyDescent="0.3">
      <c r="A2" s="27" t="s">
        <v>36</v>
      </c>
      <c r="B2" s="41" t="s">
        <v>180</v>
      </c>
    </row>
    <row r="3" spans="1:14" hidden="1" x14ac:dyDescent="0.3">
      <c r="A3" s="27" t="s">
        <v>31</v>
      </c>
      <c r="B3" s="28" t="e">
        <f>LOOKUP(B2,#REF!,#REF!)</f>
        <v>#REF!</v>
      </c>
    </row>
    <row r="4" spans="1:14" hidden="1" x14ac:dyDescent="0.3">
      <c r="A4" s="27" t="s">
        <v>32</v>
      </c>
      <c r="B4" s="28" t="e">
        <f>LOOKUP(B2,#REF!,#REF!)</f>
        <v>#REF!</v>
      </c>
    </row>
    <row r="5" spans="1:14" hidden="1" x14ac:dyDescent="0.3">
      <c r="A5" s="27" t="s">
        <v>33</v>
      </c>
      <c r="B5" s="28" t="e">
        <f>LOOKUP(B2,#REF!,#REF!)</f>
        <v>#REF!</v>
      </c>
    </row>
    <row r="6" spans="1:14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4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4" x14ac:dyDescent="0.3">
      <c r="A8" s="21"/>
      <c r="B8" s="21" t="s">
        <v>228</v>
      </c>
    </row>
    <row r="9" spans="1:14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69" t="s">
        <v>188</v>
      </c>
    </row>
    <row r="10" spans="1:14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/>
      <c r="J10" s="68"/>
      <c r="N10" s="178"/>
    </row>
    <row r="11" spans="1:14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IF(T_T134131132[[#This Row],[Total]]&lt;0,T_T134131132[[#This Row],[Total]]*-1,0)</f>
        <v>0</v>
      </c>
      <c r="J11" s="240"/>
    </row>
    <row r="12" spans="1:14" x14ac:dyDescent="0.3">
      <c r="A12" s="117"/>
      <c r="B12" s="118" t="s">
        <v>467</v>
      </c>
      <c r="C12" s="284"/>
      <c r="D12" s="285"/>
      <c r="E12" s="285"/>
      <c r="F12" s="285"/>
      <c r="G12" s="285"/>
      <c r="H12" s="10">
        <v>0</v>
      </c>
      <c r="I12" s="51">
        <f>IF(T_T134131132[[#This Row],[Total]]&lt;0,T_T134131132[[#This Row],[Total]]*-1,0)</f>
        <v>0</v>
      </c>
      <c r="J12" s="51"/>
    </row>
    <row r="13" spans="1:14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IF(T_T134131132[[#This Row],[Total]]&lt;0,T_T134131132[[#This Row],[Total]]*-1,0)</f>
        <v>0</v>
      </c>
      <c r="J13" s="240"/>
    </row>
    <row r="14" spans="1:14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IF(T_T134131132[[#This Row],[Total]]&lt;0,T_T134131132[[#This Row],[Total]]*-1,0)</f>
        <v>0</v>
      </c>
      <c r="J14" s="473"/>
    </row>
    <row r="15" spans="1:14" x14ac:dyDescent="0.3">
      <c r="A15" s="17">
        <v>46052</v>
      </c>
      <c r="B15" s="18" t="s">
        <v>590</v>
      </c>
      <c r="C15" s="6"/>
      <c r="D15" s="2">
        <v>221</v>
      </c>
      <c r="E15" s="2">
        <v>21</v>
      </c>
      <c r="F15" s="20"/>
      <c r="G15" s="20">
        <f>SUM(D15:F15)</f>
        <v>242</v>
      </c>
      <c r="H15" s="233">
        <f>+H13+T_T134131132[[#This Row],[Total]]</f>
        <v>242</v>
      </c>
      <c r="I15" s="240">
        <f>IF(T_T134131132[[#This Row],[Total]]&lt;0,T_T134131132[[#This Row],[Total]]*-1,0)</f>
        <v>0</v>
      </c>
      <c r="J15" s="240"/>
    </row>
    <row r="16" spans="1:14" x14ac:dyDescent="0.3">
      <c r="A16" s="17"/>
      <c r="B16" s="18" t="s">
        <v>591</v>
      </c>
      <c r="C16" s="6">
        <v>8561</v>
      </c>
      <c r="D16" s="2">
        <v>-221</v>
      </c>
      <c r="E16" s="2">
        <v>-21</v>
      </c>
      <c r="F16" s="230"/>
      <c r="G16" s="230">
        <f t="shared" ref="G16:G38" si="0">SUM(D16:F16)</f>
        <v>-242</v>
      </c>
      <c r="H16" s="233">
        <f t="shared" ref="H16:H40" si="1">H15+G16</f>
        <v>0</v>
      </c>
      <c r="I16" s="239">
        <f>IF(T_T134131132[[#This Row],[Total]]&lt;0,T_T134131132[[#This Row],[Total]]*-1,0)</f>
        <v>242</v>
      </c>
      <c r="J16" s="239"/>
    </row>
    <row r="17" spans="1:13" x14ac:dyDescent="0.3">
      <c r="A17" s="164">
        <v>45715</v>
      </c>
      <c r="B17" s="161" t="s">
        <v>532</v>
      </c>
      <c r="C17" s="6"/>
      <c r="D17" s="2">
        <v>221</v>
      </c>
      <c r="E17" s="2">
        <v>26</v>
      </c>
      <c r="F17" s="230"/>
      <c r="G17" s="230">
        <f t="shared" si="0"/>
        <v>247</v>
      </c>
      <c r="H17" s="233">
        <f t="shared" si="1"/>
        <v>247</v>
      </c>
      <c r="I17" s="240">
        <f>IF(T_T134131132[[#This Row],[Total]]&lt;0,T_T134131132[[#This Row],[Total]]*-1,0)</f>
        <v>0</v>
      </c>
      <c r="J17" s="240"/>
    </row>
    <row r="18" spans="1:13" x14ac:dyDescent="0.3">
      <c r="A18" s="187"/>
      <c r="B18" s="18" t="s">
        <v>533</v>
      </c>
      <c r="C18" s="6">
        <v>8741</v>
      </c>
      <c r="D18" s="2">
        <v>-221</v>
      </c>
      <c r="E18" s="2">
        <v>-26</v>
      </c>
      <c r="F18" s="230"/>
      <c r="G18" s="230">
        <f t="shared" si="0"/>
        <v>-247</v>
      </c>
      <c r="H18" s="233">
        <f t="shared" si="1"/>
        <v>0</v>
      </c>
      <c r="I18" s="240">
        <f>IF(T_T134131132[[#This Row],[Total]]&lt;0,T_T134131132[[#This Row],[Total]]*-1,0)</f>
        <v>247</v>
      </c>
      <c r="J18" s="240"/>
    </row>
    <row r="19" spans="1:13" x14ac:dyDescent="0.3">
      <c r="A19" s="188">
        <v>45747</v>
      </c>
      <c r="B19" s="3" t="s">
        <v>534</v>
      </c>
      <c r="C19" s="6"/>
      <c r="D19" s="2">
        <v>253</v>
      </c>
      <c r="E19" s="2">
        <v>24</v>
      </c>
      <c r="F19" s="230"/>
      <c r="G19" s="230">
        <f t="shared" si="0"/>
        <v>277</v>
      </c>
      <c r="H19" s="233">
        <f t="shared" si="1"/>
        <v>277</v>
      </c>
      <c r="I19" s="240">
        <f>IF(T_T134131132[[#This Row],[Total]]&lt;0,T_T134131132[[#This Row],[Total]]*-1,0)</f>
        <v>0</v>
      </c>
      <c r="J19" s="240"/>
    </row>
    <row r="20" spans="1:13" x14ac:dyDescent="0.3">
      <c r="A20" s="188"/>
      <c r="B20" s="82" t="s">
        <v>535</v>
      </c>
      <c r="C20" s="6">
        <v>8864</v>
      </c>
      <c r="D20" s="2">
        <f>-241-12</f>
        <v>-253</v>
      </c>
      <c r="E20" s="2">
        <v>-24</v>
      </c>
      <c r="F20" s="230"/>
      <c r="G20" s="230">
        <f t="shared" si="0"/>
        <v>-277</v>
      </c>
      <c r="H20" s="233">
        <f t="shared" si="1"/>
        <v>0</v>
      </c>
      <c r="I20" s="239">
        <f>IF(T_T134131132[[#This Row],[Total]]&lt;0,T_T134131132[[#This Row],[Total]]*-1,0)</f>
        <v>277</v>
      </c>
      <c r="J20" s="239"/>
    </row>
    <row r="21" spans="1:13" x14ac:dyDescent="0.3">
      <c r="A21" s="188">
        <v>45777</v>
      </c>
      <c r="B21" s="3" t="s">
        <v>536</v>
      </c>
      <c r="C21" s="6"/>
      <c r="D21" s="2">
        <v>253</v>
      </c>
      <c r="E21" s="2">
        <v>27</v>
      </c>
      <c r="F21" s="230"/>
      <c r="G21" s="230">
        <f t="shared" si="0"/>
        <v>280</v>
      </c>
      <c r="H21" s="233">
        <f t="shared" si="1"/>
        <v>280</v>
      </c>
      <c r="I21" s="309">
        <f>IF(T_T134131132[[#This Row],[Total]]&lt;0,T_T134131132[[#This Row],[Total]]*-1,0)</f>
        <v>0</v>
      </c>
      <c r="J21" s="309"/>
    </row>
    <row r="22" spans="1:13" x14ac:dyDescent="0.3">
      <c r="A22" s="83"/>
      <c r="B22" s="82" t="s">
        <v>537</v>
      </c>
      <c r="C22" s="6">
        <v>8894</v>
      </c>
      <c r="D22" s="2">
        <v>-253</v>
      </c>
      <c r="E22" s="2">
        <v>-27</v>
      </c>
      <c r="F22" s="230"/>
      <c r="G22" s="230">
        <f t="shared" si="0"/>
        <v>-280</v>
      </c>
      <c r="H22" s="233">
        <f t="shared" si="1"/>
        <v>0</v>
      </c>
      <c r="I22" s="309">
        <f>IF(T_T134131132[[#This Row],[Total]]&lt;0,T_T134131132[[#This Row],[Total]]*-1,0)</f>
        <v>280</v>
      </c>
      <c r="J22" s="309"/>
    </row>
    <row r="23" spans="1:13" x14ac:dyDescent="0.3">
      <c r="A23" s="40">
        <v>45807</v>
      </c>
      <c r="B23" s="3" t="s">
        <v>538</v>
      </c>
      <c r="C23" s="229"/>
      <c r="D23" s="230">
        <v>253</v>
      </c>
      <c r="E23" s="230">
        <v>24</v>
      </c>
      <c r="F23" s="230"/>
      <c r="G23" s="230">
        <f t="shared" si="0"/>
        <v>277</v>
      </c>
      <c r="H23" s="233">
        <f t="shared" si="1"/>
        <v>277</v>
      </c>
      <c r="I23" s="309">
        <f>IF(T_T134131132[[#This Row],[Total]]&lt;0,T_T134131132[[#This Row],[Total]]*-1,0)</f>
        <v>0</v>
      </c>
      <c r="J23" s="309"/>
    </row>
    <row r="24" spans="1:13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277</v>
      </c>
      <c r="I24" s="311">
        <f>IF(T_T134131132[[#This Row],[Total]]&lt;0,T_T134131132[[#This Row],[Total]]*-1,0)</f>
        <v>0</v>
      </c>
      <c r="J24" s="311"/>
    </row>
    <row r="25" spans="1:13" x14ac:dyDescent="0.3">
      <c r="A25" s="9">
        <v>45838</v>
      </c>
      <c r="B25" s="3" t="s">
        <v>540</v>
      </c>
      <c r="C25" s="229"/>
      <c r="D25" s="230"/>
      <c r="E25" s="7"/>
      <c r="F25" s="230"/>
      <c r="G25" s="230">
        <f t="shared" si="0"/>
        <v>0</v>
      </c>
      <c r="H25" s="233">
        <f t="shared" si="1"/>
        <v>277</v>
      </c>
      <c r="I25" s="309">
        <f>IF(T_T134131132[[#This Row],[Total]]&lt;0,T_T134131132[[#This Row],[Total]]*-1,0)</f>
        <v>0</v>
      </c>
      <c r="J25" s="309"/>
      <c r="M25" t="s">
        <v>521</v>
      </c>
    </row>
    <row r="26" spans="1:13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277</v>
      </c>
      <c r="I26" s="309">
        <f>IF(T_T134131132[[#This Row],[Total]]&lt;0,T_T134131132[[#This Row],[Total]]*-1,0)</f>
        <v>0</v>
      </c>
      <c r="J26" s="309"/>
    </row>
    <row r="27" spans="1:13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277</v>
      </c>
      <c r="I27" s="309">
        <f>IF(T_T134131132[[#This Row],[Total]]&lt;0,T_T134131132[[#This Row],[Total]]*-1,0)</f>
        <v>0</v>
      </c>
      <c r="J27" s="309"/>
    </row>
    <row r="28" spans="1:13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277</v>
      </c>
      <c r="I28" s="311">
        <f>IF(T_T134131132[[#This Row],[Total]]&lt;0,T_T134131132[[#This Row],[Total]]*-1,0)</f>
        <v>0</v>
      </c>
      <c r="J28" s="311"/>
    </row>
    <row r="29" spans="1:13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277</v>
      </c>
      <c r="I29" s="309">
        <f>IF(T_T134131132[[#This Row],[Total]]&lt;0,T_T134131132[[#This Row],[Total]]*-1,0)</f>
        <v>0</v>
      </c>
      <c r="J29" s="309"/>
    </row>
    <row r="30" spans="1:13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277</v>
      </c>
      <c r="I30" s="309">
        <f>IF(T_T134131132[[#This Row],[Total]]&lt;0,T_T134131132[[#This Row],[Total]]*-1,0)</f>
        <v>0</v>
      </c>
      <c r="J30" s="309"/>
    </row>
    <row r="31" spans="1:13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277</v>
      </c>
      <c r="I31" s="309">
        <f>IF(T_T134131132[[#This Row],[Total]]&lt;0,T_T134131132[[#This Row],[Total]]*-1,0)</f>
        <v>0</v>
      </c>
      <c r="J31" s="309"/>
    </row>
    <row r="32" spans="1:13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277</v>
      </c>
      <c r="I32" s="309">
        <f>IF(T_T134131132[[#This Row],[Total]]&lt;0,T_T134131132[[#This Row],[Total]]*-1,0)</f>
        <v>0</v>
      </c>
      <c r="J32" s="309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277</v>
      </c>
      <c r="I33" s="309">
        <f>IF(T_T134131132[[#This Row],[Total]]&lt;0,T_T134131132[[#This Row],[Total]]*-1,0)</f>
        <v>0</v>
      </c>
      <c r="J33" s="309"/>
    </row>
    <row r="34" spans="1:10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277</v>
      </c>
      <c r="I34" s="309">
        <f>IF(T_T134131132[[#This Row],[Total]]&lt;0,T_T134131132[[#This Row],[Total]]*-1,0)</f>
        <v>0</v>
      </c>
      <c r="J34" s="309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277</v>
      </c>
      <c r="I35" s="309">
        <f>IF(T_T134131132[[#This Row],[Total]]&lt;0,T_T134131132[[#This Row],[Total]]*-1,0)</f>
        <v>0</v>
      </c>
      <c r="J35" s="309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277</v>
      </c>
      <c r="I36" s="311">
        <f>IF(T_T134131132[[#This Row],[Total]]&lt;0,T_T134131132[[#This Row],[Total]]*-1,0)</f>
        <v>0</v>
      </c>
      <c r="J36" s="311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277</v>
      </c>
      <c r="I37" s="353">
        <f>IF(T_T134131132[[#This Row],[Total]]&lt;0,T_T134131132[[#This Row],[Total]]*-1,0)</f>
        <v>0</v>
      </c>
      <c r="J37" s="353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277</v>
      </c>
      <c r="I38" s="353">
        <f>IF(T_T134131132[[#This Row],[Total]]&lt;0,T_T134131132[[#This Row],[Total]]*-1,0)</f>
        <v>0</v>
      </c>
      <c r="J38" s="353"/>
    </row>
    <row r="39" spans="1:10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277</v>
      </c>
      <c r="I39" s="353">
        <f>IF(T_T134131132[[#This Row],[Total]]&lt;0,T_T134131132[[#This Row],[Total]]*-1,0)</f>
        <v>0</v>
      </c>
      <c r="J39" s="353"/>
    </row>
    <row r="40" spans="1:10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277</v>
      </c>
      <c r="I40" s="353">
        <f>IF(T_T134131132[[#This Row],[Total]]&lt;0,T_T134131132[[#This Row],[Total]]*-1,0)</f>
        <v>0</v>
      </c>
      <c r="J40" s="353"/>
    </row>
  </sheetData>
  <hyperlinks>
    <hyperlink ref="B7" r:id="rId1" display="jose.orozco@outlook.com"/>
    <hyperlink ref="H7" location="Resumen!A1" display="Rsumen         "/>
  </hyperlinks>
  <pageMargins left="0.70866141732283472" right="0.70866141732283472" top="0.35" bottom="0.31" header="0.31496062992125984" footer="0.31496062992125984"/>
  <pageSetup scale="70" orientation="portrait" verticalDpi="360" r:id="rId2"/>
  <drawing r:id="rId3"/>
  <tableParts count="1">
    <tablePart r:id="rId4"/>
  </tablePart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N102"/>
  <sheetViews>
    <sheetView showGridLines="0" topLeftCell="A8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3.109375" customWidth="1"/>
    <col min="2" max="2" width="32.88671875" customWidth="1"/>
    <col min="3" max="3" width="11.109375" style="4" customWidth="1"/>
    <col min="4" max="4" width="11.88671875" style="1" customWidth="1"/>
    <col min="5" max="5" width="11.109375" style="1" customWidth="1"/>
    <col min="6" max="6" width="7.88671875" style="1" customWidth="1"/>
    <col min="7" max="7" width="10.88671875" style="1" customWidth="1"/>
    <col min="8" max="8" width="12.44140625" style="1" customWidth="1"/>
    <col min="9" max="9" width="12.88671875" hidden="1" customWidth="1"/>
    <col min="14" max="14" width="10.6640625" bestFit="1" customWidth="1"/>
    <col min="15" max="15" width="14.88671875" customWidth="1"/>
  </cols>
  <sheetData>
    <row r="2" spans="1:14" ht="15.6" x14ac:dyDescent="0.3">
      <c r="A2" s="27" t="s">
        <v>36</v>
      </c>
      <c r="B2" s="41" t="s">
        <v>181</v>
      </c>
    </row>
    <row r="3" spans="1:14" ht="0.75" customHeight="1" x14ac:dyDescent="0.3">
      <c r="A3" s="27" t="s">
        <v>31</v>
      </c>
      <c r="B3" s="28" t="e">
        <f>LOOKUP(B2,#REF!,#REF!)</f>
        <v>#REF!</v>
      </c>
    </row>
    <row r="4" spans="1:14" hidden="1" x14ac:dyDescent="0.3">
      <c r="A4" s="27" t="s">
        <v>32</v>
      </c>
      <c r="B4" s="28" t="e">
        <f>LOOKUP(B2,#REF!,#REF!)</f>
        <v>#REF!</v>
      </c>
    </row>
    <row r="5" spans="1:14" hidden="1" x14ac:dyDescent="0.3">
      <c r="A5" s="27" t="s">
        <v>33</v>
      </c>
      <c r="B5" s="28" t="e">
        <f>LOOKUP(B2,#REF!,#REF!)</f>
        <v>#REF!</v>
      </c>
    </row>
    <row r="6" spans="1:14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4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4" x14ac:dyDescent="0.3">
      <c r="A8" s="21"/>
      <c r="B8" s="21" t="s">
        <v>215</v>
      </c>
    </row>
    <row r="9" spans="1:14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62" t="s">
        <v>188</v>
      </c>
    </row>
    <row r="10" spans="1:14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IF(T_T134131132133[[#This Row],[Total]]&lt;0,T_T134131132133[[#This Row],[Total]]*-1,0)</f>
        <v>0</v>
      </c>
      <c r="J10" s="61"/>
      <c r="N10" s="178"/>
    </row>
    <row r="11" spans="1:14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IF(T_T134131132133[[#This Row],[Total]]&lt;0,T_T134131132133[[#This Row],[Total]]*-1,0)</f>
        <v>0</v>
      </c>
      <c r="J11" s="240"/>
    </row>
    <row r="12" spans="1:14" x14ac:dyDescent="0.3">
      <c r="A12" s="117"/>
      <c r="B12" s="118" t="s">
        <v>467</v>
      </c>
      <c r="C12" s="284"/>
      <c r="D12" s="285"/>
      <c r="E12" s="285"/>
      <c r="F12" s="285"/>
      <c r="G12" s="285"/>
      <c r="H12" s="10">
        <v>0</v>
      </c>
      <c r="I12" s="51">
        <f>IF(T_T134131132133[[#This Row],[Total]]&lt;0,T_T134131132133[[#This Row],[Total]]*-1,0)</f>
        <v>0</v>
      </c>
      <c r="J12" s="51"/>
    </row>
    <row r="13" spans="1:14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IF(T_T134131132133[[#This Row],[Total]]&lt;0,T_T134131132133[[#This Row],[Total]]*-1,0)</f>
        <v>0</v>
      </c>
      <c r="J13" s="240"/>
    </row>
    <row r="14" spans="1:14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IF(T_T134131132133[[#This Row],[Total]]&lt;0,T_T134131132133[[#This Row],[Total]]*-1,0)</f>
        <v>0</v>
      </c>
      <c r="J14" s="473"/>
    </row>
    <row r="15" spans="1:14" x14ac:dyDescent="0.3">
      <c r="A15" s="17">
        <v>46052</v>
      </c>
      <c r="B15" s="18" t="s">
        <v>590</v>
      </c>
      <c r="C15" s="6"/>
      <c r="D15" s="2">
        <v>234</v>
      </c>
      <c r="E15" s="2">
        <v>4</v>
      </c>
      <c r="F15" s="20"/>
      <c r="G15" s="20">
        <f>SUM(D15:F15)</f>
        <v>238</v>
      </c>
      <c r="H15" s="233">
        <f>+H13+T_T134131132133[[#This Row],[Total]]</f>
        <v>238</v>
      </c>
      <c r="I15" s="240">
        <f>IF(T_T134131132133[[#This Row],[Total]]&lt;0,T_T134131132133[[#This Row],[Total]]*-1,0)</f>
        <v>0</v>
      </c>
      <c r="J15" s="240"/>
    </row>
    <row r="16" spans="1:14" x14ac:dyDescent="0.3">
      <c r="A16" s="17"/>
      <c r="B16" s="18" t="s">
        <v>591</v>
      </c>
      <c r="C16" s="6">
        <v>8567</v>
      </c>
      <c r="D16" s="2">
        <v>-234</v>
      </c>
      <c r="E16" s="2">
        <v>-4</v>
      </c>
      <c r="F16" s="230"/>
      <c r="G16" s="230">
        <f t="shared" ref="G16:G38" si="0">SUM(D16:F16)</f>
        <v>-238</v>
      </c>
      <c r="H16" s="233">
        <f t="shared" ref="H16:H40" si="1">H15+G16</f>
        <v>0</v>
      </c>
      <c r="I16" s="239">
        <f>IF(T_T134131132133[[#This Row],[Total]]&lt;0,T_T134131132133[[#This Row],[Total]]*-1,0)</f>
        <v>238</v>
      </c>
      <c r="J16" s="239"/>
    </row>
    <row r="17" spans="1:12" x14ac:dyDescent="0.3">
      <c r="A17" s="164">
        <v>45715</v>
      </c>
      <c r="B17" s="161" t="s">
        <v>532</v>
      </c>
      <c r="C17" s="6"/>
      <c r="D17" s="2">
        <v>234</v>
      </c>
      <c r="E17" s="2"/>
      <c r="F17" s="230"/>
      <c r="G17" s="230">
        <f t="shared" si="0"/>
        <v>234</v>
      </c>
      <c r="H17" s="233">
        <f t="shared" si="1"/>
        <v>234</v>
      </c>
      <c r="I17" s="240">
        <f>IF(T_T134131132133[[#This Row],[Total]]&lt;0,T_T134131132133[[#This Row],[Total]]*-1,0)</f>
        <v>0</v>
      </c>
      <c r="J17" s="240"/>
    </row>
    <row r="18" spans="1:12" x14ac:dyDescent="0.3">
      <c r="A18" s="187"/>
      <c r="B18" s="18" t="s">
        <v>533</v>
      </c>
      <c r="C18" s="6">
        <v>8882</v>
      </c>
      <c r="D18" s="2">
        <v>-234</v>
      </c>
      <c r="E18" s="2"/>
      <c r="F18" s="230"/>
      <c r="G18" s="230">
        <f t="shared" si="0"/>
        <v>-234</v>
      </c>
      <c r="H18" s="233">
        <f t="shared" si="1"/>
        <v>0</v>
      </c>
      <c r="I18" s="240">
        <f>IF(T_T134131132133[[#This Row],[Total]]&lt;0,T_T134131132133[[#This Row],[Total]]*-1,0)</f>
        <v>234</v>
      </c>
      <c r="J18" s="240"/>
    </row>
    <row r="19" spans="1:12" x14ac:dyDescent="0.3">
      <c r="A19" s="188">
        <v>45747</v>
      </c>
      <c r="B19" s="3" t="s">
        <v>534</v>
      </c>
      <c r="C19" s="6"/>
      <c r="D19" s="2">
        <v>268</v>
      </c>
      <c r="E19" s="2">
        <v>14</v>
      </c>
      <c r="F19" s="230"/>
      <c r="G19" s="230">
        <f t="shared" si="0"/>
        <v>282</v>
      </c>
      <c r="H19" s="233">
        <f t="shared" si="1"/>
        <v>282</v>
      </c>
      <c r="I19" s="240">
        <f>IF(T_T134131132133[[#This Row],[Total]]&lt;0,T_T134131132133[[#This Row],[Total]]*-1,0)</f>
        <v>0</v>
      </c>
      <c r="J19" s="240"/>
    </row>
    <row r="20" spans="1:12" x14ac:dyDescent="0.3">
      <c r="A20" s="188"/>
      <c r="B20" s="82" t="s">
        <v>535</v>
      </c>
      <c r="C20" s="6">
        <v>8882</v>
      </c>
      <c r="D20" s="2">
        <v>-268</v>
      </c>
      <c r="E20" s="2">
        <v>-14</v>
      </c>
      <c r="F20" s="230"/>
      <c r="G20" s="230">
        <f t="shared" si="0"/>
        <v>-282</v>
      </c>
      <c r="H20" s="233">
        <f t="shared" si="1"/>
        <v>0</v>
      </c>
      <c r="I20" s="239">
        <f>IF(T_T134131132133[[#This Row],[Total]]&lt;0,T_T134131132133[[#This Row],[Total]]*-1,0)</f>
        <v>282</v>
      </c>
      <c r="J20" s="239"/>
    </row>
    <row r="21" spans="1:12" x14ac:dyDescent="0.3">
      <c r="A21" s="188">
        <v>45777</v>
      </c>
      <c r="B21" s="3" t="s">
        <v>536</v>
      </c>
      <c r="C21" s="6"/>
      <c r="D21" s="2">
        <v>268</v>
      </c>
      <c r="E21" s="2"/>
      <c r="F21" s="230"/>
      <c r="G21" s="230">
        <f t="shared" si="0"/>
        <v>268</v>
      </c>
      <c r="H21" s="233">
        <f t="shared" si="1"/>
        <v>268</v>
      </c>
      <c r="I21" s="309">
        <f>IF(T_T134131132133[[#This Row],[Total]]&lt;0,T_T134131132133[[#This Row],[Total]]*-1,0)</f>
        <v>0</v>
      </c>
      <c r="J21" s="309"/>
    </row>
    <row r="22" spans="1:12" x14ac:dyDescent="0.3">
      <c r="A22" s="83"/>
      <c r="B22" s="82" t="s">
        <v>537</v>
      </c>
      <c r="C22" s="6">
        <v>8882</v>
      </c>
      <c r="D22" s="2">
        <v>-268</v>
      </c>
      <c r="E22" s="2"/>
      <c r="F22" s="230"/>
      <c r="G22" s="230">
        <f t="shared" si="0"/>
        <v>-268</v>
      </c>
      <c r="H22" s="233">
        <f t="shared" si="1"/>
        <v>0</v>
      </c>
      <c r="I22" s="309">
        <f>IF(T_T134131132133[[#This Row],[Total]]&lt;0,T_T134131132133[[#This Row],[Total]]*-1,0)</f>
        <v>268</v>
      </c>
      <c r="J22" s="309"/>
    </row>
    <row r="23" spans="1:12" x14ac:dyDescent="0.3">
      <c r="A23" s="40">
        <v>45807</v>
      </c>
      <c r="B23" s="3" t="s">
        <v>538</v>
      </c>
      <c r="C23" s="229"/>
      <c r="D23" s="230">
        <v>268</v>
      </c>
      <c r="E23" s="230">
        <v>9</v>
      </c>
      <c r="F23" s="230"/>
      <c r="G23" s="230">
        <f t="shared" si="0"/>
        <v>277</v>
      </c>
      <c r="H23" s="233">
        <f t="shared" si="1"/>
        <v>277</v>
      </c>
      <c r="I23" s="309">
        <f>IF(T_T134131132133[[#This Row],[Total]]&lt;0,T_T134131132133[[#This Row],[Total]]*-1,0)</f>
        <v>0</v>
      </c>
      <c r="J23" s="309"/>
      <c r="L23" t="s">
        <v>524</v>
      </c>
    </row>
    <row r="24" spans="1:12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277</v>
      </c>
      <c r="I24" s="311">
        <f>IF(T_T134131132133[[#This Row],[Total]]&lt;0,T_T134131132133[[#This Row],[Total]]*-1,0)</f>
        <v>0</v>
      </c>
      <c r="J24" s="311"/>
    </row>
    <row r="25" spans="1:12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277</v>
      </c>
      <c r="I25" s="309">
        <f>IF(T_T134131132133[[#This Row],[Total]]&lt;0,T_T134131132133[[#This Row],[Total]]*-1,0)</f>
        <v>0</v>
      </c>
      <c r="J25" s="309"/>
    </row>
    <row r="26" spans="1:12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277</v>
      </c>
      <c r="I26" s="309">
        <f>IF(T_T134131132133[[#This Row],[Total]]&lt;0,T_T134131132133[[#This Row],[Total]]*-1,0)</f>
        <v>0</v>
      </c>
      <c r="J26" s="309"/>
    </row>
    <row r="27" spans="1:12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277</v>
      </c>
      <c r="I27" s="309">
        <f>IF(T_T134131132133[[#This Row],[Total]]&lt;0,T_T134131132133[[#This Row],[Total]]*-1,0)</f>
        <v>0</v>
      </c>
      <c r="J27" s="309"/>
    </row>
    <row r="28" spans="1:12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277</v>
      </c>
      <c r="I28" s="311">
        <f>IF(T_T134131132133[[#This Row],[Total]]&lt;0,T_T134131132133[[#This Row],[Total]]*-1,0)</f>
        <v>0</v>
      </c>
      <c r="J28" s="311"/>
    </row>
    <row r="29" spans="1:12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277</v>
      </c>
      <c r="I29" s="309">
        <f>IF(T_T134131132133[[#This Row],[Total]]&lt;0,T_T134131132133[[#This Row],[Total]]*-1,0)</f>
        <v>0</v>
      </c>
      <c r="J29" s="309"/>
    </row>
    <row r="30" spans="1:12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277</v>
      </c>
      <c r="I30" s="309">
        <f>IF(T_T134131132133[[#This Row],[Total]]&lt;0,T_T134131132133[[#This Row],[Total]]*-1,0)</f>
        <v>0</v>
      </c>
      <c r="J30" s="309"/>
    </row>
    <row r="31" spans="1:12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277</v>
      </c>
      <c r="I31" s="309">
        <f>IF(T_T134131132133[[#This Row],[Total]]&lt;0,T_T134131132133[[#This Row],[Total]]*-1,0)</f>
        <v>0</v>
      </c>
      <c r="J31" s="309"/>
    </row>
    <row r="32" spans="1:12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277</v>
      </c>
      <c r="I32" s="309">
        <f>IF(T_T134131132133[[#This Row],[Total]]&lt;0,T_T134131132133[[#This Row],[Total]]*-1,0)</f>
        <v>0</v>
      </c>
      <c r="J32" s="309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277</v>
      </c>
      <c r="I33" s="309">
        <f>IF(T_T134131132133[[#This Row],[Total]]&lt;0,T_T134131132133[[#This Row],[Total]]*-1,0)</f>
        <v>0</v>
      </c>
      <c r="J33" s="309"/>
    </row>
    <row r="34" spans="1:10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277</v>
      </c>
      <c r="I34" s="309">
        <f>IF(T_T134131132133[[#This Row],[Total]]&lt;0,T_T134131132133[[#This Row],[Total]]*-1,0)</f>
        <v>0</v>
      </c>
      <c r="J34" s="309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277</v>
      </c>
      <c r="I35" s="309">
        <f>IF(T_T134131132133[[#This Row],[Total]]&lt;0,T_T134131132133[[#This Row],[Total]]*-1,0)</f>
        <v>0</v>
      </c>
      <c r="J35" s="309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277</v>
      </c>
      <c r="I36" s="311">
        <f>IF(T_T134131132133[[#This Row],[Total]]&lt;0,T_T134131132133[[#This Row],[Total]]*-1,0)</f>
        <v>0</v>
      </c>
      <c r="J36" s="311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277</v>
      </c>
      <c r="I37" s="353">
        <f>IF(T_T134131132133[[#This Row],[Total]]&lt;0,T_T134131132133[[#This Row],[Total]]*-1,0)</f>
        <v>0</v>
      </c>
      <c r="J37" s="353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277</v>
      </c>
      <c r="I38" s="353">
        <f>IF(T_T134131132133[[#This Row],[Total]]&lt;0,T_T134131132133[[#This Row],[Total]]*-1,0)</f>
        <v>0</v>
      </c>
      <c r="J38" s="353"/>
    </row>
    <row r="39" spans="1:10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277</v>
      </c>
      <c r="I39" s="353">
        <f>IF(T_T134131132133[[#This Row],[Total]]&lt;0,T_T134131132133[[#This Row],[Total]]*-1,0)</f>
        <v>0</v>
      </c>
      <c r="J39" s="353"/>
    </row>
    <row r="40" spans="1:10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277</v>
      </c>
      <c r="I40" s="353">
        <f>IF(T_T134131132133[[#This Row],[Total]]&lt;0,T_T134131132133[[#This Row],[Total]]*-1,0)</f>
        <v>0</v>
      </c>
      <c r="J40" s="353"/>
    </row>
    <row r="102" spans="4:4" x14ac:dyDescent="0.3">
      <c r="D102" s="1">
        <v>127.5</v>
      </c>
    </row>
  </sheetData>
  <hyperlinks>
    <hyperlink ref="B7" r:id="rId1" display="jose.orozco@outlook.com"/>
    <hyperlink ref="H7" location="Resumen!A1" display="Rsumen         "/>
  </hyperlinks>
  <pageMargins left="0.70866141732283472" right="0.82677165354330717" top="0.43307086614173229" bottom="0.39370078740157483" header="0.31496062992125984" footer="0.31496062992125984"/>
  <pageSetup scale="75" orientation="portrait" verticalDpi="360" r:id="rId2"/>
  <drawing r:id="rId3"/>
  <tableParts count="1">
    <tablePart r:id="rId4"/>
  </tableParts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N40"/>
  <sheetViews>
    <sheetView showGridLines="0" topLeftCell="A8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1.6640625" customWidth="1"/>
    <col min="3" max="3" width="9.33203125" style="4" customWidth="1"/>
    <col min="4" max="4" width="10.6640625" style="1" customWidth="1"/>
    <col min="5" max="5" width="9" style="1" customWidth="1"/>
    <col min="6" max="6" width="5.6640625" style="1" customWidth="1"/>
    <col min="7" max="7" width="10.5546875" style="1" customWidth="1"/>
    <col min="8" max="8" width="11.109375" style="1" customWidth="1"/>
    <col min="9" max="9" width="12.88671875" hidden="1" customWidth="1"/>
    <col min="10" max="10" width="4.109375" customWidth="1"/>
    <col min="14" max="14" width="10.6640625" bestFit="1" customWidth="1"/>
    <col min="15" max="15" width="15.6640625" customWidth="1"/>
  </cols>
  <sheetData>
    <row r="2" spans="1:14" ht="15.6" x14ac:dyDescent="0.3">
      <c r="A2" s="27" t="s">
        <v>36</v>
      </c>
      <c r="B2" s="41" t="s">
        <v>182</v>
      </c>
    </row>
    <row r="3" spans="1:14" x14ac:dyDescent="0.3">
      <c r="A3" s="27" t="s">
        <v>31</v>
      </c>
      <c r="B3" s="28" t="s">
        <v>251</v>
      </c>
    </row>
    <row r="4" spans="1:14" hidden="1" x14ac:dyDescent="0.3">
      <c r="A4" s="27" t="s">
        <v>32</v>
      </c>
      <c r="B4" s="28" t="e">
        <f>LOOKUP(B2,#REF!,#REF!)</f>
        <v>#REF!</v>
      </c>
    </row>
    <row r="5" spans="1:14" hidden="1" x14ac:dyDescent="0.3">
      <c r="A5" s="27"/>
      <c r="B5" s="28" t="e">
        <f>LOOKUP(B2,#REF!,#REF!)</f>
        <v>#REF!</v>
      </c>
    </row>
    <row r="6" spans="1:14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4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4" x14ac:dyDescent="0.3">
      <c r="A8" s="21"/>
      <c r="B8" s="21"/>
    </row>
    <row r="9" spans="1:14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66" t="s">
        <v>188</v>
      </c>
    </row>
    <row r="10" spans="1:14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>
        <f>IF(T_T134131132133134[[#This Row],[Total]]&lt;0,T_T134131132133134[[#This Row],[Total]]*-1,0)</f>
        <v>0</v>
      </c>
      <c r="J10" s="65"/>
      <c r="N10" s="178"/>
    </row>
    <row r="11" spans="1:14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IF(T_T134131132133134[[#This Row],[Total]]&lt;0,T_T134131132133134[[#This Row],[Total]]*-1,0)</f>
        <v>0</v>
      </c>
      <c r="J11" s="240"/>
    </row>
    <row r="12" spans="1:14" x14ac:dyDescent="0.3">
      <c r="A12" s="117"/>
      <c r="B12" s="118" t="s">
        <v>467</v>
      </c>
      <c r="C12" s="284"/>
      <c r="D12" s="285"/>
      <c r="E12" s="285"/>
      <c r="F12" s="285"/>
      <c r="G12" s="285"/>
      <c r="H12" s="10">
        <v>0</v>
      </c>
      <c r="I12" s="51">
        <f>IF(T_T134131132133134[[#This Row],[Total]]&lt;0,T_T134131132133134[[#This Row],[Total]]*-1,0)</f>
        <v>0</v>
      </c>
      <c r="J12" s="51"/>
    </row>
    <row r="13" spans="1:14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IF(T_T134131132133134[[#This Row],[Total]]&lt;0,T_T134131132133134[[#This Row],[Total]]*-1,0)</f>
        <v>0</v>
      </c>
      <c r="J13" s="240"/>
    </row>
    <row r="14" spans="1:14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IF(T_T134131132133134[[#This Row],[Total]]&lt;0,T_T134131132133134[[#This Row],[Total]]*-1,0)</f>
        <v>0</v>
      </c>
      <c r="J14" s="473"/>
    </row>
    <row r="15" spans="1:14" x14ac:dyDescent="0.3">
      <c r="A15" s="17">
        <v>46052</v>
      </c>
      <c r="B15" s="18" t="s">
        <v>590</v>
      </c>
      <c r="C15" s="6"/>
      <c r="D15" s="2">
        <v>227</v>
      </c>
      <c r="E15" s="2">
        <v>11</v>
      </c>
      <c r="F15" s="20"/>
      <c r="G15" s="20">
        <f>SUM(D15:F15)</f>
        <v>238</v>
      </c>
      <c r="H15" s="233">
        <f>+H13+T_T134131132133134[[#This Row],[Total]]</f>
        <v>238</v>
      </c>
      <c r="I15" s="240">
        <f>IF(T_T134131132133134[[#This Row],[Total]]&lt;0,T_T134131132133134[[#This Row],[Total]]*-1,0)</f>
        <v>0</v>
      </c>
      <c r="J15" s="240"/>
    </row>
    <row r="16" spans="1:14" x14ac:dyDescent="0.3">
      <c r="A16" s="17"/>
      <c r="B16" s="18" t="s">
        <v>591</v>
      </c>
      <c r="C16" s="6">
        <v>8620</v>
      </c>
      <c r="D16" s="2">
        <v>-227</v>
      </c>
      <c r="E16" s="2">
        <v>-11</v>
      </c>
      <c r="F16" s="230"/>
      <c r="G16" s="230">
        <f t="shared" ref="G16:G38" si="0">SUM(D16:F16)</f>
        <v>-238</v>
      </c>
      <c r="H16" s="233">
        <f t="shared" ref="H16:H40" si="1">H15+G16</f>
        <v>0</v>
      </c>
      <c r="I16" s="239">
        <f>IF(T_T134131132133134[[#This Row],[Total]]&lt;0,T_T134131132133134[[#This Row],[Total]]*-1,0)</f>
        <v>238</v>
      </c>
      <c r="J16" s="239"/>
    </row>
    <row r="17" spans="1:10" x14ac:dyDescent="0.3">
      <c r="A17" s="164">
        <v>45715</v>
      </c>
      <c r="B17" s="161" t="s">
        <v>532</v>
      </c>
      <c r="C17" s="6"/>
      <c r="D17" s="2">
        <v>227</v>
      </c>
      <c r="E17" s="2">
        <v>116</v>
      </c>
      <c r="F17" s="230"/>
      <c r="G17" s="230">
        <f t="shared" si="0"/>
        <v>343</v>
      </c>
      <c r="H17" s="233">
        <f t="shared" si="1"/>
        <v>343</v>
      </c>
      <c r="I17" s="240">
        <f>IF(T_T134131132133134[[#This Row],[Total]]&lt;0,T_T134131132133134[[#This Row],[Total]]*-1,0)</f>
        <v>0</v>
      </c>
      <c r="J17" s="240"/>
    </row>
    <row r="18" spans="1:10" x14ac:dyDescent="0.3">
      <c r="A18" s="187"/>
      <c r="B18" s="18" t="s">
        <v>533</v>
      </c>
      <c r="C18" s="6">
        <v>8757</v>
      </c>
      <c r="D18" s="2">
        <v>-227</v>
      </c>
      <c r="E18" s="2">
        <v>-116</v>
      </c>
      <c r="F18" s="230"/>
      <c r="G18" s="230">
        <f t="shared" si="0"/>
        <v>-343</v>
      </c>
      <c r="H18" s="233">
        <f t="shared" si="1"/>
        <v>0</v>
      </c>
      <c r="I18" s="240">
        <f>IF(T_T134131132133134[[#This Row],[Total]]&lt;0,T_T134131132133134[[#This Row],[Total]]*-1,0)</f>
        <v>343</v>
      </c>
      <c r="J18" s="240"/>
    </row>
    <row r="19" spans="1:10" x14ac:dyDescent="0.3">
      <c r="A19" s="188">
        <v>45747</v>
      </c>
      <c r="B19" s="3" t="s">
        <v>534</v>
      </c>
      <c r="C19" s="6"/>
      <c r="D19" s="2">
        <v>260</v>
      </c>
      <c r="E19" s="2">
        <v>379</v>
      </c>
      <c r="F19" s="230"/>
      <c r="G19" s="230">
        <f t="shared" si="0"/>
        <v>639</v>
      </c>
      <c r="H19" s="233">
        <f t="shared" si="1"/>
        <v>639</v>
      </c>
      <c r="I19" s="240">
        <f>IF(T_T134131132133134[[#This Row],[Total]]&lt;0,T_T134131132133134[[#This Row],[Total]]*-1,0)</f>
        <v>0</v>
      </c>
      <c r="J19" s="240"/>
    </row>
    <row r="20" spans="1:10" x14ac:dyDescent="0.3">
      <c r="A20" s="188"/>
      <c r="B20" s="82" t="s">
        <v>535</v>
      </c>
      <c r="C20" s="6">
        <v>8774</v>
      </c>
      <c r="D20" s="2">
        <v>-260</v>
      </c>
      <c r="E20" s="2">
        <v>-379</v>
      </c>
      <c r="F20" s="230"/>
      <c r="G20" s="230">
        <f t="shared" si="0"/>
        <v>-639</v>
      </c>
      <c r="H20" s="233">
        <f t="shared" si="1"/>
        <v>0</v>
      </c>
      <c r="I20" s="239">
        <f>IF(T_T134131132133134[[#This Row],[Total]]&lt;0,T_T134131132133134[[#This Row],[Total]]*-1,0)</f>
        <v>639</v>
      </c>
      <c r="J20" s="239"/>
    </row>
    <row r="21" spans="1:10" x14ac:dyDescent="0.3">
      <c r="A21" s="188">
        <v>45777</v>
      </c>
      <c r="B21" s="3" t="s">
        <v>536</v>
      </c>
      <c r="C21" s="6"/>
      <c r="D21" s="2">
        <v>260</v>
      </c>
      <c r="E21" s="2">
        <v>8</v>
      </c>
      <c r="F21" s="230"/>
      <c r="G21" s="230">
        <f t="shared" si="0"/>
        <v>268</v>
      </c>
      <c r="H21" s="233">
        <f t="shared" si="1"/>
        <v>268</v>
      </c>
      <c r="I21" s="309">
        <f>IF(T_T134131132133134[[#This Row],[Total]]&lt;0,T_T134131132133134[[#This Row],[Total]]*-1,0)</f>
        <v>0</v>
      </c>
      <c r="J21" s="309"/>
    </row>
    <row r="22" spans="1:10" x14ac:dyDescent="0.3">
      <c r="A22" s="83"/>
      <c r="B22" s="82" t="s">
        <v>537</v>
      </c>
      <c r="C22" s="6">
        <v>8888</v>
      </c>
      <c r="D22" s="2">
        <v>-260</v>
      </c>
      <c r="E22" s="2">
        <v>-8</v>
      </c>
      <c r="F22" s="230"/>
      <c r="G22" s="230">
        <f t="shared" si="0"/>
        <v>-268</v>
      </c>
      <c r="H22" s="233">
        <f t="shared" si="1"/>
        <v>0</v>
      </c>
      <c r="I22" s="309">
        <f>IF(T_T134131132133134[[#This Row],[Total]]&lt;0,T_T134131132133134[[#This Row],[Total]]*-1,0)</f>
        <v>268</v>
      </c>
      <c r="J22" s="309"/>
    </row>
    <row r="23" spans="1:10" x14ac:dyDescent="0.3">
      <c r="A23" s="40">
        <v>45807</v>
      </c>
      <c r="B23" s="3" t="s">
        <v>538</v>
      </c>
      <c r="C23" s="229"/>
      <c r="D23" s="230">
        <v>260</v>
      </c>
      <c r="E23" s="230">
        <v>9</v>
      </c>
      <c r="F23" s="230"/>
      <c r="G23" s="230">
        <f t="shared" si="0"/>
        <v>269</v>
      </c>
      <c r="H23" s="233">
        <f t="shared" si="1"/>
        <v>269</v>
      </c>
      <c r="I23" s="309">
        <f>IF(T_T134131132133134[[#This Row],[Total]]&lt;0,T_T134131132133134[[#This Row],[Total]]*-1,0)</f>
        <v>0</v>
      </c>
      <c r="J23" s="309"/>
    </row>
    <row r="24" spans="1:10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269</v>
      </c>
      <c r="I24" s="311">
        <f>IF(T_T134131132133134[[#This Row],[Total]]&lt;0,T_T134131132133134[[#This Row],[Total]]*-1,0)</f>
        <v>0</v>
      </c>
      <c r="J24" s="311"/>
    </row>
    <row r="25" spans="1:10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269</v>
      </c>
      <c r="I25" s="309">
        <f>IF(T_T134131132133134[[#This Row],[Total]]&lt;0,T_T134131132133134[[#This Row],[Total]]*-1,0)</f>
        <v>0</v>
      </c>
      <c r="J25" s="309"/>
    </row>
    <row r="26" spans="1:10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269</v>
      </c>
      <c r="I26" s="309">
        <f>IF(T_T134131132133134[[#This Row],[Total]]&lt;0,T_T134131132133134[[#This Row],[Total]]*-1,0)</f>
        <v>0</v>
      </c>
      <c r="J26" s="309"/>
    </row>
    <row r="27" spans="1:10" x14ac:dyDescent="0.3">
      <c r="A27" s="107">
        <v>45868</v>
      </c>
      <c r="B27" s="82" t="s">
        <v>542</v>
      </c>
      <c r="C27" s="229"/>
      <c r="D27" s="230"/>
      <c r="E27" s="7"/>
      <c r="F27" s="230"/>
      <c r="G27" s="230">
        <f t="shared" si="0"/>
        <v>0</v>
      </c>
      <c r="H27" s="233">
        <f t="shared" si="1"/>
        <v>269</v>
      </c>
      <c r="I27" s="309">
        <f>IF(T_T134131132133134[[#This Row],[Total]]&lt;0,T_T134131132133134[[#This Row],[Total]]*-1,0)</f>
        <v>0</v>
      </c>
      <c r="J27" s="309"/>
    </row>
    <row r="28" spans="1:10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269</v>
      </c>
      <c r="I28" s="311">
        <f>IF(T_T134131132133134[[#This Row],[Total]]&lt;0,T_T134131132133134[[#This Row],[Total]]*-1,0)</f>
        <v>0</v>
      </c>
      <c r="J28" s="311"/>
    </row>
    <row r="29" spans="1:10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269</v>
      </c>
      <c r="I29" s="309">
        <f>IF(T_T134131132133134[[#This Row],[Total]]&lt;0,T_T134131132133134[[#This Row],[Total]]*-1,0)</f>
        <v>0</v>
      </c>
      <c r="J29" s="309"/>
    </row>
    <row r="30" spans="1:10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269</v>
      </c>
      <c r="I30" s="309">
        <f>IF(T_T134131132133134[[#This Row],[Total]]&lt;0,T_T134131132133134[[#This Row],[Total]]*-1,0)</f>
        <v>0</v>
      </c>
      <c r="J30" s="309"/>
    </row>
    <row r="31" spans="1:10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269</v>
      </c>
      <c r="I31" s="309">
        <f>IF(T_T134131132133134[[#This Row],[Total]]&lt;0,T_T134131132133134[[#This Row],[Total]]*-1,0)</f>
        <v>0</v>
      </c>
      <c r="J31" s="309"/>
    </row>
    <row r="32" spans="1:10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269</v>
      </c>
      <c r="I32" s="309">
        <f>IF(T_T134131132133134[[#This Row],[Total]]&lt;0,T_T134131132133134[[#This Row],[Total]]*-1,0)</f>
        <v>0</v>
      </c>
      <c r="J32" s="309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269</v>
      </c>
      <c r="I33" s="309">
        <f>IF(T_T134131132133134[[#This Row],[Total]]&lt;0,T_T134131132133134[[#This Row],[Total]]*-1,0)</f>
        <v>0</v>
      </c>
      <c r="J33" s="309"/>
    </row>
    <row r="34" spans="1:10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269</v>
      </c>
      <c r="I34" s="309">
        <f>IF(T_T134131132133134[[#This Row],[Total]]&lt;0,T_T134131132133134[[#This Row],[Total]]*-1,0)</f>
        <v>0</v>
      </c>
      <c r="J34" s="309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269</v>
      </c>
      <c r="I35" s="309">
        <f>IF(T_T134131132133134[[#This Row],[Total]]&lt;0,T_T134131132133134[[#This Row],[Total]]*-1,0)</f>
        <v>0</v>
      </c>
      <c r="J35" s="309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0"/>
        <v>0</v>
      </c>
      <c r="H36" s="233">
        <f t="shared" si="1"/>
        <v>269</v>
      </c>
      <c r="I36" s="311">
        <f>IF(T_T134131132133134[[#This Row],[Total]]&lt;0,T_T134131132133134[[#This Row],[Total]]*-1,0)</f>
        <v>0</v>
      </c>
      <c r="J36" s="311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269</v>
      </c>
      <c r="I37" s="353">
        <f>IF(T_T134131132133134[[#This Row],[Total]]&lt;0,T_T134131132133134[[#This Row],[Total]]*-1,0)</f>
        <v>0</v>
      </c>
      <c r="J37" s="353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269</v>
      </c>
      <c r="I38" s="353">
        <f>IF(T_T134131132133134[[#This Row],[Total]]&lt;0,T_T134131132133134[[#This Row],[Total]]*-1,0)</f>
        <v>0</v>
      </c>
      <c r="J38" s="353"/>
    </row>
    <row r="39" spans="1:10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269</v>
      </c>
      <c r="I39" s="353">
        <f>IF(T_T134131132133134[[#This Row],[Total]]&lt;0,T_T134131132133134[[#This Row],[Total]]*-1,0)</f>
        <v>0</v>
      </c>
      <c r="J39" s="353"/>
    </row>
    <row r="40" spans="1:10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269</v>
      </c>
      <c r="I40" s="353">
        <f>IF(T_T134131132133134[[#This Row],[Total]]&lt;0,T_T134131132133134[[#This Row],[Total]]*-1,0)</f>
        <v>0</v>
      </c>
      <c r="J40" s="353"/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scale="70" orientation="portrait" verticalDpi="360" r:id="rId2"/>
  <drawing r:id="rId3"/>
  <tableParts count="1">
    <tablePart r:id="rId4"/>
  </tablePart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N43"/>
  <sheetViews>
    <sheetView showGridLines="0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5.44140625" bestFit="1" customWidth="1"/>
    <col min="3" max="3" width="20.44140625" style="4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4" max="14" width="10.6640625" bestFit="1" customWidth="1"/>
    <col min="15" max="15" width="21" customWidth="1"/>
  </cols>
  <sheetData>
    <row r="1" spans="1:14" x14ac:dyDescent="0.3">
      <c r="D1" s="1" t="s">
        <v>366</v>
      </c>
    </row>
    <row r="2" spans="1:14" ht="15.6" x14ac:dyDescent="0.3">
      <c r="A2" s="27" t="s">
        <v>36</v>
      </c>
      <c r="B2" s="41" t="s">
        <v>183</v>
      </c>
    </row>
    <row r="3" spans="1:14" ht="1.5" customHeight="1" x14ac:dyDescent="0.3">
      <c r="A3" s="27" t="s">
        <v>31</v>
      </c>
      <c r="B3" s="28" t="s">
        <v>51</v>
      </c>
    </row>
    <row r="4" spans="1:14" ht="18" hidden="1" customHeight="1" x14ac:dyDescent="0.3">
      <c r="A4" s="27" t="s">
        <v>32</v>
      </c>
      <c r="B4" s="28" t="e">
        <f>LOOKUP(B2,#REF!,#REF!)</f>
        <v>#REF!</v>
      </c>
    </row>
    <row r="5" spans="1:14" ht="19.5" hidden="1" customHeight="1" x14ac:dyDescent="0.3">
      <c r="A5" s="27" t="s">
        <v>33</v>
      </c>
      <c r="B5" s="28" t="e">
        <f>LOOKUP(B2,#REF!,#REF!)</f>
        <v>#REF!</v>
      </c>
    </row>
    <row r="6" spans="1:14" ht="16.5" hidden="1" customHeight="1" x14ac:dyDescent="0.3">
      <c r="A6" s="27" t="s">
        <v>34</v>
      </c>
      <c r="B6" s="28" t="e">
        <f>LOOKUP(B2,#REF!,#REF!)</f>
        <v>#REF!</v>
      </c>
      <c r="G6" s="25"/>
      <c r="H6" s="25"/>
    </row>
    <row r="7" spans="1:14" ht="12" customHeight="1" x14ac:dyDescent="0.3">
      <c r="A7" s="27" t="s">
        <v>35</v>
      </c>
      <c r="B7" s="29" t="s">
        <v>201</v>
      </c>
      <c r="C7" s="5"/>
      <c r="G7" s="25"/>
      <c r="H7" s="26" t="s">
        <v>30</v>
      </c>
      <c r="I7" s="24"/>
    </row>
    <row r="8" spans="1:14" x14ac:dyDescent="0.3">
      <c r="A8" s="21"/>
      <c r="B8" s="21"/>
    </row>
    <row r="9" spans="1:14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75" t="s">
        <v>188</v>
      </c>
      <c r="K9" s="242" t="s">
        <v>191</v>
      </c>
    </row>
    <row r="10" spans="1:14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/>
      <c r="J10" s="52"/>
      <c r="K10" s="232"/>
      <c r="N10" s="178"/>
    </row>
    <row r="11" spans="1:14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IF(T_T134131132133134135[[#This Row],[Total]]&lt;0,T_T134131132133134135[[#This Row],[Total]]*-1,0)</f>
        <v>0</v>
      </c>
      <c r="J11" s="240"/>
      <c r="K11" s="232"/>
    </row>
    <row r="12" spans="1:14" x14ac:dyDescent="0.3">
      <c r="A12" s="361"/>
      <c r="B12" s="118" t="s">
        <v>467</v>
      </c>
      <c r="C12" s="284"/>
      <c r="D12" s="285"/>
      <c r="E12" s="285"/>
      <c r="F12" s="285"/>
      <c r="G12" s="285"/>
      <c r="H12" s="10">
        <v>0</v>
      </c>
      <c r="I12" s="51">
        <f>IF(T_T134131132133134135[[#This Row],[Total]]&lt;0,T_T134131132133134135[[#This Row],[Total]]*-1,0)</f>
        <v>0</v>
      </c>
      <c r="J12" s="51"/>
      <c r="K12" s="79"/>
    </row>
    <row r="13" spans="1:14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IF(T_T134131132133134135[[#This Row],[Total]]&lt;0,T_T134131132133134135[[#This Row],[Total]]*-1,0)</f>
        <v>0</v>
      </c>
      <c r="J13" s="240"/>
      <c r="K13" s="232"/>
    </row>
    <row r="14" spans="1:14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IF(T_T134131132133134135[[#This Row],[Total]]&lt;0,T_T134131132133134135[[#This Row],[Total]]*-1,0)</f>
        <v>0</v>
      </c>
      <c r="J14" s="473"/>
      <c r="K14" s="485"/>
    </row>
    <row r="15" spans="1:14" x14ac:dyDescent="0.3">
      <c r="A15" s="17">
        <v>46052</v>
      </c>
      <c r="B15" s="18" t="s">
        <v>590</v>
      </c>
      <c r="C15" s="6"/>
      <c r="D15" s="2">
        <v>509</v>
      </c>
      <c r="E15" s="2">
        <v>23</v>
      </c>
      <c r="F15" s="20"/>
      <c r="G15" s="20">
        <f>SUM(D15:F15)</f>
        <v>532</v>
      </c>
      <c r="H15" s="233">
        <f>+H13+T_T134131132133134135[[#This Row],[Total]]</f>
        <v>532</v>
      </c>
      <c r="I15" s="240">
        <f>IF(T_T134131132133134135[[#This Row],[Total]]&lt;0,T_T134131132133134135[[#This Row],[Total]]*-1,0)</f>
        <v>0</v>
      </c>
      <c r="J15" s="240"/>
      <c r="K15" s="232"/>
    </row>
    <row r="16" spans="1:14" x14ac:dyDescent="0.3">
      <c r="A16" s="17"/>
      <c r="B16" s="18" t="s">
        <v>591</v>
      </c>
      <c r="C16" s="6" t="s">
        <v>626</v>
      </c>
      <c r="D16" s="2">
        <f>-66-222</f>
        <v>-288</v>
      </c>
      <c r="E16" s="2">
        <v>-23</v>
      </c>
      <c r="F16" s="230"/>
      <c r="G16" s="230">
        <f t="shared" ref="G16:G38" si="0">SUM(D16:F16)</f>
        <v>-311</v>
      </c>
      <c r="H16" s="233">
        <f t="shared" ref="H16:H40" si="1">H15+G16</f>
        <v>221</v>
      </c>
      <c r="I16" s="240">
        <f>IF(T_T134131132133134135[[#This Row],[Total]]&lt;0,T_T134131132133134135[[#This Row],[Total]]*-1,0)</f>
        <v>311</v>
      </c>
      <c r="J16" s="240"/>
      <c r="K16" s="79"/>
      <c r="N16">
        <v>256</v>
      </c>
    </row>
    <row r="17" spans="1:14" x14ac:dyDescent="0.3">
      <c r="A17" s="164">
        <v>45715</v>
      </c>
      <c r="B17" s="161" t="s">
        <v>532</v>
      </c>
      <c r="C17" s="6"/>
      <c r="D17" s="2">
        <v>509</v>
      </c>
      <c r="E17" s="2">
        <v>38</v>
      </c>
      <c r="F17" s="230"/>
      <c r="G17" s="230">
        <f t="shared" si="0"/>
        <v>547</v>
      </c>
      <c r="H17" s="233">
        <f t="shared" si="1"/>
        <v>768</v>
      </c>
      <c r="I17" s="240">
        <f>IF(T_T134131132133134135[[#This Row],[Total]]&lt;0,T_T134131132133134135[[#This Row],[Total]]*-1,0)</f>
        <v>0</v>
      </c>
      <c r="J17" s="240"/>
      <c r="K17" s="79" t="s">
        <v>366</v>
      </c>
      <c r="N17">
        <v>950</v>
      </c>
    </row>
    <row r="18" spans="1:14" x14ac:dyDescent="0.3">
      <c r="A18" s="187"/>
      <c r="B18" s="18" t="s">
        <v>533</v>
      </c>
      <c r="C18" s="6" t="s">
        <v>627</v>
      </c>
      <c r="D18" s="2">
        <f>-66-222</f>
        <v>-288</v>
      </c>
      <c r="E18" s="2">
        <v>-38</v>
      </c>
      <c r="F18" s="230"/>
      <c r="G18" s="230">
        <f t="shared" si="0"/>
        <v>-326</v>
      </c>
      <c r="H18" s="233">
        <f t="shared" si="1"/>
        <v>442</v>
      </c>
      <c r="I18" s="240">
        <f>IF(T_T134131132133134135[[#This Row],[Total]]&lt;0,T_T134131132133134135[[#This Row],[Total]]*-1,0)</f>
        <v>326</v>
      </c>
      <c r="J18" s="240"/>
      <c r="K18" s="232"/>
      <c r="N18">
        <f>SUM(N16:N17)</f>
        <v>1206</v>
      </c>
    </row>
    <row r="19" spans="1:14" x14ac:dyDescent="0.3">
      <c r="A19" s="188">
        <v>45747</v>
      </c>
      <c r="B19" s="3" t="s">
        <v>534</v>
      </c>
      <c r="C19" s="6"/>
      <c r="D19" s="2">
        <v>628</v>
      </c>
      <c r="E19" s="2">
        <v>35</v>
      </c>
      <c r="F19" s="230"/>
      <c r="G19" s="230">
        <f t="shared" si="0"/>
        <v>663</v>
      </c>
      <c r="H19" s="233">
        <f t="shared" si="1"/>
        <v>1105</v>
      </c>
      <c r="I19" s="240">
        <f>IF(T_T134131132133134135[[#This Row],[Total]]&lt;0,T_T134131132133134135[[#This Row],[Total]]*-1,0)</f>
        <v>0</v>
      </c>
      <c r="J19" s="240"/>
      <c r="K19" s="232"/>
      <c r="M19" t="s">
        <v>505</v>
      </c>
    </row>
    <row r="20" spans="1:14" x14ac:dyDescent="0.3">
      <c r="A20" s="188"/>
      <c r="B20" s="82" t="s">
        <v>535</v>
      </c>
      <c r="C20" s="6"/>
      <c r="D20" s="2"/>
      <c r="E20" s="2"/>
      <c r="F20" s="230"/>
      <c r="G20" s="230">
        <f t="shared" si="0"/>
        <v>0</v>
      </c>
      <c r="H20" s="233">
        <f t="shared" si="1"/>
        <v>1105</v>
      </c>
      <c r="I20" s="240">
        <f>IF(T_T134131132133134135[[#This Row],[Total]]&lt;0,T_T134131132133134135[[#This Row],[Total]]*-1,0)</f>
        <v>0</v>
      </c>
      <c r="J20" s="240"/>
      <c r="K20" s="232"/>
    </row>
    <row r="21" spans="1:14" x14ac:dyDescent="0.3">
      <c r="A21" s="188">
        <v>45777</v>
      </c>
      <c r="B21" s="3" t="s">
        <v>536</v>
      </c>
      <c r="C21" s="6"/>
      <c r="D21" s="2">
        <v>628</v>
      </c>
      <c r="E21" s="2">
        <v>84</v>
      </c>
      <c r="F21" s="230"/>
      <c r="G21" s="230">
        <f t="shared" si="0"/>
        <v>712</v>
      </c>
      <c r="H21" s="233">
        <f t="shared" si="1"/>
        <v>1817</v>
      </c>
      <c r="I21" s="309">
        <f>IF(T_T134131132133134135[[#This Row],[Total]]&lt;0,T_T134131132133134135[[#This Row],[Total]]*-1,0)</f>
        <v>0</v>
      </c>
      <c r="J21" s="309"/>
      <c r="K21" s="313"/>
    </row>
    <row r="22" spans="1:14" x14ac:dyDescent="0.3">
      <c r="A22" s="83"/>
      <c r="B22" s="82" t="s">
        <v>537</v>
      </c>
      <c r="C22" s="6"/>
      <c r="D22" s="2"/>
      <c r="E22" s="2"/>
      <c r="F22" s="230"/>
      <c r="G22" s="230">
        <f t="shared" si="0"/>
        <v>0</v>
      </c>
      <c r="H22" s="233">
        <f t="shared" si="1"/>
        <v>1817</v>
      </c>
      <c r="I22" s="309">
        <f>IF(T_T134131132133134135[[#This Row],[Total]]&lt;0,T_T134131132133134135[[#This Row],[Total]]*-1,0)</f>
        <v>0</v>
      </c>
      <c r="J22" s="309"/>
      <c r="K22" s="313"/>
    </row>
    <row r="23" spans="1:14" x14ac:dyDescent="0.3">
      <c r="A23" s="40">
        <v>45807</v>
      </c>
      <c r="B23" s="3" t="s">
        <v>538</v>
      </c>
      <c r="C23" s="229"/>
      <c r="D23" s="230">
        <v>628</v>
      </c>
      <c r="E23" s="230">
        <v>48</v>
      </c>
      <c r="F23" s="230"/>
      <c r="G23" s="230">
        <f t="shared" si="0"/>
        <v>676</v>
      </c>
      <c r="H23" s="233">
        <f t="shared" si="1"/>
        <v>2493</v>
      </c>
      <c r="I23" s="309">
        <f>IF(T_T134131132133134135[[#This Row],[Total]]&lt;0,T_T134131132133134135[[#This Row],[Total]]*-1,0)</f>
        <v>0</v>
      </c>
      <c r="J23" s="309"/>
      <c r="K23" s="313"/>
    </row>
    <row r="24" spans="1:14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2493</v>
      </c>
      <c r="I24" s="309">
        <f>IF(T_T134131132133134135[[#This Row],[Total]]&lt;0,T_T134131132133134135[[#This Row],[Total]]*-1,0)</f>
        <v>0</v>
      </c>
      <c r="J24" s="309"/>
      <c r="K24" s="313"/>
    </row>
    <row r="25" spans="1:14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2493</v>
      </c>
      <c r="I25" s="309">
        <f>IF(T_T134131132133134135[[#This Row],[Total]]&lt;0,T_T134131132133134135[[#This Row],[Total]]*-1,0)</f>
        <v>0</v>
      </c>
      <c r="J25" s="309"/>
      <c r="K25" s="313"/>
    </row>
    <row r="26" spans="1:14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2493</v>
      </c>
      <c r="I26" s="309">
        <f>IF(T_T134131132133134135[[#This Row],[Total]]&lt;0,T_T134131132133134135[[#This Row],[Total]]*-1,0)</f>
        <v>0</v>
      </c>
      <c r="J26" s="309"/>
      <c r="K26" s="313"/>
    </row>
    <row r="27" spans="1:14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2493</v>
      </c>
      <c r="I27" s="309">
        <f>IF(T_T134131132133134135[[#This Row],[Total]]&lt;0,T_T134131132133134135[[#This Row],[Total]]*-1,0)</f>
        <v>0</v>
      </c>
      <c r="J27" s="309"/>
      <c r="K27" s="313"/>
    </row>
    <row r="28" spans="1:14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2493</v>
      </c>
      <c r="I28" s="309">
        <f>IF(T_T134131132133134135[[#This Row],[Total]]&lt;0,T_T134131132133134135[[#This Row],[Total]]*-1,0)</f>
        <v>0</v>
      </c>
      <c r="J28" s="309"/>
      <c r="K28" s="313"/>
    </row>
    <row r="29" spans="1:14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2493</v>
      </c>
      <c r="I29" s="309">
        <f>IF(T_T134131132133134135[[#This Row],[Total]]&lt;0,T_T134131132133134135[[#This Row],[Total]]*-1,0)</f>
        <v>0</v>
      </c>
      <c r="J29" s="309"/>
      <c r="K29" s="313"/>
    </row>
    <row r="30" spans="1:14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2493</v>
      </c>
      <c r="I30" s="309">
        <f>IF(T_T134131132133134135[[#This Row],[Total]]&lt;0,T_T134131132133134135[[#This Row],[Total]]*-1,0)</f>
        <v>0</v>
      </c>
      <c r="J30" s="309"/>
      <c r="K30" s="313"/>
    </row>
    <row r="31" spans="1:14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2493</v>
      </c>
      <c r="I31" s="309">
        <f>IF(T_T134131132133134135[[#This Row],[Total]]&lt;0,T_T134131132133134135[[#This Row],[Total]]*-1,0)</f>
        <v>0</v>
      </c>
      <c r="J31" s="309"/>
      <c r="K31" s="313"/>
      <c r="N31" s="336"/>
    </row>
    <row r="32" spans="1:14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2493</v>
      </c>
      <c r="I32" s="309">
        <f>IF(T_T134131132133134135[[#This Row],[Total]]&lt;0,T_T134131132133134135[[#This Row],[Total]]*-1,0)</f>
        <v>0</v>
      </c>
      <c r="J32" s="309"/>
      <c r="K32" s="313"/>
    </row>
    <row r="33" spans="1:11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2493</v>
      </c>
      <c r="I33" s="309">
        <f>IF(T_T134131132133134135[[#This Row],[Total]]&lt;0,T_T134131132133134135[[#This Row],[Total]]*-1,0)</f>
        <v>0</v>
      </c>
      <c r="J33" s="309"/>
      <c r="K33" s="313"/>
    </row>
    <row r="34" spans="1:11" x14ac:dyDescent="0.3">
      <c r="A34" s="9"/>
      <c r="B34" s="3" t="s">
        <v>549</v>
      </c>
      <c r="C34" s="6"/>
      <c r="D34" s="230"/>
      <c r="E34" s="230"/>
      <c r="F34" s="230"/>
      <c r="G34" s="230">
        <f t="shared" si="0"/>
        <v>0</v>
      </c>
      <c r="H34" s="233">
        <f t="shared" si="1"/>
        <v>2493</v>
      </c>
      <c r="I34" s="309">
        <f>IF(T_T134131132133134135[[#This Row],[Total]]&lt;0,T_T134131132133134135[[#This Row],[Total]]*-1,0)</f>
        <v>0</v>
      </c>
      <c r="J34" s="309"/>
      <c r="K34" s="313"/>
    </row>
    <row r="35" spans="1:11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2493</v>
      </c>
      <c r="I35" s="309">
        <f>IF(T_T134131132133134135[[#This Row],[Total]]&lt;0,T_T134131132133134135[[#This Row],[Total]]*-1,0)</f>
        <v>0</v>
      </c>
      <c r="J35" s="309"/>
      <c r="K35" s="313"/>
    </row>
    <row r="36" spans="1:11" x14ac:dyDescent="0.3">
      <c r="A36" s="17"/>
      <c r="B36" s="18" t="s">
        <v>551</v>
      </c>
      <c r="C36" s="6"/>
      <c r="D36" s="230"/>
      <c r="E36" s="230"/>
      <c r="F36" s="230"/>
      <c r="G36" s="230">
        <f t="shared" si="0"/>
        <v>0</v>
      </c>
      <c r="H36" s="233">
        <f t="shared" si="1"/>
        <v>2493</v>
      </c>
      <c r="I36" s="309">
        <f>IF(T_T134131132133134135[[#This Row],[Total]]&lt;0,T_T134131132133134135[[#This Row],[Total]]*-1,0)</f>
        <v>0</v>
      </c>
      <c r="J36" s="309"/>
      <c r="K36" s="313"/>
    </row>
    <row r="37" spans="1:11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2493</v>
      </c>
      <c r="I37" s="353">
        <f>IF(T_T134131132133134135[[#This Row],[Total]]&lt;0,T_T134131132133134135[[#This Row],[Total]]*-1,0)</f>
        <v>0</v>
      </c>
      <c r="J37" s="353"/>
      <c r="K37" s="354"/>
    </row>
    <row r="38" spans="1:11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2493</v>
      </c>
      <c r="I38" s="353">
        <f>IF(T_T134131132133134135[[#This Row],[Total]]&lt;0,T_T134131132133134135[[#This Row],[Total]]*-1,0)</f>
        <v>0</v>
      </c>
      <c r="J38" s="353"/>
      <c r="K38" s="354"/>
    </row>
    <row r="39" spans="1:11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2493</v>
      </c>
      <c r="I39" s="353">
        <f>IF(T_T134131132133134135[[#This Row],[Total]]&lt;0,T_T134131132133134135[[#This Row],[Total]]*-1,0)</f>
        <v>0</v>
      </c>
      <c r="J39" s="353"/>
      <c r="K39" s="354"/>
    </row>
    <row r="40" spans="1:11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2493</v>
      </c>
      <c r="I40" s="353">
        <f>IF(T_T134131132133134135[[#This Row],[Total]]&lt;0,T_T134131132133134135[[#This Row],[Total]]*-1,0)</f>
        <v>0</v>
      </c>
      <c r="J40" s="353"/>
      <c r="K40" s="354"/>
    </row>
    <row r="41" spans="1:11" x14ac:dyDescent="0.3">
      <c r="A41" s="17"/>
      <c r="B41" s="76"/>
      <c r="C41" s="466"/>
      <c r="D41" s="467"/>
      <c r="E41" s="467"/>
      <c r="F41" s="467"/>
      <c r="G41" s="467"/>
      <c r="H41" s="474"/>
      <c r="I41" s="475"/>
      <c r="J41" s="475"/>
      <c r="K41" s="76"/>
    </row>
    <row r="43" spans="1:11" x14ac:dyDescent="0.3">
      <c r="D43" s="1" t="s">
        <v>366</v>
      </c>
    </row>
  </sheetData>
  <hyperlinks>
    <hyperlink ref="B7" r:id="rId1" display="jose.orozco@outlook.com"/>
    <hyperlink ref="H7" location="Resumen!A1" display="Rsumen         "/>
  </hyperlinks>
  <pageMargins left="1.02" right="0.25" top="5.66" bottom="0.75" header="0.3" footer="0.3"/>
  <pageSetup scale="70" orientation="portrait" verticalDpi="360" r:id="rId2"/>
  <drawing r:id="rId3"/>
  <tableParts count="1">
    <tablePart r:id="rId4"/>
  </tablePart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M46"/>
  <sheetViews>
    <sheetView showGridLines="0" zoomScale="85" zoomScaleNormal="85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7.109375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3" max="13" width="10.88671875" bestFit="1" customWidth="1"/>
    <col min="14" max="14" width="17.6640625" customWidth="1"/>
  </cols>
  <sheetData>
    <row r="2" spans="1:13" ht="13.5" customHeight="1" x14ac:dyDescent="0.3">
      <c r="A2" s="27" t="s">
        <v>36</v>
      </c>
      <c r="B2" s="41" t="s">
        <v>184</v>
      </c>
    </row>
    <row r="3" spans="1:13" hidden="1" x14ac:dyDescent="0.3">
      <c r="A3" s="27" t="s">
        <v>31</v>
      </c>
      <c r="B3" s="28" t="e">
        <f>LOOKUP(B2,#REF!,#REF!)</f>
        <v>#REF!</v>
      </c>
    </row>
    <row r="4" spans="1:13" hidden="1" x14ac:dyDescent="0.3">
      <c r="A4" s="27" t="s">
        <v>32</v>
      </c>
      <c r="B4" s="28" t="e">
        <f>LOOKUP(B2,#REF!,#REF!)</f>
        <v>#REF!</v>
      </c>
    </row>
    <row r="5" spans="1:13" hidden="1" x14ac:dyDescent="0.3">
      <c r="A5" s="27" t="s">
        <v>33</v>
      </c>
      <c r="B5" s="28" t="e">
        <f>LOOKUP(B2,#REF!,#REF!)</f>
        <v>#REF!</v>
      </c>
    </row>
    <row r="6" spans="1:13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3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3" x14ac:dyDescent="0.3">
      <c r="A8" s="21"/>
      <c r="B8" s="21" t="s">
        <v>252</v>
      </c>
    </row>
    <row r="9" spans="1:13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</row>
    <row r="10" spans="1:13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/>
      <c r="M10" s="178"/>
    </row>
    <row r="11" spans="1:13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IF(T_T134131132133134135136[[#This Row],[Total]]&lt;0,T_T134131132133134135136[[#This Row],[Total]]*-1,0)</f>
        <v>0</v>
      </c>
    </row>
    <row r="12" spans="1:13" x14ac:dyDescent="0.3">
      <c r="A12" s="117"/>
      <c r="B12" s="118" t="s">
        <v>467</v>
      </c>
      <c r="C12" s="284"/>
      <c r="D12" s="285"/>
      <c r="E12" s="285"/>
      <c r="F12" s="285"/>
      <c r="G12" s="285"/>
      <c r="H12" s="10">
        <v>0</v>
      </c>
      <c r="I12" s="51">
        <f>IF(T_T134131132133134135136[[#This Row],[Total]]&lt;0,T_T134131132133134135136[[#This Row],[Total]]*-1,0)</f>
        <v>0</v>
      </c>
    </row>
    <row r="13" spans="1:13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IF(T_T134131132133134135136[[#This Row],[Total]]&lt;0,T_T134131132133134135136[[#This Row],[Total]]*-1,0)</f>
        <v>0</v>
      </c>
    </row>
    <row r="14" spans="1:13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/>
    </row>
    <row r="15" spans="1:13" x14ac:dyDescent="0.3">
      <c r="A15" s="17">
        <v>46052</v>
      </c>
      <c r="B15" s="18" t="s">
        <v>590</v>
      </c>
      <c r="C15" s="6"/>
      <c r="D15" s="2">
        <v>229</v>
      </c>
      <c r="E15" s="2">
        <v>13</v>
      </c>
      <c r="F15" s="20"/>
      <c r="G15" s="20">
        <f>SUM(D15:F15)</f>
        <v>242</v>
      </c>
      <c r="H15" s="233">
        <f>+H13+T_T134131132133134135136[[#This Row],[Total]]</f>
        <v>242</v>
      </c>
      <c r="I15" s="240">
        <f>IF(T_T134131132133134135136[[#This Row],[Total]]&lt;0,T_T134131132133134135136[[#This Row],[Total]]*-1,0)</f>
        <v>0</v>
      </c>
      <c r="K15" t="s">
        <v>631</v>
      </c>
    </row>
    <row r="16" spans="1:13" x14ac:dyDescent="0.3">
      <c r="A16" s="17"/>
      <c r="B16" s="18" t="s">
        <v>591</v>
      </c>
      <c r="C16" s="6" t="s">
        <v>640</v>
      </c>
      <c r="D16" s="2">
        <v>-229</v>
      </c>
      <c r="E16" s="2">
        <v>-13</v>
      </c>
      <c r="F16" s="230"/>
      <c r="G16" s="230">
        <f t="shared" ref="G16:G38" si="0">SUM(D16:F16)</f>
        <v>-242</v>
      </c>
      <c r="H16" s="233">
        <f t="shared" ref="H16:H40" si="1">H15+G16</f>
        <v>0</v>
      </c>
      <c r="I16" s="240">
        <f>IF(T_T134131132133134135136[[#This Row],[Total]]&lt;0,T_T134131132133134135136[[#This Row],[Total]]*-1,0)</f>
        <v>242</v>
      </c>
      <c r="K16" t="s">
        <v>632</v>
      </c>
    </row>
    <row r="17" spans="1:12" x14ac:dyDescent="0.3">
      <c r="A17" s="164">
        <v>46080</v>
      </c>
      <c r="B17" s="161" t="s">
        <v>592</v>
      </c>
      <c r="C17" s="6"/>
      <c r="D17" s="2">
        <v>229</v>
      </c>
      <c r="E17" s="2">
        <v>18</v>
      </c>
      <c r="F17" s="230"/>
      <c r="G17" s="230">
        <f t="shared" si="0"/>
        <v>247</v>
      </c>
      <c r="H17" s="233">
        <f t="shared" si="1"/>
        <v>247</v>
      </c>
      <c r="I17" s="240">
        <f>IF(T_T134131132133134135136[[#This Row],[Total]]&lt;0,T_T134131132133134135136[[#This Row],[Total]]*-1,0)</f>
        <v>0</v>
      </c>
      <c r="K17" t="s">
        <v>633</v>
      </c>
    </row>
    <row r="18" spans="1:12" x14ac:dyDescent="0.3">
      <c r="A18" s="187"/>
      <c r="B18" s="18" t="s">
        <v>593</v>
      </c>
      <c r="C18" s="6" t="s">
        <v>640</v>
      </c>
      <c r="D18" s="2">
        <v>-229</v>
      </c>
      <c r="E18" s="2">
        <v>-18</v>
      </c>
      <c r="F18" s="230"/>
      <c r="G18" s="230">
        <f t="shared" si="0"/>
        <v>-247</v>
      </c>
      <c r="H18" s="233">
        <f t="shared" si="1"/>
        <v>0</v>
      </c>
      <c r="I18" s="240">
        <f>IF(T_T134131132133134135136[[#This Row],[Total]]&lt;0,T_T134131132133134135136[[#This Row],[Total]]*-1,0)</f>
        <v>247</v>
      </c>
    </row>
    <row r="19" spans="1:12" x14ac:dyDescent="0.3">
      <c r="A19" s="188">
        <v>46112</v>
      </c>
      <c r="B19" s="3" t="s">
        <v>594</v>
      </c>
      <c r="C19" s="6"/>
      <c r="D19" s="2">
        <v>262</v>
      </c>
      <c r="E19" s="2">
        <v>17</v>
      </c>
      <c r="F19" s="230"/>
      <c r="G19" s="230">
        <f t="shared" si="0"/>
        <v>279</v>
      </c>
      <c r="H19" s="233">
        <f t="shared" si="1"/>
        <v>279</v>
      </c>
      <c r="I19" s="240">
        <f>IF(T_T134131132133134135136[[#This Row],[Total]]&lt;0,T_T134131132133134135136[[#This Row],[Total]]*-1,0)</f>
        <v>0</v>
      </c>
    </row>
    <row r="20" spans="1:12" x14ac:dyDescent="0.3">
      <c r="A20" s="188"/>
      <c r="B20" s="82" t="s">
        <v>595</v>
      </c>
      <c r="C20" s="6" t="s">
        <v>640</v>
      </c>
      <c r="D20" s="2">
        <f>-229-33</f>
        <v>-262</v>
      </c>
      <c r="E20" s="2">
        <v>-17</v>
      </c>
      <c r="F20" s="230"/>
      <c r="G20" s="230">
        <f t="shared" si="0"/>
        <v>-279</v>
      </c>
      <c r="H20" s="233">
        <f t="shared" si="1"/>
        <v>0</v>
      </c>
      <c r="I20" s="239">
        <f>IF(T_T134131132133134135136[[#This Row],[Total]]&lt;0,T_T134131132133134135136[[#This Row],[Total]]*-1,0)</f>
        <v>279</v>
      </c>
    </row>
    <row r="21" spans="1:12" x14ac:dyDescent="0.3">
      <c r="A21" s="188">
        <v>46142</v>
      </c>
      <c r="B21" s="3" t="s">
        <v>596</v>
      </c>
      <c r="C21" s="6"/>
      <c r="D21" s="2">
        <v>262</v>
      </c>
      <c r="E21" s="2">
        <v>17</v>
      </c>
      <c r="F21" s="230"/>
      <c r="G21" s="230">
        <f t="shared" si="0"/>
        <v>279</v>
      </c>
      <c r="H21" s="233">
        <f t="shared" si="1"/>
        <v>279</v>
      </c>
      <c r="I21" s="240">
        <f>IF(T_T134131132133134135136[[#This Row],[Total]]&lt;0,T_T134131132133134135136[[#This Row],[Total]]*-1,0)</f>
        <v>0</v>
      </c>
    </row>
    <row r="22" spans="1:12" x14ac:dyDescent="0.3">
      <c r="A22" s="83"/>
      <c r="B22" s="82" t="s">
        <v>597</v>
      </c>
      <c r="C22" s="6" t="s">
        <v>661</v>
      </c>
      <c r="D22" s="2">
        <f>-229-33</f>
        <v>-262</v>
      </c>
      <c r="E22" s="2">
        <v>-17</v>
      </c>
      <c r="F22" s="230"/>
      <c r="G22" s="230">
        <f t="shared" si="0"/>
        <v>-279</v>
      </c>
      <c r="H22" s="233">
        <f t="shared" si="1"/>
        <v>0</v>
      </c>
      <c r="I22" s="240">
        <f>IF(T_T134131132133134135136[[#This Row],[Total]]&lt;0,T_T134131132133134135136[[#This Row],[Total]]*-1,0)</f>
        <v>279</v>
      </c>
    </row>
    <row r="23" spans="1:12" x14ac:dyDescent="0.3">
      <c r="A23" s="40">
        <v>46172</v>
      </c>
      <c r="B23" s="3" t="s">
        <v>598</v>
      </c>
      <c r="C23" s="229"/>
      <c r="D23" s="230">
        <v>262</v>
      </c>
      <c r="E23" s="230">
        <v>21</v>
      </c>
      <c r="F23" s="230"/>
      <c r="G23" s="230">
        <f t="shared" si="0"/>
        <v>283</v>
      </c>
      <c r="H23" s="233">
        <f t="shared" si="1"/>
        <v>283</v>
      </c>
      <c r="I23" s="240">
        <f>IF(T_T134131132133134135136[[#This Row],[Total]]&lt;0,T_T134131132133134135136[[#This Row],[Total]]*-1,0)</f>
        <v>0</v>
      </c>
    </row>
    <row r="24" spans="1:12" x14ac:dyDescent="0.3">
      <c r="A24" s="9"/>
      <c r="B24" s="18" t="s">
        <v>599</v>
      </c>
      <c r="C24" s="6" t="s">
        <v>640</v>
      </c>
      <c r="D24" s="2">
        <f>-229-33</f>
        <v>-262</v>
      </c>
      <c r="E24" s="230"/>
      <c r="F24" s="230"/>
      <c r="G24" s="230">
        <f t="shared" si="0"/>
        <v>-262</v>
      </c>
      <c r="H24" s="233">
        <f t="shared" si="1"/>
        <v>21</v>
      </c>
      <c r="I24" s="240">
        <f>IF(T_T134131132133134135136[[#This Row],[Total]]&lt;0,T_T134131132133134135136[[#This Row],[Total]]*-1,0)</f>
        <v>262</v>
      </c>
    </row>
    <row r="25" spans="1:12" x14ac:dyDescent="0.3">
      <c r="A25" s="9">
        <v>46203</v>
      </c>
      <c r="B25" s="3" t="s">
        <v>600</v>
      </c>
      <c r="C25" s="229"/>
      <c r="D25" s="230">
        <v>262</v>
      </c>
      <c r="E25" s="230"/>
      <c r="F25" s="230"/>
      <c r="G25" s="230">
        <f t="shared" si="0"/>
        <v>262</v>
      </c>
      <c r="H25" s="233">
        <f t="shared" si="1"/>
        <v>283</v>
      </c>
      <c r="I25" s="240">
        <f>IF(T_T134131132133134135136[[#This Row],[Total]]&lt;0,T_T134131132133134135136[[#This Row],[Total]]*-1,0)</f>
        <v>0</v>
      </c>
      <c r="L25" t="s">
        <v>366</v>
      </c>
    </row>
    <row r="26" spans="1:12" x14ac:dyDescent="0.3">
      <c r="A26" s="9"/>
      <c r="B26" s="18" t="s">
        <v>601</v>
      </c>
      <c r="C26" s="6" t="s">
        <v>640</v>
      </c>
      <c r="D26" s="2">
        <f>-229-33</f>
        <v>-262</v>
      </c>
      <c r="E26" s="230"/>
      <c r="F26" s="230"/>
      <c r="G26" s="230">
        <f t="shared" si="0"/>
        <v>-262</v>
      </c>
      <c r="H26" s="233">
        <f t="shared" si="1"/>
        <v>21</v>
      </c>
      <c r="I26" s="240">
        <f>IF(T_T134131132133134135136[[#This Row],[Total]]&lt;0,T_T134131132133134135136[[#This Row],[Total]]*-1,0)</f>
        <v>262</v>
      </c>
    </row>
    <row r="27" spans="1:12" x14ac:dyDescent="0.3">
      <c r="A27" s="107">
        <v>46233</v>
      </c>
      <c r="B27" s="82" t="s">
        <v>602</v>
      </c>
      <c r="C27" s="229"/>
      <c r="D27" s="230">
        <v>262</v>
      </c>
      <c r="E27" s="230"/>
      <c r="F27" s="230"/>
      <c r="G27" s="230">
        <f t="shared" si="0"/>
        <v>262</v>
      </c>
      <c r="H27" s="233">
        <f t="shared" si="1"/>
        <v>283</v>
      </c>
      <c r="I27" s="240">
        <f>IF(T_T134131132133134135136[[#This Row],[Total]]&lt;0,T_T134131132133134135136[[#This Row],[Total]]*-1,0)</f>
        <v>0</v>
      </c>
    </row>
    <row r="28" spans="1:12" x14ac:dyDescent="0.3">
      <c r="A28" s="107"/>
      <c r="B28" s="82" t="s">
        <v>603</v>
      </c>
      <c r="C28" s="6">
        <v>8827</v>
      </c>
      <c r="D28" s="230">
        <v>-262</v>
      </c>
      <c r="E28" s="230"/>
      <c r="F28" s="230"/>
      <c r="G28" s="230">
        <f t="shared" si="0"/>
        <v>-262</v>
      </c>
      <c r="H28" s="233">
        <f t="shared" si="1"/>
        <v>21</v>
      </c>
      <c r="I28" s="239">
        <f>IF(T_T134131132133134135136[[#This Row],[Total]]&lt;0,T_T134131132133134135136[[#This Row],[Total]]*-1,0)</f>
        <v>262</v>
      </c>
    </row>
    <row r="29" spans="1:12" x14ac:dyDescent="0.3">
      <c r="A29" s="107">
        <v>45899</v>
      </c>
      <c r="B29" s="82" t="s">
        <v>604</v>
      </c>
      <c r="C29" s="229"/>
      <c r="D29" s="230">
        <v>262</v>
      </c>
      <c r="E29" s="230"/>
      <c r="F29" s="230"/>
      <c r="G29" s="230">
        <f t="shared" si="0"/>
        <v>262</v>
      </c>
      <c r="H29" s="233">
        <f t="shared" si="1"/>
        <v>283</v>
      </c>
      <c r="I29" s="309">
        <f>IF(T_T134131132133134135136[[#This Row],[Total]]&lt;0,T_T134131132133134135136[[#This Row],[Total]]*-1,0)</f>
        <v>0</v>
      </c>
    </row>
    <row r="30" spans="1:12" x14ac:dyDescent="0.3">
      <c r="A30" s="107"/>
      <c r="B30" s="82" t="s">
        <v>545</v>
      </c>
      <c r="C30" s="6">
        <v>8827</v>
      </c>
      <c r="D30" s="230">
        <v>-262</v>
      </c>
      <c r="E30" s="230"/>
      <c r="F30" s="230"/>
      <c r="G30" s="230">
        <f t="shared" si="0"/>
        <v>-262</v>
      </c>
      <c r="H30" s="233">
        <f t="shared" si="1"/>
        <v>21</v>
      </c>
      <c r="I30" s="309">
        <f>IF(T_T134131132133134135136[[#This Row],[Total]]&lt;0,T_T134131132133134135136[[#This Row],[Total]]*-1,0)</f>
        <v>262</v>
      </c>
    </row>
    <row r="31" spans="1:12" x14ac:dyDescent="0.3">
      <c r="A31" s="9">
        <v>45930</v>
      </c>
      <c r="B31" s="3" t="s">
        <v>546</v>
      </c>
      <c r="C31" s="229"/>
      <c r="D31" s="230">
        <v>262</v>
      </c>
      <c r="E31" s="230"/>
      <c r="F31" s="230"/>
      <c r="G31" s="230">
        <f t="shared" si="0"/>
        <v>262</v>
      </c>
      <c r="H31" s="233">
        <f t="shared" si="1"/>
        <v>283</v>
      </c>
      <c r="I31" s="309">
        <f>IF(T_T134131132133134135136[[#This Row],[Total]]&lt;0,T_T134131132133134135136[[#This Row],[Total]]*-1,0)</f>
        <v>0</v>
      </c>
    </row>
    <row r="32" spans="1:12" x14ac:dyDescent="0.3">
      <c r="A32" s="9"/>
      <c r="B32" s="3" t="s">
        <v>547</v>
      </c>
      <c r="C32" s="6">
        <v>8827</v>
      </c>
      <c r="D32" s="230">
        <v>-262</v>
      </c>
      <c r="E32" s="230"/>
      <c r="F32" s="230"/>
      <c r="G32" s="230">
        <f t="shared" si="0"/>
        <v>-262</v>
      </c>
      <c r="H32" s="233">
        <f t="shared" si="1"/>
        <v>21</v>
      </c>
      <c r="I32" s="309">
        <f>IF(T_T134131132133134135136[[#This Row],[Total]]&lt;0,T_T134131132133134135136[[#This Row],[Total]]*-1,0)</f>
        <v>262</v>
      </c>
    </row>
    <row r="33" spans="1:9" x14ac:dyDescent="0.3">
      <c r="A33" s="9">
        <v>45960</v>
      </c>
      <c r="B33" s="3" t="s">
        <v>548</v>
      </c>
      <c r="C33" s="229"/>
      <c r="D33" s="230">
        <v>262</v>
      </c>
      <c r="E33" s="230"/>
      <c r="F33" s="230"/>
      <c r="G33" s="230">
        <f t="shared" si="0"/>
        <v>262</v>
      </c>
      <c r="H33" s="233">
        <f t="shared" si="1"/>
        <v>283</v>
      </c>
      <c r="I33" s="309">
        <f>IF(T_T134131132133134135136[[#This Row],[Total]]&lt;0,T_T134131132133134135136[[#This Row],[Total]]*-1,0)</f>
        <v>0</v>
      </c>
    </row>
    <row r="34" spans="1:9" x14ac:dyDescent="0.3">
      <c r="A34" s="9"/>
      <c r="B34" s="3" t="s">
        <v>549</v>
      </c>
      <c r="C34" s="6">
        <v>8827</v>
      </c>
      <c r="D34" s="230">
        <v>-262</v>
      </c>
      <c r="E34" s="230"/>
      <c r="F34" s="230"/>
      <c r="G34" s="230">
        <f t="shared" si="0"/>
        <v>-262</v>
      </c>
      <c r="H34" s="233">
        <f t="shared" si="1"/>
        <v>21</v>
      </c>
      <c r="I34" s="309">
        <f>IF(T_T134131132133134135136[[#This Row],[Total]]&lt;0,T_T134131132133134135136[[#This Row],[Total]]*-1,0)</f>
        <v>262</v>
      </c>
    </row>
    <row r="35" spans="1:9" x14ac:dyDescent="0.3">
      <c r="A35" s="9">
        <v>45991</v>
      </c>
      <c r="B35" s="3" t="s">
        <v>550</v>
      </c>
      <c r="C35" s="229"/>
      <c r="D35" s="230">
        <v>262</v>
      </c>
      <c r="E35" s="230"/>
      <c r="F35" s="230"/>
      <c r="G35" s="230">
        <f t="shared" si="0"/>
        <v>262</v>
      </c>
      <c r="H35" s="233">
        <f t="shared" si="1"/>
        <v>283</v>
      </c>
      <c r="I35" s="309">
        <f>IF(T_T134131132133134135136[[#This Row],[Total]]&lt;0,T_T134131132133134135136[[#This Row],[Total]]*-1,0)</f>
        <v>0</v>
      </c>
    </row>
    <row r="36" spans="1:9" x14ac:dyDescent="0.3">
      <c r="A36" s="17"/>
      <c r="B36" s="18" t="s">
        <v>551</v>
      </c>
      <c r="C36" s="6">
        <v>8827</v>
      </c>
      <c r="D36" s="230">
        <v>-262</v>
      </c>
      <c r="E36" s="230"/>
      <c r="F36" s="230"/>
      <c r="G36" s="230">
        <f t="shared" si="0"/>
        <v>-262</v>
      </c>
      <c r="H36" s="233">
        <f t="shared" si="1"/>
        <v>21</v>
      </c>
      <c r="I36" s="311">
        <f>IF(T_T134131132133134135136[[#This Row],[Total]]&lt;0,T_T134131132133134135136[[#This Row],[Total]]*-1,0)</f>
        <v>262</v>
      </c>
    </row>
    <row r="37" spans="1:9" x14ac:dyDescent="0.3">
      <c r="A37" s="188">
        <v>46021</v>
      </c>
      <c r="B37" s="3" t="s">
        <v>552</v>
      </c>
      <c r="C37" s="229"/>
      <c r="D37" s="230">
        <v>262</v>
      </c>
      <c r="E37" s="230"/>
      <c r="F37" s="230"/>
      <c r="G37" s="230">
        <f t="shared" si="0"/>
        <v>262</v>
      </c>
      <c r="H37" s="233">
        <f t="shared" si="1"/>
        <v>283</v>
      </c>
      <c r="I37" s="353">
        <f>IF(T_T134131132133134135136[[#This Row],[Total]]&lt;0,T_T134131132133134135136[[#This Row],[Total]]*-1,0)</f>
        <v>0</v>
      </c>
    </row>
    <row r="38" spans="1:9" x14ac:dyDescent="0.3">
      <c r="A38" s="257"/>
      <c r="B38" s="110" t="s">
        <v>553</v>
      </c>
      <c r="C38" s="6">
        <v>8827</v>
      </c>
      <c r="D38" s="230">
        <v>-262</v>
      </c>
      <c r="E38" s="230"/>
      <c r="F38" s="230"/>
      <c r="G38" s="230">
        <f t="shared" si="0"/>
        <v>-262</v>
      </c>
      <c r="H38" s="233">
        <f t="shared" si="1"/>
        <v>21</v>
      </c>
      <c r="I38" s="353">
        <f>IF(T_T134131132133134135136[[#This Row],[Total]]&lt;0,T_T134131132133134135136[[#This Row],[Total]]*-1,0)</f>
        <v>262</v>
      </c>
    </row>
    <row r="39" spans="1:9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21</v>
      </c>
      <c r="I39" s="353">
        <f>IF(T_T134131132133134135136[[#This Row],[Total]]&lt;0,T_T134131132133134135136[[#This Row],[Total]]*-1,0)</f>
        <v>0</v>
      </c>
    </row>
    <row r="40" spans="1:9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21</v>
      </c>
      <c r="I40" s="353">
        <f>IF(T_T134131132133134135136[[#This Row],[Total]]&lt;0,T_T134131132133134135136[[#This Row],[Total]]*-1,0)</f>
        <v>0</v>
      </c>
    </row>
    <row r="46" spans="1:9" x14ac:dyDescent="0.3">
      <c r="F46" s="1" t="s">
        <v>366</v>
      </c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scale="70" orientation="portrait" verticalDpi="360" r:id="rId2"/>
  <drawing r:id="rId3"/>
  <tableParts count="1">
    <tablePart r:id="rId4"/>
  </tablePart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P39"/>
  <sheetViews>
    <sheetView showGridLines="0" zoomScale="85" zoomScaleNormal="85" workbookViewId="0">
      <selection activeCell="E24" sqref="E24"/>
    </sheetView>
  </sheetViews>
  <sheetFormatPr baseColWidth="10" defaultColWidth="9.109375" defaultRowHeight="14.4" x14ac:dyDescent="0.3"/>
  <cols>
    <col min="1" max="1" width="14.6640625" customWidth="1"/>
    <col min="2" max="2" width="38" customWidth="1"/>
    <col min="3" max="3" width="13.33203125" style="4" bestFit="1" customWidth="1"/>
    <col min="4" max="4" width="14.109375" style="1" customWidth="1"/>
    <col min="5" max="5" width="11.88671875" style="1" customWidth="1"/>
    <col min="6" max="6" width="9.109375" style="1" customWidth="1"/>
    <col min="7" max="7" width="11.88671875" style="1" customWidth="1"/>
    <col min="8" max="8" width="12.44140625" style="1" customWidth="1"/>
    <col min="9" max="9" width="12.88671875" hidden="1" customWidth="1"/>
    <col min="10" max="10" width="2.88671875" customWidth="1"/>
    <col min="13" max="13" width="7" customWidth="1"/>
    <col min="14" max="14" width="10.6640625" bestFit="1" customWidth="1"/>
    <col min="15" max="15" width="18.109375" customWidth="1"/>
  </cols>
  <sheetData>
    <row r="2" spans="1:16" ht="15.6" x14ac:dyDescent="0.3">
      <c r="A2" s="27" t="s">
        <v>36</v>
      </c>
      <c r="B2" s="41" t="s">
        <v>185</v>
      </c>
    </row>
    <row r="3" spans="1:16" ht="1.5" customHeight="1" x14ac:dyDescent="0.3">
      <c r="A3" s="27" t="s">
        <v>31</v>
      </c>
      <c r="B3" s="28" t="e">
        <f>LOOKUP(B2,#REF!,#REF!)</f>
        <v>#REF!</v>
      </c>
    </row>
    <row r="4" spans="1:16" hidden="1" x14ac:dyDescent="0.3">
      <c r="A4" s="27" t="s">
        <v>32</v>
      </c>
      <c r="B4" s="28" t="e">
        <f>LOOKUP(B2,#REF!,#REF!)</f>
        <v>#REF!</v>
      </c>
    </row>
    <row r="5" spans="1:16" hidden="1" x14ac:dyDescent="0.3">
      <c r="A5" s="27" t="s">
        <v>33</v>
      </c>
      <c r="B5" s="28" t="e">
        <f>LOOKUP(B2,#REF!,#REF!)</f>
        <v>#REF!</v>
      </c>
    </row>
    <row r="6" spans="1:16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6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6" x14ac:dyDescent="0.3">
      <c r="A8" s="21"/>
      <c r="B8" t="s">
        <v>357</v>
      </c>
      <c r="C8"/>
      <c r="D8"/>
    </row>
    <row r="9" spans="1:16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75" t="s">
        <v>188</v>
      </c>
    </row>
    <row r="10" spans="1:16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/>
      <c r="J10" s="52"/>
      <c r="P10" s="178"/>
    </row>
    <row r="11" spans="1:16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IF(T_T134131132133134135136137[[#This Row],[Total]]&lt;0,T_T134131132133134135136137[[#This Row],[Total]]*-1,0)</f>
        <v>0</v>
      </c>
      <c r="J11" s="240"/>
    </row>
    <row r="12" spans="1:16" x14ac:dyDescent="0.3">
      <c r="A12" s="117"/>
      <c r="B12" s="118" t="s">
        <v>467</v>
      </c>
      <c r="C12" s="284"/>
      <c r="D12" s="285"/>
      <c r="E12" s="285"/>
      <c r="F12" s="285"/>
      <c r="G12" s="285"/>
      <c r="H12" s="10">
        <v>0</v>
      </c>
      <c r="I12" s="51">
        <f>IF(T_T134131132133134135136137[[#This Row],[Total]]&lt;0,T_T134131132133134135136137[[#This Row],[Total]]*-1,0)</f>
        <v>0</v>
      </c>
      <c r="J12" s="51"/>
    </row>
    <row r="13" spans="1:16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IF(T_T134131132133134135136137[[#This Row],[Total]]&lt;0,T_T134131132133134135136137[[#This Row],[Total]]*-1,0)</f>
        <v>0</v>
      </c>
      <c r="J13" s="240"/>
    </row>
    <row r="14" spans="1:16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IF(T_T134131132133134135136137[[#This Row],[Total]]&lt;0,T_T134131132133134135136137[[#This Row],[Total]]*-1,0)</f>
        <v>0</v>
      </c>
      <c r="J14" s="473"/>
    </row>
    <row r="15" spans="1:16" x14ac:dyDescent="0.3">
      <c r="A15" s="17">
        <v>46052</v>
      </c>
      <c r="B15" s="18" t="s">
        <v>590</v>
      </c>
      <c r="C15" s="546"/>
      <c r="D15" s="547">
        <v>256</v>
      </c>
      <c r="E15" s="2">
        <v>26</v>
      </c>
      <c r="F15" s="20"/>
      <c r="G15" s="20">
        <f>+T_T134131132133134135136137[[#This Row],[Expensas]]+T_T134131132133134135136137[[#This Row],[Agua]]</f>
        <v>282</v>
      </c>
      <c r="H15" s="233">
        <f>+H13+T_T134131132133134135136137[[#This Row],[Total]]</f>
        <v>282</v>
      </c>
      <c r="I15" s="240">
        <f>IF(T_T134131132133134135136137[[#This Row],[Total]]&lt;0,T_T134131132133134135136137[[#This Row],[Total]]*-1,0)</f>
        <v>0</v>
      </c>
      <c r="J15" s="240"/>
    </row>
    <row r="16" spans="1:16" x14ac:dyDescent="0.3">
      <c r="A16" s="17"/>
      <c r="B16" s="18" t="s">
        <v>591</v>
      </c>
      <c r="C16" s="548" t="s">
        <v>614</v>
      </c>
      <c r="D16" s="549">
        <v>-256</v>
      </c>
      <c r="E16" s="2">
        <v>-26</v>
      </c>
      <c r="F16" s="230"/>
      <c r="G16" s="20">
        <f>+T_T134131132133134135136137[[#This Row],[Expensas]]+T_T134131132133134135136137[[#This Row],[Agua]]</f>
        <v>-282</v>
      </c>
      <c r="H16" s="233">
        <f t="shared" ref="H16:H39" si="0">H15+G16</f>
        <v>0</v>
      </c>
      <c r="I16" s="239">
        <f>IF(T_T134131132133134135136137[[#This Row],[Total]]&lt;0,T_T134131132133134135136137[[#This Row],[Total]]*-1,0)</f>
        <v>282</v>
      </c>
      <c r="J16" s="239"/>
    </row>
    <row r="17" spans="1:10" x14ac:dyDescent="0.3">
      <c r="A17" s="164">
        <v>46080</v>
      </c>
      <c r="B17" s="161" t="s">
        <v>592</v>
      </c>
      <c r="C17" s="546"/>
      <c r="D17" s="547">
        <v>256</v>
      </c>
      <c r="E17" s="2">
        <v>19</v>
      </c>
      <c r="F17" s="230"/>
      <c r="G17" s="20">
        <f>+T_T134131132133134135136137[[#This Row],[Expensas]]+T_T134131132133134135136137[[#This Row],[Agua]]</f>
        <v>275</v>
      </c>
      <c r="H17" s="233">
        <f t="shared" si="0"/>
        <v>275</v>
      </c>
      <c r="I17" s="240">
        <f>IF(T_T134131132133134135136137[[#This Row],[Total]]&lt;0,T_T134131132133134135136137[[#This Row],[Total]]*-1,0)</f>
        <v>0</v>
      </c>
      <c r="J17" s="240"/>
    </row>
    <row r="18" spans="1:10" x14ac:dyDescent="0.3">
      <c r="A18" s="187"/>
      <c r="B18" s="18" t="s">
        <v>593</v>
      </c>
      <c r="C18" s="144" t="s">
        <v>636</v>
      </c>
      <c r="D18" s="549">
        <v>-256</v>
      </c>
      <c r="E18" s="2">
        <v>-19</v>
      </c>
      <c r="F18" s="230"/>
      <c r="G18" s="20">
        <f>+T_T134131132133134135136137[[#This Row],[Expensas]]+T_T134131132133134135136137[[#This Row],[Agua]]</f>
        <v>-275</v>
      </c>
      <c r="H18" s="233">
        <f t="shared" si="0"/>
        <v>0</v>
      </c>
      <c r="I18" s="240">
        <f>IF(T_T134131132133134135136137[[#This Row],[Total]]&lt;0,T_T134131132133134135136137[[#This Row],[Total]]*-1,0)</f>
        <v>275</v>
      </c>
      <c r="J18" s="240"/>
    </row>
    <row r="19" spans="1:10" x14ac:dyDescent="0.3">
      <c r="A19" s="188">
        <v>46112</v>
      </c>
      <c r="B19" s="3" t="s">
        <v>594</v>
      </c>
      <c r="C19" s="535"/>
      <c r="D19" s="536">
        <v>291</v>
      </c>
      <c r="E19" s="2">
        <v>35</v>
      </c>
      <c r="F19" s="230"/>
      <c r="G19" s="20">
        <f>+T_T134131132133134135136137[[#This Row],[Expensas]]+T_T134131132133134135136137[[#This Row],[Agua]]</f>
        <v>326</v>
      </c>
      <c r="H19" s="233">
        <f t="shared" si="0"/>
        <v>326</v>
      </c>
      <c r="I19" s="240">
        <f>IF(T_T134131132133134135136137[[#This Row],[Total]]&lt;0,T_T134131132133134135136137[[#This Row],[Total]]*-1,0)</f>
        <v>0</v>
      </c>
      <c r="J19" s="240"/>
    </row>
    <row r="20" spans="1:10" x14ac:dyDescent="0.3">
      <c r="A20" s="188"/>
      <c r="B20" s="82" t="s">
        <v>595</v>
      </c>
      <c r="C20" s="548">
        <v>83748802</v>
      </c>
      <c r="D20" s="534">
        <f>-256-35</f>
        <v>-291</v>
      </c>
      <c r="E20" s="2">
        <v>-35</v>
      </c>
      <c r="F20" s="230"/>
      <c r="G20" s="20">
        <f>+T_T134131132133134135136137[[#This Row],[Expensas]]+T_T134131132133134135136137[[#This Row],[Agua]]</f>
        <v>-326</v>
      </c>
      <c r="H20" s="233">
        <f t="shared" si="0"/>
        <v>0</v>
      </c>
      <c r="I20" s="239">
        <f>IF(T_T134131132133134135136137[[#This Row],[Total]]&lt;0,T_T134131132133134135136137[[#This Row],[Total]]*-1,0)</f>
        <v>326</v>
      </c>
      <c r="J20" s="239"/>
    </row>
    <row r="21" spans="1:10" x14ac:dyDescent="0.3">
      <c r="A21" s="188">
        <v>46142</v>
      </c>
      <c r="B21" s="3" t="s">
        <v>596</v>
      </c>
      <c r="C21" s="535"/>
      <c r="D21" s="536">
        <v>291</v>
      </c>
      <c r="E21" s="2">
        <v>27</v>
      </c>
      <c r="F21" s="230"/>
      <c r="G21" s="20">
        <f>+T_T134131132133134135136137[[#This Row],[Expensas]]+T_T134131132133134135136137[[#This Row],[Agua]]</f>
        <v>318</v>
      </c>
      <c r="H21" s="233">
        <f t="shared" si="0"/>
        <v>318</v>
      </c>
      <c r="I21" s="309">
        <f>IF(T_T134131132133134135136137[[#This Row],[Total]]&lt;0,T_T134131132133134135136137[[#This Row],[Total]]*-1,0)</f>
        <v>0</v>
      </c>
      <c r="J21" s="309"/>
    </row>
    <row r="22" spans="1:10" x14ac:dyDescent="0.3">
      <c r="A22" s="83"/>
      <c r="B22" s="82" t="s">
        <v>597</v>
      </c>
      <c r="C22" s="548">
        <v>8374</v>
      </c>
      <c r="D22" s="534">
        <f>-256-35</f>
        <v>-291</v>
      </c>
      <c r="E22" s="2"/>
      <c r="F22" s="230"/>
      <c r="G22" s="20">
        <f>+T_T134131132133134135136137[[#This Row],[Expensas]]+T_T134131132133134135136137[[#This Row],[Agua]]</f>
        <v>-291</v>
      </c>
      <c r="H22" s="233">
        <f t="shared" si="0"/>
        <v>27</v>
      </c>
      <c r="I22" s="309">
        <f>IF(T_T134131132133134135136137[[#This Row],[Total]]&lt;0,T_T134131132133134135136137[[#This Row],[Total]]*-1,0)</f>
        <v>291</v>
      </c>
      <c r="J22" s="309"/>
    </row>
    <row r="23" spans="1:10" x14ac:dyDescent="0.3">
      <c r="A23" s="40">
        <v>46172</v>
      </c>
      <c r="B23" s="3" t="s">
        <v>598</v>
      </c>
      <c r="C23" s="229"/>
      <c r="D23" s="230">
        <v>291</v>
      </c>
      <c r="E23" s="230">
        <v>23</v>
      </c>
      <c r="F23" s="230"/>
      <c r="G23" s="20">
        <f>+T_T134131132133134135136137[[#This Row],[Expensas]]+T_T134131132133134135136137[[#This Row],[Agua]]</f>
        <v>314</v>
      </c>
      <c r="H23" s="233">
        <f t="shared" si="0"/>
        <v>341</v>
      </c>
      <c r="I23" s="309">
        <f>IF(T_T134131132133134135136137[[#This Row],[Total]]&lt;0,T_T134131132133134135136137[[#This Row],[Total]]*-1,0)</f>
        <v>0</v>
      </c>
      <c r="J23" s="309"/>
    </row>
    <row r="24" spans="1:10" x14ac:dyDescent="0.3">
      <c r="A24" s="9"/>
      <c r="B24" s="18" t="s">
        <v>599</v>
      </c>
      <c r="C24" s="6">
        <v>-8804</v>
      </c>
      <c r="D24" s="230">
        <v>-291</v>
      </c>
      <c r="E24" s="230"/>
      <c r="F24" s="230"/>
      <c r="G24" s="20">
        <f>+T_T134131132133134135136137[[#This Row],[Expensas]]+T_T134131132133134135136137[[#This Row],[Agua]]</f>
        <v>-291</v>
      </c>
      <c r="H24" s="233">
        <f t="shared" si="0"/>
        <v>50</v>
      </c>
      <c r="I24" s="311">
        <f>IF(T_T134131132133134135136137[[#This Row],[Total]]&lt;0,T_T134131132133134135136137[[#This Row],[Total]]*-1,0)</f>
        <v>291</v>
      </c>
      <c r="J24" s="311"/>
    </row>
    <row r="25" spans="1:10" x14ac:dyDescent="0.3">
      <c r="A25" s="9">
        <v>46203</v>
      </c>
      <c r="B25" s="3" t="s">
        <v>600</v>
      </c>
      <c r="C25" s="229"/>
      <c r="D25" s="230">
        <v>291</v>
      </c>
      <c r="E25" s="230"/>
      <c r="F25" s="230"/>
      <c r="G25" s="20">
        <f>+T_T134131132133134135136137[[#This Row],[Expensas]]+T_T134131132133134135136137[[#This Row],[Agua]]</f>
        <v>291</v>
      </c>
      <c r="H25" s="233">
        <f t="shared" si="0"/>
        <v>341</v>
      </c>
      <c r="I25" s="309">
        <f>IF(T_T134131132133134135136137[[#This Row],[Total]]&lt;0,T_T134131132133134135136137[[#This Row],[Total]]*-1,0)</f>
        <v>0</v>
      </c>
      <c r="J25" s="309"/>
    </row>
    <row r="26" spans="1:10" x14ac:dyDescent="0.3">
      <c r="A26" s="9"/>
      <c r="B26" s="18" t="s">
        <v>601</v>
      </c>
      <c r="C26" s="6">
        <v>8804</v>
      </c>
      <c r="D26" s="230">
        <v>-291</v>
      </c>
      <c r="E26" s="230"/>
      <c r="F26" s="230"/>
      <c r="G26" s="20">
        <f>+T_T134131132133134135136137[[#This Row],[Expensas]]+T_T134131132133134135136137[[#This Row],[Agua]]</f>
        <v>-291</v>
      </c>
      <c r="H26" s="233">
        <f t="shared" si="0"/>
        <v>50</v>
      </c>
      <c r="I26" s="309">
        <f>IF(T_T134131132133134135136137[[#This Row],[Total]]&lt;0,T_T134131132133134135136137[[#This Row],[Total]]*-1,0)</f>
        <v>291</v>
      </c>
      <c r="J26" s="309"/>
    </row>
    <row r="27" spans="1:10" x14ac:dyDescent="0.3">
      <c r="A27" s="107">
        <v>46233</v>
      </c>
      <c r="B27" s="82" t="s">
        <v>602</v>
      </c>
      <c r="C27" s="229"/>
      <c r="D27" s="230">
        <v>291</v>
      </c>
      <c r="E27" s="230"/>
      <c r="F27" s="230"/>
      <c r="G27" s="20">
        <f>+T_T134131132133134135136137[[#This Row],[Expensas]]+T_T134131132133134135136137[[#This Row],[Agua]]</f>
        <v>291</v>
      </c>
      <c r="H27" s="233">
        <f t="shared" si="0"/>
        <v>341</v>
      </c>
      <c r="I27" s="309">
        <f>IF(T_T134131132133134135136137[[#This Row],[Total]]&lt;0,T_T134131132133134135136137[[#This Row],[Total]]*-1,0)</f>
        <v>0</v>
      </c>
      <c r="J27" s="309"/>
    </row>
    <row r="28" spans="1:10" x14ac:dyDescent="0.3">
      <c r="A28" s="107"/>
      <c r="B28" s="82" t="s">
        <v>603</v>
      </c>
      <c r="C28" s="6">
        <v>8804</v>
      </c>
      <c r="D28" s="230">
        <v>-291</v>
      </c>
      <c r="E28" s="230"/>
      <c r="F28" s="230"/>
      <c r="G28" s="20">
        <f>+T_T134131132133134135136137[[#This Row],[Expensas]]+T_T134131132133134135136137[[#This Row],[Agua]]</f>
        <v>-291</v>
      </c>
      <c r="H28" s="233">
        <f t="shared" si="0"/>
        <v>50</v>
      </c>
      <c r="I28" s="311">
        <f>IF(T_T134131132133134135136137[[#This Row],[Total]]&lt;0,T_T134131132133134135136137[[#This Row],[Total]]*-1,0)</f>
        <v>291</v>
      </c>
      <c r="J28" s="311"/>
    </row>
    <row r="29" spans="1:10" x14ac:dyDescent="0.3">
      <c r="A29" s="107">
        <v>46264</v>
      </c>
      <c r="B29" s="82" t="s">
        <v>604</v>
      </c>
      <c r="C29" s="229"/>
      <c r="D29" s="230">
        <v>291</v>
      </c>
      <c r="E29" s="230"/>
      <c r="F29" s="230"/>
      <c r="G29" s="20">
        <f>+T_T134131132133134135136137[[#This Row],[Expensas]]+T_T134131132133134135136137[[#This Row],[Agua]]</f>
        <v>291</v>
      </c>
      <c r="H29" s="233">
        <f t="shared" si="0"/>
        <v>341</v>
      </c>
      <c r="I29" s="309">
        <f>IF(T_T134131132133134135136137[[#This Row],[Total]]&lt;0,T_T134131132133134135136137[[#This Row],[Total]]*-1,0)</f>
        <v>0</v>
      </c>
      <c r="J29" s="309"/>
    </row>
    <row r="30" spans="1:10" x14ac:dyDescent="0.3">
      <c r="A30" s="107"/>
      <c r="B30" s="82" t="s">
        <v>605</v>
      </c>
      <c r="C30" s="6">
        <v>8804</v>
      </c>
      <c r="D30" s="230">
        <v>-291</v>
      </c>
      <c r="E30" s="230"/>
      <c r="F30" s="230"/>
      <c r="G30" s="20">
        <f>+T_T134131132133134135136137[[#This Row],[Expensas]]+T_T134131132133134135136137[[#This Row],[Agua]]</f>
        <v>-291</v>
      </c>
      <c r="H30" s="233">
        <f t="shared" si="0"/>
        <v>50</v>
      </c>
      <c r="I30" s="309">
        <f>IF(T_T134131132133134135136137[[#This Row],[Total]]&lt;0,T_T134131132133134135136137[[#This Row],[Total]]*-1,0)</f>
        <v>291</v>
      </c>
      <c r="J30" s="309"/>
    </row>
    <row r="31" spans="1:10" x14ac:dyDescent="0.3">
      <c r="A31" s="9">
        <v>46295</v>
      </c>
      <c r="B31" s="3" t="s">
        <v>606</v>
      </c>
      <c r="C31" s="229"/>
      <c r="D31" s="230"/>
      <c r="E31" s="230"/>
      <c r="F31" s="230"/>
      <c r="G31" s="20">
        <f>+T_T134131132133134135136137[[#This Row],[Expensas]]+T_T134131132133134135136137[[#This Row],[Agua]]</f>
        <v>0</v>
      </c>
      <c r="H31" s="233">
        <f t="shared" si="0"/>
        <v>50</v>
      </c>
      <c r="I31" s="309">
        <f>IF(T_T134131132133134135136137[[#This Row],[Total]]&lt;0,T_T134131132133134135136137[[#This Row],[Total]]*-1,0)</f>
        <v>0</v>
      </c>
      <c r="J31" s="309"/>
    </row>
    <row r="32" spans="1:10" x14ac:dyDescent="0.3">
      <c r="A32" s="9"/>
      <c r="B32" s="3" t="s">
        <v>607</v>
      </c>
      <c r="C32" s="6"/>
      <c r="D32" s="230"/>
      <c r="E32" s="230"/>
      <c r="F32" s="230"/>
      <c r="G32" s="20">
        <f>+T_T134131132133134135136137[[#This Row],[Expensas]]+T_T134131132133134135136137[[#This Row],[Agua]]</f>
        <v>0</v>
      </c>
      <c r="H32" s="233">
        <f t="shared" si="0"/>
        <v>50</v>
      </c>
      <c r="I32" s="309">
        <f>IF(T_T134131132133134135136137[[#This Row],[Total]]&lt;0,T_T134131132133134135136137[[#This Row],[Total]]*-1,0)</f>
        <v>0</v>
      </c>
      <c r="J32" s="309"/>
    </row>
    <row r="33" spans="1:10" x14ac:dyDescent="0.3">
      <c r="A33" s="9">
        <v>46325</v>
      </c>
      <c r="B33" s="3" t="s">
        <v>608</v>
      </c>
      <c r="C33" s="229"/>
      <c r="D33" s="230"/>
      <c r="E33" s="230"/>
      <c r="F33" s="230"/>
      <c r="G33" s="20">
        <f>+T_T134131132133134135136137[[#This Row],[Expensas]]+T_T134131132133134135136137[[#This Row],[Agua]]</f>
        <v>0</v>
      </c>
      <c r="H33" s="233">
        <f t="shared" si="0"/>
        <v>50</v>
      </c>
      <c r="I33" s="309">
        <f>IF(T_T134131132133134135136137[[#This Row],[Total]]&lt;0,T_T134131132133134135136137[[#This Row],[Total]]*-1,0)</f>
        <v>0</v>
      </c>
      <c r="J33" s="309"/>
    </row>
    <row r="34" spans="1:10" x14ac:dyDescent="0.3">
      <c r="A34" s="9"/>
      <c r="B34" s="3" t="s">
        <v>609</v>
      </c>
      <c r="C34" s="6"/>
      <c r="D34" s="230"/>
      <c r="E34" s="230"/>
      <c r="F34" s="230"/>
      <c r="G34" s="20">
        <f>+T_T134131132133134135136137[[#This Row],[Expensas]]+T_T134131132133134135136137[[#This Row],[Agua]]</f>
        <v>0</v>
      </c>
      <c r="H34" s="233">
        <f t="shared" si="0"/>
        <v>50</v>
      </c>
      <c r="I34" s="309">
        <f>IF(T_T134131132133134135136137[[#This Row],[Total]]&lt;0,T_T134131132133134135136137[[#This Row],[Total]]*-1,0)</f>
        <v>0</v>
      </c>
      <c r="J34" s="309"/>
    </row>
    <row r="35" spans="1:10" x14ac:dyDescent="0.3">
      <c r="A35" s="9">
        <v>46356</v>
      </c>
      <c r="B35" s="3" t="s">
        <v>610</v>
      </c>
      <c r="C35" s="229"/>
      <c r="D35" s="230"/>
      <c r="E35" s="230"/>
      <c r="F35" s="230"/>
      <c r="G35" s="20">
        <f>+T_T134131132133134135136137[[#This Row],[Expensas]]+T_T134131132133134135136137[[#This Row],[Agua]]</f>
        <v>0</v>
      </c>
      <c r="H35" s="233">
        <f t="shared" si="0"/>
        <v>50</v>
      </c>
      <c r="I35" s="309">
        <f>IF(T_T134131132133134135136137[[#This Row],[Total]]&lt;0,T_T134131132133134135136137[[#This Row],[Total]]*-1,0)</f>
        <v>0</v>
      </c>
      <c r="J35" s="309"/>
    </row>
    <row r="36" spans="1:10" x14ac:dyDescent="0.3">
      <c r="A36" s="17"/>
      <c r="B36" s="18" t="s">
        <v>611</v>
      </c>
      <c r="C36" s="6"/>
      <c r="D36" s="230"/>
      <c r="E36" s="230"/>
      <c r="F36" s="230"/>
      <c r="G36" s="20">
        <f>+T_T134131132133134135136137[[#This Row],[Expensas]]+T_T134131132133134135136137[[#This Row],[Agua]]</f>
        <v>0</v>
      </c>
      <c r="H36" s="233">
        <f t="shared" si="0"/>
        <v>50</v>
      </c>
      <c r="I36" s="311">
        <f>IF(T_T134131132133134135136137[[#This Row],[Total]]&lt;0,T_T134131132133134135136137[[#This Row],[Total]]*-1,0)</f>
        <v>0</v>
      </c>
      <c r="J36" s="311"/>
    </row>
    <row r="37" spans="1:10" x14ac:dyDescent="0.3">
      <c r="A37" s="188">
        <v>46386</v>
      </c>
      <c r="B37" s="3" t="s">
        <v>612</v>
      </c>
      <c r="C37" s="229"/>
      <c r="D37" s="230"/>
      <c r="E37" s="230"/>
      <c r="F37" s="230"/>
      <c r="G37" s="20">
        <f>+T_T134131132133134135136137[[#This Row],[Expensas]]+T_T134131132133134135136137[[#This Row],[Agua]]</f>
        <v>0</v>
      </c>
      <c r="H37" s="233">
        <f t="shared" si="0"/>
        <v>50</v>
      </c>
      <c r="I37" s="353">
        <f>IF(T_T134131132133134135136137[[#This Row],[Total]]&lt;0,T_T134131132133134135136137[[#This Row],[Total]]*-1,0)</f>
        <v>0</v>
      </c>
      <c r="J37" s="353"/>
    </row>
    <row r="38" spans="1:10" x14ac:dyDescent="0.3">
      <c r="A38" s="257"/>
      <c r="B38" s="110" t="s">
        <v>613</v>
      </c>
      <c r="C38" s="229"/>
      <c r="D38" s="230"/>
      <c r="E38" s="230"/>
      <c r="F38" s="230"/>
      <c r="G38" s="20">
        <f>+T_T134131132133134135136137[[#This Row],[Expensas]]+T_T134131132133134135136137[[#This Row],[Agua]]</f>
        <v>0</v>
      </c>
      <c r="H38" s="233">
        <f t="shared" si="0"/>
        <v>50</v>
      </c>
      <c r="I38" s="353">
        <f>IF(T_T134131132133134135136137[[#This Row],[Total]]&lt;0,T_T134131132133134135136137[[#This Row],[Total]]*-1,0)</f>
        <v>0</v>
      </c>
      <c r="J38" s="353"/>
    </row>
    <row r="39" spans="1:10" x14ac:dyDescent="0.3">
      <c r="A39" s="107"/>
      <c r="B39" s="82"/>
      <c r="C39" s="229"/>
      <c r="D39" s="230"/>
      <c r="E39" s="230"/>
      <c r="F39" s="230"/>
      <c r="G39" s="20">
        <f>+T_T134131132133134135136137[[#This Row],[Expensas]]+T_T134131132133134135136137[[#This Row],[Agua]]</f>
        <v>0</v>
      </c>
      <c r="H39" s="233">
        <f t="shared" si="0"/>
        <v>50</v>
      </c>
      <c r="I39" s="353">
        <f>IF(T_T134131132133134135136137[[#This Row],[Total]]&lt;0,T_T134131132133134135136137[[#This Row],[Total]]*-1,0)</f>
        <v>0</v>
      </c>
      <c r="J39" s="353"/>
    </row>
  </sheetData>
  <hyperlinks>
    <hyperlink ref="B7" r:id="rId1" display="jose.orozco@outlook.com"/>
    <hyperlink ref="H7" location="Resumen!A1" display="Rsumen         "/>
  </hyperlinks>
  <pageMargins left="0.7" right="0.7" top="0.75" bottom="0.75" header="0.3" footer="0.3"/>
  <pageSetup scale="60" orientation="portrait" verticalDpi="360" r:id="rId2"/>
  <drawing r:id="rId3"/>
  <tableParts count="1">
    <tablePart r:id="rId4"/>
  </tablePart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B159"/>
  <sheetViews>
    <sheetView topLeftCell="H1" zoomScaleNormal="100" workbookViewId="0">
      <selection activeCell="S81" sqref="S81"/>
    </sheetView>
  </sheetViews>
  <sheetFormatPr baseColWidth="10" defaultRowHeight="14.4" x14ac:dyDescent="0.3"/>
  <cols>
    <col min="1" max="1" width="7.109375" customWidth="1"/>
    <col min="3" max="3" width="31.5546875" customWidth="1"/>
    <col min="4" max="4" width="11.5546875" customWidth="1"/>
    <col min="5" max="15" width="17.5546875" customWidth="1"/>
    <col min="16" max="16" width="12.44140625" customWidth="1"/>
    <col min="17" max="17" width="14.88671875" customWidth="1"/>
    <col min="18" max="19" width="11.109375" customWidth="1"/>
    <col min="20" max="20" width="10.77734375" customWidth="1"/>
    <col min="21" max="21" width="15.33203125" customWidth="1"/>
  </cols>
  <sheetData>
    <row r="1" spans="1:20" ht="19.5" customHeight="1" x14ac:dyDescent="0.45">
      <c r="B1" s="635" t="s">
        <v>266</v>
      </c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5"/>
      <c r="P1" s="635"/>
      <c r="Q1" s="635"/>
      <c r="R1" s="635"/>
      <c r="S1" s="618"/>
    </row>
    <row r="2" spans="1:20" ht="18.75" customHeight="1" x14ac:dyDescent="0.4">
      <c r="B2" s="638" t="s">
        <v>397</v>
      </c>
      <c r="C2" s="638"/>
      <c r="D2" s="638"/>
      <c r="E2" s="638"/>
      <c r="F2" s="638"/>
      <c r="G2" s="638"/>
      <c r="H2" s="638"/>
      <c r="I2" s="638"/>
      <c r="J2" s="638"/>
      <c r="K2" s="638"/>
      <c r="L2" s="638"/>
      <c r="M2" s="638"/>
      <c r="N2" s="638"/>
      <c r="O2" s="638"/>
      <c r="P2" s="638"/>
      <c r="Q2" s="638"/>
      <c r="R2" s="638"/>
      <c r="S2" s="620"/>
    </row>
    <row r="3" spans="1:20" ht="20.25" customHeight="1" x14ac:dyDescent="0.45">
      <c r="B3" s="639" t="s">
        <v>585</v>
      </c>
      <c r="C3" s="640"/>
      <c r="D3" s="640"/>
      <c r="E3" s="640"/>
      <c r="F3" s="640"/>
      <c r="G3" s="640"/>
      <c r="H3" s="640"/>
      <c r="I3" s="640"/>
      <c r="J3" s="640"/>
      <c r="K3" s="640"/>
      <c r="L3" s="640"/>
      <c r="M3" s="640"/>
      <c r="N3" s="640"/>
      <c r="O3" s="640"/>
      <c r="P3" s="640"/>
      <c r="Q3" s="640"/>
      <c r="R3" s="640"/>
      <c r="S3" s="619"/>
    </row>
    <row r="4" spans="1:20" ht="5.25" customHeight="1" x14ac:dyDescent="0.3">
      <c r="B4" s="269"/>
      <c r="C4" s="269"/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</row>
    <row r="5" spans="1:20" hidden="1" x14ac:dyDescent="0.3">
      <c r="B5" s="269"/>
      <c r="C5" s="269"/>
      <c r="D5" s="269"/>
      <c r="E5" s="269"/>
      <c r="F5" s="269"/>
      <c r="G5" s="269"/>
      <c r="H5" s="269"/>
      <c r="I5" s="269"/>
      <c r="J5" s="269"/>
      <c r="K5" s="269"/>
      <c r="L5" s="269"/>
      <c r="M5" s="269"/>
      <c r="N5" s="269"/>
      <c r="O5" s="269"/>
      <c r="P5" s="269"/>
      <c r="Q5" s="269"/>
      <c r="R5" s="269"/>
      <c r="S5" s="269"/>
    </row>
    <row r="6" spans="1:20" hidden="1" x14ac:dyDescent="0.3">
      <c r="B6" s="269"/>
      <c r="C6" s="269"/>
      <c r="D6" s="269"/>
      <c r="E6" s="269"/>
      <c r="F6" s="269"/>
      <c r="G6" s="269"/>
      <c r="H6" s="269"/>
      <c r="I6" s="269"/>
      <c r="J6" s="269"/>
      <c r="K6" s="269"/>
      <c r="L6" s="269"/>
      <c r="M6" s="269"/>
      <c r="N6" s="269"/>
      <c r="O6" s="269"/>
      <c r="P6" s="269"/>
      <c r="Q6" s="269"/>
      <c r="R6" s="269"/>
      <c r="S6" s="269"/>
    </row>
    <row r="7" spans="1:20" ht="12" customHeight="1" x14ac:dyDescent="0.3">
      <c r="B7" s="269"/>
      <c r="C7" s="269"/>
      <c r="D7" s="269"/>
      <c r="E7" s="269"/>
      <c r="F7" s="269"/>
      <c r="G7" s="269"/>
      <c r="H7" s="269"/>
      <c r="I7" s="269"/>
      <c r="J7" s="269"/>
      <c r="K7" s="269"/>
      <c r="L7" s="269"/>
      <c r="M7" s="269"/>
      <c r="N7" s="269"/>
      <c r="O7" s="269"/>
      <c r="P7" s="269"/>
      <c r="Q7" s="269"/>
      <c r="R7" s="269"/>
      <c r="S7" s="269"/>
    </row>
    <row r="8" spans="1:20" ht="30" customHeight="1" x14ac:dyDescent="0.3">
      <c r="A8" s="523" t="s">
        <v>584</v>
      </c>
      <c r="B8" s="527" t="s">
        <v>417</v>
      </c>
      <c r="C8" s="275" t="s">
        <v>371</v>
      </c>
      <c r="D8" s="270" t="s">
        <v>260</v>
      </c>
      <c r="E8" s="270" t="s">
        <v>664</v>
      </c>
      <c r="F8" s="270" t="s">
        <v>665</v>
      </c>
      <c r="G8" s="270" t="s">
        <v>666</v>
      </c>
      <c r="H8" s="270" t="s">
        <v>667</v>
      </c>
      <c r="I8" s="270" t="s">
        <v>668</v>
      </c>
      <c r="J8" s="270" t="s">
        <v>669</v>
      </c>
      <c r="K8" s="270" t="s">
        <v>670</v>
      </c>
      <c r="L8" s="270" t="s">
        <v>671</v>
      </c>
      <c r="M8" s="270" t="s">
        <v>672</v>
      </c>
      <c r="N8" s="270" t="s">
        <v>673</v>
      </c>
      <c r="O8" s="270" t="s">
        <v>674</v>
      </c>
      <c r="P8" s="270" t="s">
        <v>675</v>
      </c>
      <c r="Q8" s="271" t="s">
        <v>453</v>
      </c>
      <c r="R8" s="272" t="s">
        <v>264</v>
      </c>
      <c r="S8" s="272" t="s">
        <v>452</v>
      </c>
      <c r="T8" s="275" t="s">
        <v>396</v>
      </c>
    </row>
    <row r="9" spans="1:20" hidden="1" x14ac:dyDescent="0.3">
      <c r="A9" s="3"/>
      <c r="B9" s="269"/>
      <c r="C9" s="269"/>
      <c r="D9" s="269"/>
      <c r="E9" s="269"/>
      <c r="F9" s="269"/>
      <c r="G9" s="269"/>
      <c r="H9" s="269"/>
      <c r="I9" s="269"/>
      <c r="J9" s="269"/>
      <c r="K9" s="269"/>
      <c r="L9" s="269"/>
      <c r="M9" s="269"/>
      <c r="N9" s="269"/>
      <c r="O9" s="269"/>
      <c r="P9" s="269"/>
      <c r="Q9" s="269"/>
      <c r="R9" s="269"/>
      <c r="S9" s="269"/>
    </row>
    <row r="10" spans="1:20" ht="9" hidden="1" customHeight="1" x14ac:dyDescent="0.3">
      <c r="A10" s="3"/>
      <c r="B10" s="269"/>
      <c r="C10" s="269"/>
      <c r="D10" s="269"/>
      <c r="E10" s="269"/>
      <c r="F10" s="269"/>
      <c r="G10" s="269"/>
      <c r="H10" s="269"/>
      <c r="I10" s="269"/>
      <c r="J10" s="269"/>
      <c r="K10" s="269"/>
      <c r="L10" s="269"/>
      <c r="M10" s="269"/>
      <c r="N10" s="269"/>
      <c r="O10" s="269"/>
      <c r="P10" s="269"/>
      <c r="Q10" s="269"/>
      <c r="R10" s="269"/>
      <c r="S10" s="269"/>
    </row>
    <row r="11" spans="1:20" ht="12.6" customHeight="1" x14ac:dyDescent="0.3">
      <c r="A11" s="523">
        <v>1</v>
      </c>
      <c r="B11" s="528" t="s">
        <v>119</v>
      </c>
      <c r="C11" s="246" t="s">
        <v>346</v>
      </c>
      <c r="D11" s="150"/>
      <c r="E11" s="150">
        <f>+DEP.11A!D15+DEP.11A!E15</f>
        <v>292</v>
      </c>
      <c r="F11" s="150">
        <f>+DEP.11A!D17+DEP.11A!E17</f>
        <v>284</v>
      </c>
      <c r="G11" s="150">
        <f>+DEP.11A!D19+DEP.11A!E19</f>
        <v>316</v>
      </c>
      <c r="H11" s="150">
        <f>+DEP.11A!D21+DEP.11A!E21</f>
        <v>335</v>
      </c>
      <c r="I11" s="150">
        <f>+DEP.11A!D23+DEP.11A!E23</f>
        <v>325</v>
      </c>
      <c r="J11" s="150"/>
      <c r="K11" s="150"/>
      <c r="L11" s="150"/>
      <c r="M11" s="150"/>
      <c r="N11" s="150"/>
      <c r="O11" s="150"/>
      <c r="P11" s="150"/>
      <c r="Q11" s="150">
        <f>SUM(E11:P11)</f>
        <v>1552</v>
      </c>
      <c r="R11" s="150">
        <f>-(+DEP.11A!G16+DEP.11A!G18+DEP.11A!G20+DEP.11A!G22+DEP.11A!G24)</f>
        <v>1227</v>
      </c>
      <c r="S11" s="150">
        <f>+Q11-R11</f>
        <v>325</v>
      </c>
      <c r="T11" s="48" t="s">
        <v>119</v>
      </c>
    </row>
    <row r="12" spans="1:20" ht="15" customHeight="1" x14ac:dyDescent="0.3">
      <c r="A12" s="523">
        <f t="shared" ref="A12:A43" si="0">+A11+1</f>
        <v>2</v>
      </c>
      <c r="B12" s="528" t="s">
        <v>120</v>
      </c>
      <c r="C12" s="246" t="s">
        <v>297</v>
      </c>
      <c r="D12" s="150"/>
      <c r="E12" s="150">
        <f>+DEP.11B!D15+DEP.11B!E15</f>
        <v>263</v>
      </c>
      <c r="F12" s="150">
        <f>+DEP.11B!D17+DEP.11B!E17</f>
        <v>263</v>
      </c>
      <c r="G12" s="150">
        <f>+DEP.11B!D19+DEP.11B!E19</f>
        <v>290</v>
      </c>
      <c r="H12" s="150">
        <f>+DEP.11B!D21+DEP.11B!E21</f>
        <v>298</v>
      </c>
      <c r="I12" s="150">
        <f>+DEP.11B!D23+DEP.11B!E23</f>
        <v>296</v>
      </c>
      <c r="J12" s="150"/>
      <c r="K12" s="150"/>
      <c r="L12" s="150"/>
      <c r="M12" s="150"/>
      <c r="N12" s="150"/>
      <c r="O12" s="150"/>
      <c r="P12" s="150"/>
      <c r="Q12" s="150">
        <f t="shared" ref="Q12:Q75" si="1">SUM(E12:P12)</f>
        <v>1410</v>
      </c>
      <c r="R12" s="150">
        <f>-(+DEP.11B!G16+DEP.11B!G18+DEP.11B!G20+DEP.11B!G22+DEP.11B!G24)</f>
        <v>1114</v>
      </c>
      <c r="S12" s="150">
        <f t="shared" ref="S12:S75" si="2">+Q12-R12</f>
        <v>296</v>
      </c>
      <c r="T12" s="48" t="s">
        <v>120</v>
      </c>
    </row>
    <row r="13" spans="1:20" ht="32.4" customHeight="1" x14ac:dyDescent="0.3">
      <c r="A13" s="523">
        <f t="shared" si="0"/>
        <v>3</v>
      </c>
      <c r="B13" s="528" t="s">
        <v>121</v>
      </c>
      <c r="C13" s="390" t="s">
        <v>298</v>
      </c>
      <c r="D13" s="150"/>
      <c r="E13" s="150">
        <f>+DEP.11C!D11+DEP.11C!E11</f>
        <v>267</v>
      </c>
      <c r="F13" s="150">
        <f>+T_T1341112131415161718192021222324252627282930313233353637383940414243444546474849505152535455565758596061626364656667686970717273[[#This Row],[Expensas]]+T_T1341112131415161718192021222324252627282930313233353637383940414243444546474849505152535455565758596061626364656667686970717273[[#This Row],[Agua]]</f>
        <v>267</v>
      </c>
      <c r="G13" s="150">
        <f>+DEP.11C!D15+DEP.11C!E15</f>
        <v>298</v>
      </c>
      <c r="H13" s="150">
        <f>+DEP.11C!D17+DEP.11C!E17</f>
        <v>300</v>
      </c>
      <c r="I13" s="150">
        <f>+DEP.11C!D19+DEP.11C!E19</f>
        <v>306</v>
      </c>
      <c r="J13" s="150"/>
      <c r="K13" s="150"/>
      <c r="L13" s="150"/>
      <c r="M13" s="150"/>
      <c r="N13" s="150"/>
      <c r="O13" s="150"/>
      <c r="P13" s="150"/>
      <c r="Q13" s="150">
        <f t="shared" si="1"/>
        <v>1438</v>
      </c>
      <c r="R13" s="150">
        <f>-(+DEP.11C!G12+DEP.11C!G14+DEP.11C!G16+DEP.11C!G18+DEP.11C!G20)</f>
        <v>1132</v>
      </c>
      <c r="S13" s="150">
        <f t="shared" si="2"/>
        <v>306</v>
      </c>
      <c r="T13" s="48" t="s">
        <v>121</v>
      </c>
    </row>
    <row r="14" spans="1:20" ht="15" customHeight="1" x14ac:dyDescent="0.3">
      <c r="A14" s="523">
        <f t="shared" si="0"/>
        <v>4</v>
      </c>
      <c r="B14" s="528" t="s">
        <v>122</v>
      </c>
      <c r="C14" s="246" t="s">
        <v>299</v>
      </c>
      <c r="D14" s="150"/>
      <c r="E14" s="150">
        <f>+DEP.11D!D15+DEP.11D!E15</f>
        <v>233</v>
      </c>
      <c r="F14" s="150">
        <f>+DEP.11D!D17+DEP.11D!E17</f>
        <v>237</v>
      </c>
      <c r="G14" s="150">
        <f>+DEP.11D!D19+DEP.11D!E19</f>
        <v>252</v>
      </c>
      <c r="H14" s="150">
        <f>+DEP.11D!D21+DEP.11D!E21</f>
        <v>269</v>
      </c>
      <c r="I14" s="150">
        <f>+DEP.11D!D23+DEP.11D!E23</f>
        <v>258</v>
      </c>
      <c r="J14" s="150"/>
      <c r="K14" s="150"/>
      <c r="L14" s="150"/>
      <c r="M14" s="150"/>
      <c r="N14" s="150"/>
      <c r="O14" s="150"/>
      <c r="P14" s="150"/>
      <c r="Q14" s="150">
        <f t="shared" si="1"/>
        <v>1249</v>
      </c>
      <c r="R14" s="150">
        <f>+DEP.11D!G16+DEP.11D!G18+DEP.11D!G20+DEP.11D!G22</f>
        <v>0</v>
      </c>
      <c r="S14" s="150">
        <f t="shared" si="2"/>
        <v>1249</v>
      </c>
      <c r="T14" s="48" t="s">
        <v>122</v>
      </c>
    </row>
    <row r="15" spans="1:20" ht="15" customHeight="1" x14ac:dyDescent="0.3">
      <c r="A15" s="523">
        <f t="shared" si="0"/>
        <v>5</v>
      </c>
      <c r="B15" s="528" t="s">
        <v>123</v>
      </c>
      <c r="C15" s="246" t="s">
        <v>346</v>
      </c>
      <c r="D15" s="150"/>
      <c r="E15" s="150">
        <f>+T_T13411121314151617181920212223242526272829303132333536373839404142434445464748495051525354555657585960616263646566676869707172737475[[#This Row],[Expensas]]+T_T13411121314151617181920212223242526272829303132333536373839404142434445464748495051525354555657585960616263646566676869707172737475[[#This Row],[Agua]]</f>
        <v>319</v>
      </c>
      <c r="F15" s="150">
        <f>+DEP.12A!D17+DEP.12A!E17</f>
        <v>316</v>
      </c>
      <c r="G15" s="150">
        <f>+DEP.12A!D19+DEP.12A!E19</f>
        <v>358</v>
      </c>
      <c r="H15" s="150">
        <f>+DEP.12A!D21+DEP.12A!E21</f>
        <v>367</v>
      </c>
      <c r="I15" s="150">
        <f>+DEP.12A!D23+DEP.12A!E23</f>
        <v>373</v>
      </c>
      <c r="J15" s="150"/>
      <c r="K15" s="150"/>
      <c r="L15" s="150"/>
      <c r="M15" s="150"/>
      <c r="N15" s="150"/>
      <c r="O15" s="150"/>
      <c r="P15" s="150"/>
      <c r="Q15" s="150">
        <f t="shared" si="1"/>
        <v>1733</v>
      </c>
      <c r="R15" s="150">
        <f>-(+DEP.12A!G16+DEP.12A!G18+DEP.12A!G20+DEP.12A!G22)</f>
        <v>1360</v>
      </c>
      <c r="S15" s="150">
        <f t="shared" si="2"/>
        <v>373</v>
      </c>
      <c r="T15" s="48" t="s">
        <v>123</v>
      </c>
    </row>
    <row r="16" spans="1:20" s="63" customFormat="1" ht="15" customHeight="1" x14ac:dyDescent="0.3">
      <c r="A16" s="523">
        <f t="shared" si="0"/>
        <v>6</v>
      </c>
      <c r="B16" s="528" t="s">
        <v>124</v>
      </c>
      <c r="C16" s="246" t="s">
        <v>347</v>
      </c>
      <c r="D16" s="340">
        <f>+DEP.12B!D15</f>
        <v>300</v>
      </c>
      <c r="E16" s="340">
        <f>+DEP.12B!D17+DEP.12B!E17</f>
        <v>301</v>
      </c>
      <c r="F16" s="340">
        <f>+DEP.12B!D19+DEP.12B!E19</f>
        <v>309</v>
      </c>
      <c r="G16" s="340">
        <f>+DEP.12B!D21+DEP.12B!E21</f>
        <v>361</v>
      </c>
      <c r="H16" s="340">
        <f>+DEP.12B!D23+DEP.12B!E23</f>
        <v>361</v>
      </c>
      <c r="I16" s="340">
        <f>+DEP.12B!D25+DEP.12B!E25</f>
        <v>360</v>
      </c>
      <c r="J16" s="340"/>
      <c r="K16" s="340"/>
      <c r="L16" s="340"/>
      <c r="M16" s="340"/>
      <c r="N16" s="340"/>
      <c r="O16" s="340"/>
      <c r="P16" s="340"/>
      <c r="Q16" s="150">
        <f>SUM(D16:P16)</f>
        <v>1992</v>
      </c>
      <c r="R16" s="340">
        <f>-(+T_T1341112131415161718192021222324252627282930313233353637383940414243444546474849505152535455565758596061626364656667686970717273747576[[#This Row],[Total]]+DEP.12B!G18+DEP.12B!G20+DEP.12B!G22+DEP.12B!G24+DEP.12B!G26)</f>
        <v>842</v>
      </c>
      <c r="S16" s="150">
        <f t="shared" si="2"/>
        <v>1150</v>
      </c>
      <c r="T16" s="48" t="s">
        <v>124</v>
      </c>
    </row>
    <row r="17" spans="1:28" ht="15" customHeight="1" x14ac:dyDescent="0.3">
      <c r="A17" s="523">
        <f t="shared" si="0"/>
        <v>7</v>
      </c>
      <c r="B17" s="528" t="s">
        <v>125</v>
      </c>
      <c r="C17" s="246" t="s">
        <v>300</v>
      </c>
      <c r="D17" s="150"/>
      <c r="E17" s="150">
        <f>+DEP.12C!D15+DEP.12C!E15</f>
        <v>289</v>
      </c>
      <c r="F17" s="150">
        <f>+T_T134111213141516171819202122232425262728293031323335363738394041424344454647484950515253545556575859606162636465666768697071727374757677[[#This Row],[Expensas]]+T_T134111213141516171819202122232425262728293031323335363738394041424344454647484950515253545556575859606162636465666768697071727374757677[[#This Row],[Agua]]</f>
        <v>272</v>
      </c>
      <c r="G17" s="150">
        <f>+DEP.12C!D19+DEP.12C!E19</f>
        <v>282</v>
      </c>
      <c r="H17" s="150">
        <f>+DEP.12C!D21+DEP.12C!E21</f>
        <v>267</v>
      </c>
      <c r="I17" s="150">
        <f>+DEP.12C!D23+DEP.12C!E23</f>
        <v>314</v>
      </c>
      <c r="J17" s="150"/>
      <c r="K17" s="150"/>
      <c r="L17" s="150"/>
      <c r="M17" s="150"/>
      <c r="N17" s="150"/>
      <c r="O17" s="150"/>
      <c r="P17" s="150"/>
      <c r="Q17" s="150">
        <f t="shared" si="1"/>
        <v>1424</v>
      </c>
      <c r="R17" s="150">
        <f>-(+DEP.12C!G16+DEP.12C!G18+DEP.12C!G20+DEP.12C!G22+DEP.12C!G24)</f>
        <v>890</v>
      </c>
      <c r="S17" s="150">
        <f t="shared" si="2"/>
        <v>534</v>
      </c>
      <c r="T17" s="48" t="s">
        <v>125</v>
      </c>
    </row>
    <row r="18" spans="1:28" ht="15" customHeight="1" x14ac:dyDescent="0.3">
      <c r="A18" s="523">
        <f t="shared" si="0"/>
        <v>8</v>
      </c>
      <c r="B18" s="528" t="s">
        <v>126</v>
      </c>
      <c r="C18" s="246" t="s">
        <v>301</v>
      </c>
      <c r="D18" s="150"/>
      <c r="E18" s="150">
        <f>+DEP.12D!D15+DEP.12D!E15</f>
        <v>289</v>
      </c>
      <c r="F18" s="150">
        <f>+DEP.12D!D17+DEP.12D!E17</f>
        <v>303</v>
      </c>
      <c r="G18" s="150">
        <f>+DEP.12D!D19+DEP.12D!E19</f>
        <v>328</v>
      </c>
      <c r="H18" s="150">
        <f>+DEP.12D!D21+DEP.12D!E21</f>
        <v>344</v>
      </c>
      <c r="I18" s="150">
        <f>+DEP.12D!D23+DEP.12D!E23</f>
        <v>329</v>
      </c>
      <c r="J18" s="150"/>
      <c r="K18" s="150"/>
      <c r="L18" s="150"/>
      <c r="M18" s="150"/>
      <c r="N18" s="150"/>
      <c r="O18" s="150"/>
      <c r="P18" s="150"/>
      <c r="Q18" s="150">
        <f t="shared" si="1"/>
        <v>1593</v>
      </c>
      <c r="R18" s="150">
        <f>-(+DEP.12D!G16+T_T13411121314151617181920212223242526272829303132333536373839404142434445464748495051525354555657585960616263646566676869707172737475767778[[#This Row],[Total]]+DEP.12D!G20+DEP.12D!G22+DEP.12D!G24)</f>
        <v>1264</v>
      </c>
      <c r="S18" s="150">
        <f t="shared" si="2"/>
        <v>329</v>
      </c>
      <c r="T18" s="48" t="s">
        <v>126</v>
      </c>
    </row>
    <row r="19" spans="1:28" s="344" customFormat="1" ht="15" customHeight="1" x14ac:dyDescent="0.3">
      <c r="A19" s="523">
        <f t="shared" si="0"/>
        <v>9</v>
      </c>
      <c r="B19" s="529" t="s">
        <v>127</v>
      </c>
      <c r="C19" s="342" t="s">
        <v>302</v>
      </c>
      <c r="D19" s="343"/>
      <c r="E19" s="343">
        <f>+DEP.13A!D15+DEP.13A!E15</f>
        <v>400</v>
      </c>
      <c r="F19" s="343">
        <f>+DEP.13A!D17+DEP.13A!E17</f>
        <v>407</v>
      </c>
      <c r="G19" s="343">
        <f>+T_T1341112131415161718192021222324252627282930313233353637383940414243444546474849505152535455565758596061626364656667686970717273747576777879[[#This Row],[Expensas]]+T_T1341112131415161718192021222324252627282930313233353637383940414243444546474849505152535455565758596061626364656667686970717273747576777879[[#This Row],[Agua]]</f>
        <v>446</v>
      </c>
      <c r="H19" s="343">
        <f>+DEP.13A!D21+DEP.13A!E21</f>
        <v>452</v>
      </c>
      <c r="I19" s="343">
        <f>+DEP.13A!D23+DEP.13A!E23</f>
        <v>450</v>
      </c>
      <c r="J19" s="343"/>
      <c r="K19" s="343"/>
      <c r="L19" s="343"/>
      <c r="M19" s="343"/>
      <c r="N19" s="343"/>
      <c r="O19" s="343"/>
      <c r="P19" s="343"/>
      <c r="Q19" s="150">
        <f t="shared" si="1"/>
        <v>2155</v>
      </c>
      <c r="R19" s="343">
        <f>-(+DEP.13A!G16+DEP.13A!G18+DEP.13A!G20+DEP.13A!G22)</f>
        <v>1705</v>
      </c>
      <c r="S19" s="150">
        <f t="shared" si="2"/>
        <v>450</v>
      </c>
      <c r="T19" s="341" t="s">
        <v>127</v>
      </c>
    </row>
    <row r="20" spans="1:28" ht="18" customHeight="1" x14ac:dyDescent="0.3">
      <c r="A20" s="523">
        <f t="shared" si="0"/>
        <v>10</v>
      </c>
      <c r="B20" s="528" t="s">
        <v>128</v>
      </c>
      <c r="C20" s="246" t="s">
        <v>348</v>
      </c>
      <c r="D20" s="150"/>
      <c r="E20" s="150">
        <f>+DEP.13B!D15+DEP.13B!E15</f>
        <v>438</v>
      </c>
      <c r="F20" s="150">
        <f>+DEP.13B!D17+DEP.13B!E17</f>
        <v>444</v>
      </c>
      <c r="G20" s="150">
        <f>+DEP.13B!D19+DEP.13B!E19</f>
        <v>475</v>
      </c>
      <c r="H20" s="150">
        <f>+DEP.13B!D21+DEP.13B!E21</f>
        <v>458</v>
      </c>
      <c r="I20" s="150">
        <f>+DEP.13B!D23+DEP.13B!E23</f>
        <v>464</v>
      </c>
      <c r="J20" s="150"/>
      <c r="K20" s="150"/>
      <c r="L20" s="150"/>
      <c r="M20" s="150"/>
      <c r="N20" s="150"/>
      <c r="O20" s="150"/>
      <c r="P20" s="150"/>
      <c r="Q20" s="150">
        <f t="shared" si="1"/>
        <v>2279</v>
      </c>
      <c r="R20" s="150">
        <f>-(+DEP.13B!G16+DEP.13B!G18+T_T134111213141516171819202122232425262728293031323335363738394041424344454647484950515253545556575859606162636465666768697071727374757677787980[[#This Row],[Total]]+DEP.13B!G22+DEP.13B!G24)</f>
        <v>1815</v>
      </c>
      <c r="S20" s="150">
        <f t="shared" si="2"/>
        <v>464</v>
      </c>
      <c r="T20" s="48" t="s">
        <v>128</v>
      </c>
    </row>
    <row r="21" spans="1:28" ht="15" customHeight="1" x14ac:dyDescent="0.3">
      <c r="A21" s="523">
        <f t="shared" si="0"/>
        <v>11</v>
      </c>
      <c r="B21" s="528" t="s">
        <v>129</v>
      </c>
      <c r="C21" s="246" t="s">
        <v>303</v>
      </c>
      <c r="D21" s="150"/>
      <c r="E21" s="150">
        <f>+DEP.13C!D15+DEP.13C!E15</f>
        <v>160</v>
      </c>
      <c r="F21" s="150">
        <f>+DEP.13C!D17+DEP.13C!E17</f>
        <v>199</v>
      </c>
      <c r="G21" s="150">
        <f>+DEP.13C!D19+DEP.13C!E19</f>
        <v>186</v>
      </c>
      <c r="H21" s="150">
        <f>+T_T13411121314151617181920212223242526272829303132333536373839404142434445464748495051525354555657585960616263646566676869707172737475767778798081[[#This Row],[Expensas]]+T_T13411121314151617181920212223242526272829303132333536373839404142434445464748495051525354555657585960616263646566676869707172737475767778798081[[#This Row],[Agua]]</f>
        <v>185</v>
      </c>
      <c r="I21" s="150">
        <f>+DEP.13C!D23+DEP.13C!E23</f>
        <v>191</v>
      </c>
      <c r="J21" s="150"/>
      <c r="K21" s="150"/>
      <c r="L21" s="150"/>
      <c r="M21" s="150"/>
      <c r="N21" s="150"/>
      <c r="O21" s="150"/>
      <c r="P21" s="150"/>
      <c r="Q21" s="150">
        <f t="shared" si="1"/>
        <v>921</v>
      </c>
      <c r="R21" s="150">
        <f>-(+DEP.13C!G16+DEP.13C!G18+DEP.13C!G20+DEP.13C!G22)</f>
        <v>359</v>
      </c>
      <c r="S21" s="150">
        <f t="shared" si="2"/>
        <v>562</v>
      </c>
      <c r="T21" s="48" t="s">
        <v>129</v>
      </c>
    </row>
    <row r="22" spans="1:28" ht="19.2" customHeight="1" x14ac:dyDescent="0.3">
      <c r="A22" s="523">
        <f t="shared" si="0"/>
        <v>12</v>
      </c>
      <c r="B22" s="528" t="s">
        <v>130</v>
      </c>
      <c r="C22" s="246" t="s">
        <v>412</v>
      </c>
      <c r="D22" s="150"/>
      <c r="E22" s="150">
        <f>+DEP.13D!D15+DEP.13D!E15</f>
        <v>98</v>
      </c>
      <c r="F22" s="150">
        <f>+DEP.13D!D17+DEP.13D!E17</f>
        <v>92</v>
      </c>
      <c r="G22" s="150">
        <f>+DEP.13D!D19+DEP.13D!E19</f>
        <v>101</v>
      </c>
      <c r="H22" s="150">
        <f>+DEP.13D!D21</f>
        <v>101</v>
      </c>
      <c r="I22" s="150">
        <f>+DEP.13D!D24+DEP.13D!E24</f>
        <v>0</v>
      </c>
      <c r="J22" s="150"/>
      <c r="K22" s="150"/>
      <c r="L22" s="150"/>
      <c r="M22" s="150"/>
      <c r="N22" s="150"/>
      <c r="O22" s="150"/>
      <c r="P22" s="150"/>
      <c r="Q22" s="150">
        <f t="shared" si="1"/>
        <v>392</v>
      </c>
      <c r="R22" s="150">
        <f>-(+DEP.13D!G16+DEP.13D!G18+DEP.13D!G20+T_T1341112131415161718192021222324252627282930313233353637383940414243444546474849505152535455565758596061626364656667686970717273747576777879808182[[#This Row],[Total]]+DEP.13D!G24)</f>
        <v>392</v>
      </c>
      <c r="S22" s="150">
        <f t="shared" si="2"/>
        <v>0</v>
      </c>
      <c r="T22" s="48" t="s">
        <v>130</v>
      </c>
    </row>
    <row r="23" spans="1:28" ht="18" customHeight="1" x14ac:dyDescent="0.3">
      <c r="A23" s="523">
        <f t="shared" si="0"/>
        <v>13</v>
      </c>
      <c r="B23" s="528" t="s">
        <v>131</v>
      </c>
      <c r="C23" s="246" t="s">
        <v>304</v>
      </c>
      <c r="D23" s="150"/>
      <c r="E23" s="150">
        <f>+'DEP 14A'!D15+'DEP 14A'!E15</f>
        <v>461</v>
      </c>
      <c r="F23" s="150">
        <f>+'DEP 14A'!D17+'DEP 14A'!E17</f>
        <v>448</v>
      </c>
      <c r="G23" s="150">
        <f>+'DEP 14A'!D19+'DEP 14A'!E19</f>
        <v>477</v>
      </c>
      <c r="H23" s="150">
        <f>+'DEP 14A'!D21+'DEP 14A'!E21</f>
        <v>502</v>
      </c>
      <c r="I23" s="150">
        <f>+T_T134111213141516171819202122232425262728293031323335363738394041424344454647484950515253545556575859606162636465666768697071727374757677787980818283[[#This Row],[Expensas]]+T_T134111213141516171819202122232425262728293031323335363738394041424344454647484950515253545556575859606162636465666768697071727374757677787980818283[[#This Row],[Agua]]</f>
        <v>496</v>
      </c>
      <c r="J23" s="150"/>
      <c r="K23" s="150"/>
      <c r="L23" s="150"/>
      <c r="M23" s="150"/>
      <c r="N23" s="150"/>
      <c r="O23" s="150"/>
      <c r="P23" s="150"/>
      <c r="Q23" s="150">
        <f t="shared" si="1"/>
        <v>2384</v>
      </c>
      <c r="R23" s="150">
        <f>-(+'DEP 14A'!G16+'DEP 14A'!G18+'DEP 14A'!G20+'DEP 14A'!G22+'DEP 14A'!G24)</f>
        <v>1888</v>
      </c>
      <c r="S23" s="150">
        <f t="shared" si="2"/>
        <v>496</v>
      </c>
      <c r="T23" s="48" t="s">
        <v>131</v>
      </c>
    </row>
    <row r="24" spans="1:28" ht="15.6" x14ac:dyDescent="0.3">
      <c r="A24" s="523">
        <f t="shared" si="0"/>
        <v>14</v>
      </c>
      <c r="B24" s="528" t="s">
        <v>132</v>
      </c>
      <c r="C24" s="246" t="s">
        <v>305</v>
      </c>
      <c r="D24" s="150"/>
      <c r="E24" s="150">
        <f>+DEP.14B!D15+DEP.14B!E15</f>
        <v>358</v>
      </c>
      <c r="F24" s="150">
        <f>+DEP.14B!D17+DEP.14B!E17</f>
        <v>385</v>
      </c>
      <c r="G24" s="150">
        <f>+DEP.14B!D19+DEP.14B!E19</f>
        <v>428</v>
      </c>
      <c r="H24" s="150">
        <f>+DEP.14B!D21+DEP.14B!E21</f>
        <v>440</v>
      </c>
      <c r="I24" s="150">
        <f>+DEP.14B!D23+DEP.14B!E23</f>
        <v>423</v>
      </c>
      <c r="J24" s="150"/>
      <c r="K24" s="150"/>
      <c r="L24" s="150"/>
      <c r="M24" s="150"/>
      <c r="N24" s="150"/>
      <c r="O24" s="150"/>
      <c r="P24" s="150"/>
      <c r="Q24" s="150">
        <f t="shared" si="1"/>
        <v>2034</v>
      </c>
      <c r="R24" s="150">
        <f>-(+DEP.14B!G16+DEP.14B!G18+DEP.14B!G20+DEP.14B!G22+T_T13411121314151617181920212223242526272829303132333536373839404142434445464748495051525354555657585960616263646566676869707172737475767778798081828384[[#This Row],[Total]])</f>
        <v>1611</v>
      </c>
      <c r="S24" s="150">
        <f t="shared" si="2"/>
        <v>423</v>
      </c>
      <c r="T24" s="48" t="s">
        <v>132</v>
      </c>
    </row>
    <row r="25" spans="1:28" s="345" customFormat="1" ht="15.6" x14ac:dyDescent="0.3">
      <c r="A25" s="523">
        <f t="shared" si="0"/>
        <v>15</v>
      </c>
      <c r="B25" s="528" t="s">
        <v>133</v>
      </c>
      <c r="C25" s="246" t="s">
        <v>306</v>
      </c>
      <c r="D25" s="340"/>
      <c r="E25" s="340">
        <f>+DEP.14C!D15+DEP.14C!E15</f>
        <v>141</v>
      </c>
      <c r="F25" s="340">
        <f>+DEP.14C!D17+DEP.14C!E17</f>
        <v>144</v>
      </c>
      <c r="G25" s="340">
        <f>+DEP.14C!D19+DEP.14C!E19</f>
        <v>160</v>
      </c>
      <c r="H25" s="340">
        <f>+DEP.14C!D21+DEP.14C!E21</f>
        <v>161</v>
      </c>
      <c r="I25" s="340">
        <f>+DEP.14C!D23+DEP.14C!E23</f>
        <v>162</v>
      </c>
      <c r="J25" s="340"/>
      <c r="K25" s="340"/>
      <c r="L25" s="340"/>
      <c r="M25" s="340"/>
      <c r="N25" s="340"/>
      <c r="O25" s="340"/>
      <c r="P25" s="340"/>
      <c r="Q25" s="150">
        <f t="shared" si="1"/>
        <v>768</v>
      </c>
      <c r="R25" s="340">
        <f>-(+DEP.14C!G16+DEP.14C!G18+DEP.14C!G20+DEP.14C!G22)</f>
        <v>606</v>
      </c>
      <c r="S25" s="150">
        <f t="shared" si="2"/>
        <v>162</v>
      </c>
      <c r="T25" s="48" t="s">
        <v>133</v>
      </c>
      <c r="U25" s="63"/>
      <c r="V25" s="63"/>
      <c r="W25" s="63"/>
      <c r="X25" s="63"/>
      <c r="Y25" s="63"/>
      <c r="Z25" s="63"/>
      <c r="AA25" s="63"/>
      <c r="AB25" s="63"/>
    </row>
    <row r="26" spans="1:28" s="345" customFormat="1" ht="15.6" x14ac:dyDescent="0.3">
      <c r="A26" s="523">
        <f t="shared" si="0"/>
        <v>16</v>
      </c>
      <c r="B26" s="528" t="s">
        <v>134</v>
      </c>
      <c r="C26" s="246" t="s">
        <v>307</v>
      </c>
      <c r="D26" s="340"/>
      <c r="E26" s="340">
        <f>+DEP.14D!D15+DEP.14D!E15</f>
        <v>138</v>
      </c>
      <c r="F26" s="340">
        <f>+DEP.14D!D17+DEP.14D!E17</f>
        <v>141</v>
      </c>
      <c r="G26" s="340">
        <f>+DEP.14D!D19+DEP.14D!E19</f>
        <v>154</v>
      </c>
      <c r="H26" s="340">
        <f>+DEP.14D!D21+DEP.14D!E21</f>
        <v>157</v>
      </c>
      <c r="I26" s="340">
        <f>+DEP.14D!D23+DEP.14D!E23</f>
        <v>162</v>
      </c>
      <c r="J26" s="340"/>
      <c r="K26" s="340"/>
      <c r="L26" s="340"/>
      <c r="M26" s="340"/>
      <c r="N26" s="340"/>
      <c r="O26" s="340"/>
      <c r="P26" s="340"/>
      <c r="Q26" s="150">
        <f t="shared" si="1"/>
        <v>752</v>
      </c>
      <c r="R26" s="340">
        <f>+DEP.14D!G16+DEP.14D!G18+DEP.14D!G20+DEP.14D!G22</f>
        <v>0</v>
      </c>
      <c r="S26" s="150">
        <f t="shared" si="2"/>
        <v>752</v>
      </c>
      <c r="T26" s="48" t="s">
        <v>134</v>
      </c>
      <c r="U26" s="63"/>
      <c r="V26" s="63"/>
      <c r="W26" s="63"/>
      <c r="X26" s="63"/>
      <c r="Y26" s="63"/>
      <c r="Z26" s="63"/>
      <c r="AA26" s="63"/>
      <c r="AB26" s="63"/>
    </row>
    <row r="27" spans="1:28" ht="15.6" x14ac:dyDescent="0.3">
      <c r="A27" s="523">
        <f t="shared" si="0"/>
        <v>17</v>
      </c>
      <c r="B27" s="528" t="s">
        <v>135</v>
      </c>
      <c r="C27" s="246" t="s">
        <v>308</v>
      </c>
      <c r="D27" s="150"/>
      <c r="E27" s="150">
        <f>+DEP.15A!D15+DEP.15A!E15</f>
        <v>411</v>
      </c>
      <c r="F27" s="150">
        <f>+DEP.15A!D17+DEP.15A!E17</f>
        <v>427</v>
      </c>
      <c r="G27" s="150">
        <f>+DEP.15A!D19+DEP.15A!E19</f>
        <v>460</v>
      </c>
      <c r="H27" s="150">
        <f>+DEP.15A!D21+DEP.15A!E21</f>
        <v>467</v>
      </c>
      <c r="I27" s="150">
        <f>+DEP.15A!D23+DEP.15A!E23</f>
        <v>458</v>
      </c>
      <c r="J27" s="150"/>
      <c r="K27" s="150"/>
      <c r="L27" s="150"/>
      <c r="M27" s="150"/>
      <c r="N27" s="150"/>
      <c r="O27" s="150"/>
      <c r="P27" s="150"/>
      <c r="Q27" s="150">
        <f t="shared" si="1"/>
        <v>2223</v>
      </c>
      <c r="R27" s="150">
        <f>-(+DEP.15A!G16+DEP.15A!G18+DEP.15A!G20+DEP.15A!G22+DEP.15A!G24)</f>
        <v>2223</v>
      </c>
      <c r="S27" s="150">
        <f t="shared" si="2"/>
        <v>0</v>
      </c>
      <c r="T27" s="48" t="s">
        <v>135</v>
      </c>
    </row>
    <row r="28" spans="1:28" ht="15.6" x14ac:dyDescent="0.3">
      <c r="A28" s="523">
        <f t="shared" si="0"/>
        <v>18</v>
      </c>
      <c r="B28" s="528" t="s">
        <v>136</v>
      </c>
      <c r="C28" s="246" t="s">
        <v>349</v>
      </c>
      <c r="D28" s="150"/>
      <c r="E28" s="150">
        <f>+DEP.15B!D15+DEP.15B!E15</f>
        <v>422</v>
      </c>
      <c r="F28" s="150">
        <f>+DEP.15B!D17+DEP.15B!E17</f>
        <v>422</v>
      </c>
      <c r="G28" s="150">
        <f>+DEP.15B!D19+DEP.15B!E19</f>
        <v>457</v>
      </c>
      <c r="H28" s="150">
        <f>+DEP.15B!D21+DEP.15B!E21</f>
        <v>467</v>
      </c>
      <c r="I28" s="150">
        <f>+DEP.15B!D23+DEP.15B!E23</f>
        <v>465</v>
      </c>
      <c r="J28" s="150"/>
      <c r="K28" s="150"/>
      <c r="L28" s="150"/>
      <c r="M28" s="150"/>
      <c r="N28" s="150"/>
      <c r="O28" s="150"/>
      <c r="P28" s="150"/>
      <c r="Q28" s="150">
        <f t="shared" si="1"/>
        <v>2233</v>
      </c>
      <c r="R28" s="150">
        <f>-(+DEP.15B!G16+DEP.15B!G18+DEP.15B!G20+DEP.15B!G22+DEP.15B!G24)</f>
        <v>1768</v>
      </c>
      <c r="S28" s="150">
        <f t="shared" si="2"/>
        <v>465</v>
      </c>
      <c r="T28" s="48" t="s">
        <v>136</v>
      </c>
    </row>
    <row r="29" spans="1:28" ht="15.6" x14ac:dyDescent="0.3">
      <c r="A29" s="523">
        <f t="shared" si="0"/>
        <v>19</v>
      </c>
      <c r="B29" s="528" t="s">
        <v>137</v>
      </c>
      <c r="C29" s="246" t="s">
        <v>309</v>
      </c>
      <c r="D29" s="150"/>
      <c r="E29" s="150">
        <f>+DEP.15C!D15+DEP.15C!E15</f>
        <v>121</v>
      </c>
      <c r="F29" s="150">
        <f>+DEP.15C!D17+DEP.15C!E17</f>
        <v>126</v>
      </c>
      <c r="G29" s="150">
        <f>+DEP.15C!D19+DEP.15C!E19</f>
        <v>134</v>
      </c>
      <c r="H29" s="150">
        <f>+DEP.15C!D21+DEP.15C!E21</f>
        <v>138</v>
      </c>
      <c r="I29" s="150">
        <f>+DEP.15C!D23+DEP.15C!E23</f>
        <v>135</v>
      </c>
      <c r="J29" s="150"/>
      <c r="K29" s="150"/>
      <c r="L29" s="150"/>
      <c r="M29" s="150"/>
      <c r="N29" s="150"/>
      <c r="O29" s="150"/>
      <c r="P29" s="150"/>
      <c r="Q29" s="150">
        <f t="shared" si="1"/>
        <v>654</v>
      </c>
      <c r="R29" s="150">
        <f>-(+DEP.15C!G16+DEP.15C!G18+DEP.15C!G20+DEP.15C!G22+DEP.15C!G24)</f>
        <v>381</v>
      </c>
      <c r="S29" s="150">
        <f t="shared" si="2"/>
        <v>273</v>
      </c>
      <c r="T29" s="48" t="s">
        <v>137</v>
      </c>
    </row>
    <row r="30" spans="1:28" ht="15.6" x14ac:dyDescent="0.3">
      <c r="A30" s="523">
        <f t="shared" si="0"/>
        <v>20</v>
      </c>
      <c r="B30" s="530" t="s">
        <v>138</v>
      </c>
      <c r="C30" s="247" t="s">
        <v>310</v>
      </c>
      <c r="D30" s="150"/>
      <c r="E30" s="150">
        <f>+DEP.15D!D15+DEP.15D!E15</f>
        <v>101</v>
      </c>
      <c r="F30" s="150">
        <f>+DEP.15D!D17+DEP.15D!E17</f>
        <v>112</v>
      </c>
      <c r="G30" s="150">
        <f>+DEP.15D!D19+DEP.15D!E19</f>
        <v>136</v>
      </c>
      <c r="H30" s="150">
        <f>+DEP.15D!D21+DEP.15D!E21</f>
        <v>116</v>
      </c>
      <c r="I30" s="150">
        <f>+DEP.15D!D23+DEP.15D!E23</f>
        <v>121</v>
      </c>
      <c r="J30" s="150"/>
      <c r="K30" s="150"/>
      <c r="L30" s="150"/>
      <c r="M30" s="150"/>
      <c r="N30" s="150"/>
      <c r="O30" s="150"/>
      <c r="P30" s="150"/>
      <c r="Q30" s="150">
        <f t="shared" si="1"/>
        <v>586</v>
      </c>
      <c r="R30" s="150">
        <f>-(+DEP.15D!G16+DEP.15D!G18+DEP.15D!G20+DEP.15D!G22+DEP.15D!G24)</f>
        <v>465</v>
      </c>
      <c r="S30" s="150">
        <f t="shared" si="2"/>
        <v>121</v>
      </c>
      <c r="T30" s="49" t="s">
        <v>138</v>
      </c>
    </row>
    <row r="31" spans="1:28" ht="15.6" x14ac:dyDescent="0.3">
      <c r="A31" s="523">
        <f t="shared" si="0"/>
        <v>21</v>
      </c>
      <c r="B31" s="530" t="s">
        <v>139</v>
      </c>
      <c r="C31" s="247" t="s">
        <v>273</v>
      </c>
      <c r="D31" s="150"/>
      <c r="E31" s="150">
        <f>+DEP.16A!D15+DEP.16A!E15</f>
        <v>350</v>
      </c>
      <c r="F31" s="150">
        <f>+DEP.16A!D17</f>
        <v>350</v>
      </c>
      <c r="G31" s="150">
        <f>+DEP.16A!D19</f>
        <v>400</v>
      </c>
      <c r="H31" s="150">
        <f>+DEP.16A!D21</f>
        <v>400</v>
      </c>
      <c r="I31" s="150">
        <f>+DEP.16A!D23</f>
        <v>400</v>
      </c>
      <c r="J31" s="150"/>
      <c r="K31" s="150"/>
      <c r="L31" s="150"/>
      <c r="M31" s="150"/>
      <c r="N31" s="150"/>
      <c r="O31" s="150"/>
      <c r="P31" s="150"/>
      <c r="Q31" s="150">
        <f t="shared" si="1"/>
        <v>1900</v>
      </c>
      <c r="R31" s="150">
        <f>-(+DEP.16A!G16+DEP.16A!G18+DEP.16A!G20+DEP.16A!G22+DEP.16A!G24)</f>
        <v>700</v>
      </c>
      <c r="S31" s="150">
        <f t="shared" si="2"/>
        <v>1200</v>
      </c>
      <c r="T31" s="49" t="s">
        <v>139</v>
      </c>
    </row>
    <row r="32" spans="1:28" ht="15.6" x14ac:dyDescent="0.3">
      <c r="A32" s="523">
        <f t="shared" si="0"/>
        <v>22</v>
      </c>
      <c r="B32" s="528" t="s">
        <v>140</v>
      </c>
      <c r="C32" s="246" t="s">
        <v>335</v>
      </c>
      <c r="D32" s="150"/>
      <c r="E32" s="150">
        <f>+DEP.16B!D15+DEP.16B!E15</f>
        <v>491</v>
      </c>
      <c r="F32" s="150">
        <f>+DEP.16B!D17+DEP.16B!E17</f>
        <v>497</v>
      </c>
      <c r="G32" s="150">
        <f>+DEP.16B!D19+DEP.16B!E19</f>
        <v>537</v>
      </c>
      <c r="H32" s="150">
        <f>+DEP.16B!D21+DEP.16B!E21</f>
        <v>551</v>
      </c>
      <c r="I32" s="150">
        <f>+DEP.16B!D23+DEP.16B!E23</f>
        <v>549</v>
      </c>
      <c r="J32" s="150"/>
      <c r="K32" s="150"/>
      <c r="L32" s="150"/>
      <c r="M32" s="150"/>
      <c r="N32" s="150"/>
      <c r="O32" s="150"/>
      <c r="P32" s="150"/>
      <c r="Q32" s="150">
        <f t="shared" si="1"/>
        <v>2625</v>
      </c>
      <c r="R32" s="150">
        <f>-(+DEP.16B!G16+DEP.16B!G18+DEP.16B!G20+DEP.16B!G22+DEP.16B!G24)</f>
        <v>491</v>
      </c>
      <c r="S32" s="150">
        <f t="shared" si="2"/>
        <v>2134</v>
      </c>
      <c r="T32" s="48" t="s">
        <v>140</v>
      </c>
    </row>
    <row r="33" spans="1:20" ht="21.6" customHeight="1" x14ac:dyDescent="0.3">
      <c r="A33" s="523">
        <f t="shared" si="0"/>
        <v>23</v>
      </c>
      <c r="B33" s="528" t="s">
        <v>141</v>
      </c>
      <c r="C33" s="246" t="s">
        <v>311</v>
      </c>
      <c r="D33" s="150"/>
      <c r="E33" s="150">
        <f>+DEP.16C!D15+DEP.16C!E15</f>
        <v>97</v>
      </c>
      <c r="F33" s="150">
        <f>+DEP.16C!D17+DEP.16C!E17</f>
        <v>102</v>
      </c>
      <c r="G33" s="150">
        <f>+DEP.16C!D19+DEP.16C!E19</f>
        <v>106</v>
      </c>
      <c r="H33" s="150">
        <f>+DEP.16C!D21+DEP.16C!E21</f>
        <v>111</v>
      </c>
      <c r="I33" s="150">
        <f>+DEP.16C!D23+DEP.16C!E23</f>
        <v>104</v>
      </c>
      <c r="J33" s="150"/>
      <c r="K33" s="150"/>
      <c r="L33" s="150"/>
      <c r="M33" s="150"/>
      <c r="N33" s="150"/>
      <c r="O33" s="150"/>
      <c r="P33" s="150"/>
      <c r="Q33" s="150">
        <f t="shared" si="1"/>
        <v>520</v>
      </c>
      <c r="R33" s="150">
        <f>-(+DEP.16C!G16+DEP.16C!G18+DEP.16C!G20+DEP.16C!G22+DEP.16C!G24)</f>
        <v>305</v>
      </c>
      <c r="S33" s="150">
        <f t="shared" si="2"/>
        <v>215</v>
      </c>
      <c r="T33" s="48" t="s">
        <v>141</v>
      </c>
    </row>
    <row r="34" spans="1:20" ht="15.6" x14ac:dyDescent="0.3">
      <c r="A34" s="523">
        <f t="shared" si="0"/>
        <v>24</v>
      </c>
      <c r="B34" s="528" t="s">
        <v>142</v>
      </c>
      <c r="C34" s="246" t="s">
        <v>312</v>
      </c>
      <c r="D34" s="150"/>
      <c r="E34" s="150">
        <f>+DEP.16D!D15+DEP.16D!E15</f>
        <v>130</v>
      </c>
      <c r="F34" s="150">
        <f>+DEP.16D!D17+DEP.16D!E17</f>
        <v>128</v>
      </c>
      <c r="G34" s="150">
        <f>+DEP.16D!D19+DEP.16D!E19</f>
        <v>155</v>
      </c>
      <c r="H34" s="150">
        <f>+DEP.16D!D21+DEP.16D!E21</f>
        <v>163</v>
      </c>
      <c r="I34" s="150">
        <f>+DEP.16D!D23+DEP.16D!E23</f>
        <v>169</v>
      </c>
      <c r="J34" s="150"/>
      <c r="K34" s="150"/>
      <c r="L34" s="150"/>
      <c r="M34" s="150"/>
      <c r="N34" s="150"/>
      <c r="O34" s="150"/>
      <c r="P34" s="150"/>
      <c r="Q34" s="150">
        <f t="shared" si="1"/>
        <v>745</v>
      </c>
      <c r="R34" s="150">
        <f>-(+DEP.16D!G16++DEP.16D!G18+DEP.16D!G20+DEP.16D!G22+DEP.16D!G24)</f>
        <v>258</v>
      </c>
      <c r="S34" s="150">
        <f t="shared" si="2"/>
        <v>487</v>
      </c>
      <c r="T34" s="48" t="s">
        <v>142</v>
      </c>
    </row>
    <row r="35" spans="1:20" ht="15.6" x14ac:dyDescent="0.3">
      <c r="A35" s="523">
        <f t="shared" si="0"/>
        <v>25</v>
      </c>
      <c r="B35" s="528" t="s">
        <v>143</v>
      </c>
      <c r="C35" s="246" t="s">
        <v>313</v>
      </c>
      <c r="D35" s="150"/>
      <c r="E35" s="150">
        <f>+DEP.17A!D15+DEP.17A!E15</f>
        <v>423</v>
      </c>
      <c r="F35" s="150">
        <f>+DEP.17A!D17+DEP.17A!E17</f>
        <v>448</v>
      </c>
      <c r="G35" s="150">
        <f>+DEP.17A!D19+DEP.17A!E19</f>
        <v>497</v>
      </c>
      <c r="H35" s="150">
        <f>+DEP.17A!D21+DEP.17A!E21</f>
        <v>514</v>
      </c>
      <c r="I35" s="150">
        <f>+DEP.17A!D23+DEP.17A!E23</f>
        <v>504</v>
      </c>
      <c r="J35" s="150"/>
      <c r="K35" s="150"/>
      <c r="L35" s="150"/>
      <c r="M35" s="150"/>
      <c r="N35" s="150"/>
      <c r="O35" s="150"/>
      <c r="P35" s="150"/>
      <c r="Q35" s="150">
        <f t="shared" si="1"/>
        <v>2386</v>
      </c>
      <c r="R35" s="150">
        <f>-(+DEP.17A!G16+DEP.17A!G18+DEP.17A!G20+DEP.17A!G22+DEP.17A!G24)</f>
        <v>1882</v>
      </c>
      <c r="S35" s="150">
        <f t="shared" si="2"/>
        <v>504</v>
      </c>
      <c r="T35" s="48" t="s">
        <v>143</v>
      </c>
    </row>
    <row r="36" spans="1:20" ht="15.6" x14ac:dyDescent="0.3">
      <c r="A36" s="523">
        <f t="shared" si="0"/>
        <v>26</v>
      </c>
      <c r="B36" s="528" t="s">
        <v>144</v>
      </c>
      <c r="C36" s="246" t="s">
        <v>297</v>
      </c>
      <c r="D36" s="150"/>
      <c r="E36" s="150">
        <f>+'DEP. 17B'!D15+'DEP. 17B'!E15</f>
        <v>373</v>
      </c>
      <c r="F36" s="150">
        <f>+'DEP. 17B'!D17+'DEP. 17B'!E17</f>
        <v>387</v>
      </c>
      <c r="G36" s="150">
        <f>+'DEP. 17B'!D19+'DEP. 17B'!E19</f>
        <v>430</v>
      </c>
      <c r="H36" s="150">
        <f>+'DEP. 17B'!D21+'DEP. 17B'!E21</f>
        <v>435</v>
      </c>
      <c r="I36" s="150">
        <f>+'DEP. 17B'!D23+'DEP. 17B'!E23</f>
        <v>425</v>
      </c>
      <c r="J36" s="150"/>
      <c r="K36" s="150"/>
      <c r="L36" s="150"/>
      <c r="M36" s="150"/>
      <c r="N36" s="150"/>
      <c r="O36" s="150"/>
      <c r="P36" s="150"/>
      <c r="Q36" s="150">
        <f t="shared" si="1"/>
        <v>2050</v>
      </c>
      <c r="R36" s="150">
        <f>-(+'DEP. 17B'!G16+'DEP. 17B'!G18+'DEP. 17B'!G20+'DEP. 17B'!G22)</f>
        <v>760</v>
      </c>
      <c r="S36" s="150">
        <f t="shared" si="2"/>
        <v>1290</v>
      </c>
      <c r="T36" s="48" t="s">
        <v>144</v>
      </c>
    </row>
    <row r="37" spans="1:20" ht="15.6" x14ac:dyDescent="0.3">
      <c r="A37" s="523">
        <f t="shared" si="0"/>
        <v>27</v>
      </c>
      <c r="B37" s="528" t="s">
        <v>145</v>
      </c>
      <c r="C37" s="246" t="s">
        <v>314</v>
      </c>
      <c r="D37" s="150"/>
      <c r="E37" s="150">
        <f>+DEP.17C!D15+DEP.17C!E15</f>
        <v>123</v>
      </c>
      <c r="F37" s="150">
        <f>+DEP.17C!D17+DEP.17C!E17</f>
        <v>125</v>
      </c>
      <c r="G37" s="150">
        <f>+DEP.17C!D19+DEP.17C!E19</f>
        <v>132</v>
      </c>
      <c r="H37" s="150">
        <f>+DEP.17C!D21+DEP.17C!E21</f>
        <v>133</v>
      </c>
      <c r="I37" s="150">
        <f>+DEP.17C!D23+DEP.17C!E23</f>
        <v>129</v>
      </c>
      <c r="J37" s="150"/>
      <c r="K37" s="150"/>
      <c r="L37" s="150"/>
      <c r="M37" s="150"/>
      <c r="N37" s="150"/>
      <c r="O37" s="150"/>
      <c r="P37" s="150"/>
      <c r="Q37" s="150">
        <f t="shared" si="1"/>
        <v>642</v>
      </c>
      <c r="R37" s="150">
        <f>-(+DEP.17C!G16+DEP.17C!G18+DEP.17C!G20+DEP.17C!G22+DEP.17C!G24)</f>
        <v>380</v>
      </c>
      <c r="S37" s="150">
        <f t="shared" si="2"/>
        <v>262</v>
      </c>
      <c r="T37" s="48" t="s">
        <v>145</v>
      </c>
    </row>
    <row r="38" spans="1:20" ht="15.6" x14ac:dyDescent="0.3">
      <c r="A38" s="523">
        <f t="shared" si="0"/>
        <v>28</v>
      </c>
      <c r="B38" s="531" t="s">
        <v>146</v>
      </c>
      <c r="C38" s="385" t="s">
        <v>315</v>
      </c>
      <c r="D38" s="150"/>
      <c r="E38" s="150">
        <f>+DEP.17D!D15+DEP.17D!E15</f>
        <v>132</v>
      </c>
      <c r="F38" s="150">
        <f>+DEP.17D!D17+DEP.17D!E17</f>
        <v>143</v>
      </c>
      <c r="G38" s="150">
        <f>+DEP.17D!D19+DEP.17D!E19</f>
        <v>163</v>
      </c>
      <c r="H38" s="150">
        <f>+DEP.17D!D21+DEP.17D!E21</f>
        <v>163</v>
      </c>
      <c r="I38" s="150">
        <f>+DEP.17D!D23+DEP.17D!E23</f>
        <v>164</v>
      </c>
      <c r="J38" s="150"/>
      <c r="K38" s="150"/>
      <c r="L38" s="150"/>
      <c r="M38" s="150"/>
      <c r="N38" s="150"/>
      <c r="O38" s="150"/>
      <c r="P38" s="150"/>
      <c r="Q38" s="150">
        <f t="shared" si="1"/>
        <v>765</v>
      </c>
      <c r="R38" s="150">
        <f>-(+DEP.17D!G16+DEP.17D!G18+DEP.17D!G20+DEP.17D!G22+DEP.17D!G24)</f>
        <v>275</v>
      </c>
      <c r="S38" s="150">
        <f t="shared" si="2"/>
        <v>490</v>
      </c>
      <c r="T38" s="47" t="s">
        <v>146</v>
      </c>
    </row>
    <row r="39" spans="1:20" ht="22.2" customHeight="1" x14ac:dyDescent="0.3">
      <c r="A39" s="523">
        <f t="shared" si="0"/>
        <v>29</v>
      </c>
      <c r="B39" s="528" t="s">
        <v>147</v>
      </c>
      <c r="C39" s="246" t="s">
        <v>350</v>
      </c>
      <c r="D39" s="150"/>
      <c r="E39" s="150">
        <f>+DEP.18A!D15+DEP.18A!E15</f>
        <v>456</v>
      </c>
      <c r="F39" s="150">
        <f>+DEP.18A!D17+DEP.18A!E17</f>
        <v>460</v>
      </c>
      <c r="G39" s="150">
        <f>+DEP.18A!D19+DEP.18A!E19</f>
        <v>509</v>
      </c>
      <c r="H39" s="150">
        <f>+DEP.18A!D21+DEP.18A!E21</f>
        <v>511</v>
      </c>
      <c r="I39" s="150">
        <f>+DEP.18A!D23+DEP.18A!E23</f>
        <v>502</v>
      </c>
      <c r="J39" s="150"/>
      <c r="K39" s="150"/>
      <c r="L39" s="150"/>
      <c r="M39" s="150"/>
      <c r="N39" s="150"/>
      <c r="O39" s="150"/>
      <c r="P39" s="150"/>
      <c r="Q39" s="150">
        <f t="shared" si="1"/>
        <v>2438</v>
      </c>
      <c r="R39" s="150">
        <f>-(+DEP.18A!G16+DEP.18A!G18+DEP.18A!G20+DEP.18A!G22)</f>
        <v>1425</v>
      </c>
      <c r="S39" s="150">
        <f t="shared" si="2"/>
        <v>1013</v>
      </c>
      <c r="T39" s="48" t="s">
        <v>147</v>
      </c>
    </row>
    <row r="40" spans="1:20" ht="15.6" x14ac:dyDescent="0.3">
      <c r="A40" s="523">
        <f t="shared" si="0"/>
        <v>30</v>
      </c>
      <c r="B40" s="528" t="s">
        <v>148</v>
      </c>
      <c r="C40" s="246" t="s">
        <v>316</v>
      </c>
      <c r="D40" s="150"/>
      <c r="E40" s="150">
        <f>+DEP.18B!D15+DEP.18B!E15</f>
        <v>389</v>
      </c>
      <c r="F40" s="150">
        <f>+DEP.18B!D17+DEP.18B!E17</f>
        <v>387</v>
      </c>
      <c r="G40" s="150">
        <f>+DEP.18B!D19+DEP.18B!E19</f>
        <v>432</v>
      </c>
      <c r="H40" s="150">
        <f>+DEP.18B!D21+DEP.18B!E21</f>
        <v>436</v>
      </c>
      <c r="I40" s="150">
        <f>+DEP.18B!D23+DEP.18B!E23</f>
        <v>441</v>
      </c>
      <c r="J40" s="150"/>
      <c r="K40" s="150"/>
      <c r="L40" s="150"/>
      <c r="M40" s="150"/>
      <c r="N40" s="150"/>
      <c r="O40" s="150"/>
      <c r="P40" s="150"/>
      <c r="Q40" s="150">
        <f t="shared" si="1"/>
        <v>2085</v>
      </c>
      <c r="R40" s="150">
        <f>-(+DEP.18B!G16+DEP.18B!G18+DEP.18B!G20+DEP.18B!G22+DEP.18B!G24)</f>
        <v>1644</v>
      </c>
      <c r="S40" s="150">
        <f t="shared" si="2"/>
        <v>441</v>
      </c>
      <c r="T40" s="48" t="s">
        <v>148</v>
      </c>
    </row>
    <row r="41" spans="1:20" ht="15.6" x14ac:dyDescent="0.3">
      <c r="A41" s="523">
        <f t="shared" si="0"/>
        <v>31</v>
      </c>
      <c r="B41" s="528" t="s">
        <v>149</v>
      </c>
      <c r="C41" s="246" t="s">
        <v>317</v>
      </c>
      <c r="D41" s="150"/>
      <c r="E41" s="150">
        <f>+DEP.18C!D15+DEP.18C!E15</f>
        <v>120</v>
      </c>
      <c r="F41" s="150">
        <f>+DEP.18C!D17+DEP.18C!E17</f>
        <v>118</v>
      </c>
      <c r="G41" s="150">
        <f>+DEP.18C!D19+DEP.18C!E19</f>
        <v>134</v>
      </c>
      <c r="H41" s="150">
        <f>+DEP.18C!D21+DEP.18C!E21</f>
        <v>135</v>
      </c>
      <c r="I41" s="150">
        <f>+DEP.18C!D23+DEP.18C!E23</f>
        <v>136</v>
      </c>
      <c r="J41" s="150"/>
      <c r="K41" s="150"/>
      <c r="L41" s="150"/>
      <c r="M41" s="150"/>
      <c r="N41" s="150"/>
      <c r="O41" s="150"/>
      <c r="P41" s="150"/>
      <c r="Q41" s="150">
        <f t="shared" si="1"/>
        <v>643</v>
      </c>
      <c r="R41" s="150">
        <f>-(+DEP.18C!G16+DEP.18C!G18+DEP.18C!G20+DEP.18C!G22)</f>
        <v>507</v>
      </c>
      <c r="S41" s="150">
        <f t="shared" si="2"/>
        <v>136</v>
      </c>
      <c r="T41" s="48" t="s">
        <v>149</v>
      </c>
    </row>
    <row r="42" spans="1:20" ht="15.6" x14ac:dyDescent="0.3">
      <c r="A42" s="523">
        <f t="shared" si="0"/>
        <v>32</v>
      </c>
      <c r="B42" s="531" t="s">
        <v>150</v>
      </c>
      <c r="C42" s="385" t="s">
        <v>318</v>
      </c>
      <c r="D42" s="150"/>
      <c r="E42" s="150">
        <f>+DEP.18D!D15+DEP.18D!E15</f>
        <v>105</v>
      </c>
      <c r="F42" s="150">
        <f>+DEP.18D!D17+DEP.18D!E17</f>
        <v>111</v>
      </c>
      <c r="G42" s="150">
        <f>+DEP.18D!D19+DEP.18D!E19</f>
        <v>113</v>
      </c>
      <c r="H42" s="150">
        <f>+DEP.18D!D21+DEP.18D!E21</f>
        <v>120</v>
      </c>
      <c r="I42" s="150">
        <f>+DEP.18D!D23+DEP.18D!E23</f>
        <v>117</v>
      </c>
      <c r="J42" s="150"/>
      <c r="K42" s="150"/>
      <c r="L42" s="150"/>
      <c r="M42" s="150"/>
      <c r="N42" s="150"/>
      <c r="O42" s="150"/>
      <c r="P42" s="150"/>
      <c r="Q42" s="150">
        <f t="shared" si="1"/>
        <v>566</v>
      </c>
      <c r="R42" s="150">
        <f>-(+DEP.18D!G16+DEP.18D!G18+DEP.18D!G20+DEP.18D!G22)</f>
        <v>449</v>
      </c>
      <c r="S42" s="150">
        <f t="shared" si="2"/>
        <v>117</v>
      </c>
      <c r="T42" s="47" t="s">
        <v>150</v>
      </c>
    </row>
    <row r="43" spans="1:20" ht="15.6" x14ac:dyDescent="0.3">
      <c r="A43" s="523">
        <f t="shared" si="0"/>
        <v>33</v>
      </c>
      <c r="B43" s="528" t="s">
        <v>151</v>
      </c>
      <c r="C43" s="246" t="s">
        <v>319</v>
      </c>
      <c r="D43" s="150"/>
      <c r="E43" s="150">
        <f>+DEP.19A!D13+DEP.19A!E13</f>
        <v>312</v>
      </c>
      <c r="F43" s="150">
        <f>+DEP.19A!D15+DEP.19A!E15</f>
        <v>328</v>
      </c>
      <c r="G43" s="150">
        <f>+DEP.19A!D17</f>
        <v>355</v>
      </c>
      <c r="H43" s="150">
        <f>+DEP.19A!D19+DEP.19A!E19</f>
        <v>356</v>
      </c>
      <c r="I43" s="150">
        <f>+DEP.19A!D21+DEP.19A!E21</f>
        <v>355</v>
      </c>
      <c r="J43" s="150"/>
      <c r="K43" s="150"/>
      <c r="L43" s="150"/>
      <c r="M43" s="150"/>
      <c r="N43" s="150"/>
      <c r="O43" s="150"/>
      <c r="P43" s="150"/>
      <c r="Q43" s="150">
        <f t="shared" si="1"/>
        <v>1706</v>
      </c>
      <c r="R43" s="150">
        <f>-(+DEP.19A!G14+DEP.19A!G16+DEP.19A!G18+DEP.19A!G20+DEP.19A!G22)</f>
        <v>995</v>
      </c>
      <c r="S43" s="150">
        <f t="shared" si="2"/>
        <v>711</v>
      </c>
      <c r="T43" s="48" t="s">
        <v>151</v>
      </c>
    </row>
    <row r="44" spans="1:20" ht="13.95" customHeight="1" x14ac:dyDescent="0.3">
      <c r="A44" s="523">
        <f t="shared" ref="A44:A79" si="3">+A43+1</f>
        <v>34</v>
      </c>
      <c r="B44" s="528" t="s">
        <v>152</v>
      </c>
      <c r="C44" s="246" t="s">
        <v>320</v>
      </c>
      <c r="D44" s="150"/>
      <c r="E44" s="150">
        <f>+DEP.19B!D15+DEP.19B!E15</f>
        <v>392</v>
      </c>
      <c r="F44" s="150">
        <f>+DEP.19B!D17+DEP.19B!E17</f>
        <v>386</v>
      </c>
      <c r="G44" s="150">
        <f>+DEP.19B!D19+DEP.19B!E19</f>
        <v>435</v>
      </c>
      <c r="H44" s="150">
        <f>+DEP.19B!D21+DEP.19B!E21</f>
        <v>442</v>
      </c>
      <c r="I44" s="150">
        <f>+DEP.19B!D23+DEP.19B!E23</f>
        <v>434</v>
      </c>
      <c r="J44" s="150"/>
      <c r="K44" s="150"/>
      <c r="L44" s="150"/>
      <c r="M44" s="150"/>
      <c r="N44" s="150"/>
      <c r="O44" s="150"/>
      <c r="P44" s="150"/>
      <c r="Q44" s="150">
        <f t="shared" si="1"/>
        <v>2089</v>
      </c>
      <c r="R44" s="150">
        <f>-(+DEP.19B!G16+DEP.19B!G18+DEP.19B!G20+DEP.19B!G22+DEP.19B!G24)</f>
        <v>1655</v>
      </c>
      <c r="S44" s="150">
        <f t="shared" si="2"/>
        <v>434</v>
      </c>
      <c r="T44" s="48" t="s">
        <v>152</v>
      </c>
    </row>
    <row r="45" spans="1:20" ht="15.6" x14ac:dyDescent="0.3">
      <c r="A45" s="523">
        <f t="shared" si="3"/>
        <v>35</v>
      </c>
      <c r="B45" s="528" t="s">
        <v>153</v>
      </c>
      <c r="C45" s="246" t="s">
        <v>321</v>
      </c>
      <c r="D45" s="150"/>
      <c r="E45" s="150">
        <f>+DEP.19C!D15+DEP.19C!E15</f>
        <v>154</v>
      </c>
      <c r="F45" s="150">
        <f>+DEP.19C!D17+DEP.19C!E17</f>
        <v>104</v>
      </c>
      <c r="G45" s="150">
        <f>+DEP.19C!D19+DEP.19C!E19</f>
        <v>129</v>
      </c>
      <c r="H45" s="150">
        <f>+DEP.19C!D21+DEP.19C!E21</f>
        <v>119</v>
      </c>
      <c r="I45" s="150">
        <f>+DEP.19C!D23+DEP.19C!E23</f>
        <v>122</v>
      </c>
      <c r="J45" s="150"/>
      <c r="K45" s="150"/>
      <c r="L45" s="150"/>
      <c r="M45" s="150"/>
      <c r="N45" s="150"/>
      <c r="O45" s="150"/>
      <c r="P45" s="150"/>
      <c r="Q45" s="150">
        <f t="shared" si="1"/>
        <v>628</v>
      </c>
      <c r="R45" s="150">
        <f>-(+DEP.19C!G16+DEP.19C!G18+DEP.19C!G20+DEP.19C!G22+DEP.19C!G24)</f>
        <v>506</v>
      </c>
      <c r="S45" s="150">
        <f t="shared" si="2"/>
        <v>122</v>
      </c>
      <c r="T45" s="48" t="s">
        <v>153</v>
      </c>
    </row>
    <row r="46" spans="1:20" ht="18" customHeight="1" x14ac:dyDescent="0.3">
      <c r="A46" s="523">
        <f t="shared" si="3"/>
        <v>36</v>
      </c>
      <c r="B46" s="528" t="s">
        <v>154</v>
      </c>
      <c r="C46" s="246" t="s">
        <v>464</v>
      </c>
      <c r="D46" s="150"/>
      <c r="E46" s="150">
        <f>+DEP.19D!D15+DEP.19D!E15</f>
        <v>132</v>
      </c>
      <c r="F46" s="150">
        <f>+DEP.19D!D17+DEP.19D!E17</f>
        <v>114</v>
      </c>
      <c r="G46" s="150">
        <f>+DEP.19D!D19+DEP.19D!E19</f>
        <v>133</v>
      </c>
      <c r="H46" s="150">
        <f>+DEP.19D!D21+DEP.19D!E21</f>
        <v>141</v>
      </c>
      <c r="I46" s="150">
        <f>+DEP.19D!D23+DEP.19D!E23</f>
        <v>143</v>
      </c>
      <c r="J46" s="150"/>
      <c r="K46" s="150"/>
      <c r="L46" s="150"/>
      <c r="M46" s="150"/>
      <c r="N46" s="150"/>
      <c r="O46" s="150"/>
      <c r="P46" s="150"/>
      <c r="Q46" s="150">
        <f t="shared" si="1"/>
        <v>663</v>
      </c>
      <c r="R46" s="150">
        <f>-(+DEP.19D!G16+DEP.19D!G18+DEP.19D!G20+DEP.19D!G22+DEP.19D!G24)</f>
        <v>520</v>
      </c>
      <c r="S46" s="150">
        <f t="shared" si="2"/>
        <v>143</v>
      </c>
      <c r="T46" s="48" t="s">
        <v>154</v>
      </c>
    </row>
    <row r="47" spans="1:20" ht="32.4" customHeight="1" x14ac:dyDescent="0.3">
      <c r="A47" s="523">
        <f t="shared" si="3"/>
        <v>37</v>
      </c>
      <c r="B47" s="528" t="s">
        <v>155</v>
      </c>
      <c r="C47" s="246" t="s">
        <v>436</v>
      </c>
      <c r="D47" s="150"/>
      <c r="E47" s="150">
        <f>+DEP.20A!D15+DEP.20A!E15</f>
        <v>436</v>
      </c>
      <c r="F47" s="150">
        <f>+DEP.20A!D17+DEP.20A!E17</f>
        <v>433</v>
      </c>
      <c r="G47" s="150">
        <f>+DEP.20A!D19+DEP.20A!E19</f>
        <v>484</v>
      </c>
      <c r="H47" s="150">
        <f>+DEP.20A!D21+DEP.20A!E21</f>
        <v>498</v>
      </c>
      <c r="I47" s="150">
        <f>+DEP.20A!D23+DEP.20A!E23</f>
        <v>498</v>
      </c>
      <c r="J47" s="150"/>
      <c r="K47" s="150"/>
      <c r="L47" s="150"/>
      <c r="M47" s="150"/>
      <c r="N47" s="150"/>
      <c r="O47" s="150"/>
      <c r="P47" s="150"/>
      <c r="Q47" s="150">
        <f t="shared" si="1"/>
        <v>2349</v>
      </c>
      <c r="R47" s="150">
        <f>-(+DEP.20A!G16+DEP.20A!G18+DEP.20A!G20+DEP.20A!G22+DEP.20A!G24)</f>
        <v>1353</v>
      </c>
      <c r="S47" s="150">
        <f t="shared" si="2"/>
        <v>996</v>
      </c>
      <c r="T47" s="48" t="s">
        <v>155</v>
      </c>
    </row>
    <row r="48" spans="1:20" ht="31.2" customHeight="1" x14ac:dyDescent="0.3">
      <c r="A48" s="523">
        <f t="shared" si="3"/>
        <v>38</v>
      </c>
      <c r="B48" s="528" t="s">
        <v>156</v>
      </c>
      <c r="C48" s="246" t="s">
        <v>322</v>
      </c>
      <c r="D48" s="150"/>
      <c r="E48" s="150">
        <f>+DEP.20B!D15+DEP.20B!E15</f>
        <v>411</v>
      </c>
      <c r="F48" s="150">
        <f>+DEP.20B!D17+DEP.20B!E17</f>
        <v>414</v>
      </c>
      <c r="G48" s="150">
        <f>+DEP.20B!D19+DEP.20B!E19</f>
        <v>464</v>
      </c>
      <c r="H48" s="150">
        <f>+DEP.20B!D21+DEP.20B!E21</f>
        <v>462</v>
      </c>
      <c r="I48" s="150">
        <f>+DEP.20B!D23+DEP.20B!E23</f>
        <v>461</v>
      </c>
      <c r="J48" s="150"/>
      <c r="K48" s="150"/>
      <c r="L48" s="150"/>
      <c r="M48" s="150"/>
      <c r="N48" s="150"/>
      <c r="O48" s="150"/>
      <c r="P48" s="150"/>
      <c r="Q48" s="150">
        <f t="shared" si="1"/>
        <v>2212</v>
      </c>
      <c r="R48" s="150">
        <f>-(+DEP.20B!G16+DEP.20B!G18+DEP.20B!G20+DEP.20B!G22+DEP.20B!G24)</f>
        <v>1751</v>
      </c>
      <c r="S48" s="150">
        <f t="shared" si="2"/>
        <v>461</v>
      </c>
      <c r="T48" s="48" t="s">
        <v>156</v>
      </c>
    </row>
    <row r="49" spans="1:20" ht="19.95" customHeight="1" x14ac:dyDescent="0.3">
      <c r="A49" s="523">
        <f t="shared" si="3"/>
        <v>39</v>
      </c>
      <c r="B49" s="528" t="s">
        <v>157</v>
      </c>
      <c r="C49" s="246" t="s">
        <v>351</v>
      </c>
      <c r="D49" s="150"/>
      <c r="E49" s="150">
        <f>+DEP.20C!D15+DEP.20C!E15</f>
        <v>158</v>
      </c>
      <c r="F49" s="150">
        <f>+DEP.20C!D17+DEP.20C!E17</f>
        <v>152</v>
      </c>
      <c r="G49" s="150">
        <f>+DEP.20C!D19+DEP.20C!E19</f>
        <v>186</v>
      </c>
      <c r="H49" s="150">
        <f>+DEP.20C!D21+DEP.20C!E21</f>
        <v>210</v>
      </c>
      <c r="I49" s="150">
        <f>+DEP.20C!D23+DEP.20C!E23</f>
        <v>208</v>
      </c>
      <c r="J49" s="150"/>
      <c r="K49" s="150"/>
      <c r="L49" s="150"/>
      <c r="M49" s="150"/>
      <c r="N49" s="150"/>
      <c r="O49" s="150"/>
      <c r="P49" s="150"/>
      <c r="Q49" s="150">
        <f t="shared" si="1"/>
        <v>914</v>
      </c>
      <c r="R49" s="150">
        <f>-(+DEP.20C!G16+DEP.20C!G18+DEP.20C!G20+DEP.20C!G22+DEP.20C!G24)</f>
        <v>776</v>
      </c>
      <c r="S49" s="150">
        <f t="shared" si="2"/>
        <v>138</v>
      </c>
      <c r="T49" s="48" t="s">
        <v>157</v>
      </c>
    </row>
    <row r="50" spans="1:20" ht="15.6" x14ac:dyDescent="0.3">
      <c r="A50" s="523">
        <f t="shared" si="3"/>
        <v>40</v>
      </c>
      <c r="B50" s="528" t="s">
        <v>158</v>
      </c>
      <c r="C50" s="246" t="s">
        <v>370</v>
      </c>
      <c r="D50" s="150"/>
      <c r="E50" s="150">
        <f>+DEP.20D!D15</f>
        <v>88</v>
      </c>
      <c r="F50" s="150">
        <f>+DEP.20D!D17</f>
        <v>88</v>
      </c>
      <c r="G50" s="150">
        <f>+DEP.20D!D19</f>
        <v>101</v>
      </c>
      <c r="H50" s="150">
        <f>+DEP.20D!D21</f>
        <v>101</v>
      </c>
      <c r="I50" s="150">
        <f>+DEP.20D!D23</f>
        <v>101</v>
      </c>
      <c r="J50" s="150"/>
      <c r="K50" s="150"/>
      <c r="L50" s="150"/>
      <c r="M50" s="150"/>
      <c r="N50" s="150"/>
      <c r="O50" s="150"/>
      <c r="P50" s="150"/>
      <c r="Q50" s="150">
        <f t="shared" si="1"/>
        <v>479</v>
      </c>
      <c r="R50" s="150">
        <f>-(+DEP.20D!G16+DEP.20D!G18+DEP.20D!G20+DEP.20D!G22+DEP.20D!G24)</f>
        <v>176</v>
      </c>
      <c r="S50" s="150">
        <f t="shared" si="2"/>
        <v>303</v>
      </c>
      <c r="T50" s="48" t="s">
        <v>158</v>
      </c>
    </row>
    <row r="51" spans="1:20" ht="15.6" x14ac:dyDescent="0.3">
      <c r="A51" s="523">
        <f t="shared" si="3"/>
        <v>41</v>
      </c>
      <c r="B51" s="528" t="s">
        <v>159</v>
      </c>
      <c r="C51" s="246" t="s">
        <v>323</v>
      </c>
      <c r="D51" s="150"/>
      <c r="E51" s="150">
        <f>+DEP.21A!D15+DEP.21A!E15</f>
        <v>377</v>
      </c>
      <c r="F51" s="150">
        <f>+DEP.21A!D17+DEP.21A!E17</f>
        <v>377</v>
      </c>
      <c r="G51" s="150">
        <f>+DEP.21A!D19+DEP.21A!E19</f>
        <v>430</v>
      </c>
      <c r="H51" s="150">
        <f>+DEP.21A!D21+DEP.21A!E21</f>
        <v>429</v>
      </c>
      <c r="I51" s="150">
        <f>+DEP.21A!D23+DEP.21A!E23</f>
        <v>428</v>
      </c>
      <c r="J51" s="150"/>
      <c r="K51" s="150"/>
      <c r="L51" s="150"/>
      <c r="M51" s="150"/>
      <c r="N51" s="150"/>
      <c r="O51" s="150"/>
      <c r="P51" s="150"/>
      <c r="Q51" s="150">
        <f t="shared" si="1"/>
        <v>2041</v>
      </c>
      <c r="R51" s="150">
        <f>-(+DEP.21A!G16+DEP.21A!G18+DEP.21A!G20+DEP.21A!G22+DEP.21A!G24)</f>
        <v>2041</v>
      </c>
      <c r="S51" s="150">
        <f t="shared" si="2"/>
        <v>0</v>
      </c>
      <c r="T51" s="48" t="s">
        <v>159</v>
      </c>
    </row>
    <row r="52" spans="1:20" ht="15.6" x14ac:dyDescent="0.3">
      <c r="A52" s="523">
        <f t="shared" si="3"/>
        <v>42</v>
      </c>
      <c r="B52" s="528" t="s">
        <v>160</v>
      </c>
      <c r="C52" s="246" t="s">
        <v>324</v>
      </c>
      <c r="D52" s="150"/>
      <c r="E52" s="150">
        <f>+DEP.21B!D15+DEP.21B!E15</f>
        <v>364</v>
      </c>
      <c r="F52" s="150">
        <f>+DEP.21B!D17+DEP.21B!E17</f>
        <v>367</v>
      </c>
      <c r="G52" s="150">
        <f>+DEP.21B!D19+DEP.21B!E19</f>
        <v>411</v>
      </c>
      <c r="H52" s="150">
        <f>+DEP.21B!D21+DEP.21B!E21</f>
        <v>411</v>
      </c>
      <c r="I52" s="150">
        <f>+DEP.21B!D23+DEP.21B!E23</f>
        <v>404</v>
      </c>
      <c r="J52" s="150"/>
      <c r="K52" s="150"/>
      <c r="L52" s="150"/>
      <c r="M52" s="150"/>
      <c r="N52" s="150"/>
      <c r="O52" s="150"/>
      <c r="P52" s="150"/>
      <c r="Q52" s="150">
        <f t="shared" si="1"/>
        <v>1957</v>
      </c>
      <c r="R52" s="150">
        <f>-(+DEP.21B!G16+DEP.21B!G18+DEP.21B!G20+DEP.21B!G22)</f>
        <v>1553</v>
      </c>
      <c r="S52" s="150">
        <f t="shared" si="2"/>
        <v>404</v>
      </c>
      <c r="T52" s="48" t="s">
        <v>160</v>
      </c>
    </row>
    <row r="53" spans="1:20" ht="15.6" x14ac:dyDescent="0.3">
      <c r="A53" s="523">
        <f t="shared" si="3"/>
        <v>43</v>
      </c>
      <c r="B53" s="528" t="s">
        <v>161</v>
      </c>
      <c r="C53" s="246" t="s">
        <v>325</v>
      </c>
      <c r="D53" s="150"/>
      <c r="E53" s="150">
        <f>+DEP.21C!D15+DEP.21C!E15</f>
        <v>115</v>
      </c>
      <c r="F53" s="150">
        <f>+DEP.21C!D17+DEP.21C!E17</f>
        <v>117</v>
      </c>
      <c r="G53" s="150">
        <f>+DEP.21C!D19+DEP.21C!E19</f>
        <v>130</v>
      </c>
      <c r="H53" s="150">
        <f>+DEP.21C!D21+DEP.21C!E21</f>
        <v>141</v>
      </c>
      <c r="I53" s="150">
        <f>+DEP.21C!D23+DEP.21C!E23</f>
        <v>141</v>
      </c>
      <c r="J53" s="150"/>
      <c r="K53" s="150"/>
      <c r="L53" s="150"/>
      <c r="M53" s="150"/>
      <c r="N53" s="150"/>
      <c r="O53" s="150"/>
      <c r="P53" s="150"/>
      <c r="Q53" s="150">
        <f t="shared" si="1"/>
        <v>644</v>
      </c>
      <c r="R53" s="150">
        <f>-(+DEP.21C!G16+DEP.21C!G18+DEP.21C!G20+DEP.21C!G22+DEP.21C!G24)</f>
        <v>362</v>
      </c>
      <c r="S53" s="150">
        <f t="shared" si="2"/>
        <v>282</v>
      </c>
      <c r="T53" s="48" t="s">
        <v>161</v>
      </c>
    </row>
    <row r="54" spans="1:20" ht="18.600000000000001" customHeight="1" x14ac:dyDescent="0.3">
      <c r="A54" s="523">
        <f t="shared" si="3"/>
        <v>44</v>
      </c>
      <c r="B54" s="528" t="s">
        <v>162</v>
      </c>
      <c r="C54" s="246" t="s">
        <v>326</v>
      </c>
      <c r="D54" s="150"/>
      <c r="E54" s="150">
        <f>+DEP.21D!D15+DEP.21D!E15</f>
        <v>154</v>
      </c>
      <c r="F54" s="150">
        <f>+DEP.21D!D17+DEP.21D!E17</f>
        <v>158</v>
      </c>
      <c r="G54" s="150">
        <f>+DEP.21D!D19+DEP.21D!E19</f>
        <v>176</v>
      </c>
      <c r="H54" s="150">
        <f>+DEP.21D!D21+DEP.21D!E21</f>
        <v>185</v>
      </c>
      <c r="I54" s="150">
        <f>+DEP.21D!D23+DEP.21D!E23</f>
        <v>175</v>
      </c>
      <c r="J54" s="150"/>
      <c r="K54" s="150"/>
      <c r="L54" s="150"/>
      <c r="M54" s="150"/>
      <c r="N54" s="150"/>
      <c r="O54" s="150"/>
      <c r="P54" s="150"/>
      <c r="Q54" s="150">
        <f t="shared" si="1"/>
        <v>848</v>
      </c>
      <c r="R54" s="150">
        <f>-(+DEP.21D!G16+DEP.21D!G18+DEP.21D!G20+DEP.21D!G22+DEP.21D!G24)</f>
        <v>673</v>
      </c>
      <c r="S54" s="150">
        <f t="shared" si="2"/>
        <v>175</v>
      </c>
      <c r="T54" s="48" t="s">
        <v>162</v>
      </c>
    </row>
    <row r="55" spans="1:20" ht="17.399999999999999" customHeight="1" x14ac:dyDescent="0.3">
      <c r="A55" s="523">
        <f t="shared" si="3"/>
        <v>45</v>
      </c>
      <c r="B55" s="528" t="s">
        <v>163</v>
      </c>
      <c r="C55" s="246" t="s">
        <v>327</v>
      </c>
      <c r="D55" s="150"/>
      <c r="E55" s="150">
        <f>+DEP.22A!D16+DEP.22A!E16</f>
        <v>431</v>
      </c>
      <c r="F55" s="150">
        <f>+DEP.22A!D18+DEP.22A!E18</f>
        <v>436</v>
      </c>
      <c r="G55" s="150">
        <f>+DEP.22A!D20+DEP.22A!E20</f>
        <v>481</v>
      </c>
      <c r="H55" s="150">
        <f>+DEP.22A!D22+DEP.22A!E22</f>
        <v>475</v>
      </c>
      <c r="I55" s="150">
        <f>+DEP.22A!D24+DEP.22A!E24</f>
        <v>493</v>
      </c>
      <c r="J55" s="150"/>
      <c r="K55" s="150"/>
      <c r="L55" s="150"/>
      <c r="M55" s="150"/>
      <c r="N55" s="150"/>
      <c r="O55" s="150"/>
      <c r="P55" s="150"/>
      <c r="Q55" s="150">
        <f t="shared" si="1"/>
        <v>2316</v>
      </c>
      <c r="R55" s="150">
        <f>-(+DEP.22A!G17+DEP.22A!G19+DEP.22A!G21+DEP.22A!G23+DEP.22A!G25)</f>
        <v>2232</v>
      </c>
      <c r="S55" s="150">
        <f t="shared" si="2"/>
        <v>84</v>
      </c>
      <c r="T55" s="48" t="s">
        <v>163</v>
      </c>
    </row>
    <row r="56" spans="1:20" ht="22.2" customHeight="1" x14ac:dyDescent="0.3">
      <c r="A56" s="523">
        <f t="shared" si="3"/>
        <v>46</v>
      </c>
      <c r="B56" s="528" t="s">
        <v>164</v>
      </c>
      <c r="C56" s="246" t="s">
        <v>352</v>
      </c>
      <c r="D56" s="150"/>
      <c r="E56" s="150">
        <f>+DEP.22B!D15+DEP.22B!E15</f>
        <v>373</v>
      </c>
      <c r="F56" s="150">
        <f>+DEP.22B!D17+DEP.22B!E17</f>
        <v>360</v>
      </c>
      <c r="G56" s="150">
        <f>+DEP.22B!D19+DEP.22B!E19</f>
        <v>416</v>
      </c>
      <c r="H56" s="150">
        <f>+DEP.22B!D21+DEP.22B!E21</f>
        <v>405</v>
      </c>
      <c r="I56" s="150">
        <f>+DEP.22B!D23+DEP.22B!E23</f>
        <v>398</v>
      </c>
      <c r="J56" s="150"/>
      <c r="K56" s="150"/>
      <c r="L56" s="150"/>
      <c r="M56" s="150"/>
      <c r="N56" s="150"/>
      <c r="O56" s="150"/>
      <c r="P56" s="150"/>
      <c r="Q56" s="150">
        <f t="shared" si="1"/>
        <v>1952</v>
      </c>
      <c r="R56" s="150">
        <f>-(+DEP.22B!G16+DEP.22B!G18+DEP.22B!G20+DEP.22B!G22+DEP.22B!G24)</f>
        <v>1554</v>
      </c>
      <c r="S56" s="150">
        <f t="shared" si="2"/>
        <v>398</v>
      </c>
      <c r="T56" s="48" t="s">
        <v>164</v>
      </c>
    </row>
    <row r="57" spans="1:20" ht="15.6" x14ac:dyDescent="0.3">
      <c r="A57" s="523">
        <f t="shared" si="3"/>
        <v>47</v>
      </c>
      <c r="B57" s="528" t="s">
        <v>165</v>
      </c>
      <c r="C57" s="246" t="s">
        <v>328</v>
      </c>
      <c r="D57" s="150"/>
      <c r="E57" s="150">
        <f>+DEP.22C!D15+DEP.22C!E15</f>
        <v>104</v>
      </c>
      <c r="F57" s="150">
        <f>+DEP.22C!D17+DEP.22C!E17</f>
        <v>104</v>
      </c>
      <c r="G57" s="150">
        <f>+DEP.22C!D19+DEP.22C!E19</f>
        <v>119</v>
      </c>
      <c r="H57" s="150">
        <f>+DEP.22C!D21+DEP.22C!E21</f>
        <v>117</v>
      </c>
      <c r="I57" s="150">
        <f>+DEP.22C!D23+DEP.22C!E23</f>
        <v>116</v>
      </c>
      <c r="J57" s="150"/>
      <c r="K57" s="150"/>
      <c r="L57" s="150"/>
      <c r="M57" s="150"/>
      <c r="N57" s="150"/>
      <c r="O57" s="150"/>
      <c r="P57" s="150"/>
      <c r="Q57" s="150">
        <f t="shared" si="1"/>
        <v>560</v>
      </c>
      <c r="R57" s="150">
        <f>-(+DEP.22C!G16+DEP.22C!G18+DEP.22C!G20+DEP.22C!G22+DEP.22C!G24)</f>
        <v>0</v>
      </c>
      <c r="S57" s="150">
        <f t="shared" si="2"/>
        <v>560</v>
      </c>
      <c r="T57" s="48" t="s">
        <v>165</v>
      </c>
    </row>
    <row r="58" spans="1:20" ht="12" customHeight="1" x14ac:dyDescent="0.3">
      <c r="A58" s="523">
        <f t="shared" si="3"/>
        <v>48</v>
      </c>
      <c r="B58" s="528" t="s">
        <v>166</v>
      </c>
      <c r="C58" s="246" t="s">
        <v>196</v>
      </c>
      <c r="D58" s="150"/>
      <c r="E58" s="150">
        <f>+DEP.22D!D15+DEP.22D!E15</f>
        <v>92</v>
      </c>
      <c r="F58" s="150">
        <f>+DEP.22D!D17+DEP.22D!E17</f>
        <v>111</v>
      </c>
      <c r="G58" s="150">
        <f>+DEP.22D!D19+DEP.22D!E19</f>
        <v>118</v>
      </c>
      <c r="H58" s="150">
        <f>+DEP.22D!D21+DEP.22D!E21</f>
        <v>118</v>
      </c>
      <c r="I58" s="150">
        <f>+DEP.22D!D23+DEP.22D!E23</f>
        <v>122</v>
      </c>
      <c r="J58" s="150"/>
      <c r="K58" s="150"/>
      <c r="L58" s="150"/>
      <c r="M58" s="150"/>
      <c r="N58" s="150"/>
      <c r="O58" s="150"/>
      <c r="P58" s="150"/>
      <c r="Q58" s="150">
        <f t="shared" si="1"/>
        <v>561</v>
      </c>
      <c r="R58" s="150">
        <f>-(+DEP.22D!G16+DEP.22D!G18+DEP.22D!G20+DEP.22D!G22+DEP.22D!G24)</f>
        <v>-8533</v>
      </c>
      <c r="S58" s="150">
        <f t="shared" si="2"/>
        <v>9094</v>
      </c>
      <c r="T58" s="48" t="s">
        <v>166</v>
      </c>
    </row>
    <row r="59" spans="1:20" ht="15.6" x14ac:dyDescent="0.3">
      <c r="A59" s="523">
        <f t="shared" si="3"/>
        <v>49</v>
      </c>
      <c r="B59" s="528" t="s">
        <v>167</v>
      </c>
      <c r="C59" s="246" t="s">
        <v>329</v>
      </c>
      <c r="D59" s="150"/>
      <c r="E59" s="150">
        <f>+DEP.23A!D15+DEP.23A!E15</f>
        <v>387</v>
      </c>
      <c r="F59" s="150">
        <f>+DEP.23A!D17+DEP.23A!E17</f>
        <v>381</v>
      </c>
      <c r="G59" s="150">
        <f>+DEP.23A!D19+DEP.23A!E19</f>
        <v>430</v>
      </c>
      <c r="H59" s="150">
        <f>+DEP.23A!D21+DEP.23A!E21</f>
        <v>437</v>
      </c>
      <c r="I59" s="150">
        <f>+DEP.23A!D23+DEP.23A!E23</f>
        <v>420</v>
      </c>
      <c r="J59" s="150"/>
      <c r="K59" s="150"/>
      <c r="L59" s="150"/>
      <c r="M59" s="150"/>
      <c r="N59" s="150"/>
      <c r="O59" s="150"/>
      <c r="P59" s="150"/>
      <c r="Q59" s="150">
        <f t="shared" si="1"/>
        <v>2055</v>
      </c>
      <c r="R59" s="150">
        <f>-(+DEP.23A!G16+DEP.23A!G18+DEP.23A!G20+DEP.23A!G22+DEP.23A!G24)</f>
        <v>1498</v>
      </c>
      <c r="S59" s="150">
        <f t="shared" si="2"/>
        <v>557</v>
      </c>
      <c r="T59" s="48" t="s">
        <v>167</v>
      </c>
    </row>
    <row r="60" spans="1:20" ht="15.6" x14ac:dyDescent="0.3">
      <c r="A60" s="523">
        <f t="shared" si="3"/>
        <v>50</v>
      </c>
      <c r="B60" s="528" t="s">
        <v>168</v>
      </c>
      <c r="C60" s="246" t="s">
        <v>398</v>
      </c>
      <c r="D60" s="150"/>
      <c r="E60" s="150">
        <f>+DEP.23B!D15+DEP.23B!E15</f>
        <v>445</v>
      </c>
      <c r="F60" s="150">
        <f>+DEP.23B!D17+DEP.23B!E17</f>
        <v>403</v>
      </c>
      <c r="G60" s="150">
        <f>+DEP.23B!D19+DEP.23B!E19</f>
        <v>457</v>
      </c>
      <c r="H60" s="150">
        <f>+DEP.23B!D21+DEP.23B!E21</f>
        <v>518</v>
      </c>
      <c r="I60" s="150">
        <f>+DEP.23B!D23+DEP.23B!E23</f>
        <v>469</v>
      </c>
      <c r="J60" s="150"/>
      <c r="K60" s="150"/>
      <c r="L60" s="150"/>
      <c r="M60" s="150"/>
      <c r="N60" s="150"/>
      <c r="O60" s="150"/>
      <c r="P60" s="150"/>
      <c r="Q60" s="150">
        <f t="shared" si="1"/>
        <v>2292</v>
      </c>
      <c r="R60" s="150">
        <f>-(+DEP.23B!G16+DEP.23B!G18+DEP.23B!G20+DEP.23B!G22+DEP.23B!G24)</f>
        <v>1823</v>
      </c>
      <c r="S60" s="150">
        <f t="shared" si="2"/>
        <v>469</v>
      </c>
      <c r="T60" s="48" t="s">
        <v>168</v>
      </c>
    </row>
    <row r="61" spans="1:20" ht="15.6" x14ac:dyDescent="0.3">
      <c r="A61" s="523">
        <f t="shared" si="3"/>
        <v>51</v>
      </c>
      <c r="B61" s="528" t="s">
        <v>169</v>
      </c>
      <c r="C61" s="246" t="s">
        <v>330</v>
      </c>
      <c r="D61" s="150"/>
      <c r="E61" s="150">
        <f>+DEP.23C!D15+DEP.23C!E15</f>
        <v>116</v>
      </c>
      <c r="F61" s="150">
        <f>+DEP.23C!D17+DEP.23C!E17</f>
        <v>118</v>
      </c>
      <c r="G61" s="150">
        <f>+DEP.23C!D19+DEP.23C!E19</f>
        <v>129</v>
      </c>
      <c r="H61" s="150">
        <f>+DEP.23C!D21+DEP.23C!E21</f>
        <v>132</v>
      </c>
      <c r="I61" s="150">
        <f>+DEP.23C!D23+DEP.23C!E23</f>
        <v>129</v>
      </c>
      <c r="J61" s="150"/>
      <c r="K61" s="150"/>
      <c r="L61" s="150"/>
      <c r="M61" s="150"/>
      <c r="N61" s="150"/>
      <c r="O61" s="150"/>
      <c r="P61" s="150"/>
      <c r="Q61" s="150">
        <f t="shared" si="1"/>
        <v>624</v>
      </c>
      <c r="R61" s="150">
        <f>+DEP.23C!G16+DEP.23C!G18+DEP.23C!G20+DEP.23C!G22+DEP.23C!G24</f>
        <v>-363</v>
      </c>
      <c r="S61" s="150">
        <f t="shared" si="2"/>
        <v>987</v>
      </c>
      <c r="T61" s="48" t="s">
        <v>169</v>
      </c>
    </row>
    <row r="62" spans="1:20" ht="15.6" x14ac:dyDescent="0.3">
      <c r="A62" s="523">
        <f t="shared" si="3"/>
        <v>52</v>
      </c>
      <c r="B62" s="528" t="s">
        <v>170</v>
      </c>
      <c r="C62" s="246" t="s">
        <v>331</v>
      </c>
      <c r="D62" s="150"/>
      <c r="E62" s="150">
        <f>+DEP.23D!D15+DEP.23D!E15</f>
        <v>125</v>
      </c>
      <c r="F62" s="150">
        <f>+DEP.23D!D17+DEP.23D!E17</f>
        <v>124</v>
      </c>
      <c r="G62" s="150">
        <f>+DEP.23D!D19+DEP.23D!E19</f>
        <v>141</v>
      </c>
      <c r="H62" s="150">
        <f>+DEP.23D!D21+DEP.23D!E21</f>
        <v>142</v>
      </c>
      <c r="I62" s="150">
        <f>+DEP.23D!D23+DEP.23D!E23</f>
        <v>141</v>
      </c>
      <c r="J62" s="150"/>
      <c r="K62" s="150"/>
      <c r="L62" s="150"/>
      <c r="M62" s="150"/>
      <c r="N62" s="150"/>
      <c r="O62" s="150"/>
      <c r="P62" s="150"/>
      <c r="Q62" s="150">
        <f t="shared" si="1"/>
        <v>673</v>
      </c>
      <c r="R62" s="150">
        <f>-(+DEP.23D!G16+DEP.23D!G18+DEP.23D!G20+DEP.23D!G22)</f>
        <v>532</v>
      </c>
      <c r="S62" s="150">
        <f t="shared" si="2"/>
        <v>141</v>
      </c>
      <c r="T62" s="48" t="s">
        <v>170</v>
      </c>
    </row>
    <row r="63" spans="1:20" ht="13.2" customHeight="1" x14ac:dyDescent="0.3">
      <c r="A63" s="523">
        <f t="shared" si="3"/>
        <v>53</v>
      </c>
      <c r="B63" s="528" t="s">
        <v>171</v>
      </c>
      <c r="C63" s="246" t="s">
        <v>354</v>
      </c>
      <c r="D63" s="150"/>
      <c r="E63" s="150">
        <f>+DEP.24A!D15+DEP.24A!E15</f>
        <v>433</v>
      </c>
      <c r="F63" s="150">
        <f>+DEP.24A!D17+DEP.24A!E17</f>
        <v>430</v>
      </c>
      <c r="G63" s="150">
        <f>+DEP.24A!D19+DEP.24A!E19</f>
        <v>479</v>
      </c>
      <c r="H63" s="150">
        <f>+DEP.24A!D21+DEP.24A!E21</f>
        <v>498</v>
      </c>
      <c r="I63" s="150">
        <f>+DEP.24A!D23+DEP.24A!E23</f>
        <v>484</v>
      </c>
      <c r="J63" s="150"/>
      <c r="K63" s="150"/>
      <c r="L63" s="150"/>
      <c r="M63" s="150"/>
      <c r="N63" s="150"/>
      <c r="O63" s="150"/>
      <c r="P63" s="150"/>
      <c r="Q63" s="150">
        <f t="shared" si="1"/>
        <v>2324</v>
      </c>
      <c r="R63" s="150">
        <f>-(+DEP.24A!G16+DEP.24A!G18+DEP.24A!G20+DEP.24A!G22+DEP.24A!G24)</f>
        <v>900.13</v>
      </c>
      <c r="S63" s="150">
        <f t="shared" si="2"/>
        <v>1423.87</v>
      </c>
      <c r="T63" s="48" t="s">
        <v>171</v>
      </c>
    </row>
    <row r="64" spans="1:20" ht="15.6" x14ac:dyDescent="0.3">
      <c r="A64" s="523">
        <f t="shared" si="3"/>
        <v>54</v>
      </c>
      <c r="B64" s="528" t="s">
        <v>172</v>
      </c>
      <c r="C64" s="246" t="s">
        <v>413</v>
      </c>
      <c r="D64" s="150"/>
      <c r="E64" s="150">
        <f>+DEP.24B!D15+DEP.24B!E15</f>
        <v>351</v>
      </c>
      <c r="F64" s="150">
        <f>+DEP.24B!D17+DEP.24B!E17</f>
        <v>351</v>
      </c>
      <c r="G64" s="150">
        <f>+DEP.24B!D19+DEP.24B!E19</f>
        <v>404</v>
      </c>
      <c r="H64" s="150">
        <f>+DEP.24B!D21+DEP.24B!E21</f>
        <v>405</v>
      </c>
      <c r="I64" s="150">
        <f>+DEP.24B!D23+DEP.24B!E23</f>
        <v>401</v>
      </c>
      <c r="J64" s="150"/>
      <c r="K64" s="150"/>
      <c r="L64" s="150"/>
      <c r="M64" s="150"/>
      <c r="N64" s="150"/>
      <c r="O64" s="150"/>
      <c r="P64" s="150"/>
      <c r="Q64" s="150">
        <f t="shared" si="1"/>
        <v>1912</v>
      </c>
      <c r="R64" s="150">
        <f>-(+DEP.24B!G16+DEP.24B!G18+DEP.24B!G20+DEP.24B!G22+DEP.24B!G24)</f>
        <v>1511</v>
      </c>
      <c r="S64" s="150">
        <f t="shared" si="2"/>
        <v>401</v>
      </c>
      <c r="T64" s="48" t="s">
        <v>172</v>
      </c>
    </row>
    <row r="65" spans="1:20" ht="15.6" x14ac:dyDescent="0.3">
      <c r="A65" s="523">
        <f t="shared" si="3"/>
        <v>55</v>
      </c>
      <c r="B65" s="528" t="s">
        <v>173</v>
      </c>
      <c r="C65" s="246" t="s">
        <v>353</v>
      </c>
      <c r="D65" s="150"/>
      <c r="E65" s="150">
        <f>+DEP.24C!D15+DEP.24C!E15</f>
        <v>88</v>
      </c>
      <c r="F65" s="150">
        <f>+DEP.24C!D17</f>
        <v>88</v>
      </c>
      <c r="G65" s="150">
        <f>+DEP.24C!D19+DEP.24C!E19</f>
        <v>125</v>
      </c>
      <c r="H65" s="150">
        <f>+DEP.24C!D21+DEP.24C!E21</f>
        <v>152</v>
      </c>
      <c r="I65" s="150">
        <f>+DEP.24C!D23+DEP.24C!E23</f>
        <v>134</v>
      </c>
      <c r="J65" s="150"/>
      <c r="K65" s="150"/>
      <c r="L65" s="150"/>
      <c r="M65" s="150"/>
      <c r="N65" s="150"/>
      <c r="O65" s="150"/>
      <c r="P65" s="150"/>
      <c r="Q65" s="150">
        <f t="shared" si="1"/>
        <v>587</v>
      </c>
      <c r="R65" s="150">
        <f>-(+DEP.24C!G16+DEP.24C!G18+DEP.24C!G20+DEP.24C!G22+DEP.24C!G24)</f>
        <v>88</v>
      </c>
      <c r="S65" s="150">
        <f t="shared" si="2"/>
        <v>499</v>
      </c>
      <c r="T65" s="48" t="s">
        <v>173</v>
      </c>
    </row>
    <row r="66" spans="1:20" ht="15.6" x14ac:dyDescent="0.3">
      <c r="A66" s="523">
        <f t="shared" si="3"/>
        <v>56</v>
      </c>
      <c r="B66" s="528" t="s">
        <v>174</v>
      </c>
      <c r="C66" s="246" t="s">
        <v>414</v>
      </c>
      <c r="D66" s="150"/>
      <c r="E66" s="150">
        <f>+DEP.24D!D15+DEP.24D!E15</f>
        <v>157</v>
      </c>
      <c r="F66" s="150">
        <f>+DEP.24D!D17+DEP.24D!E17</f>
        <v>120</v>
      </c>
      <c r="G66" s="150">
        <f>+DEP.24D!D19+DEP.24D!E19</f>
        <v>129</v>
      </c>
      <c r="H66" s="150">
        <f>+DEP.24D!D21+DEP.24D!E21</f>
        <v>106</v>
      </c>
      <c r="I66" s="150">
        <f>+DEP.24D!D23+DEP.24D!E23</f>
        <v>101</v>
      </c>
      <c r="J66" s="150"/>
      <c r="K66" s="150"/>
      <c r="L66" s="150"/>
      <c r="M66" s="150"/>
      <c r="N66" s="150"/>
      <c r="O66" s="150"/>
      <c r="P66" s="150"/>
      <c r="Q66" s="150">
        <f t="shared" si="1"/>
        <v>613</v>
      </c>
      <c r="R66" s="150">
        <f>-(+DEP.24D!G16+DEP.24D!G18+DEP.24D!G20+DEP.24D!G22+DEP.24D!G24)</f>
        <v>0</v>
      </c>
      <c r="S66" s="150">
        <f t="shared" si="2"/>
        <v>613</v>
      </c>
      <c r="T66" s="48" t="s">
        <v>174</v>
      </c>
    </row>
    <row r="67" spans="1:20" ht="15.6" x14ac:dyDescent="0.3">
      <c r="A67" s="523">
        <f t="shared" si="3"/>
        <v>57</v>
      </c>
      <c r="B67" s="528" t="s">
        <v>175</v>
      </c>
      <c r="C67" s="246" t="s">
        <v>332</v>
      </c>
      <c r="D67" s="150"/>
      <c r="E67" s="150">
        <f>+DEP.25A!D15+DEP.25A!E15</f>
        <v>456</v>
      </c>
      <c r="F67" s="150">
        <f>+DEP.25A!D17+DEP.25A!E17</f>
        <v>454</v>
      </c>
      <c r="G67" s="150">
        <f>+DEP.25A!D19+DEP.25A!E19</f>
        <v>510</v>
      </c>
      <c r="H67" s="150">
        <f>+DEP.25A!D21+DEP.25A!E21</f>
        <v>514</v>
      </c>
      <c r="I67" s="150">
        <f>+DEP.25A!D23+DEP.25A!E23</f>
        <v>511</v>
      </c>
      <c r="J67" s="150"/>
      <c r="K67" s="150"/>
      <c r="L67" s="150"/>
      <c r="M67" s="150"/>
      <c r="N67" s="150"/>
      <c r="O67" s="150"/>
      <c r="P67" s="150"/>
      <c r="Q67" s="150">
        <f t="shared" si="1"/>
        <v>2445</v>
      </c>
      <c r="R67" s="150">
        <f>-(+DEP.25A!G16+DEP.25A!G18+DEP.25A!G20+DEP.25A!G22+DEP.25A!G24)</f>
        <v>1934</v>
      </c>
      <c r="S67" s="150">
        <f t="shared" si="2"/>
        <v>511</v>
      </c>
      <c r="T67" s="48" t="s">
        <v>175</v>
      </c>
    </row>
    <row r="68" spans="1:20" ht="15.6" x14ac:dyDescent="0.3">
      <c r="A68" s="523">
        <f t="shared" si="3"/>
        <v>58</v>
      </c>
      <c r="B68" s="528" t="s">
        <v>176</v>
      </c>
      <c r="C68" s="246" t="s">
        <v>355</v>
      </c>
      <c r="D68" s="150"/>
      <c r="E68" s="150">
        <f>+DEP.25B!D15+DEP.25B!E15</f>
        <v>360</v>
      </c>
      <c r="F68" s="150">
        <f>+DEP.25B!D17+DEP.25B!E17</f>
        <v>370</v>
      </c>
      <c r="G68" s="150">
        <f>+DEP.25B!D19+DEP.25B!E19</f>
        <v>412</v>
      </c>
      <c r="H68" s="150">
        <f>+DEP.25B!D21+DEP.25B!E21</f>
        <v>416</v>
      </c>
      <c r="I68" s="150">
        <f>+DEP.25B!D23+DEP.25B!E23</f>
        <v>411</v>
      </c>
      <c r="J68" s="150"/>
      <c r="K68" s="150"/>
      <c r="L68" s="150"/>
      <c r="M68" s="150"/>
      <c r="N68" s="150"/>
      <c r="O68" s="150"/>
      <c r="P68" s="150"/>
      <c r="Q68" s="150">
        <f t="shared" si="1"/>
        <v>1969</v>
      </c>
      <c r="R68" s="150">
        <f>-(+DEP.25B!G16+DEP.25B!G18+DEP.25B!G20+DEP.25B!G22+DEP.25B!G24)</f>
        <v>1558</v>
      </c>
      <c r="S68" s="150">
        <f t="shared" si="2"/>
        <v>411</v>
      </c>
      <c r="T68" s="48" t="s">
        <v>176</v>
      </c>
    </row>
    <row r="69" spans="1:20" ht="15.6" x14ac:dyDescent="0.3">
      <c r="A69" s="523">
        <f t="shared" si="3"/>
        <v>59</v>
      </c>
      <c r="B69" s="528" t="s">
        <v>177</v>
      </c>
      <c r="C69" s="246" t="s">
        <v>395</v>
      </c>
      <c r="D69" s="150"/>
      <c r="E69" s="150">
        <f>+DEP.25C!D15+DEP.25C!E15</f>
        <v>133</v>
      </c>
      <c r="F69" s="150">
        <f>+DEP.25C!D17+DEP.25C!E17</f>
        <v>138</v>
      </c>
      <c r="G69" s="150">
        <f>+DEP.25C!D19+DEP.25C!E19</f>
        <v>148</v>
      </c>
      <c r="H69" s="150">
        <f>+DEP.25C!D21+DEP.25C!E21</f>
        <v>147</v>
      </c>
      <c r="I69" s="150">
        <f>+DEP.25C!D23+DEP.25C!E23</f>
        <v>150</v>
      </c>
      <c r="J69" s="150"/>
      <c r="K69" s="150"/>
      <c r="L69" s="150"/>
      <c r="M69" s="150"/>
      <c r="N69" s="150"/>
      <c r="O69" s="150"/>
      <c r="P69" s="150"/>
      <c r="Q69" s="150">
        <f t="shared" si="1"/>
        <v>716</v>
      </c>
      <c r="R69" s="150">
        <f>-(+DEP.25C!G16+DEP.25C!G18+DEP.25C!G20+DEP.25C!G22+DEP.25C!G24)</f>
        <v>566</v>
      </c>
      <c r="S69" s="150">
        <f t="shared" si="2"/>
        <v>150</v>
      </c>
      <c r="T69" s="48" t="s">
        <v>177</v>
      </c>
    </row>
    <row r="70" spans="1:20" ht="15.6" x14ac:dyDescent="0.3">
      <c r="A70" s="523">
        <f t="shared" si="3"/>
        <v>60</v>
      </c>
      <c r="B70" s="528" t="s">
        <v>178</v>
      </c>
      <c r="C70" s="246" t="s">
        <v>333</v>
      </c>
      <c r="D70" s="150"/>
      <c r="E70" s="150">
        <f>+'DEP.25 D'!D15</f>
        <v>126</v>
      </c>
      <c r="F70" s="150">
        <f>+'DEP.25 D'!D17+'DEP.25 D'!E17</f>
        <v>126</v>
      </c>
      <c r="G70" s="150">
        <f>+'DEP.25 D'!D19</f>
        <v>145</v>
      </c>
      <c r="H70" s="150">
        <f>+'DEP.25 D'!D21</f>
        <v>145</v>
      </c>
      <c r="I70" s="150">
        <f>+'DEP.25 D'!D23</f>
        <v>145</v>
      </c>
      <c r="J70" s="150"/>
      <c r="K70" s="150"/>
      <c r="L70" s="150"/>
      <c r="M70" s="150"/>
      <c r="N70" s="150"/>
      <c r="O70" s="150"/>
      <c r="P70" s="150"/>
      <c r="Q70" s="150">
        <f t="shared" si="1"/>
        <v>687</v>
      </c>
      <c r="R70" s="150">
        <f>-(+'DEP.25 D'!G16+'DEP.25 D'!G18+'DEP.25 D'!G20+'DEP.25 D'!G22+'DEP.25 D'!G24)</f>
        <v>542</v>
      </c>
      <c r="S70" s="150">
        <f t="shared" si="2"/>
        <v>145</v>
      </c>
      <c r="T70" s="48" t="s">
        <v>178</v>
      </c>
    </row>
    <row r="71" spans="1:20" ht="16.2" customHeight="1" x14ac:dyDescent="0.3">
      <c r="A71" s="523">
        <f t="shared" si="3"/>
        <v>61</v>
      </c>
      <c r="B71" s="528" t="s">
        <v>179</v>
      </c>
      <c r="C71" s="246" t="s">
        <v>334</v>
      </c>
      <c r="D71" s="150"/>
      <c r="E71" s="150">
        <f>+DEP.26A!D15</f>
        <v>211</v>
      </c>
      <c r="F71" s="150">
        <f>+DEP.26A!D17+DEP.26A!E17</f>
        <v>228</v>
      </c>
      <c r="G71" s="150">
        <f>+DEP.26A!D19</f>
        <v>241</v>
      </c>
      <c r="H71" s="150">
        <f>+DEP.26A!D21+DEP.26A!E21</f>
        <v>242</v>
      </c>
      <c r="I71" s="150">
        <f>+DEP.26A!D23+DEP.26A!E23</f>
        <v>253</v>
      </c>
      <c r="J71" s="150"/>
      <c r="K71" s="150"/>
      <c r="L71" s="150"/>
      <c r="M71" s="150"/>
      <c r="N71" s="150"/>
      <c r="O71" s="150"/>
      <c r="P71" s="150"/>
      <c r="Q71" s="150">
        <f t="shared" si="1"/>
        <v>1175</v>
      </c>
      <c r="R71" s="150">
        <f>-(+DEP.26A!G16+DEP.26A!G18+DEP.26A!G20+DEP.26A!G22+DEP.26A!G24)</f>
        <v>211</v>
      </c>
      <c r="S71" s="150">
        <f t="shared" si="2"/>
        <v>964</v>
      </c>
      <c r="T71" s="48" t="s">
        <v>179</v>
      </c>
    </row>
    <row r="72" spans="1:20" ht="15.6" x14ac:dyDescent="0.3">
      <c r="A72" s="523">
        <f t="shared" si="3"/>
        <v>62</v>
      </c>
      <c r="B72" s="528" t="s">
        <v>180</v>
      </c>
      <c r="C72" s="246" t="s">
        <v>334</v>
      </c>
      <c r="D72" s="150"/>
      <c r="E72" s="150">
        <f>+DEP.26B!D15+DEP.26B!E15</f>
        <v>242</v>
      </c>
      <c r="F72" s="150">
        <f>+DEP.26B!D17+DEP.26B!E17</f>
        <v>247</v>
      </c>
      <c r="G72" s="150">
        <f>+DEP.26B!D19+DEP.26B!E19</f>
        <v>277</v>
      </c>
      <c r="H72" s="150">
        <f>+DEP.26B!D21+DEP.26B!E21</f>
        <v>280</v>
      </c>
      <c r="I72" s="150">
        <f>+DEP.26B!D23+DEP.26B!E23</f>
        <v>277</v>
      </c>
      <c r="J72" s="150"/>
      <c r="K72" s="150"/>
      <c r="L72" s="150"/>
      <c r="M72" s="150"/>
      <c r="N72" s="150"/>
      <c r="O72" s="150"/>
      <c r="P72" s="150"/>
      <c r="Q72" s="150">
        <f t="shared" si="1"/>
        <v>1323</v>
      </c>
      <c r="R72" s="150">
        <f>-(+DEP.26B!G16+DEP.26B!G18+DEP.26B!G20+DEP.26B!G22+DEP.26B!G24)</f>
        <v>1046</v>
      </c>
      <c r="S72" s="150">
        <f t="shared" si="2"/>
        <v>277</v>
      </c>
      <c r="T72" s="48" t="s">
        <v>180</v>
      </c>
    </row>
    <row r="73" spans="1:20" ht="15.6" x14ac:dyDescent="0.3">
      <c r="A73" s="523">
        <f t="shared" si="3"/>
        <v>63</v>
      </c>
      <c r="B73" s="528" t="s">
        <v>181</v>
      </c>
      <c r="C73" s="246" t="s">
        <v>335</v>
      </c>
      <c r="D73" s="150"/>
      <c r="E73" s="150">
        <f>+DEP.26C!D15+DEP.26C!E15</f>
        <v>238</v>
      </c>
      <c r="F73" s="150">
        <f>+DEP.26C!D17</f>
        <v>234</v>
      </c>
      <c r="G73" s="150">
        <f>+DEP.26C!D19+DEP.26C!E19</f>
        <v>282</v>
      </c>
      <c r="H73" s="150">
        <f>+DEP.26C!D21</f>
        <v>268</v>
      </c>
      <c r="I73" s="150">
        <f>+DEP.26C!D23+DEP.26C!E23</f>
        <v>277</v>
      </c>
      <c r="J73" s="150"/>
      <c r="K73" s="150"/>
      <c r="L73" s="150"/>
      <c r="M73" s="150"/>
      <c r="N73" s="150"/>
      <c r="O73" s="150"/>
      <c r="P73" s="150"/>
      <c r="Q73" s="150">
        <f t="shared" si="1"/>
        <v>1299</v>
      </c>
      <c r="R73" s="150">
        <f>-(+DEP.26C!G16+DEP.26C!G18+DEP.26C!G20+DEP.26C!G22+DEP.26C!G24)</f>
        <v>1022</v>
      </c>
      <c r="S73" s="150">
        <f t="shared" si="2"/>
        <v>277</v>
      </c>
      <c r="T73" s="48" t="s">
        <v>181</v>
      </c>
    </row>
    <row r="74" spans="1:20" ht="15.6" x14ac:dyDescent="0.3">
      <c r="A74" s="523">
        <f t="shared" si="3"/>
        <v>64</v>
      </c>
      <c r="B74" s="528" t="s">
        <v>182</v>
      </c>
      <c r="C74" s="246" t="s">
        <v>356</v>
      </c>
      <c r="D74" s="150"/>
      <c r="E74" s="150">
        <f>+DEP.26D!D15+DEP.26D!E15</f>
        <v>238</v>
      </c>
      <c r="F74" s="150">
        <f>+DEP.26D!D17+DEP.26D!E17</f>
        <v>343</v>
      </c>
      <c r="G74" s="150">
        <f>+DEP.26D!D19+DEP.26D!E19</f>
        <v>639</v>
      </c>
      <c r="H74" s="150">
        <f>+DEP.26D!D21+DEP.26D!E21</f>
        <v>268</v>
      </c>
      <c r="I74" s="150">
        <f>+DEP.26D!D23+DEP.26D!E23</f>
        <v>269</v>
      </c>
      <c r="J74" s="150"/>
      <c r="K74" s="150"/>
      <c r="L74" s="150"/>
      <c r="M74" s="150"/>
      <c r="N74" s="150"/>
      <c r="O74" s="150"/>
      <c r="P74" s="150"/>
      <c r="Q74" s="150">
        <f t="shared" si="1"/>
        <v>1757</v>
      </c>
      <c r="R74" s="150">
        <f>-(+DEP.26D!G16+DEP.26D!G18+DEP.26D!G20+DEP.26D!G22)</f>
        <v>1488</v>
      </c>
      <c r="S74" s="150">
        <f t="shared" si="2"/>
        <v>269</v>
      </c>
      <c r="T74" s="48" t="s">
        <v>182</v>
      </c>
    </row>
    <row r="75" spans="1:20" ht="27.6" customHeight="1" x14ac:dyDescent="0.3">
      <c r="A75" s="523">
        <f t="shared" si="3"/>
        <v>65</v>
      </c>
      <c r="B75" s="531" t="s">
        <v>183</v>
      </c>
      <c r="C75" s="385" t="s">
        <v>394</v>
      </c>
      <c r="D75" s="150"/>
      <c r="E75" s="150">
        <f>+DEP.27A!D15+DEP.27A!E15</f>
        <v>532</v>
      </c>
      <c r="F75" s="150">
        <f>+DEP.27A!D17+DEP.27A!E17</f>
        <v>547</v>
      </c>
      <c r="G75" s="150">
        <f>+DEP.27A!D19+DEP.27A!E19</f>
        <v>663</v>
      </c>
      <c r="H75" s="150">
        <f>+DEP.27A!D21+DEP.27A!E21</f>
        <v>712</v>
      </c>
      <c r="I75" s="150">
        <f>+DEP.27A!D23+DEP.27A!E23</f>
        <v>676</v>
      </c>
      <c r="J75" s="150"/>
      <c r="K75" s="150"/>
      <c r="L75" s="150"/>
      <c r="M75" s="150"/>
      <c r="N75" s="150"/>
      <c r="O75" s="150"/>
      <c r="P75" s="150"/>
      <c r="Q75" s="150">
        <f t="shared" si="1"/>
        <v>3130</v>
      </c>
      <c r="R75" s="150">
        <f>-(+DEP.27A!G16+DEP.27A!G18+DEP.27A!G20+DEP.27A!G22+DEP.27A!G24)</f>
        <v>637</v>
      </c>
      <c r="S75" s="150">
        <f t="shared" si="2"/>
        <v>2493</v>
      </c>
      <c r="T75" s="47" t="s">
        <v>183</v>
      </c>
    </row>
    <row r="76" spans="1:20" ht="15.6" x14ac:dyDescent="0.3">
      <c r="A76" s="523">
        <f t="shared" si="3"/>
        <v>66</v>
      </c>
      <c r="B76" s="528" t="s">
        <v>184</v>
      </c>
      <c r="C76" s="246" t="s">
        <v>336</v>
      </c>
      <c r="D76" s="150"/>
      <c r="E76" s="150">
        <f>+DEP.27B!D15+DEP.27B!E15</f>
        <v>242</v>
      </c>
      <c r="F76" s="150">
        <f>+DEP.27B!D17+DEP.27B!E17</f>
        <v>247</v>
      </c>
      <c r="G76" s="150">
        <f>+DEP.27B!D19+DEP.27B!E19</f>
        <v>279</v>
      </c>
      <c r="H76" s="150">
        <f>+DEP.27B!D21+DEP.27B!E21</f>
        <v>279</v>
      </c>
      <c r="I76" s="150">
        <f>+DEP.27B!D23+DEP.27B!E23</f>
        <v>283</v>
      </c>
      <c r="J76" s="150"/>
      <c r="K76" s="150"/>
      <c r="L76" s="150"/>
      <c r="M76" s="150"/>
      <c r="N76" s="150"/>
      <c r="O76" s="150"/>
      <c r="P76" s="150"/>
      <c r="Q76" s="150">
        <f t="shared" ref="Q76:Q80" si="4">SUM(E76:P76)</f>
        <v>1330</v>
      </c>
      <c r="R76" s="150">
        <f>-(+DEP.27B!G16+DEP.27B!G18+DEP.27B!G20+DEP.27B!G22+DEP.27B!G24)</f>
        <v>1309</v>
      </c>
      <c r="S76" s="150">
        <f t="shared" ref="S76:S80" si="5">+Q76-R76</f>
        <v>21</v>
      </c>
      <c r="T76" s="48" t="s">
        <v>184</v>
      </c>
    </row>
    <row r="77" spans="1:20" ht="15.6" x14ac:dyDescent="0.3">
      <c r="A77" s="523">
        <f t="shared" si="3"/>
        <v>67</v>
      </c>
      <c r="B77" s="528" t="s">
        <v>185</v>
      </c>
      <c r="C77" s="246" t="s">
        <v>357</v>
      </c>
      <c r="D77" s="150"/>
      <c r="E77" s="150">
        <f>+DEP.27C!D15+DEP.27C!E15</f>
        <v>282</v>
      </c>
      <c r="F77" s="150">
        <f>+DEP.27C!D17+DEP.27C!E17</f>
        <v>275</v>
      </c>
      <c r="G77" s="150">
        <f>+DEP.27C!D19+DEP.27C!E19</f>
        <v>326</v>
      </c>
      <c r="H77" s="150">
        <f>+DEP.27C!D21+DEP.27C!E21</f>
        <v>318</v>
      </c>
      <c r="I77" s="150">
        <f>+DEP.27C!D23+DEP.27C!E23</f>
        <v>314</v>
      </c>
      <c r="J77" s="150"/>
      <c r="K77" s="150"/>
      <c r="L77" s="150"/>
      <c r="M77" s="150"/>
      <c r="N77" s="150"/>
      <c r="O77" s="150"/>
      <c r="P77" s="150"/>
      <c r="Q77" s="150">
        <f t="shared" si="4"/>
        <v>1515</v>
      </c>
      <c r="R77" s="150">
        <f>-(+DEP.27C!G16+DEP.27C!G18+DEP.27C!G20+DEP.27C!G22+DEP.27C!G24)</f>
        <v>1465</v>
      </c>
      <c r="S77" s="150">
        <f t="shared" si="5"/>
        <v>50</v>
      </c>
      <c r="T77" s="48" t="s">
        <v>185</v>
      </c>
    </row>
    <row r="78" spans="1:20" ht="13.2" customHeight="1" x14ac:dyDescent="0.3">
      <c r="A78" s="523">
        <f t="shared" si="3"/>
        <v>68</v>
      </c>
      <c r="B78" s="528" t="s">
        <v>186</v>
      </c>
      <c r="C78" s="246" t="s">
        <v>393</v>
      </c>
      <c r="D78" s="150"/>
      <c r="E78" s="150">
        <f>+DEP.28A!D15+DEP.28A!E15</f>
        <v>742</v>
      </c>
      <c r="F78" s="150">
        <f>+DEP.28A!D17+DEP.28A!E17</f>
        <v>788</v>
      </c>
      <c r="G78" s="150">
        <f>+DEP.28A!D19+DEP.28A!E19</f>
        <v>751</v>
      </c>
      <c r="H78" s="150">
        <f>+DEP.28A!D21+DEP.28A!E21</f>
        <v>833</v>
      </c>
      <c r="I78" s="150">
        <f>+DEP.28A!D23+DEP.28A!E23</f>
        <v>817</v>
      </c>
      <c r="J78" s="150"/>
      <c r="K78" s="150"/>
      <c r="L78" s="150"/>
      <c r="M78" s="150"/>
      <c r="N78" s="150"/>
      <c r="O78" s="150"/>
      <c r="P78" s="150"/>
      <c r="Q78" s="150">
        <f t="shared" si="4"/>
        <v>3931</v>
      </c>
      <c r="R78" s="150">
        <f>-(+DEP.28A!G16+DEP.28A!G18+DEP.28A!G20+DEP.28A!G22+DEP.28A!G24)</f>
        <v>1501</v>
      </c>
      <c r="S78" s="150">
        <f t="shared" si="5"/>
        <v>2430</v>
      </c>
      <c r="T78" s="48" t="s">
        <v>186</v>
      </c>
    </row>
    <row r="79" spans="1:20" ht="16.2" thickBot="1" x14ac:dyDescent="0.35">
      <c r="A79" s="631">
        <f t="shared" si="3"/>
        <v>69</v>
      </c>
      <c r="B79" s="632" t="s">
        <v>187</v>
      </c>
      <c r="C79" s="633" t="s">
        <v>337</v>
      </c>
      <c r="D79" s="626"/>
      <c r="E79" s="626">
        <f>+DEP.28B!D15+DEP.28B!E15</f>
        <v>657</v>
      </c>
      <c r="F79" s="626">
        <f>+DEP.28B!D17+DEP.28B!E17</f>
        <v>608</v>
      </c>
      <c r="G79" s="626">
        <f>+DEP.28B!D19+DEP.28B!E19</f>
        <v>685</v>
      </c>
      <c r="H79" s="626">
        <f>+DEP.28A!D21+DEP.28A!E21</f>
        <v>833</v>
      </c>
      <c r="I79" s="626">
        <f>+DEP.28B!D23+DEP.28B!E23</f>
        <v>693</v>
      </c>
      <c r="J79" s="626"/>
      <c r="K79" s="626"/>
      <c r="L79" s="626"/>
      <c r="M79" s="626"/>
      <c r="N79" s="626"/>
      <c r="O79" s="150"/>
      <c r="P79" s="150"/>
      <c r="Q79" s="150">
        <f t="shared" si="4"/>
        <v>3476</v>
      </c>
      <c r="R79" s="150">
        <f>-(+DEP.28B!G16+DEP.28B!G18+DEP.28B!G20+DEP.28B!G22+DEP.28B!G24)</f>
        <v>2661</v>
      </c>
      <c r="S79" s="150">
        <f t="shared" si="5"/>
        <v>815</v>
      </c>
      <c r="T79" s="50" t="s">
        <v>187</v>
      </c>
    </row>
    <row r="80" spans="1:20" ht="16.2" thickBot="1" x14ac:dyDescent="0.35">
      <c r="A80" s="523">
        <v>70</v>
      </c>
      <c r="B80" s="48" t="s">
        <v>680</v>
      </c>
      <c r="C80" s="246" t="s">
        <v>681</v>
      </c>
      <c r="D80" s="150"/>
      <c r="E80" s="150">
        <f>+'DEP. 30'!D14+'DEP. 30'!E14</f>
        <v>587</v>
      </c>
      <c r="F80" s="150">
        <f>+'DEP. 30'!D16+'DEP. 30'!E16</f>
        <v>617</v>
      </c>
      <c r="G80" s="150">
        <f>+'DEP. 30'!D18+'DEP. 30'!E18</f>
        <v>674</v>
      </c>
      <c r="H80" s="150">
        <f>+'DEP. 30'!D20+'DEP. 30'!E20</f>
        <v>691</v>
      </c>
      <c r="I80" s="150">
        <f>+'DEP. 30'!D22+'DEP. 30'!E22</f>
        <v>709</v>
      </c>
      <c r="J80" s="150"/>
      <c r="K80" s="150"/>
      <c r="L80" s="150"/>
      <c r="M80" s="150"/>
      <c r="N80" s="150"/>
      <c r="O80" s="150"/>
      <c r="P80" s="150"/>
      <c r="Q80" s="150">
        <f t="shared" si="4"/>
        <v>3278</v>
      </c>
      <c r="R80" s="150">
        <f>-(+'DEP. 30'!G15+'DEP. 30'!G17+'DEP. 30'!G19+'DEP. 30'!G21+'DEP. 30'!G23)</f>
        <v>1878</v>
      </c>
      <c r="S80" s="150">
        <f t="shared" si="5"/>
        <v>1400</v>
      </c>
      <c r="T80" s="50" t="s">
        <v>520</v>
      </c>
    </row>
    <row r="81" spans="2:24" ht="15.6" x14ac:dyDescent="0.3">
      <c r="D81" s="634">
        <f t="shared" ref="D81:I81" si="6">SUM(D11:D80)</f>
        <v>300</v>
      </c>
      <c r="E81" s="634">
        <f t="shared" si="6"/>
        <v>19932</v>
      </c>
      <c r="F81" s="634">
        <f t="shared" si="6"/>
        <v>20140</v>
      </c>
      <c r="G81" s="634">
        <f t="shared" si="6"/>
        <v>22601</v>
      </c>
      <c r="H81" s="634">
        <f t="shared" si="6"/>
        <v>22803</v>
      </c>
      <c r="I81" s="634">
        <f t="shared" si="6"/>
        <v>22391</v>
      </c>
      <c r="J81" s="634">
        <f t="shared" ref="J81:S81" si="7">SUM(J11:J80)</f>
        <v>0</v>
      </c>
      <c r="K81" s="634">
        <f t="shared" si="7"/>
        <v>0</v>
      </c>
      <c r="L81" s="634">
        <f t="shared" si="7"/>
        <v>0</v>
      </c>
      <c r="M81" s="634">
        <f t="shared" si="7"/>
        <v>0</v>
      </c>
      <c r="N81" s="634">
        <f t="shared" si="7"/>
        <v>0</v>
      </c>
      <c r="O81" s="634">
        <f t="shared" si="7"/>
        <v>0</v>
      </c>
      <c r="P81" s="634">
        <f t="shared" si="7"/>
        <v>0</v>
      </c>
      <c r="Q81" s="634">
        <f t="shared" si="7"/>
        <v>108167</v>
      </c>
      <c r="R81" s="634">
        <f t="shared" si="7"/>
        <v>61539.13</v>
      </c>
      <c r="S81" s="634">
        <f t="shared" si="7"/>
        <v>46627.87</v>
      </c>
    </row>
    <row r="82" spans="2:24" ht="15.6" x14ac:dyDescent="0.3"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</row>
    <row r="83" spans="2:24" ht="15.6" x14ac:dyDescent="0.3"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</row>
    <row r="84" spans="2:24" ht="15.6" x14ac:dyDescent="0.3">
      <c r="B84" s="276" t="s">
        <v>415</v>
      </c>
      <c r="Q84" s="153"/>
      <c r="R84" s="153"/>
      <c r="S84" s="153"/>
    </row>
    <row r="85" spans="2:24" ht="15.6" x14ac:dyDescent="0.3">
      <c r="B85" s="277" t="s">
        <v>409</v>
      </c>
      <c r="R85" s="153"/>
      <c r="S85" s="153"/>
    </row>
    <row r="86" spans="2:24" ht="15.6" x14ac:dyDescent="0.3">
      <c r="B86" s="277" t="s">
        <v>410</v>
      </c>
      <c r="Q86" s="153"/>
    </row>
    <row r="87" spans="2:24" ht="15.6" x14ac:dyDescent="0.3">
      <c r="B87" s="277" t="s">
        <v>411</v>
      </c>
      <c r="Q87" s="153"/>
    </row>
    <row r="88" spans="2:24" ht="15.6" x14ac:dyDescent="0.3">
      <c r="B88" s="277" t="s">
        <v>405</v>
      </c>
    </row>
    <row r="89" spans="2:24" ht="15.6" x14ac:dyDescent="0.3">
      <c r="B89" s="277" t="s">
        <v>406</v>
      </c>
    </row>
    <row r="90" spans="2:24" ht="15.6" x14ac:dyDescent="0.3">
      <c r="B90" s="278"/>
    </row>
    <row r="91" spans="2:24" ht="15.6" x14ac:dyDescent="0.3">
      <c r="B91" s="277" t="s">
        <v>407</v>
      </c>
    </row>
    <row r="92" spans="2:24" ht="15.6" x14ac:dyDescent="0.3"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</row>
    <row r="93" spans="2:24" ht="15.6" x14ac:dyDescent="0.3"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</row>
    <row r="94" spans="2:24" ht="15.6" x14ac:dyDescent="0.3"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</row>
    <row r="95" spans="2:24" ht="15.6" x14ac:dyDescent="0.3"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</row>
    <row r="96" spans="2:24" ht="15.6" x14ac:dyDescent="0.3"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V96" s="21"/>
      <c r="W96" s="21"/>
      <c r="X96" s="21"/>
    </row>
    <row r="97" spans="3:19" ht="15.6" x14ac:dyDescent="0.3"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</row>
    <row r="98" spans="3:19" ht="15.6" x14ac:dyDescent="0.3"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</row>
    <row r="99" spans="3:19" ht="15.6" x14ac:dyDescent="0.3"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</row>
    <row r="100" spans="3:19" ht="15.6" x14ac:dyDescent="0.3"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</row>
    <row r="101" spans="3:19" ht="15.6" x14ac:dyDescent="0.3"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</row>
    <row r="102" spans="3:19" ht="23.4" x14ac:dyDescent="0.45">
      <c r="C102" s="641" t="s">
        <v>385</v>
      </c>
      <c r="D102" s="641"/>
      <c r="E102" s="641"/>
      <c r="F102" s="641"/>
      <c r="G102" s="641"/>
      <c r="H102" s="641"/>
      <c r="I102" s="641"/>
      <c r="J102" s="641"/>
      <c r="K102" s="641"/>
      <c r="L102" s="641"/>
      <c r="M102" s="641"/>
      <c r="N102" s="641"/>
      <c r="O102" s="641"/>
      <c r="P102" s="641"/>
      <c r="Q102" s="641"/>
      <c r="R102" s="641"/>
      <c r="S102" s="621"/>
    </row>
    <row r="103" spans="3:19" ht="23.4" x14ac:dyDescent="0.45">
      <c r="C103" s="641" t="s">
        <v>495</v>
      </c>
      <c r="D103" s="641"/>
      <c r="E103" s="641"/>
      <c r="F103" s="641"/>
      <c r="G103" s="641"/>
      <c r="H103" s="641"/>
      <c r="I103" s="641"/>
      <c r="J103" s="641"/>
      <c r="K103" s="641"/>
      <c r="L103" s="641"/>
      <c r="M103" s="641"/>
      <c r="N103" s="641"/>
      <c r="O103" s="641"/>
      <c r="P103" s="641"/>
      <c r="Q103" s="641"/>
      <c r="R103" s="641"/>
      <c r="S103" s="621"/>
    </row>
    <row r="104" spans="3:19" ht="18" x14ac:dyDescent="0.35">
      <c r="C104" s="642" t="s">
        <v>384</v>
      </c>
      <c r="D104" s="642"/>
      <c r="E104" s="642"/>
      <c r="F104" s="642"/>
      <c r="G104" s="642"/>
      <c r="H104" s="642"/>
      <c r="I104" s="642"/>
      <c r="J104" s="642"/>
      <c r="K104" s="642"/>
      <c r="L104" s="642"/>
      <c r="M104" s="642"/>
      <c r="N104" s="642"/>
      <c r="O104" s="642"/>
      <c r="P104" s="642"/>
      <c r="Q104" s="642"/>
      <c r="R104" s="642"/>
      <c r="S104" s="627"/>
    </row>
    <row r="105" spans="3:19" ht="72" x14ac:dyDescent="0.3">
      <c r="C105" s="158" t="s">
        <v>359</v>
      </c>
      <c r="D105" s="159" t="s">
        <v>517</v>
      </c>
      <c r="E105" s="159" t="s">
        <v>518</v>
      </c>
      <c r="F105" s="159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 t="s">
        <v>362</v>
      </c>
      <c r="Q105" s="159" t="s">
        <v>361</v>
      </c>
      <c r="R105" s="159" t="s">
        <v>360</v>
      </c>
      <c r="S105" s="628"/>
    </row>
    <row r="106" spans="3:19" ht="15.6" hidden="1" x14ac:dyDescent="0.3">
      <c r="C106" s="43" t="s">
        <v>340</v>
      </c>
      <c r="D106" s="2">
        <f>+D60</f>
        <v>0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388"/>
    </row>
    <row r="107" spans="3:19" hidden="1" x14ac:dyDescent="0.3">
      <c r="C107" s="155" t="s">
        <v>338</v>
      </c>
      <c r="D107" s="2">
        <f>+'RESUMEN LOCALES'!E6</f>
        <v>0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388"/>
    </row>
    <row r="108" spans="3:19" hidden="1" x14ac:dyDescent="0.3">
      <c r="C108" s="155" t="s">
        <v>339</v>
      </c>
      <c r="D108" s="2">
        <f>+'RESUMEN OFI'!E35</f>
        <v>0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388"/>
    </row>
    <row r="109" spans="3:19" hidden="1" x14ac:dyDescent="0.3">
      <c r="C109" s="158"/>
      <c r="D109" s="159"/>
      <c r="E109" s="159"/>
      <c r="F109" s="159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628"/>
    </row>
    <row r="110" spans="3:19" ht="15.6" hidden="1" x14ac:dyDescent="0.3">
      <c r="C110" s="43" t="s">
        <v>340</v>
      </c>
      <c r="D110" s="2">
        <f>+D64</f>
        <v>0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388"/>
    </row>
    <row r="111" spans="3:19" hidden="1" x14ac:dyDescent="0.3">
      <c r="C111" s="155" t="s">
        <v>338</v>
      </c>
      <c r="D111" s="2">
        <f>+'RESUMEN LOCALES'!E10</f>
        <v>0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388"/>
    </row>
    <row r="112" spans="3:19" hidden="1" x14ac:dyDescent="0.3">
      <c r="C112" s="155" t="s">
        <v>339</v>
      </c>
      <c r="D112" s="2">
        <f>+'RESUMEN OFI'!E39</f>
        <v>300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388"/>
    </row>
    <row r="113" spans="3:19" hidden="1" x14ac:dyDescent="0.3">
      <c r="C113" s="158"/>
      <c r="D113" s="159"/>
      <c r="E113" s="159"/>
      <c r="F113" s="159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159"/>
      <c r="S113" s="628"/>
    </row>
    <row r="114" spans="3:19" hidden="1" x14ac:dyDescent="0.3">
      <c r="C114" s="158"/>
      <c r="D114" s="159"/>
      <c r="E114" s="159"/>
      <c r="F114" s="159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628"/>
    </row>
    <row r="115" spans="3:19" ht="15.6" hidden="1" x14ac:dyDescent="0.3">
      <c r="C115" s="43" t="s">
        <v>340</v>
      </c>
      <c r="D115" s="2">
        <f>+D69</f>
        <v>0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388"/>
    </row>
    <row r="116" spans="3:19" hidden="1" x14ac:dyDescent="0.3">
      <c r="C116" s="155" t="s">
        <v>338</v>
      </c>
      <c r="D116" s="2">
        <f>+'RESUMEN LOCALES'!E15</f>
        <v>0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388"/>
    </row>
    <row r="117" spans="3:19" hidden="1" x14ac:dyDescent="0.3">
      <c r="C117" s="155" t="s">
        <v>339</v>
      </c>
      <c r="D117" s="2">
        <f>+'RESUMEN OFI'!E44</f>
        <v>0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388"/>
    </row>
    <row r="118" spans="3:19" hidden="1" x14ac:dyDescent="0.3">
      <c r="C118" s="158"/>
      <c r="D118" s="159"/>
      <c r="E118" s="159"/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628"/>
    </row>
    <row r="119" spans="3:19" hidden="1" x14ac:dyDescent="0.3">
      <c r="C119" s="158"/>
      <c r="D119" s="159"/>
      <c r="E119" s="159"/>
      <c r="F119" s="159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628"/>
    </row>
    <row r="120" spans="3:19" hidden="1" x14ac:dyDescent="0.3">
      <c r="C120" s="158"/>
      <c r="D120" s="159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628"/>
    </row>
    <row r="121" spans="3:19" hidden="1" x14ac:dyDescent="0.3">
      <c r="C121" s="158"/>
      <c r="D121" s="159"/>
      <c r="E121" s="159"/>
      <c r="F121" s="159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159"/>
      <c r="R121" s="159"/>
      <c r="S121" s="628"/>
    </row>
    <row r="122" spans="3:19" hidden="1" x14ac:dyDescent="0.3">
      <c r="C122" s="158"/>
      <c r="D122" s="159"/>
      <c r="E122" s="159"/>
      <c r="F122" s="159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Q122" s="159"/>
      <c r="R122" s="159"/>
      <c r="S122" s="628"/>
    </row>
    <row r="123" spans="3:19" hidden="1" x14ac:dyDescent="0.3">
      <c r="C123" s="158"/>
      <c r="D123" s="159"/>
      <c r="E123" s="159"/>
      <c r="F123" s="159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628"/>
    </row>
    <row r="124" spans="3:19" hidden="1" x14ac:dyDescent="0.3">
      <c r="C124" s="158"/>
      <c r="D124" s="159"/>
      <c r="E124" s="159"/>
      <c r="F124" s="159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628"/>
    </row>
    <row r="125" spans="3:19" hidden="1" x14ac:dyDescent="0.3">
      <c r="C125" s="158"/>
      <c r="D125" s="159"/>
      <c r="E125" s="159"/>
      <c r="F125" s="159"/>
      <c r="G125" s="159"/>
      <c r="H125" s="159"/>
      <c r="I125" s="159"/>
      <c r="J125" s="159"/>
      <c r="K125" s="159"/>
      <c r="L125" s="159"/>
      <c r="M125" s="159"/>
      <c r="N125" s="159"/>
      <c r="O125" s="159"/>
      <c r="P125" s="159"/>
      <c r="Q125" s="159"/>
      <c r="R125" s="159"/>
      <c r="S125" s="628"/>
    </row>
    <row r="126" spans="3:19" ht="15.6" x14ac:dyDescent="0.3">
      <c r="C126" s="43" t="s">
        <v>514</v>
      </c>
      <c r="D126" s="2">
        <f>+D81</f>
        <v>300</v>
      </c>
      <c r="E126" s="2">
        <f>+Q81</f>
        <v>108167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>
        <f>+R81</f>
        <v>61539.13</v>
      </c>
      <c r="Q126" s="2" t="e">
        <f>+#REF!</f>
        <v>#REF!</v>
      </c>
      <c r="R126" s="2"/>
      <c r="S126" s="388"/>
    </row>
    <row r="127" spans="3:19" x14ac:dyDescent="0.3">
      <c r="C127" s="155" t="s">
        <v>515</v>
      </c>
      <c r="D127" s="2">
        <f>+'RESUMEN LOCALES'!E27</f>
        <v>0</v>
      </c>
      <c r="E127" s="2">
        <f>+'RESUMEN LOCALES'!R27</f>
        <v>13245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>
        <f>+'RESUMEN LOCALES'!S27</f>
        <v>7379</v>
      </c>
      <c r="Q127" s="2" t="e">
        <f>+'RESUMEN LOCALES'!#REF!</f>
        <v>#REF!</v>
      </c>
      <c r="R127" s="2"/>
      <c r="S127" s="388"/>
    </row>
    <row r="128" spans="3:19" x14ac:dyDescent="0.3">
      <c r="C128" s="155" t="s">
        <v>516</v>
      </c>
      <c r="D128" s="2">
        <f>+'RESUMEN OFI'!E55</f>
        <v>1100</v>
      </c>
      <c r="E128" s="2">
        <f>+'RESUMEN OFI'!R55</f>
        <v>51607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>
        <f>+'RESUMEN OFI'!S55</f>
        <v>28221</v>
      </c>
      <c r="Q128" s="2" t="e">
        <f>+'RESUMEN OFI'!#REF!</f>
        <v>#REF!</v>
      </c>
      <c r="R128" s="2"/>
      <c r="S128" s="388"/>
    </row>
    <row r="129" spans="3:19" ht="18" x14ac:dyDescent="0.35">
      <c r="C129" s="248" t="s">
        <v>386</v>
      </c>
      <c r="D129" s="157">
        <f>SUM(D126:D128)</f>
        <v>1400</v>
      </c>
      <c r="E129" s="249">
        <f>SUM(E126:E128)</f>
        <v>173019</v>
      </c>
      <c r="F129" s="249"/>
      <c r="G129" s="249"/>
      <c r="H129" s="249"/>
      <c r="I129" s="249"/>
      <c r="J129" s="249"/>
      <c r="K129" s="249"/>
      <c r="L129" s="249"/>
      <c r="M129" s="249"/>
      <c r="N129" s="249"/>
      <c r="O129" s="249"/>
      <c r="P129" s="250">
        <f>SUM(P126:P128)</f>
        <v>97139.13</v>
      </c>
      <c r="Q129" s="251" t="e">
        <f>SUM(Q126:Q128)</f>
        <v>#REF!</v>
      </c>
      <c r="R129" s="157"/>
      <c r="S129" s="389"/>
    </row>
    <row r="130" spans="3:19" x14ac:dyDescent="0.3"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3:19" hidden="1" x14ac:dyDescent="0.3">
      <c r="C131" s="155"/>
      <c r="D131" s="155"/>
      <c r="E131" s="155"/>
      <c r="F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60"/>
      <c r="Q131" s="155"/>
      <c r="R131" s="155"/>
      <c r="S131" s="629"/>
    </row>
    <row r="132" spans="3:19" hidden="1" x14ac:dyDescent="0.3">
      <c r="C132" s="155" t="s">
        <v>445</v>
      </c>
      <c r="D132" s="155"/>
      <c r="E132" s="155"/>
      <c r="F132" s="155"/>
      <c r="G132" s="155"/>
      <c r="H132" s="155"/>
      <c r="I132" s="155"/>
      <c r="J132" s="155"/>
      <c r="K132" s="155"/>
      <c r="L132" s="155"/>
      <c r="M132" s="155"/>
      <c r="N132" s="155"/>
      <c r="O132" s="155"/>
      <c r="P132" s="160"/>
      <c r="Q132" s="155"/>
      <c r="R132" s="155"/>
      <c r="S132" s="629"/>
    </row>
    <row r="133" spans="3:19" hidden="1" x14ac:dyDescent="0.3"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60"/>
      <c r="Q133" s="155"/>
      <c r="R133" s="155"/>
      <c r="S133" s="629"/>
    </row>
    <row r="134" spans="3:19" hidden="1" x14ac:dyDescent="0.3">
      <c r="C134" s="155" t="s">
        <v>446</v>
      </c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60"/>
      <c r="Q134" s="155"/>
      <c r="R134" s="155"/>
      <c r="S134" s="629"/>
    </row>
    <row r="135" spans="3:19" hidden="1" x14ac:dyDescent="0.3"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60"/>
      <c r="Q135" s="155"/>
      <c r="R135" s="155"/>
      <c r="S135" s="629"/>
    </row>
    <row r="136" spans="3:19" hidden="1" x14ac:dyDescent="0.3">
      <c r="C136" s="155"/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60"/>
      <c r="Q136" s="155"/>
      <c r="R136" s="155"/>
      <c r="S136" s="629"/>
    </row>
    <row r="137" spans="3:19" hidden="1" x14ac:dyDescent="0.3">
      <c r="C137" s="155" t="s">
        <v>447</v>
      </c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60"/>
      <c r="Q137" s="155"/>
      <c r="R137" s="155"/>
      <c r="S137" s="629"/>
    </row>
    <row r="138" spans="3:19" hidden="1" x14ac:dyDescent="0.3">
      <c r="C138" s="155"/>
      <c r="D138" s="155"/>
      <c r="E138" s="155"/>
      <c r="F138" s="155"/>
      <c r="G138" s="155"/>
      <c r="H138" s="155"/>
      <c r="I138" s="155"/>
      <c r="J138" s="155"/>
      <c r="K138" s="155"/>
      <c r="L138" s="155"/>
      <c r="M138" s="155"/>
      <c r="N138" s="155"/>
      <c r="O138" s="155"/>
      <c r="P138" s="160"/>
      <c r="Q138" s="155"/>
      <c r="R138" s="155"/>
      <c r="S138" s="629"/>
    </row>
    <row r="139" spans="3:19" hidden="1" x14ac:dyDescent="0.3">
      <c r="C139" s="155" t="s">
        <v>448</v>
      </c>
      <c r="D139" s="155"/>
      <c r="E139" s="155"/>
      <c r="F139" s="155"/>
      <c r="G139" s="155"/>
      <c r="H139" s="155"/>
      <c r="I139" s="155"/>
      <c r="J139" s="155"/>
      <c r="K139" s="155"/>
      <c r="L139" s="155"/>
      <c r="M139" s="155"/>
      <c r="N139" s="155"/>
      <c r="O139" s="155"/>
      <c r="P139" s="160"/>
      <c r="Q139" s="155"/>
      <c r="R139" s="155"/>
      <c r="S139" s="629"/>
    </row>
    <row r="140" spans="3:19" hidden="1" x14ac:dyDescent="0.3">
      <c r="C140" s="155"/>
      <c r="D140" s="155"/>
      <c r="E140" s="155"/>
      <c r="F140" s="155"/>
      <c r="G140" s="155"/>
      <c r="H140" s="155"/>
      <c r="I140" s="155"/>
      <c r="J140" s="155"/>
      <c r="K140" s="155"/>
      <c r="L140" s="155"/>
      <c r="M140" s="155"/>
      <c r="N140" s="155"/>
      <c r="O140" s="155"/>
      <c r="P140" s="160"/>
      <c r="Q140" s="155"/>
      <c r="R140" s="155"/>
      <c r="S140" s="629"/>
    </row>
    <row r="141" spans="3:19" x14ac:dyDescent="0.3">
      <c r="C141" s="400" t="s">
        <v>449</v>
      </c>
      <c r="D141" s="400"/>
      <c r="E141" s="400"/>
      <c r="F141" s="400"/>
      <c r="G141" s="400"/>
      <c r="H141" s="400"/>
      <c r="I141" s="400"/>
      <c r="J141" s="400"/>
      <c r="K141" s="400"/>
      <c r="L141" s="400"/>
      <c r="M141" s="400"/>
      <c r="N141" s="400"/>
      <c r="O141" s="400"/>
      <c r="P141" s="401">
        <f>249818.29</f>
        <v>249818.29</v>
      </c>
      <c r="Q141" s="400"/>
      <c r="R141" s="400"/>
      <c r="S141" s="630"/>
    </row>
    <row r="142" spans="3:19" x14ac:dyDescent="0.3">
      <c r="C142" s="400"/>
      <c r="D142" s="400"/>
      <c r="E142" s="400" t="s">
        <v>366</v>
      </c>
      <c r="F142" s="400"/>
      <c r="G142" s="400"/>
      <c r="H142" s="400"/>
      <c r="I142" s="400"/>
      <c r="J142" s="400"/>
      <c r="K142" s="400"/>
      <c r="L142" s="400"/>
      <c r="M142" s="400"/>
      <c r="N142" s="400"/>
      <c r="O142" s="400"/>
      <c r="P142" s="402"/>
      <c r="Q142" s="400"/>
      <c r="R142" s="400"/>
      <c r="S142" s="630"/>
    </row>
    <row r="143" spans="3:19" x14ac:dyDescent="0.3">
      <c r="C143" s="400"/>
      <c r="D143" s="400"/>
      <c r="E143" s="400"/>
      <c r="F143" s="624"/>
      <c r="G143" s="624"/>
      <c r="H143" s="624"/>
      <c r="I143" s="624"/>
      <c r="J143" s="624"/>
      <c r="K143" s="624"/>
      <c r="L143" s="624"/>
      <c r="M143" s="624"/>
      <c r="N143" s="624"/>
      <c r="O143" s="624"/>
      <c r="P143" s="403"/>
      <c r="Q143" s="400"/>
      <c r="R143" s="400"/>
      <c r="S143" s="630"/>
    </row>
    <row r="144" spans="3:19" ht="25.5" customHeight="1" thickBot="1" x14ac:dyDescent="0.45">
      <c r="C144" s="404" t="s">
        <v>450</v>
      </c>
      <c r="D144" s="400"/>
      <c r="E144" s="400"/>
      <c r="F144" s="624"/>
      <c r="G144" s="624"/>
      <c r="H144" s="624"/>
      <c r="I144" s="624"/>
      <c r="J144" s="624"/>
      <c r="K144" s="624"/>
      <c r="L144" s="624"/>
      <c r="M144" s="624"/>
      <c r="N144" s="624"/>
      <c r="O144" s="624"/>
      <c r="P144" s="405">
        <f>+P129-P141</f>
        <v>-152679.16</v>
      </c>
      <c r="Q144" s="400"/>
      <c r="R144" s="400"/>
      <c r="S144" s="630"/>
    </row>
    <row r="145" spans="3:19" ht="21.6" thickBot="1" x14ac:dyDescent="0.45">
      <c r="C145" s="406"/>
      <c r="D145" s="407"/>
      <c r="E145" s="408"/>
      <c r="F145" s="625"/>
      <c r="G145" s="625"/>
      <c r="H145" s="625"/>
      <c r="I145" s="625"/>
      <c r="J145" s="625"/>
      <c r="K145" s="625"/>
      <c r="L145" s="625"/>
      <c r="M145" s="625"/>
      <c r="N145" s="625"/>
      <c r="O145" s="625"/>
      <c r="P145" s="409"/>
      <c r="Q145" s="410"/>
      <c r="R145" s="407"/>
      <c r="S145" s="625"/>
    </row>
    <row r="146" spans="3:19" x14ac:dyDescent="0.3">
      <c r="C146" s="411"/>
      <c r="D146" s="411"/>
      <c r="E146" s="411"/>
      <c r="F146" s="411"/>
      <c r="G146" s="411"/>
      <c r="H146" s="411"/>
      <c r="I146" s="411"/>
      <c r="J146" s="411"/>
      <c r="K146" s="411"/>
      <c r="L146" s="411"/>
      <c r="M146" s="411"/>
      <c r="N146" s="411"/>
      <c r="O146" s="411"/>
      <c r="P146" s="411"/>
      <c r="Q146" s="411"/>
      <c r="R146" s="411"/>
      <c r="S146" s="411"/>
    </row>
    <row r="147" spans="3:19" x14ac:dyDescent="0.3">
      <c r="C147" s="411"/>
      <c r="D147" s="411"/>
      <c r="E147" s="411"/>
      <c r="F147" s="411"/>
      <c r="G147" s="411"/>
      <c r="H147" s="411"/>
      <c r="I147" s="411"/>
      <c r="J147" s="411"/>
      <c r="K147" s="411"/>
      <c r="L147" s="411"/>
      <c r="M147" s="411"/>
      <c r="N147" s="411"/>
      <c r="O147" s="411"/>
      <c r="P147" s="412"/>
      <c r="Q147" s="411"/>
      <c r="R147" s="411"/>
      <c r="S147" s="411"/>
    </row>
    <row r="148" spans="3:19" x14ac:dyDescent="0.3">
      <c r="C148" s="396" t="s">
        <v>454</v>
      </c>
      <c r="D148" s="396"/>
      <c r="E148" s="396"/>
      <c r="F148" s="396"/>
      <c r="G148" s="396"/>
      <c r="H148" s="396"/>
      <c r="I148" s="396"/>
      <c r="J148" s="396"/>
      <c r="K148" s="396"/>
      <c r="L148" s="396"/>
      <c r="M148" s="396"/>
      <c r="N148" s="396"/>
      <c r="O148" s="396"/>
      <c r="P148" s="396">
        <v>81716.259999999995</v>
      </c>
      <c r="Q148" s="396">
        <v>7516</v>
      </c>
      <c r="R148" s="396"/>
      <c r="S148" s="396"/>
    </row>
    <row r="149" spans="3:19" x14ac:dyDescent="0.3">
      <c r="C149" s="396" t="s">
        <v>455</v>
      </c>
      <c r="D149" s="396"/>
      <c r="E149" s="396"/>
      <c r="F149" s="396"/>
      <c r="G149" s="396"/>
      <c r="H149" s="396"/>
      <c r="I149" s="396"/>
      <c r="J149" s="396"/>
      <c r="K149" s="396"/>
      <c r="L149" s="396"/>
      <c r="M149" s="396"/>
      <c r="N149" s="396"/>
      <c r="O149" s="396"/>
      <c r="P149" s="396">
        <v>7050.03</v>
      </c>
      <c r="Q149" s="396">
        <v>8178</v>
      </c>
      <c r="R149" s="396"/>
      <c r="S149" s="396"/>
    </row>
    <row r="150" spans="3:19" x14ac:dyDescent="0.3">
      <c r="C150" s="396" t="s">
        <v>456</v>
      </c>
      <c r="D150" s="396"/>
      <c r="E150" s="396"/>
      <c r="F150" s="396"/>
      <c r="G150" s="396"/>
      <c r="H150" s="396"/>
      <c r="I150" s="396"/>
      <c r="J150" s="396"/>
      <c r="K150" s="396"/>
      <c r="L150" s="396"/>
      <c r="M150" s="396"/>
      <c r="N150" s="396"/>
      <c r="O150" s="396"/>
      <c r="P150" s="396">
        <v>-20648.07</v>
      </c>
      <c r="Q150" s="396">
        <v>65945.5</v>
      </c>
      <c r="R150" s="396"/>
      <c r="S150" s="396"/>
    </row>
    <row r="151" spans="3:19" x14ac:dyDescent="0.3">
      <c r="C151" s="396" t="s">
        <v>459</v>
      </c>
      <c r="D151" s="396"/>
      <c r="E151" s="396"/>
      <c r="F151" s="396"/>
      <c r="G151" s="396"/>
      <c r="H151" s="396"/>
      <c r="I151" s="396"/>
      <c r="J151" s="396"/>
      <c r="K151" s="396"/>
      <c r="L151" s="396"/>
      <c r="M151" s="396"/>
      <c r="N151" s="396"/>
      <c r="O151" s="396"/>
      <c r="P151" s="398">
        <f>+P148+P149+P150</f>
        <v>68118.22</v>
      </c>
      <c r="Q151" s="398">
        <f>+Q148+Q149+Q150</f>
        <v>81639.5</v>
      </c>
      <c r="R151" s="396"/>
      <c r="S151" s="396"/>
    </row>
    <row r="152" spans="3:19" x14ac:dyDescent="0.3">
      <c r="C152" s="396" t="s">
        <v>457</v>
      </c>
      <c r="D152" s="396"/>
      <c r="E152" s="396"/>
      <c r="F152" s="396"/>
      <c r="G152" s="396"/>
      <c r="H152" s="396"/>
      <c r="I152" s="396"/>
      <c r="J152" s="396"/>
      <c r="K152" s="396"/>
      <c r="L152" s="396"/>
      <c r="M152" s="396"/>
      <c r="N152" s="396"/>
      <c r="O152" s="396"/>
      <c r="P152" s="396"/>
      <c r="Q152" s="396"/>
      <c r="R152" s="396"/>
      <c r="S152" s="396"/>
    </row>
    <row r="153" spans="3:19" x14ac:dyDescent="0.3">
      <c r="C153" s="396" t="s">
        <v>458</v>
      </c>
      <c r="D153" s="396"/>
      <c r="E153" s="396"/>
      <c r="F153" s="396"/>
      <c r="G153" s="396"/>
      <c r="H153" s="396"/>
      <c r="I153" s="396"/>
      <c r="J153" s="396"/>
      <c r="K153" s="396"/>
      <c r="L153" s="396"/>
      <c r="M153" s="396"/>
      <c r="N153" s="396"/>
      <c r="O153" s="396"/>
      <c r="P153" s="397">
        <v>18784.650000000001</v>
      </c>
      <c r="Q153" s="396"/>
      <c r="R153" s="396"/>
      <c r="S153" s="396"/>
    </row>
    <row r="154" spans="3:19" x14ac:dyDescent="0.3">
      <c r="C154" s="396"/>
      <c r="D154" s="396"/>
      <c r="E154" s="396"/>
      <c r="F154" s="396"/>
      <c r="G154" s="396"/>
      <c r="H154" s="396"/>
      <c r="I154" s="396"/>
      <c r="J154" s="396"/>
      <c r="K154" s="396"/>
      <c r="L154" s="396"/>
      <c r="M154" s="396"/>
      <c r="N154" s="396"/>
      <c r="O154" s="396"/>
      <c r="P154" s="396"/>
      <c r="Q154" s="396"/>
      <c r="R154" s="396"/>
      <c r="S154" s="396"/>
    </row>
    <row r="155" spans="3:19" x14ac:dyDescent="0.3">
      <c r="C155" s="396" t="s">
        <v>460</v>
      </c>
      <c r="D155" s="396"/>
      <c r="E155" s="396"/>
      <c r="F155" s="396"/>
      <c r="G155" s="396"/>
      <c r="H155" s="396"/>
      <c r="I155" s="396"/>
      <c r="J155" s="396"/>
      <c r="K155" s="396"/>
      <c r="L155" s="396"/>
      <c r="M155" s="396"/>
      <c r="N155" s="396"/>
      <c r="O155" s="396"/>
      <c r="P155" s="399">
        <f>+P151-P153</f>
        <v>49333.57</v>
      </c>
      <c r="Q155" s="396"/>
      <c r="R155" s="396"/>
      <c r="S155" s="396"/>
    </row>
    <row r="156" spans="3:19" x14ac:dyDescent="0.3">
      <c r="C156" s="396"/>
      <c r="D156" s="396"/>
      <c r="E156" s="396"/>
      <c r="F156" s="396"/>
      <c r="G156" s="396"/>
      <c r="H156" s="396"/>
      <c r="I156" s="396"/>
      <c r="J156" s="396"/>
      <c r="K156" s="396"/>
      <c r="L156" s="396"/>
      <c r="M156" s="396"/>
      <c r="N156" s="396"/>
      <c r="O156" s="396"/>
      <c r="P156" s="396"/>
      <c r="Q156" s="396"/>
      <c r="R156" s="396"/>
      <c r="S156" s="396"/>
    </row>
    <row r="157" spans="3:19" x14ac:dyDescent="0.3">
      <c r="C157" s="396"/>
      <c r="D157" s="396"/>
      <c r="E157" s="396"/>
      <c r="F157" s="396"/>
      <c r="G157" s="396"/>
      <c r="H157" s="396"/>
      <c r="I157" s="396"/>
      <c r="J157" s="396"/>
      <c r="K157" s="396"/>
      <c r="L157" s="396"/>
      <c r="M157" s="396"/>
      <c r="N157" s="396"/>
      <c r="O157" s="396"/>
      <c r="P157" s="396"/>
      <c r="Q157" s="396"/>
      <c r="R157" s="396"/>
      <c r="S157" s="396"/>
    </row>
    <row r="158" spans="3:19" x14ac:dyDescent="0.3">
      <c r="C158" s="396"/>
      <c r="D158" s="396"/>
      <c r="E158" s="396"/>
      <c r="F158" s="396"/>
      <c r="G158" s="396"/>
      <c r="H158" s="396"/>
      <c r="I158" s="396"/>
      <c r="J158" s="396"/>
      <c r="K158" s="396"/>
      <c r="L158" s="396"/>
      <c r="M158" s="396"/>
      <c r="N158" s="396"/>
      <c r="O158" s="396"/>
      <c r="P158" s="396"/>
      <c r="Q158" s="396"/>
      <c r="R158" s="396"/>
      <c r="S158" s="396"/>
    </row>
    <row r="159" spans="3:19" x14ac:dyDescent="0.3">
      <c r="C159" s="396"/>
      <c r="D159" s="396"/>
      <c r="E159" s="396"/>
      <c r="F159" s="396"/>
      <c r="G159" s="396"/>
      <c r="H159" s="396"/>
      <c r="I159" s="396"/>
      <c r="J159" s="396"/>
      <c r="K159" s="396"/>
      <c r="L159" s="396"/>
      <c r="M159" s="396"/>
      <c r="N159" s="396"/>
      <c r="O159" s="396"/>
      <c r="P159" s="396"/>
      <c r="Q159" s="396"/>
      <c r="R159" s="396"/>
      <c r="S159" s="396"/>
    </row>
  </sheetData>
  <mergeCells count="6">
    <mergeCell ref="B1:R1"/>
    <mergeCell ref="B2:R2"/>
    <mergeCell ref="B3:R3"/>
    <mergeCell ref="C103:R103"/>
    <mergeCell ref="C104:R104"/>
    <mergeCell ref="C102:R102"/>
  </mergeCells>
  <pageMargins left="0.55000000000000004" right="0.27559055118110237" top="0.23622047244094491" bottom="0.27559055118110237" header="0.31496062992125984" footer="0.31496062992125984"/>
  <pageSetup scale="55" orientation="portrait" horizontalDpi="360" verticalDpi="360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2:N40"/>
  <sheetViews>
    <sheetView showGridLines="0" zoomScale="85" zoomScaleNormal="85" workbookViewId="0">
      <selection activeCell="E24" sqref="E24"/>
    </sheetView>
  </sheetViews>
  <sheetFormatPr baseColWidth="10" defaultColWidth="9.109375" defaultRowHeight="14.4" x14ac:dyDescent="0.3"/>
  <cols>
    <col min="1" max="1" width="12.33203125" customWidth="1"/>
    <col min="2" max="2" width="36.6640625" customWidth="1"/>
    <col min="3" max="3" width="11.109375" style="4" customWidth="1"/>
    <col min="4" max="4" width="11.6640625" style="1" customWidth="1"/>
    <col min="5" max="5" width="10.33203125" style="1" customWidth="1"/>
    <col min="6" max="6" width="7.5546875" style="1" customWidth="1"/>
    <col min="7" max="7" width="11" style="1" customWidth="1"/>
    <col min="8" max="8" width="12.44140625" style="1" customWidth="1"/>
    <col min="9" max="9" width="12.88671875" hidden="1" customWidth="1"/>
  </cols>
  <sheetData>
    <row r="2" spans="1:10" ht="15.6" x14ac:dyDescent="0.3">
      <c r="A2" s="27" t="s">
        <v>36</v>
      </c>
      <c r="B2" s="41" t="s">
        <v>369</v>
      </c>
    </row>
    <row r="3" spans="1:10" ht="2.25" customHeight="1" x14ac:dyDescent="0.3">
      <c r="A3" s="27" t="s">
        <v>31</v>
      </c>
      <c r="B3" s="28" t="e">
        <f>LOOKUP(B2,#REF!,#REF!)</f>
        <v>#REF!</v>
      </c>
    </row>
    <row r="4" spans="1:10" hidden="1" x14ac:dyDescent="0.3">
      <c r="A4" s="27" t="s">
        <v>32</v>
      </c>
      <c r="B4" s="28" t="e">
        <f>LOOKUP(B2,#REF!,#REF!)</f>
        <v>#REF!</v>
      </c>
    </row>
    <row r="5" spans="1:10" hidden="1" x14ac:dyDescent="0.3">
      <c r="A5" s="27" t="s">
        <v>33</v>
      </c>
      <c r="B5" s="28" t="e">
        <f>LOOKUP(B2,#REF!,#REF!)</f>
        <v>#REF!</v>
      </c>
    </row>
    <row r="6" spans="1:10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0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0" x14ac:dyDescent="0.3">
      <c r="A8" s="21"/>
      <c r="B8" s="21" t="s">
        <v>255</v>
      </c>
    </row>
    <row r="9" spans="1:10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75" t="s">
        <v>188</v>
      </c>
    </row>
    <row r="10" spans="1:10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/>
      <c r="J10" s="52"/>
    </row>
    <row r="11" spans="1:10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240">
        <f>IF(T_T134131132133134135136137138[[#This Row],[Total]]&lt;0,T_T134131132133134135136137138[[#This Row],[Total]]*-1,0)</f>
        <v>0</v>
      </c>
      <c r="J11" s="240"/>
    </row>
    <row r="12" spans="1:10" x14ac:dyDescent="0.3">
      <c r="A12" s="117"/>
      <c r="B12" s="118" t="s">
        <v>467</v>
      </c>
      <c r="C12" s="284"/>
      <c r="D12" s="285"/>
      <c r="E12" s="285"/>
      <c r="F12" s="285"/>
      <c r="G12" s="285"/>
      <c r="H12" s="10">
        <v>0</v>
      </c>
      <c r="I12" s="51">
        <f>IF(T_T134131132133134135136137138[[#This Row],[Total]]&lt;0,T_T134131132133134135136137138[[#This Row],[Total]]*-1,0)</f>
        <v>0</v>
      </c>
      <c r="J12" s="51"/>
    </row>
    <row r="13" spans="1:10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240">
        <f>IF(T_T134131132133134135136137138[[#This Row],[Total]]&lt;0,T_T134131132133134135136137138[[#This Row],[Total]]*-1,0)</f>
        <v>0</v>
      </c>
      <c r="J13" s="240"/>
    </row>
    <row r="14" spans="1:10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473">
        <f>IF(T_T134131132133134135136137138[[#This Row],[Total]]&lt;0,T_T134131132133134135136137138[[#This Row],[Total]]*-1,0)</f>
        <v>0</v>
      </c>
      <c r="J14" s="473"/>
    </row>
    <row r="15" spans="1:10" x14ac:dyDescent="0.3">
      <c r="A15" s="17">
        <v>45687</v>
      </c>
      <c r="B15" s="18" t="s">
        <v>530</v>
      </c>
      <c r="C15" s="6"/>
      <c r="D15" s="2">
        <v>603</v>
      </c>
      <c r="E15" s="2">
        <v>139</v>
      </c>
      <c r="F15" s="20"/>
      <c r="G15" s="20">
        <f>SUM(D15:F15)</f>
        <v>742</v>
      </c>
      <c r="H15" s="233">
        <f>+H13+T_T134131132133134135136137138[[#This Row],[Total]]</f>
        <v>742</v>
      </c>
      <c r="I15" s="240">
        <f>IF(T_T134131132133134135136137138[[#This Row],[Total]]&lt;0,T_T134131132133134135136137138[[#This Row],[Total]]*-1,0)</f>
        <v>0</v>
      </c>
      <c r="J15" s="240"/>
    </row>
    <row r="16" spans="1:10" x14ac:dyDescent="0.3">
      <c r="A16" s="17"/>
      <c r="B16" s="18" t="s">
        <v>531</v>
      </c>
      <c r="C16" s="6">
        <v>8643</v>
      </c>
      <c r="D16" s="2">
        <v>-26</v>
      </c>
      <c r="E16" s="2"/>
      <c r="F16" s="230"/>
      <c r="G16" s="20">
        <f t="shared" ref="G16:G30" si="0">SUM(D16:F16)</f>
        <v>-26</v>
      </c>
      <c r="H16" s="233">
        <f t="shared" ref="H16:H40" si="1">H15+G16</f>
        <v>716</v>
      </c>
      <c r="I16" s="239">
        <f>IF(T_T134131132133134135136137138[[#This Row],[Total]]&lt;0,T_T134131132133134135136137138[[#This Row],[Total]]*-1,0)</f>
        <v>26</v>
      </c>
      <c r="J16" s="239"/>
    </row>
    <row r="17" spans="1:14" x14ac:dyDescent="0.3">
      <c r="A17" s="164">
        <v>45715</v>
      </c>
      <c r="B17" s="161" t="s">
        <v>532</v>
      </c>
      <c r="C17" s="6"/>
      <c r="D17" s="2">
        <v>603</v>
      </c>
      <c r="E17" s="2">
        <v>185</v>
      </c>
      <c r="F17" s="230"/>
      <c r="G17" s="20">
        <f t="shared" si="0"/>
        <v>788</v>
      </c>
      <c r="H17" s="233">
        <f t="shared" si="1"/>
        <v>1504</v>
      </c>
      <c r="I17" s="240">
        <f>IF(T_T134131132133134135136137138[[#This Row],[Total]]&lt;0,T_T134131132133134135136137138[[#This Row],[Total]]*-1,0)</f>
        <v>0</v>
      </c>
      <c r="J17" s="240"/>
      <c r="M17" t="s">
        <v>509</v>
      </c>
    </row>
    <row r="18" spans="1:14" x14ac:dyDescent="0.3">
      <c r="A18" s="187"/>
      <c r="B18" s="18" t="s">
        <v>533</v>
      </c>
      <c r="C18" s="6" t="s">
        <v>645</v>
      </c>
      <c r="D18" s="2">
        <f>-548-29-26</f>
        <v>-603</v>
      </c>
      <c r="E18" s="2">
        <v>-185</v>
      </c>
      <c r="F18" s="230"/>
      <c r="G18" s="20">
        <f t="shared" si="0"/>
        <v>-788</v>
      </c>
      <c r="H18" s="233">
        <f t="shared" si="1"/>
        <v>716</v>
      </c>
      <c r="I18" s="240">
        <f>IF(T_T134131132133134135136137138[[#This Row],[Total]]&lt;0,T_T134131132133134135136137138[[#This Row],[Total]]*-1,0)</f>
        <v>788</v>
      </c>
      <c r="J18" s="240"/>
      <c r="L18">
        <v>432</v>
      </c>
    </row>
    <row r="19" spans="1:14" x14ac:dyDescent="0.3">
      <c r="A19" s="188">
        <v>45747</v>
      </c>
      <c r="B19" s="3" t="s">
        <v>534</v>
      </c>
      <c r="C19" s="6"/>
      <c r="D19" s="2">
        <v>690</v>
      </c>
      <c r="E19" s="2">
        <v>61</v>
      </c>
      <c r="F19" s="230"/>
      <c r="G19" s="20">
        <f t="shared" si="0"/>
        <v>751</v>
      </c>
      <c r="H19" s="233">
        <f t="shared" si="1"/>
        <v>1467</v>
      </c>
      <c r="I19" s="240">
        <f>IF(T_T134131132133134135136137138[[#This Row],[Total]]&lt;0,T_T134131132133134135136137138[[#This Row],[Total]]*-1,0)</f>
        <v>0</v>
      </c>
      <c r="J19" s="240"/>
    </row>
    <row r="20" spans="1:14" x14ac:dyDescent="0.3">
      <c r="A20" s="188"/>
      <c r="B20" s="82" t="s">
        <v>535</v>
      </c>
      <c r="C20" s="6">
        <v>8884</v>
      </c>
      <c r="D20" s="2">
        <v>-626</v>
      </c>
      <c r="E20" s="2">
        <v>-61</v>
      </c>
      <c r="F20" s="230"/>
      <c r="G20" s="20">
        <f t="shared" si="0"/>
        <v>-687</v>
      </c>
      <c r="H20" s="233">
        <f t="shared" si="1"/>
        <v>780</v>
      </c>
      <c r="I20" s="239">
        <f>IF(T_T134131132133134135136137138[[#This Row],[Total]]&lt;0,T_T134131132133134135136137138[[#This Row],[Total]]*-1,0)</f>
        <v>687</v>
      </c>
      <c r="J20" s="239"/>
      <c r="M20" t="s">
        <v>511</v>
      </c>
    </row>
    <row r="21" spans="1:14" x14ac:dyDescent="0.3">
      <c r="A21" s="188">
        <v>45777</v>
      </c>
      <c r="B21" s="3" t="s">
        <v>536</v>
      </c>
      <c r="C21" s="6"/>
      <c r="D21" s="2">
        <v>690</v>
      </c>
      <c r="E21" s="2">
        <v>143</v>
      </c>
      <c r="F21" s="230"/>
      <c r="G21" s="20">
        <f t="shared" si="0"/>
        <v>833</v>
      </c>
      <c r="H21" s="233">
        <f t="shared" si="1"/>
        <v>1613</v>
      </c>
      <c r="I21" s="309">
        <f>IF(T_T134131132133134135136137138[[#This Row],[Total]]&lt;0,T_T134131132133134135136137138[[#This Row],[Total]]*-1,0)</f>
        <v>0</v>
      </c>
      <c r="J21" s="309"/>
    </row>
    <row r="22" spans="1:14" x14ac:dyDescent="0.3">
      <c r="A22" s="83"/>
      <c r="B22" s="82" t="s">
        <v>537</v>
      </c>
      <c r="C22" s="6"/>
      <c r="D22" s="2"/>
      <c r="E22" s="2"/>
      <c r="F22" s="230"/>
      <c r="G22" s="20">
        <f t="shared" si="0"/>
        <v>0</v>
      </c>
      <c r="H22" s="233">
        <f t="shared" si="1"/>
        <v>1613</v>
      </c>
      <c r="I22" s="309">
        <f>IF(T_T134131132133134135136137138[[#This Row],[Total]]&lt;0,T_T134131132133134135136137138[[#This Row],[Total]]*-1,0)</f>
        <v>0</v>
      </c>
      <c r="J22" s="309"/>
    </row>
    <row r="23" spans="1:14" x14ac:dyDescent="0.3">
      <c r="A23" s="40">
        <v>45807</v>
      </c>
      <c r="B23" s="3" t="s">
        <v>538</v>
      </c>
      <c r="C23" s="229"/>
      <c r="D23" s="230">
        <v>690</v>
      </c>
      <c r="E23" s="230">
        <v>127</v>
      </c>
      <c r="F23" s="230"/>
      <c r="G23" s="20">
        <f t="shared" si="0"/>
        <v>817</v>
      </c>
      <c r="H23" s="233">
        <f t="shared" si="1"/>
        <v>2430</v>
      </c>
      <c r="I23" s="309">
        <f>IF(T_T134131132133134135136137138[[#This Row],[Total]]&lt;0,T_T134131132133134135136137138[[#This Row],[Total]]*-1,0)</f>
        <v>0</v>
      </c>
      <c r="J23" s="309"/>
    </row>
    <row r="24" spans="1:14" x14ac:dyDescent="0.3">
      <c r="A24" s="9"/>
      <c r="B24" s="18" t="s">
        <v>539</v>
      </c>
      <c r="C24" s="6"/>
      <c r="D24" s="230"/>
      <c r="E24" s="230"/>
      <c r="F24" s="230"/>
      <c r="G24" s="20">
        <f t="shared" si="0"/>
        <v>0</v>
      </c>
      <c r="H24" s="233">
        <f t="shared" si="1"/>
        <v>2430</v>
      </c>
      <c r="I24" s="311">
        <f>IF(T_T134131132133134135136137138[[#This Row],[Total]]&lt;0,T_T134131132133134135136137138[[#This Row],[Total]]*-1,0)</f>
        <v>0</v>
      </c>
      <c r="J24" s="311"/>
      <c r="L24">
        <v>693</v>
      </c>
    </row>
    <row r="25" spans="1:14" x14ac:dyDescent="0.3">
      <c r="A25" s="9">
        <v>45838</v>
      </c>
      <c r="B25" s="3" t="s">
        <v>540</v>
      </c>
      <c r="C25" s="229"/>
      <c r="D25" s="230"/>
      <c r="E25" s="230"/>
      <c r="F25" s="230"/>
      <c r="G25" s="20">
        <f t="shared" si="0"/>
        <v>0</v>
      </c>
      <c r="H25" s="233">
        <f t="shared" si="1"/>
        <v>2430</v>
      </c>
      <c r="I25" s="309">
        <f>IF(T_T134131132133134135136137138[[#This Row],[Total]]&lt;0,T_T134131132133134135136137138[[#This Row],[Total]]*-1,0)</f>
        <v>0</v>
      </c>
      <c r="J25" s="309"/>
    </row>
    <row r="26" spans="1:14" x14ac:dyDescent="0.3">
      <c r="A26" s="9"/>
      <c r="B26" s="18" t="s">
        <v>541</v>
      </c>
      <c r="C26" s="6"/>
      <c r="D26" s="230"/>
      <c r="E26" s="230"/>
      <c r="F26" s="230"/>
      <c r="G26" s="20">
        <f t="shared" si="0"/>
        <v>0</v>
      </c>
      <c r="H26" s="233">
        <f t="shared" si="1"/>
        <v>2430</v>
      </c>
      <c r="I26" s="309">
        <f>IF(T_T134131132133134135136137138[[#This Row],[Total]]&lt;0,T_T134131132133134135136137138[[#This Row],[Total]]*-1,0)</f>
        <v>0</v>
      </c>
      <c r="J26" s="309"/>
      <c r="L26">
        <v>688</v>
      </c>
      <c r="N26">
        <v>1381</v>
      </c>
    </row>
    <row r="27" spans="1:14" x14ac:dyDescent="0.3">
      <c r="A27" s="107">
        <v>45868</v>
      </c>
      <c r="B27" s="82" t="s">
        <v>542</v>
      </c>
      <c r="C27" s="229"/>
      <c r="D27" s="230"/>
      <c r="E27" s="230"/>
      <c r="F27" s="230"/>
      <c r="G27" s="20">
        <f t="shared" si="0"/>
        <v>0</v>
      </c>
      <c r="H27" s="233">
        <f t="shared" si="1"/>
        <v>2430</v>
      </c>
      <c r="I27" s="309">
        <f>IF(T_T134131132133134135136137138[[#This Row],[Total]]&lt;0,T_T134131132133134135136137138[[#This Row],[Total]]*-1,0)</f>
        <v>0</v>
      </c>
      <c r="J27" s="309"/>
    </row>
    <row r="28" spans="1:14" x14ac:dyDescent="0.3">
      <c r="A28" s="107"/>
      <c r="B28" s="82" t="s">
        <v>543</v>
      </c>
      <c r="C28" s="6"/>
      <c r="D28" s="230"/>
      <c r="E28" s="230"/>
      <c r="F28" s="230"/>
      <c r="G28" s="20">
        <f t="shared" si="0"/>
        <v>0</v>
      </c>
      <c r="H28" s="233">
        <f t="shared" si="1"/>
        <v>2430</v>
      </c>
      <c r="I28" s="311">
        <f>IF(T_T134131132133134135136137138[[#This Row],[Total]]&lt;0,T_T134131132133134135136137138[[#This Row],[Total]]*-1,0)</f>
        <v>0</v>
      </c>
      <c r="J28" s="311"/>
      <c r="L28">
        <v>689</v>
      </c>
      <c r="N28">
        <v>2070</v>
      </c>
    </row>
    <row r="29" spans="1:14" x14ac:dyDescent="0.3">
      <c r="A29" s="107">
        <v>45899</v>
      </c>
      <c r="B29" s="82" t="s">
        <v>544</v>
      </c>
      <c r="C29" s="229"/>
      <c r="D29" s="230"/>
      <c r="E29" s="230"/>
      <c r="F29" s="230"/>
      <c r="G29" s="20">
        <f t="shared" si="0"/>
        <v>0</v>
      </c>
      <c r="H29" s="233">
        <f t="shared" si="1"/>
        <v>2430</v>
      </c>
      <c r="I29" s="309">
        <f>IF(T_T134131132133134135136137138[[#This Row],[Total]]&lt;0,T_T134131132133134135136137138[[#This Row],[Total]]*-1,0)</f>
        <v>0</v>
      </c>
      <c r="J29" s="309"/>
    </row>
    <row r="30" spans="1:14" x14ac:dyDescent="0.3">
      <c r="A30" s="107"/>
      <c r="B30" s="82" t="s">
        <v>545</v>
      </c>
      <c r="C30" s="6"/>
      <c r="D30" s="230"/>
      <c r="E30" s="230"/>
      <c r="F30" s="230"/>
      <c r="G30" s="20">
        <f t="shared" si="0"/>
        <v>0</v>
      </c>
      <c r="H30" s="233">
        <f t="shared" si="1"/>
        <v>2430</v>
      </c>
      <c r="I30" s="309">
        <f>IF(T_T134131132133134135136137138[[#This Row],[Total]]&lt;0,T_T134131132133134135136137138[[#This Row],[Total]]*-1,0)</f>
        <v>0</v>
      </c>
      <c r="J30" s="309"/>
    </row>
    <row r="31" spans="1:14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ref="G31:G38" si="2">SUM(D31:F31)</f>
        <v>0</v>
      </c>
      <c r="H31" s="233">
        <f t="shared" si="1"/>
        <v>2430</v>
      </c>
      <c r="I31" s="309">
        <f>IF(T_T134131132133134135136137138[[#This Row],[Total]]&lt;0,T_T134131132133134135136137138[[#This Row],[Total]]*-1,0)</f>
        <v>0</v>
      </c>
      <c r="J31" s="309"/>
    </row>
    <row r="32" spans="1:14" x14ac:dyDescent="0.3">
      <c r="A32" s="9"/>
      <c r="B32" s="3" t="s">
        <v>547</v>
      </c>
      <c r="C32" s="6"/>
      <c r="D32" s="230"/>
      <c r="E32" s="230"/>
      <c r="F32" s="230"/>
      <c r="G32" s="230">
        <f t="shared" si="2"/>
        <v>0</v>
      </c>
      <c r="H32" s="233">
        <f t="shared" si="1"/>
        <v>2430</v>
      </c>
      <c r="I32" s="309">
        <f>IF(T_T134131132133134135136137138[[#This Row],[Total]]&lt;0,T_T134131132133134135136137138[[#This Row],[Total]]*-1,0)</f>
        <v>0</v>
      </c>
      <c r="J32" s="309"/>
    </row>
    <row r="33" spans="1:10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2"/>
        <v>0</v>
      </c>
      <c r="H33" s="233">
        <f t="shared" si="1"/>
        <v>2430</v>
      </c>
      <c r="I33" s="309">
        <f>IF(T_T134131132133134135136137138[[#This Row],[Total]]&lt;0,T_T134131132133134135136137138[[#This Row],[Total]]*-1,0)</f>
        <v>0</v>
      </c>
      <c r="J33" s="309"/>
    </row>
    <row r="34" spans="1:10" x14ac:dyDescent="0.3">
      <c r="A34" s="9"/>
      <c r="B34" s="3" t="s">
        <v>549</v>
      </c>
      <c r="C34" s="229"/>
      <c r="D34" s="230"/>
      <c r="E34" s="230"/>
      <c r="F34" s="230"/>
      <c r="G34" s="230">
        <f t="shared" si="2"/>
        <v>0</v>
      </c>
      <c r="H34" s="233">
        <f t="shared" si="1"/>
        <v>2430</v>
      </c>
      <c r="I34" s="309">
        <f>IF(T_T134131132133134135136137138[[#This Row],[Total]]&lt;0,T_T134131132133134135136137138[[#This Row],[Total]]*-1,0)</f>
        <v>0</v>
      </c>
      <c r="J34" s="309"/>
    </row>
    <row r="35" spans="1:10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2"/>
        <v>0</v>
      </c>
      <c r="H35" s="233">
        <f t="shared" si="1"/>
        <v>2430</v>
      </c>
      <c r="I35" s="309">
        <f>IF(T_T134131132133134135136137138[[#This Row],[Total]]&lt;0,T_T134131132133134135136137138[[#This Row],[Total]]*-1,0)</f>
        <v>0</v>
      </c>
      <c r="J35" s="309"/>
    </row>
    <row r="36" spans="1:10" x14ac:dyDescent="0.3">
      <c r="A36" s="17"/>
      <c r="B36" s="18" t="s">
        <v>551</v>
      </c>
      <c r="C36" s="229"/>
      <c r="D36" s="230"/>
      <c r="E36" s="230"/>
      <c r="F36" s="230"/>
      <c r="G36" s="230">
        <f t="shared" si="2"/>
        <v>0</v>
      </c>
      <c r="H36" s="233">
        <f t="shared" si="1"/>
        <v>2430</v>
      </c>
      <c r="I36" s="311">
        <f>IF(T_T134131132133134135136137138[[#This Row],[Total]]&lt;0,T_T134131132133134135136137138[[#This Row],[Total]]*-1,0)</f>
        <v>0</v>
      </c>
      <c r="J36" s="311"/>
    </row>
    <row r="37" spans="1:10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2"/>
        <v>0</v>
      </c>
      <c r="H37" s="233">
        <f t="shared" si="1"/>
        <v>2430</v>
      </c>
      <c r="I37" s="353">
        <f>IF(T_T134131132133134135136137138[[#This Row],[Total]]&lt;0,T_T134131132133134135136137138[[#This Row],[Total]]*-1,0)</f>
        <v>0</v>
      </c>
      <c r="J37" s="353"/>
    </row>
    <row r="38" spans="1:10" x14ac:dyDescent="0.3">
      <c r="A38" s="257"/>
      <c r="B38" s="110" t="s">
        <v>553</v>
      </c>
      <c r="C38" s="229"/>
      <c r="D38" s="230"/>
      <c r="E38" s="230"/>
      <c r="F38" s="230"/>
      <c r="G38" s="230">
        <f t="shared" si="2"/>
        <v>0</v>
      </c>
      <c r="H38" s="233">
        <f t="shared" si="1"/>
        <v>2430</v>
      </c>
      <c r="I38" s="353">
        <f>IF(T_T134131132133134135136137138[[#This Row],[Total]]&lt;0,T_T134131132133134135136137138[[#This Row],[Total]]*-1,0)</f>
        <v>0</v>
      </c>
      <c r="J38" s="353"/>
    </row>
    <row r="39" spans="1:10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2430</v>
      </c>
      <c r="I39" s="353">
        <f>IF(T_T134131132133134135136137138[[#This Row],[Total]]&lt;0,T_T134131132133134135136137138[[#This Row],[Total]]*-1,0)</f>
        <v>0</v>
      </c>
      <c r="J39" s="353"/>
    </row>
    <row r="40" spans="1:10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2430</v>
      </c>
      <c r="I40" s="353">
        <f>IF(T_T134131132133134135136137138[[#This Row],[Total]]&lt;0,T_T134131132133134135136137138[[#This Row],[Total]]*-1,0)</f>
        <v>0</v>
      </c>
      <c r="J40" s="353"/>
    </row>
  </sheetData>
  <hyperlinks>
    <hyperlink ref="B7" r:id="rId1" display="jose.orozco@outlook.com"/>
    <hyperlink ref="H7" location="Resumen!A1" display="Rsumen         "/>
  </hyperlinks>
  <pageMargins left="0.55118110236220474" right="0.39370078740157483" top="6.9685039370078741" bottom="0.43307086614173229" header="0.31496062992125984" footer="0.31496062992125984"/>
  <pageSetup scale="85" orientation="portrait" verticalDpi="360" r:id="rId2"/>
  <drawing r:id="rId3"/>
  <tableParts count="1">
    <tablePart r:id="rId4"/>
  </tablePart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R40"/>
  <sheetViews>
    <sheetView showGridLines="0" topLeftCell="A8" zoomScale="98" zoomScaleNormal="98" workbookViewId="0">
      <selection activeCell="E24" sqref="E24"/>
    </sheetView>
  </sheetViews>
  <sheetFormatPr baseColWidth="10" defaultColWidth="9.109375" defaultRowHeight="14.4" x14ac:dyDescent="0.3"/>
  <cols>
    <col min="1" max="1" width="13.44140625" customWidth="1"/>
    <col min="2" max="2" width="34.6640625" customWidth="1"/>
    <col min="3" max="3" width="8.88671875" style="4" customWidth="1"/>
    <col min="4" max="4" width="9.6640625" style="1" customWidth="1"/>
    <col min="5" max="5" width="10.109375" style="1" customWidth="1"/>
    <col min="6" max="6" width="6.88671875" style="1" customWidth="1"/>
    <col min="7" max="7" width="9.109375" style="1" customWidth="1"/>
    <col min="8" max="8" width="11.44140625" style="1" customWidth="1"/>
    <col min="9" max="9" width="12.88671875" hidden="1" customWidth="1"/>
    <col min="10" max="10" width="13.109375" customWidth="1"/>
    <col min="14" max="14" width="9.33203125" customWidth="1"/>
    <col min="15" max="15" width="8.33203125" customWidth="1"/>
    <col min="16" max="16" width="15.109375" customWidth="1"/>
    <col min="18" max="18" width="12.5546875" customWidth="1"/>
  </cols>
  <sheetData>
    <row r="1" spans="1:18" x14ac:dyDescent="0.3">
      <c r="E1" s="1" t="s">
        <v>366</v>
      </c>
      <c r="H1" s="1" t="s">
        <v>366</v>
      </c>
    </row>
    <row r="2" spans="1:18" ht="15.6" x14ac:dyDescent="0.3">
      <c r="A2" s="27" t="s">
        <v>429</v>
      </c>
      <c r="B2" s="41" t="s">
        <v>187</v>
      </c>
      <c r="L2" t="s">
        <v>366</v>
      </c>
    </row>
    <row r="3" spans="1:18" x14ac:dyDescent="0.3">
      <c r="A3" s="27" t="s">
        <v>31</v>
      </c>
      <c r="B3" s="28" t="s">
        <v>200</v>
      </c>
    </row>
    <row r="4" spans="1:18" hidden="1" x14ac:dyDescent="0.3">
      <c r="A4" s="27" t="s">
        <v>32</v>
      </c>
      <c r="B4" s="28" t="e">
        <f>LOOKUP(B2,#REF!,#REF!)</f>
        <v>#REF!</v>
      </c>
    </row>
    <row r="5" spans="1:18" hidden="1" x14ac:dyDescent="0.3">
      <c r="A5" s="27" t="s">
        <v>33</v>
      </c>
      <c r="B5" s="28" t="e">
        <f>LOOKUP(B2,#REF!,#REF!)</f>
        <v>#REF!</v>
      </c>
    </row>
    <row r="6" spans="1:18" hidden="1" x14ac:dyDescent="0.3">
      <c r="A6" s="27" t="s">
        <v>34</v>
      </c>
      <c r="B6" s="28" t="e">
        <f>LOOKUP(B2,#REF!,#REF!)</f>
        <v>#REF!</v>
      </c>
      <c r="G6" s="25"/>
      <c r="H6" s="25"/>
    </row>
    <row r="7" spans="1:18" hidden="1" x14ac:dyDescent="0.3">
      <c r="A7" s="27" t="s">
        <v>35</v>
      </c>
      <c r="B7" s="29" t="e">
        <f>LOOKUP(B2,#REF!,#REF!)</f>
        <v>#REF!</v>
      </c>
      <c r="C7" s="5"/>
      <c r="G7" s="25"/>
      <c r="H7" s="26" t="s">
        <v>30</v>
      </c>
      <c r="I7" s="24"/>
    </row>
    <row r="8" spans="1:18" x14ac:dyDescent="0.3">
      <c r="A8" s="21"/>
      <c r="B8" s="21" t="s">
        <v>337</v>
      </c>
    </row>
    <row r="9" spans="1:18" x14ac:dyDescent="0.3">
      <c r="A9" s="11" t="s">
        <v>3</v>
      </c>
      <c r="B9" s="12" t="s">
        <v>1</v>
      </c>
      <c r="C9" s="13" t="s">
        <v>23</v>
      </c>
      <c r="D9" s="14" t="s">
        <v>21</v>
      </c>
      <c r="E9" s="14" t="s">
        <v>4</v>
      </c>
      <c r="F9" s="14" t="s">
        <v>50</v>
      </c>
      <c r="G9" s="15" t="s">
        <v>5</v>
      </c>
      <c r="H9" s="16" t="s">
        <v>28</v>
      </c>
      <c r="I9" s="34" t="s">
        <v>49</v>
      </c>
      <c r="J9" s="75" t="s">
        <v>188</v>
      </c>
      <c r="K9" s="182" t="s">
        <v>191</v>
      </c>
      <c r="N9" s="245"/>
      <c r="O9" s="245"/>
      <c r="P9" s="245"/>
      <c r="Q9" s="245"/>
      <c r="R9" s="245"/>
    </row>
    <row r="10" spans="1:18" x14ac:dyDescent="0.3">
      <c r="A10" s="288"/>
      <c r="B10" s="118" t="s">
        <v>431</v>
      </c>
      <c r="C10" s="284"/>
      <c r="D10" s="285"/>
      <c r="E10" s="285"/>
      <c r="F10" s="285"/>
      <c r="G10" s="285"/>
      <c r="H10" s="233">
        <v>0</v>
      </c>
      <c r="I10" s="6"/>
      <c r="J10" s="180"/>
      <c r="K10" s="210"/>
    </row>
    <row r="11" spans="1:18" x14ac:dyDescent="0.3">
      <c r="A11" s="288"/>
      <c r="B11" s="118" t="s">
        <v>432</v>
      </c>
      <c r="C11" s="284"/>
      <c r="D11" s="285"/>
      <c r="E11" s="285"/>
      <c r="F11" s="285"/>
      <c r="G11" s="285"/>
      <c r="H11" s="10">
        <v>0</v>
      </c>
      <c r="I11" s="302">
        <f>IF(T_T134131132133134135136137138139[[#This Row],[Total]]&lt;0,T_T134131132133134135136137138139[[#This Row],[Total]]*-1,0)</f>
        <v>0</v>
      </c>
      <c r="J11" s="302"/>
      <c r="K11" s="232"/>
    </row>
    <row r="12" spans="1:18" x14ac:dyDescent="0.3">
      <c r="A12" s="117"/>
      <c r="B12" s="118" t="s">
        <v>467</v>
      </c>
      <c r="C12" s="284"/>
      <c r="D12" s="285"/>
      <c r="E12" s="285"/>
      <c r="F12" s="285"/>
      <c r="G12" s="285"/>
      <c r="H12" s="10">
        <v>0</v>
      </c>
      <c r="I12" s="440">
        <f>IF(T_T134131132133134135136137138139[[#This Row],[Total]]&lt;0,T_T134131132133134135136137138139[[#This Row],[Total]]*-1,0)</f>
        <v>0</v>
      </c>
      <c r="J12" s="440"/>
      <c r="K12" s="79"/>
    </row>
    <row r="13" spans="1:18" x14ac:dyDescent="0.3">
      <c r="A13" s="288"/>
      <c r="B13" s="118" t="s">
        <v>502</v>
      </c>
      <c r="C13" s="289"/>
      <c r="D13" s="290"/>
      <c r="E13" s="290"/>
      <c r="F13" s="290"/>
      <c r="G13" s="290"/>
      <c r="H13" s="291">
        <v>0</v>
      </c>
      <c r="I13" s="302">
        <f>IF(T_T134131132133134135136137138139[[#This Row],[Total]]&lt;0,T_T134131132133134135136137138139[[#This Row],[Total]]*-1,0)</f>
        <v>0</v>
      </c>
      <c r="J13" s="302"/>
      <c r="K13" s="232"/>
    </row>
    <row r="14" spans="1:18" x14ac:dyDescent="0.3">
      <c r="A14" s="288"/>
      <c r="B14" s="118" t="s">
        <v>529</v>
      </c>
      <c r="C14" s="481"/>
      <c r="D14" s="482"/>
      <c r="E14" s="482"/>
      <c r="F14" s="482"/>
      <c r="G14" s="482"/>
      <c r="H14" s="484"/>
      <c r="I14" s="502">
        <f>IF(T_T134131132133134135136137138139[[#This Row],[Total]]&lt;0,T_T134131132133134135136137138139[[#This Row],[Total]]*-1,0)</f>
        <v>0</v>
      </c>
      <c r="J14" s="502"/>
      <c r="K14" s="485"/>
    </row>
    <row r="15" spans="1:18" x14ac:dyDescent="0.3">
      <c r="A15" s="17">
        <v>46052</v>
      </c>
      <c r="B15" s="18" t="s">
        <v>590</v>
      </c>
      <c r="C15" s="6"/>
      <c r="D15" s="2">
        <v>561</v>
      </c>
      <c r="E15" s="2">
        <v>96</v>
      </c>
      <c r="F15" s="20"/>
      <c r="G15" s="20">
        <f>SUM(D15:F15)</f>
        <v>657</v>
      </c>
      <c r="H15" s="233">
        <f>+H13+T_T134131132133134135136137138139[[#This Row],[Total]]</f>
        <v>657</v>
      </c>
      <c r="I15" s="302">
        <f>IF(T_T134131132133134135136137138139[[#This Row],[Total]]&lt;0,T_T134131132133134135136137138139[[#This Row],[Total]]*-1,0)</f>
        <v>0</v>
      </c>
      <c r="J15" s="302"/>
      <c r="K15" s="232"/>
    </row>
    <row r="16" spans="1:18" x14ac:dyDescent="0.3">
      <c r="A16" s="17"/>
      <c r="B16" s="18" t="s">
        <v>591</v>
      </c>
      <c r="C16" s="6">
        <v>8726</v>
      </c>
      <c r="D16" s="2">
        <v>-561</v>
      </c>
      <c r="E16" s="2">
        <v>-96</v>
      </c>
      <c r="F16" s="230"/>
      <c r="G16" s="230">
        <f t="shared" ref="G16:G38" si="0">SUM(D16:F16)</f>
        <v>-657</v>
      </c>
      <c r="H16" s="233">
        <f t="shared" ref="H16:H40" si="1">H15+G16</f>
        <v>0</v>
      </c>
      <c r="I16" s="303">
        <f>IF(T_T134131132133134135136137138139[[#This Row],[Total]]&lt;0,T_T134131132133134135136137138139[[#This Row],[Total]]*-1,0)</f>
        <v>657</v>
      </c>
      <c r="J16" s="303"/>
      <c r="K16" s="232"/>
    </row>
    <row r="17" spans="1:15" x14ac:dyDescent="0.3">
      <c r="A17" s="164">
        <v>46080</v>
      </c>
      <c r="B17" s="161" t="s">
        <v>592</v>
      </c>
      <c r="C17" s="6"/>
      <c r="D17" s="2">
        <v>561</v>
      </c>
      <c r="E17" s="2">
        <v>47</v>
      </c>
      <c r="F17" s="230"/>
      <c r="G17" s="230">
        <f t="shared" si="0"/>
        <v>608</v>
      </c>
      <c r="H17" s="233">
        <f t="shared" si="1"/>
        <v>608</v>
      </c>
      <c r="I17" s="302">
        <f>IF(T_T134131132133134135136137138139[[#This Row],[Total]]&lt;0,T_T134131132133134135136137138139[[#This Row],[Total]]*-1,0)</f>
        <v>0</v>
      </c>
      <c r="J17" s="302"/>
      <c r="K17" s="232"/>
    </row>
    <row r="18" spans="1:15" x14ac:dyDescent="0.3">
      <c r="A18" s="187"/>
      <c r="B18" s="18" t="s">
        <v>593</v>
      </c>
      <c r="C18" s="6">
        <v>8726</v>
      </c>
      <c r="D18" s="2">
        <v>-561</v>
      </c>
      <c r="E18" s="2">
        <v>-47</v>
      </c>
      <c r="F18" s="230"/>
      <c r="G18" s="230">
        <f t="shared" si="0"/>
        <v>-608</v>
      </c>
      <c r="H18" s="233">
        <f t="shared" si="1"/>
        <v>0</v>
      </c>
      <c r="I18" s="302">
        <f>IF(T_T134131132133134135136137138139[[#This Row],[Total]]&lt;0,T_T134131132133134135136137138139[[#This Row],[Total]]*-1,0)</f>
        <v>608</v>
      </c>
      <c r="J18" s="302"/>
      <c r="K18" s="232"/>
    </row>
    <row r="19" spans="1:15" x14ac:dyDescent="0.3">
      <c r="A19" s="188">
        <v>45747</v>
      </c>
      <c r="B19" s="3" t="s">
        <v>534</v>
      </c>
      <c r="C19" s="6"/>
      <c r="D19" s="2">
        <v>641</v>
      </c>
      <c r="E19" s="2">
        <v>44</v>
      </c>
      <c r="F19" s="230"/>
      <c r="G19" s="230">
        <f t="shared" si="0"/>
        <v>685</v>
      </c>
      <c r="H19" s="233">
        <f t="shared" si="1"/>
        <v>685</v>
      </c>
      <c r="I19" s="240">
        <f>IF(T_T134131132133134135136137138139[[#This Row],[Total]]&lt;0,T_T134131132133134135136137138139[[#This Row],[Total]]*-1,0)</f>
        <v>0</v>
      </c>
      <c r="J19" s="240"/>
      <c r="K19" s="232"/>
    </row>
    <row r="20" spans="1:15" x14ac:dyDescent="0.3">
      <c r="A20" s="188"/>
      <c r="B20" s="82" t="s">
        <v>535</v>
      </c>
      <c r="C20" s="6">
        <v>8961</v>
      </c>
      <c r="D20" s="2">
        <v>-641</v>
      </c>
      <c r="E20" s="2">
        <v>-44</v>
      </c>
      <c r="F20" s="230"/>
      <c r="G20" s="230">
        <f t="shared" si="0"/>
        <v>-685</v>
      </c>
      <c r="H20" s="233">
        <f t="shared" si="1"/>
        <v>0</v>
      </c>
      <c r="I20" s="239">
        <f>IF(T_T134131132133134135136137138139[[#This Row],[Total]]&lt;0,T_T134131132133134135136137138139[[#This Row],[Total]]*-1,0)</f>
        <v>685</v>
      </c>
      <c r="J20" s="239"/>
      <c r="K20" s="232"/>
    </row>
    <row r="21" spans="1:15" x14ac:dyDescent="0.3">
      <c r="A21" s="188">
        <v>45777</v>
      </c>
      <c r="B21" s="3" t="s">
        <v>536</v>
      </c>
      <c r="C21" s="6"/>
      <c r="D21" s="2">
        <v>641</v>
      </c>
      <c r="E21" s="2">
        <v>70</v>
      </c>
      <c r="F21" s="230"/>
      <c r="G21" s="230">
        <f t="shared" si="0"/>
        <v>711</v>
      </c>
      <c r="H21" s="233">
        <f t="shared" si="1"/>
        <v>711</v>
      </c>
      <c r="I21" s="309">
        <f>IF(T_T134131132133134135136137138139[[#This Row],[Total]]&lt;0,T_T134131132133134135136137138139[[#This Row],[Total]]*-1,0)</f>
        <v>0</v>
      </c>
      <c r="J21" s="309"/>
      <c r="K21" s="313"/>
    </row>
    <row r="22" spans="1:15" x14ac:dyDescent="0.3">
      <c r="A22" s="83"/>
      <c r="B22" s="82" t="s">
        <v>537</v>
      </c>
      <c r="C22" s="6">
        <v>8961</v>
      </c>
      <c r="D22" s="2">
        <v>-641</v>
      </c>
      <c r="E22" s="2">
        <v>-70</v>
      </c>
      <c r="F22" s="230"/>
      <c r="G22" s="230">
        <f t="shared" si="0"/>
        <v>-711</v>
      </c>
      <c r="H22" s="233">
        <f t="shared" si="1"/>
        <v>0</v>
      </c>
      <c r="I22" s="309">
        <f>IF(T_T134131132133134135136137138139[[#This Row],[Total]]&lt;0,T_T134131132133134135136137138139[[#This Row],[Total]]*-1,0)</f>
        <v>711</v>
      </c>
      <c r="J22" s="309"/>
      <c r="K22" s="313"/>
    </row>
    <row r="23" spans="1:15" x14ac:dyDescent="0.3">
      <c r="A23" s="40">
        <v>45807</v>
      </c>
      <c r="B23" s="3" t="s">
        <v>538</v>
      </c>
      <c r="C23" s="229"/>
      <c r="D23" s="230">
        <v>641</v>
      </c>
      <c r="E23" s="230">
        <v>52</v>
      </c>
      <c r="F23" s="230"/>
      <c r="G23" s="230">
        <f t="shared" si="0"/>
        <v>693</v>
      </c>
      <c r="H23" s="233">
        <f t="shared" si="1"/>
        <v>693</v>
      </c>
      <c r="I23" s="309">
        <f>IF(T_T134131132133134135136137138139[[#This Row],[Total]]&lt;0,T_T134131132133134135136137138139[[#This Row],[Total]]*-1,0)</f>
        <v>0</v>
      </c>
      <c r="J23" s="309"/>
      <c r="K23" s="313"/>
    </row>
    <row r="24" spans="1:15" x14ac:dyDescent="0.3">
      <c r="A24" s="9"/>
      <c r="B24" s="18" t="s">
        <v>539</v>
      </c>
      <c r="C24" s="6"/>
      <c r="D24" s="230"/>
      <c r="E24" s="230"/>
      <c r="F24" s="230"/>
      <c r="G24" s="230">
        <f t="shared" si="0"/>
        <v>0</v>
      </c>
      <c r="H24" s="233">
        <f t="shared" si="1"/>
        <v>693</v>
      </c>
      <c r="I24" s="311">
        <f>IF(T_T134131132133134135136137138139[[#This Row],[Total]]&lt;0,T_T134131132133134135136137138139[[#This Row],[Total]]*-1,0)</f>
        <v>0</v>
      </c>
      <c r="J24" s="311"/>
      <c r="K24" s="313"/>
    </row>
    <row r="25" spans="1:15" x14ac:dyDescent="0.3">
      <c r="A25" s="9">
        <v>45838</v>
      </c>
      <c r="B25" s="3" t="s">
        <v>540</v>
      </c>
      <c r="C25" s="229"/>
      <c r="D25" s="230"/>
      <c r="E25" s="230"/>
      <c r="F25" s="230"/>
      <c r="G25" s="230">
        <f t="shared" si="0"/>
        <v>0</v>
      </c>
      <c r="H25" s="233">
        <f t="shared" si="1"/>
        <v>693</v>
      </c>
      <c r="I25" s="309">
        <f>IF(T_T134131132133134135136137138139[[#This Row],[Total]]&lt;0,T_T134131132133134135136137138139[[#This Row],[Total]]*-1,0)</f>
        <v>0</v>
      </c>
      <c r="J25" s="309"/>
      <c r="K25" s="313"/>
      <c r="O25" t="s">
        <v>366</v>
      </c>
    </row>
    <row r="26" spans="1:15" x14ac:dyDescent="0.3">
      <c r="A26" s="9"/>
      <c r="B26" s="18" t="s">
        <v>541</v>
      </c>
      <c r="C26" s="6"/>
      <c r="D26" s="230"/>
      <c r="E26" s="230"/>
      <c r="F26" s="230"/>
      <c r="G26" s="230">
        <f t="shared" si="0"/>
        <v>0</v>
      </c>
      <c r="H26" s="233">
        <f t="shared" si="1"/>
        <v>693</v>
      </c>
      <c r="I26" s="309">
        <f>IF(T_T134131132133134135136137138139[[#This Row],[Total]]&lt;0,T_T134131132133134135136137138139[[#This Row],[Total]]*-1,0)</f>
        <v>0</v>
      </c>
      <c r="J26" s="309"/>
      <c r="K26" s="313"/>
    </row>
    <row r="27" spans="1:15" x14ac:dyDescent="0.3">
      <c r="A27" s="107">
        <v>45868</v>
      </c>
      <c r="B27" s="82" t="s">
        <v>542</v>
      </c>
      <c r="C27" s="229"/>
      <c r="D27" s="230"/>
      <c r="E27" s="230"/>
      <c r="F27" s="230"/>
      <c r="G27" s="230">
        <f t="shared" si="0"/>
        <v>0</v>
      </c>
      <c r="H27" s="233">
        <f t="shared" si="1"/>
        <v>693</v>
      </c>
      <c r="I27" s="309">
        <f>IF(T_T134131132133134135136137138139[[#This Row],[Total]]&lt;0,T_T134131132133134135136137138139[[#This Row],[Total]]*-1,0)</f>
        <v>0</v>
      </c>
      <c r="J27" s="309"/>
      <c r="K27" s="313"/>
    </row>
    <row r="28" spans="1:15" x14ac:dyDescent="0.3">
      <c r="A28" s="107"/>
      <c r="B28" s="82" t="s">
        <v>543</v>
      </c>
      <c r="C28" s="6"/>
      <c r="D28" s="230"/>
      <c r="E28" s="230"/>
      <c r="F28" s="230"/>
      <c r="G28" s="230">
        <f t="shared" si="0"/>
        <v>0</v>
      </c>
      <c r="H28" s="233">
        <f t="shared" si="1"/>
        <v>693</v>
      </c>
      <c r="I28" s="311">
        <f>IF(T_T134131132133134135136137138139[[#This Row],[Total]]&lt;0,T_T134131132133134135136137138139[[#This Row],[Total]]*-1,0)</f>
        <v>0</v>
      </c>
      <c r="J28" s="311"/>
      <c r="K28" s="313"/>
    </row>
    <row r="29" spans="1:15" x14ac:dyDescent="0.3">
      <c r="A29" s="107">
        <v>45899</v>
      </c>
      <c r="B29" s="82" t="s">
        <v>544</v>
      </c>
      <c r="C29" s="229"/>
      <c r="D29" s="230"/>
      <c r="E29" s="230"/>
      <c r="F29" s="230"/>
      <c r="G29" s="230">
        <f t="shared" si="0"/>
        <v>0</v>
      </c>
      <c r="H29" s="233">
        <f t="shared" si="1"/>
        <v>693</v>
      </c>
      <c r="I29" s="309">
        <f>IF(T_T134131132133134135136137138139[[#This Row],[Total]]&lt;0,T_T134131132133134135136137138139[[#This Row],[Total]]*-1,0)</f>
        <v>0</v>
      </c>
      <c r="J29" s="309"/>
      <c r="K29" s="313"/>
    </row>
    <row r="30" spans="1:15" x14ac:dyDescent="0.3">
      <c r="A30" s="107"/>
      <c r="B30" s="82" t="s">
        <v>545</v>
      </c>
      <c r="C30" s="6"/>
      <c r="D30" s="230"/>
      <c r="E30" s="230"/>
      <c r="F30" s="230"/>
      <c r="G30" s="230">
        <f t="shared" si="0"/>
        <v>0</v>
      </c>
      <c r="H30" s="233">
        <f t="shared" si="1"/>
        <v>693</v>
      </c>
      <c r="I30" s="309">
        <f>IF(T_T134131132133134135136137138139[[#This Row],[Total]]&lt;0,T_T134131132133134135136137138139[[#This Row],[Total]]*-1,0)</f>
        <v>0</v>
      </c>
      <c r="J30" s="309"/>
      <c r="K30" s="313"/>
    </row>
    <row r="31" spans="1:15" x14ac:dyDescent="0.3">
      <c r="A31" s="9">
        <v>45930</v>
      </c>
      <c r="B31" s="3" t="s">
        <v>546</v>
      </c>
      <c r="C31" s="229"/>
      <c r="D31" s="230"/>
      <c r="E31" s="230"/>
      <c r="F31" s="230"/>
      <c r="G31" s="230">
        <f t="shared" si="0"/>
        <v>0</v>
      </c>
      <c r="H31" s="233">
        <f t="shared" si="1"/>
        <v>693</v>
      </c>
      <c r="I31" s="309">
        <f>IF(T_T134131132133134135136137138139[[#This Row],[Total]]&lt;0,T_T134131132133134135136137138139[[#This Row],[Total]]*-1,0)</f>
        <v>0</v>
      </c>
      <c r="J31" s="309"/>
      <c r="K31" s="313"/>
    </row>
    <row r="32" spans="1:15" x14ac:dyDescent="0.3">
      <c r="A32" s="9"/>
      <c r="B32" s="3" t="s">
        <v>547</v>
      </c>
      <c r="C32" s="6"/>
      <c r="D32" s="230"/>
      <c r="E32" s="230"/>
      <c r="F32" s="230"/>
      <c r="G32" s="230">
        <f t="shared" si="0"/>
        <v>0</v>
      </c>
      <c r="H32" s="233">
        <f t="shared" si="1"/>
        <v>693</v>
      </c>
      <c r="I32" s="309">
        <f>IF(T_T134131132133134135136137138139[[#This Row],[Total]]&lt;0,T_T134131132133134135136137138139[[#This Row],[Total]]*-1,0)</f>
        <v>0</v>
      </c>
      <c r="J32" s="309"/>
      <c r="K32" s="313"/>
    </row>
    <row r="33" spans="1:11" x14ac:dyDescent="0.3">
      <c r="A33" s="9">
        <v>45960</v>
      </c>
      <c r="B33" s="3" t="s">
        <v>548</v>
      </c>
      <c r="C33" s="229"/>
      <c r="D33" s="230"/>
      <c r="E33" s="230"/>
      <c r="F33" s="230"/>
      <c r="G33" s="230">
        <f t="shared" si="0"/>
        <v>0</v>
      </c>
      <c r="H33" s="233">
        <f t="shared" si="1"/>
        <v>693</v>
      </c>
      <c r="I33" s="309">
        <f>IF(T_T134131132133134135136137138139[[#This Row],[Total]]&lt;0,T_T134131132133134135136137138139[[#This Row],[Total]]*-1,0)</f>
        <v>0</v>
      </c>
      <c r="J33" s="309"/>
      <c r="K33" s="313"/>
    </row>
    <row r="34" spans="1:11" x14ac:dyDescent="0.3">
      <c r="A34" s="9"/>
      <c r="B34" s="3" t="s">
        <v>549</v>
      </c>
      <c r="C34" s="229"/>
      <c r="D34" s="230"/>
      <c r="E34" s="230"/>
      <c r="F34" s="230"/>
      <c r="G34" s="230">
        <f t="shared" si="0"/>
        <v>0</v>
      </c>
      <c r="H34" s="233">
        <f t="shared" si="1"/>
        <v>693</v>
      </c>
      <c r="I34" s="309">
        <f>IF(T_T134131132133134135136137138139[[#This Row],[Total]]&lt;0,T_T134131132133134135136137138139[[#This Row],[Total]]*-1,0)</f>
        <v>0</v>
      </c>
      <c r="J34" s="309"/>
      <c r="K34" s="313"/>
    </row>
    <row r="35" spans="1:11" x14ac:dyDescent="0.3">
      <c r="A35" s="9">
        <v>45991</v>
      </c>
      <c r="B35" s="3" t="s">
        <v>550</v>
      </c>
      <c r="C35" s="229"/>
      <c r="D35" s="230"/>
      <c r="E35" s="230"/>
      <c r="F35" s="230"/>
      <c r="G35" s="230">
        <f t="shared" si="0"/>
        <v>0</v>
      </c>
      <c r="H35" s="233">
        <f t="shared" si="1"/>
        <v>693</v>
      </c>
      <c r="I35" s="309">
        <f>IF(T_T134131132133134135136137138139[[#This Row],[Total]]&lt;0,T_T134131132133134135136137138139[[#This Row],[Total]]*-1,0)</f>
        <v>0</v>
      </c>
      <c r="J35" s="309"/>
      <c r="K35" s="313"/>
    </row>
    <row r="36" spans="1:11" x14ac:dyDescent="0.3">
      <c r="A36" s="17"/>
      <c r="B36" s="18" t="s">
        <v>551</v>
      </c>
      <c r="C36" s="229"/>
      <c r="D36" s="230"/>
      <c r="E36" s="7"/>
      <c r="F36" s="230"/>
      <c r="G36" s="230">
        <f t="shared" si="0"/>
        <v>0</v>
      </c>
      <c r="H36" s="233">
        <f t="shared" si="1"/>
        <v>693</v>
      </c>
      <c r="I36" s="311">
        <f>IF(T_T134131132133134135136137138139[[#This Row],[Total]]&lt;0,T_T134131132133134135136137138139[[#This Row],[Total]]*-1,0)</f>
        <v>0</v>
      </c>
      <c r="J36" s="311"/>
      <c r="K36" s="313"/>
    </row>
    <row r="37" spans="1:11" x14ac:dyDescent="0.3">
      <c r="A37" s="188">
        <v>46021</v>
      </c>
      <c r="B37" s="3" t="s">
        <v>552</v>
      </c>
      <c r="C37" s="229"/>
      <c r="D37" s="230"/>
      <c r="E37" s="230"/>
      <c r="F37" s="230"/>
      <c r="G37" s="230">
        <f t="shared" si="0"/>
        <v>0</v>
      </c>
      <c r="H37" s="233">
        <f t="shared" si="1"/>
        <v>693</v>
      </c>
      <c r="I37" s="353">
        <f>IF(T_T134131132133134135136137138139[[#This Row],[Total]]&lt;0,T_T134131132133134135136137138139[[#This Row],[Total]]*-1,0)</f>
        <v>0</v>
      </c>
      <c r="J37" s="353"/>
      <c r="K37" s="354"/>
    </row>
    <row r="38" spans="1:11" x14ac:dyDescent="0.3">
      <c r="A38" s="257"/>
      <c r="B38" s="110" t="s">
        <v>553</v>
      </c>
      <c r="C38" s="229"/>
      <c r="D38" s="230"/>
      <c r="E38" s="230"/>
      <c r="F38" s="230"/>
      <c r="G38" s="230">
        <f t="shared" si="0"/>
        <v>0</v>
      </c>
      <c r="H38" s="233">
        <f t="shared" si="1"/>
        <v>693</v>
      </c>
      <c r="I38" s="353">
        <f>IF(T_T134131132133134135136137138139[[#This Row],[Total]]&lt;0,T_T134131132133134135136137138139[[#This Row],[Total]]*-1,0)</f>
        <v>0</v>
      </c>
      <c r="J38" s="353"/>
      <c r="K38" s="354"/>
    </row>
    <row r="39" spans="1:11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693</v>
      </c>
      <c r="I39" s="353">
        <f>IF(T_T134131132133134135136137138139[[#This Row],[Total]]&lt;0,T_T134131132133134135136137138139[[#This Row],[Total]]*-1,0)</f>
        <v>0</v>
      </c>
      <c r="J39" s="353"/>
      <c r="K39" s="354"/>
    </row>
    <row r="40" spans="1:11" x14ac:dyDescent="0.3">
      <c r="A40" s="107"/>
      <c r="B40" s="82"/>
      <c r="C40" s="229"/>
      <c r="D40" s="230"/>
      <c r="E40" s="230"/>
      <c r="F40" s="230"/>
      <c r="G40" s="230">
        <f>SUM(D40:F47)</f>
        <v>0</v>
      </c>
      <c r="H40" s="233">
        <f t="shared" si="1"/>
        <v>693</v>
      </c>
      <c r="I40" s="353">
        <f>IF(T_T134131132133134135136137138139[[#This Row],[Total]]&lt;0,T_T134131132133134135136137138139[[#This Row],[Total]]*-1,0)</f>
        <v>0</v>
      </c>
      <c r="J40" s="353"/>
      <c r="K40" s="354"/>
    </row>
  </sheetData>
  <hyperlinks>
    <hyperlink ref="B7" r:id="rId1" display="jose.orozco@outlook.com"/>
    <hyperlink ref="H7" location="Resumen!A1" display="Rsumen         "/>
  </hyperlinks>
  <pageMargins left="0.39370078740157483" right="0.33" top="0.41" bottom="0.39" header="0.31496062992125984" footer="0.31496062992125984"/>
  <pageSetup scale="85" orientation="portrait" verticalDpi="360" r:id="rId2"/>
  <drawing r:id="rId3"/>
  <tableParts count="1">
    <tablePart r:id="rId4"/>
  </tablePart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L39"/>
  <sheetViews>
    <sheetView topLeftCell="A4" zoomScale="82" zoomScaleNormal="82" workbookViewId="0">
      <selection activeCell="E23" sqref="E23"/>
    </sheetView>
  </sheetViews>
  <sheetFormatPr baseColWidth="10" defaultRowHeight="14.4" x14ac:dyDescent="0.3"/>
  <cols>
    <col min="1" max="1" width="14" customWidth="1"/>
    <col min="2" max="2" width="36.5546875" customWidth="1"/>
  </cols>
  <sheetData>
    <row r="1" spans="1:12" ht="15.6" x14ac:dyDescent="0.3">
      <c r="A1" s="563" t="s">
        <v>429</v>
      </c>
      <c r="B1" s="44" t="s">
        <v>520</v>
      </c>
      <c r="C1" s="564"/>
      <c r="D1" s="115"/>
      <c r="E1" s="115"/>
      <c r="F1" s="115"/>
      <c r="G1" s="115"/>
      <c r="H1" s="115"/>
      <c r="I1" s="63"/>
      <c r="J1" s="63"/>
      <c r="L1" t="s">
        <v>366</v>
      </c>
    </row>
    <row r="2" spans="1:12" x14ac:dyDescent="0.3">
      <c r="A2" s="563" t="s">
        <v>31</v>
      </c>
      <c r="B2" s="565" t="s">
        <v>196</v>
      </c>
      <c r="C2" s="564"/>
      <c r="D2" s="115"/>
      <c r="E2" s="115"/>
      <c r="F2" s="115"/>
      <c r="G2" s="115"/>
      <c r="H2" s="115"/>
      <c r="I2" s="63"/>
      <c r="J2" s="63"/>
    </row>
    <row r="3" spans="1:12" x14ac:dyDescent="0.3">
      <c r="A3" s="563" t="s">
        <v>32</v>
      </c>
      <c r="B3" s="565" t="e">
        <f>LOOKUP(B1,#REF!,#REF!)</f>
        <v>#REF!</v>
      </c>
      <c r="C3" s="564"/>
      <c r="D3" s="115"/>
      <c r="E3" s="115"/>
      <c r="F3" s="115"/>
      <c r="G3" s="115"/>
      <c r="H3" s="115"/>
      <c r="I3" s="63"/>
      <c r="J3" s="63"/>
    </row>
    <row r="4" spans="1:12" x14ac:dyDescent="0.3">
      <c r="A4" s="563" t="s">
        <v>33</v>
      </c>
      <c r="B4" s="565" t="e">
        <f>LOOKUP(B1,#REF!,#REF!)</f>
        <v>#REF!</v>
      </c>
      <c r="C4" s="564"/>
      <c r="D4" s="115"/>
      <c r="E4" s="115"/>
      <c r="F4" s="115"/>
      <c r="G4" s="115"/>
      <c r="H4" s="115"/>
      <c r="I4" s="63"/>
      <c r="J4" s="63"/>
    </row>
    <row r="5" spans="1:12" x14ac:dyDescent="0.3">
      <c r="A5" s="563" t="s">
        <v>34</v>
      </c>
      <c r="B5" s="565" t="e">
        <f>LOOKUP(B1,#REF!,#REF!)</f>
        <v>#REF!</v>
      </c>
      <c r="C5" s="564"/>
      <c r="D5" s="115"/>
      <c r="E5" s="115"/>
      <c r="F5" s="115"/>
      <c r="G5" s="566"/>
      <c r="H5" s="566"/>
      <c r="I5" s="63"/>
      <c r="J5" s="63"/>
    </row>
    <row r="6" spans="1:12" x14ac:dyDescent="0.3">
      <c r="A6" s="563" t="s">
        <v>35</v>
      </c>
      <c r="B6" s="567" t="e">
        <f>LOOKUP(B1,#REF!,#REF!)</f>
        <v>#REF!</v>
      </c>
      <c r="C6" s="568"/>
      <c r="D6" s="115"/>
      <c r="E6" s="115"/>
      <c r="F6" s="115"/>
      <c r="G6" s="566"/>
      <c r="H6" s="569" t="s">
        <v>30</v>
      </c>
      <c r="I6" s="570"/>
      <c r="J6" s="63"/>
    </row>
    <row r="7" spans="1:12" x14ac:dyDescent="0.3">
      <c r="A7" s="571"/>
      <c r="B7" s="571"/>
      <c r="C7" s="564"/>
      <c r="D7" s="115"/>
      <c r="E7" s="115"/>
      <c r="F7" s="115"/>
      <c r="G7" s="115"/>
      <c r="H7" s="115"/>
      <c r="I7" s="63"/>
      <c r="J7" s="63"/>
    </row>
    <row r="8" spans="1:12" x14ac:dyDescent="0.3">
      <c r="A8" s="572" t="s">
        <v>3</v>
      </c>
      <c r="B8" s="573" t="s">
        <v>1</v>
      </c>
      <c r="C8" s="574" t="s">
        <v>23</v>
      </c>
      <c r="D8" s="575" t="s">
        <v>21</v>
      </c>
      <c r="E8" s="575" t="s">
        <v>4</v>
      </c>
      <c r="F8" s="575" t="s">
        <v>50</v>
      </c>
      <c r="G8" s="576" t="s">
        <v>5</v>
      </c>
      <c r="H8" s="577" t="s">
        <v>28</v>
      </c>
      <c r="I8" s="578" t="s">
        <v>49</v>
      </c>
      <c r="J8" s="579" t="s">
        <v>188</v>
      </c>
      <c r="K8" s="182" t="s">
        <v>191</v>
      </c>
    </row>
    <row r="9" spans="1:12" x14ac:dyDescent="0.3">
      <c r="A9" s="580"/>
      <c r="B9" s="581" t="s">
        <v>431</v>
      </c>
      <c r="C9" s="561"/>
      <c r="D9" s="562"/>
      <c r="E9" s="562"/>
      <c r="F9" s="562"/>
      <c r="G9" s="562"/>
      <c r="H9" s="582">
        <v>0</v>
      </c>
      <c r="I9" s="554"/>
      <c r="J9" s="180"/>
      <c r="K9" s="210"/>
    </row>
    <row r="10" spans="1:12" x14ac:dyDescent="0.3">
      <c r="A10" s="580"/>
      <c r="B10" s="581" t="s">
        <v>432</v>
      </c>
      <c r="C10" s="561"/>
      <c r="D10" s="562"/>
      <c r="E10" s="562"/>
      <c r="F10" s="562"/>
      <c r="G10" s="562"/>
      <c r="H10" s="583">
        <v>0</v>
      </c>
      <c r="I10" s="302">
        <f>IF(T_T134131132133134135136137138139141[[#This Row],[Total]]&lt;0,T_T134131132133134135136137138139141[[#This Row],[Total]]*-1,0)</f>
        <v>0</v>
      </c>
      <c r="J10" s="302"/>
      <c r="K10" s="232"/>
    </row>
    <row r="11" spans="1:12" x14ac:dyDescent="0.3">
      <c r="A11" s="584"/>
      <c r="B11" s="581" t="s">
        <v>467</v>
      </c>
      <c r="C11" s="561"/>
      <c r="D11" s="562"/>
      <c r="E11" s="562"/>
      <c r="F11" s="562"/>
      <c r="G11" s="562"/>
      <c r="H11" s="583">
        <v>0</v>
      </c>
      <c r="I11" s="440">
        <f>IF(T_T134131132133134135136137138139141[[#This Row],[Total]]&lt;0,T_T134131132133134135136137138139141[[#This Row],[Total]]*-1,0)</f>
        <v>0</v>
      </c>
      <c r="J11" s="440"/>
      <c r="K11" s="79"/>
    </row>
    <row r="12" spans="1:12" x14ac:dyDescent="0.3">
      <c r="A12" s="580"/>
      <c r="B12" s="581" t="s">
        <v>502</v>
      </c>
      <c r="C12" s="364"/>
      <c r="D12" s="365"/>
      <c r="E12" s="365"/>
      <c r="F12" s="365"/>
      <c r="G12" s="365"/>
      <c r="H12" s="366">
        <v>0</v>
      </c>
      <c r="I12" s="302">
        <f>IF(T_T134131132133134135136137138139141[[#This Row],[Total]]&lt;0,T_T134131132133134135136137138139141[[#This Row],[Total]]*-1,0)</f>
        <v>0</v>
      </c>
      <c r="J12" s="302"/>
      <c r="K12" s="232"/>
    </row>
    <row r="13" spans="1:12" x14ac:dyDescent="0.3">
      <c r="A13" s="580"/>
      <c r="B13" s="581" t="s">
        <v>529</v>
      </c>
      <c r="C13" s="503"/>
      <c r="D13" s="504"/>
      <c r="E13" s="504"/>
      <c r="F13" s="504"/>
      <c r="G13" s="504"/>
      <c r="H13" s="505"/>
      <c r="I13" s="502">
        <f>IF(T_T134131132133134135136137138139141[[#This Row],[Total]]&lt;0,T_T134131132133134135136137138139141[[#This Row],[Total]]*-1,0)</f>
        <v>0</v>
      </c>
      <c r="J13" s="502"/>
      <c r="K13" s="485"/>
    </row>
    <row r="14" spans="1:12" x14ac:dyDescent="0.3">
      <c r="A14" s="585">
        <v>45687</v>
      </c>
      <c r="B14" s="586" t="s">
        <v>530</v>
      </c>
      <c r="C14" s="554"/>
      <c r="D14" s="237">
        <v>573</v>
      </c>
      <c r="E14" s="237">
        <v>14</v>
      </c>
      <c r="F14" s="587"/>
      <c r="G14" s="587">
        <f>SUM(D14:F14)</f>
        <v>587</v>
      </c>
      <c r="H14" s="582">
        <f>+H12+T_T134131132133134135136137138139141[[#This Row],[Total]]</f>
        <v>587</v>
      </c>
      <c r="I14" s="302">
        <f>IF(T_T134131132133134135136137138139141[[#This Row],[Total]]&lt;0,T_T134131132133134135136137138139141[[#This Row],[Total]]*-1,0)</f>
        <v>0</v>
      </c>
      <c r="J14" s="302"/>
      <c r="K14" s="232"/>
    </row>
    <row r="15" spans="1:12" x14ac:dyDescent="0.3">
      <c r="A15" s="585"/>
      <c r="B15" s="586" t="s">
        <v>531</v>
      </c>
      <c r="C15" s="554">
        <v>8766</v>
      </c>
      <c r="D15" s="237">
        <v>-573</v>
      </c>
      <c r="E15" s="237">
        <v>-14</v>
      </c>
      <c r="F15" s="532"/>
      <c r="G15" s="532">
        <f t="shared" ref="G15:G37" si="0">SUM(D15:F15)</f>
        <v>-587</v>
      </c>
      <c r="H15" s="582">
        <f t="shared" ref="H15:H39" si="1">H14+G15</f>
        <v>0</v>
      </c>
      <c r="I15" s="303">
        <f>IF(T_T134131132133134135136137138139141[[#This Row],[Total]]&lt;0,T_T134131132133134135136137138139141[[#This Row],[Total]]*-1,0)</f>
        <v>587</v>
      </c>
      <c r="J15" s="303"/>
      <c r="K15" s="232"/>
    </row>
    <row r="16" spans="1:12" x14ac:dyDescent="0.3">
      <c r="A16" s="588">
        <v>45715</v>
      </c>
      <c r="B16" s="589" t="s">
        <v>532</v>
      </c>
      <c r="C16" s="554"/>
      <c r="D16" s="237">
        <v>573</v>
      </c>
      <c r="E16" s="237">
        <v>44</v>
      </c>
      <c r="F16" s="532"/>
      <c r="G16" s="532">
        <f t="shared" si="0"/>
        <v>617</v>
      </c>
      <c r="H16" s="582">
        <f t="shared" si="1"/>
        <v>617</v>
      </c>
      <c r="I16" s="302">
        <f>IF(T_T134131132133134135136137138139141[[#This Row],[Total]]&lt;0,T_T134131132133134135136137138139141[[#This Row],[Total]]*-1,0)</f>
        <v>0</v>
      </c>
      <c r="J16" s="302"/>
      <c r="K16" s="232"/>
    </row>
    <row r="17" spans="1:11" x14ac:dyDescent="0.3">
      <c r="A17" s="590"/>
      <c r="B17" s="586" t="s">
        <v>533</v>
      </c>
      <c r="C17" s="554">
        <v>8766</v>
      </c>
      <c r="D17" s="237">
        <v>-573</v>
      </c>
      <c r="E17" s="237">
        <v>-44</v>
      </c>
      <c r="F17" s="532"/>
      <c r="G17" s="532">
        <f t="shared" si="0"/>
        <v>-617</v>
      </c>
      <c r="H17" s="582">
        <f t="shared" si="1"/>
        <v>0</v>
      </c>
      <c r="I17" s="302">
        <f>IF(T_T134131132133134135136137138139141[[#This Row],[Total]]&lt;0,T_T134131132133134135136137138139141[[#This Row],[Total]]*-1,0)</f>
        <v>617</v>
      </c>
      <c r="J17" s="302"/>
      <c r="K17" s="232"/>
    </row>
    <row r="18" spans="1:11" x14ac:dyDescent="0.3">
      <c r="A18" s="591">
        <v>45747</v>
      </c>
      <c r="B18" s="592" t="s">
        <v>534</v>
      </c>
      <c r="C18" s="554"/>
      <c r="D18" s="237">
        <f>609+30+16</f>
        <v>655</v>
      </c>
      <c r="E18" s="237">
        <v>19</v>
      </c>
      <c r="F18" s="532"/>
      <c r="G18" s="532">
        <f t="shared" si="0"/>
        <v>674</v>
      </c>
      <c r="H18" s="582">
        <f t="shared" si="1"/>
        <v>674</v>
      </c>
      <c r="I18" s="302">
        <f>IF(T_T134131132133134135136137138139141[[#This Row],[Total]]&lt;0,T_T134131132133134135136137138139141[[#This Row],[Total]]*-1,0)</f>
        <v>0</v>
      </c>
      <c r="J18" s="302"/>
      <c r="K18" s="232"/>
    </row>
    <row r="19" spans="1:11" x14ac:dyDescent="0.3">
      <c r="A19" s="591"/>
      <c r="B19" s="363" t="s">
        <v>535</v>
      </c>
      <c r="C19" s="554">
        <v>8766</v>
      </c>
      <c r="D19" s="237">
        <v>-655</v>
      </c>
      <c r="E19" s="237">
        <v>-19</v>
      </c>
      <c r="F19" s="532"/>
      <c r="G19" s="532">
        <f t="shared" si="0"/>
        <v>-674</v>
      </c>
      <c r="H19" s="582">
        <f t="shared" si="1"/>
        <v>0</v>
      </c>
      <c r="I19" s="303">
        <f>IF(T_T134131132133134135136137138139141[[#This Row],[Total]]&lt;0,T_T134131132133134135136137138139141[[#This Row],[Total]]*-1,0)</f>
        <v>674</v>
      </c>
      <c r="J19" s="303"/>
      <c r="K19" s="232"/>
    </row>
    <row r="20" spans="1:11" x14ac:dyDescent="0.3">
      <c r="A20" s="188">
        <v>45777</v>
      </c>
      <c r="B20" s="3" t="s">
        <v>536</v>
      </c>
      <c r="C20" s="6"/>
      <c r="D20" s="2">
        <v>655</v>
      </c>
      <c r="E20" s="2">
        <v>36</v>
      </c>
      <c r="F20" s="230"/>
      <c r="G20" s="230">
        <f t="shared" si="0"/>
        <v>691</v>
      </c>
      <c r="H20" s="233">
        <f t="shared" si="1"/>
        <v>691</v>
      </c>
      <c r="I20" s="309">
        <f>IF(T_T134131132133134135136137138139141[[#This Row],[Total]]&lt;0,T_T134131132133134135136137138139141[[#This Row],[Total]]*-1,0)</f>
        <v>0</v>
      </c>
      <c r="J20" s="309"/>
      <c r="K20" s="313"/>
    </row>
    <row r="21" spans="1:11" x14ac:dyDescent="0.3">
      <c r="A21" s="83"/>
      <c r="B21" s="82" t="s">
        <v>537</v>
      </c>
      <c r="C21" s="6"/>
      <c r="D21" s="2"/>
      <c r="E21" s="2"/>
      <c r="F21" s="230"/>
      <c r="G21" s="230">
        <f t="shared" si="0"/>
        <v>0</v>
      </c>
      <c r="H21" s="233">
        <f t="shared" si="1"/>
        <v>691</v>
      </c>
      <c r="I21" s="309">
        <f>IF(T_T134131132133134135136137138139141[[#This Row],[Total]]&lt;0,T_T134131132133134135136137138139141[[#This Row],[Total]]*-1,0)</f>
        <v>0</v>
      </c>
      <c r="J21" s="309"/>
      <c r="K21" s="313"/>
    </row>
    <row r="22" spans="1:11" x14ac:dyDescent="0.3">
      <c r="A22" s="40">
        <v>45807</v>
      </c>
      <c r="B22" s="3" t="s">
        <v>538</v>
      </c>
      <c r="C22" s="229"/>
      <c r="D22" s="230">
        <v>655</v>
      </c>
      <c r="E22" s="230">
        <v>54</v>
      </c>
      <c r="F22" s="230"/>
      <c r="G22" s="230">
        <f t="shared" si="0"/>
        <v>709</v>
      </c>
      <c r="H22" s="233">
        <f t="shared" si="1"/>
        <v>1400</v>
      </c>
      <c r="I22" s="309">
        <f>IF(T_T134131132133134135136137138139141[[#This Row],[Total]]&lt;0,T_T134131132133134135136137138139141[[#This Row],[Total]]*-1,0)</f>
        <v>0</v>
      </c>
      <c r="J22" s="309"/>
      <c r="K22" s="313"/>
    </row>
    <row r="23" spans="1:11" x14ac:dyDescent="0.3">
      <c r="A23" s="9"/>
      <c r="B23" s="18" t="s">
        <v>539</v>
      </c>
      <c r="C23" s="6"/>
      <c r="D23" s="230"/>
      <c r="E23" s="230"/>
      <c r="F23" s="230"/>
      <c r="G23" s="230">
        <f t="shared" si="0"/>
        <v>0</v>
      </c>
      <c r="H23" s="233">
        <f t="shared" si="1"/>
        <v>1400</v>
      </c>
      <c r="I23" s="311">
        <f>IF(T_T134131132133134135136137138139141[[#This Row],[Total]]&lt;0,T_T134131132133134135136137138139141[[#This Row],[Total]]*-1,0)</f>
        <v>0</v>
      </c>
      <c r="J23" s="311"/>
      <c r="K23" s="313"/>
    </row>
    <row r="24" spans="1:11" x14ac:dyDescent="0.3">
      <c r="A24" s="9">
        <v>45838</v>
      </c>
      <c r="B24" s="3" t="s">
        <v>540</v>
      </c>
      <c r="C24" s="229"/>
      <c r="D24" s="230"/>
      <c r="E24" s="230"/>
      <c r="F24" s="230"/>
      <c r="G24" s="230">
        <f t="shared" si="0"/>
        <v>0</v>
      </c>
      <c r="H24" s="233">
        <f t="shared" si="1"/>
        <v>1400</v>
      </c>
      <c r="I24" s="309">
        <f>IF(T_T134131132133134135136137138139141[[#This Row],[Total]]&lt;0,T_T134131132133134135136137138139141[[#This Row],[Total]]*-1,0)</f>
        <v>0</v>
      </c>
      <c r="J24" s="309"/>
      <c r="K24" s="313"/>
    </row>
    <row r="25" spans="1:11" x14ac:dyDescent="0.3">
      <c r="A25" s="9" t="s">
        <v>572</v>
      </c>
      <c r="B25" s="18" t="s">
        <v>541</v>
      </c>
      <c r="C25" s="6"/>
      <c r="D25" s="230"/>
      <c r="E25" s="230"/>
      <c r="F25" s="230"/>
      <c r="G25" s="230">
        <f t="shared" si="0"/>
        <v>0</v>
      </c>
      <c r="H25" s="233">
        <f t="shared" si="1"/>
        <v>1400</v>
      </c>
      <c r="I25" s="309">
        <f>IF(T_T134131132133134135136137138139141[[#This Row],[Total]]&lt;0,T_T134131132133134135136137138139141[[#This Row],[Total]]*-1,0)</f>
        <v>0</v>
      </c>
      <c r="J25" s="309"/>
      <c r="K25" s="313"/>
    </row>
    <row r="26" spans="1:11" x14ac:dyDescent="0.3">
      <c r="A26" s="107">
        <v>45868</v>
      </c>
      <c r="B26" s="82" t="s">
        <v>542</v>
      </c>
      <c r="C26" s="229"/>
      <c r="D26" s="230"/>
      <c r="E26" s="230"/>
      <c r="F26" s="230"/>
      <c r="G26" s="230">
        <f t="shared" si="0"/>
        <v>0</v>
      </c>
      <c r="H26" s="233">
        <f t="shared" si="1"/>
        <v>1400</v>
      </c>
      <c r="I26" s="309">
        <f>IF(T_T134131132133134135136137138139141[[#This Row],[Total]]&lt;0,T_T134131132133134135136137138139141[[#This Row],[Total]]*-1,0)</f>
        <v>0</v>
      </c>
      <c r="J26" s="309"/>
      <c r="K26" s="313"/>
    </row>
    <row r="27" spans="1:11" x14ac:dyDescent="0.3">
      <c r="A27" s="107"/>
      <c r="B27" s="82" t="s">
        <v>543</v>
      </c>
      <c r="C27" s="6"/>
      <c r="D27" s="230"/>
      <c r="E27" s="230"/>
      <c r="F27" s="230"/>
      <c r="G27" s="230">
        <f t="shared" si="0"/>
        <v>0</v>
      </c>
      <c r="H27" s="233">
        <f t="shared" si="1"/>
        <v>1400</v>
      </c>
      <c r="I27" s="311">
        <f>IF(T_T134131132133134135136137138139141[[#This Row],[Total]]&lt;0,T_T134131132133134135136137138139141[[#This Row],[Total]]*-1,0)</f>
        <v>0</v>
      </c>
      <c r="J27" s="311"/>
      <c r="K27" s="313"/>
    </row>
    <row r="28" spans="1:11" x14ac:dyDescent="0.3">
      <c r="A28" s="107">
        <v>45899</v>
      </c>
      <c r="B28" s="82" t="s">
        <v>544</v>
      </c>
      <c r="C28" s="229"/>
      <c r="D28" s="230"/>
      <c r="E28" s="230"/>
      <c r="F28" s="230"/>
      <c r="G28" s="230">
        <f t="shared" si="0"/>
        <v>0</v>
      </c>
      <c r="H28" s="233">
        <f t="shared" si="1"/>
        <v>1400</v>
      </c>
      <c r="I28" s="309">
        <f>IF(T_T134131132133134135136137138139141[[#This Row],[Total]]&lt;0,T_T134131132133134135136137138139141[[#This Row],[Total]]*-1,0)</f>
        <v>0</v>
      </c>
      <c r="J28" s="309"/>
      <c r="K28" s="313"/>
    </row>
    <row r="29" spans="1:11" x14ac:dyDescent="0.3">
      <c r="A29" s="107"/>
      <c r="B29" s="82" t="s">
        <v>545</v>
      </c>
      <c r="C29" s="6"/>
      <c r="D29" s="230"/>
      <c r="E29" s="230"/>
      <c r="F29" s="230"/>
      <c r="G29" s="230">
        <f t="shared" si="0"/>
        <v>0</v>
      </c>
      <c r="H29" s="233">
        <f t="shared" si="1"/>
        <v>1400</v>
      </c>
      <c r="I29" s="309">
        <f>IF(T_T134131132133134135136137138139141[[#This Row],[Total]]&lt;0,T_T134131132133134135136137138139141[[#This Row],[Total]]*-1,0)</f>
        <v>0</v>
      </c>
      <c r="J29" s="309"/>
      <c r="K29" s="313"/>
    </row>
    <row r="30" spans="1:11" x14ac:dyDescent="0.3">
      <c r="A30" s="9">
        <v>45930</v>
      </c>
      <c r="B30" s="3" t="s">
        <v>546</v>
      </c>
      <c r="C30" s="229"/>
      <c r="D30" s="230"/>
      <c r="E30" s="230"/>
      <c r="F30" s="230"/>
      <c r="G30" s="230">
        <f t="shared" si="0"/>
        <v>0</v>
      </c>
      <c r="H30" s="233">
        <f t="shared" si="1"/>
        <v>1400</v>
      </c>
      <c r="I30" s="309">
        <f>IF(T_T134131132133134135136137138139141[[#This Row],[Total]]&lt;0,T_T134131132133134135136137138139141[[#This Row],[Total]]*-1,0)</f>
        <v>0</v>
      </c>
      <c r="J30" s="309"/>
      <c r="K30" s="313"/>
    </row>
    <row r="31" spans="1:11" x14ac:dyDescent="0.3">
      <c r="A31" s="9"/>
      <c r="B31" s="3" t="s">
        <v>547</v>
      </c>
      <c r="C31" s="6"/>
      <c r="D31" s="230"/>
      <c r="E31" s="230"/>
      <c r="F31" s="230"/>
      <c r="G31" s="230">
        <f t="shared" si="0"/>
        <v>0</v>
      </c>
      <c r="H31" s="233">
        <f t="shared" si="1"/>
        <v>1400</v>
      </c>
      <c r="I31" s="309">
        <f>IF(T_T134131132133134135136137138139141[[#This Row],[Total]]&lt;0,T_T134131132133134135136137138139141[[#This Row],[Total]]*-1,0)</f>
        <v>0</v>
      </c>
      <c r="J31" s="309"/>
      <c r="K31" s="313"/>
    </row>
    <row r="32" spans="1:11" x14ac:dyDescent="0.3">
      <c r="A32" s="9">
        <v>45960</v>
      </c>
      <c r="B32" s="3" t="s">
        <v>548</v>
      </c>
      <c r="C32" s="229"/>
      <c r="D32" s="230"/>
      <c r="E32" s="230"/>
      <c r="F32" s="230"/>
      <c r="G32" s="230">
        <f t="shared" si="0"/>
        <v>0</v>
      </c>
      <c r="H32" s="233">
        <f t="shared" si="1"/>
        <v>1400</v>
      </c>
      <c r="I32" s="309">
        <f>IF(T_T134131132133134135136137138139141[[#This Row],[Total]]&lt;0,T_T134131132133134135136137138139141[[#This Row],[Total]]*-1,0)</f>
        <v>0</v>
      </c>
      <c r="J32" s="309"/>
      <c r="K32" s="313"/>
    </row>
    <row r="33" spans="1:11" x14ac:dyDescent="0.3">
      <c r="A33" s="9"/>
      <c r="B33" s="3" t="s">
        <v>549</v>
      </c>
      <c r="C33" s="229"/>
      <c r="D33" s="230"/>
      <c r="E33" s="230"/>
      <c r="F33" s="230"/>
      <c r="G33" s="230">
        <f t="shared" si="0"/>
        <v>0</v>
      </c>
      <c r="H33" s="233">
        <f t="shared" si="1"/>
        <v>1400</v>
      </c>
      <c r="I33" s="309">
        <f>IF(T_T134131132133134135136137138139141[[#This Row],[Total]]&lt;0,T_T134131132133134135136137138139141[[#This Row],[Total]]*-1,0)</f>
        <v>0</v>
      </c>
      <c r="J33" s="309"/>
      <c r="K33" s="313"/>
    </row>
    <row r="34" spans="1:11" x14ac:dyDescent="0.3">
      <c r="A34" s="9">
        <v>45991</v>
      </c>
      <c r="B34" s="3" t="s">
        <v>550</v>
      </c>
      <c r="C34" s="229"/>
      <c r="D34" s="230"/>
      <c r="E34" s="230"/>
      <c r="F34" s="230"/>
      <c r="G34" s="230">
        <f t="shared" si="0"/>
        <v>0</v>
      </c>
      <c r="H34" s="233">
        <f t="shared" si="1"/>
        <v>1400</v>
      </c>
      <c r="I34" s="309">
        <f>IF(T_T134131132133134135136137138139141[[#This Row],[Total]]&lt;0,T_T134131132133134135136137138139141[[#This Row],[Total]]*-1,0)</f>
        <v>0</v>
      </c>
      <c r="J34" s="309"/>
      <c r="K34" s="313"/>
    </row>
    <row r="35" spans="1:11" x14ac:dyDescent="0.3">
      <c r="A35" s="17"/>
      <c r="B35" s="18" t="s">
        <v>551</v>
      </c>
      <c r="C35" s="229"/>
      <c r="D35" s="230"/>
      <c r="E35" s="7"/>
      <c r="F35" s="230"/>
      <c r="G35" s="230">
        <f t="shared" si="0"/>
        <v>0</v>
      </c>
      <c r="H35" s="233">
        <f t="shared" si="1"/>
        <v>1400</v>
      </c>
      <c r="I35" s="311">
        <f>IF(T_T134131132133134135136137138139141[[#This Row],[Total]]&lt;0,T_T134131132133134135136137138139141[[#This Row],[Total]]*-1,0)</f>
        <v>0</v>
      </c>
      <c r="J35" s="311"/>
      <c r="K35" s="313"/>
    </row>
    <row r="36" spans="1:11" x14ac:dyDescent="0.3">
      <c r="A36" s="188">
        <v>46021</v>
      </c>
      <c r="B36" s="3" t="s">
        <v>552</v>
      </c>
      <c r="C36" s="229"/>
      <c r="D36" s="230"/>
      <c r="E36" s="230"/>
      <c r="F36" s="230"/>
      <c r="G36" s="230">
        <f t="shared" si="0"/>
        <v>0</v>
      </c>
      <c r="H36" s="233">
        <f t="shared" si="1"/>
        <v>1400</v>
      </c>
      <c r="I36" s="353">
        <f>IF(T_T134131132133134135136137138139141[[#This Row],[Total]]&lt;0,T_T134131132133134135136137138139141[[#This Row],[Total]]*-1,0)</f>
        <v>0</v>
      </c>
      <c r="J36" s="353"/>
      <c r="K36" s="354"/>
    </row>
    <row r="37" spans="1:11" x14ac:dyDescent="0.3">
      <c r="A37" s="257"/>
      <c r="B37" s="110" t="s">
        <v>553</v>
      </c>
      <c r="C37" s="229"/>
      <c r="D37" s="230"/>
      <c r="E37" s="230"/>
      <c r="F37" s="230"/>
      <c r="G37" s="230">
        <f t="shared" si="0"/>
        <v>0</v>
      </c>
      <c r="H37" s="233">
        <f t="shared" si="1"/>
        <v>1400</v>
      </c>
      <c r="I37" s="353">
        <f>IF(T_T134131132133134135136137138139141[[#This Row],[Total]]&lt;0,T_T134131132133134135136137138139141[[#This Row],[Total]]*-1,0)</f>
        <v>0</v>
      </c>
      <c r="J37" s="353"/>
      <c r="K37" s="354"/>
    </row>
    <row r="38" spans="1:11" x14ac:dyDescent="0.3">
      <c r="A38" s="107"/>
      <c r="B38" s="82"/>
      <c r="C38" s="229"/>
      <c r="D38" s="230"/>
      <c r="E38" s="230"/>
      <c r="F38" s="230"/>
      <c r="G38" s="230">
        <f>SUM(D38:F45)</f>
        <v>0</v>
      </c>
      <c r="H38" s="233">
        <f t="shared" si="1"/>
        <v>1400</v>
      </c>
      <c r="I38" s="353">
        <f>IF(T_T134131132133134135136137138139141[[#This Row],[Total]]&lt;0,T_T134131132133134135136137138139141[[#This Row],[Total]]*-1,0)</f>
        <v>0</v>
      </c>
      <c r="J38" s="353"/>
      <c r="K38" s="354"/>
    </row>
    <row r="39" spans="1:11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1400</v>
      </c>
      <c r="I39" s="353">
        <f>IF(T_T134131132133134135136137138139141[[#This Row],[Total]]&lt;0,T_T134131132133134135136137138139141[[#This Row],[Total]]*-1,0)</f>
        <v>0</v>
      </c>
      <c r="J39" s="353"/>
      <c r="K39" s="354"/>
    </row>
  </sheetData>
  <hyperlinks>
    <hyperlink ref="B6" r:id="rId1" display="jose.orozco@outlook.com"/>
    <hyperlink ref="H6" location="Resumen!A1" display="Rsumen         "/>
  </hyperlinks>
  <pageMargins left="0.7" right="0.7" top="0.75" bottom="0.75" header="0.3" footer="0.3"/>
  <pageSetup orientation="portrait" horizontalDpi="0" verticalDpi="0" r:id="rId2"/>
  <drawing r:id="rId3"/>
  <tableParts count="1">
    <tablePart r:id="rId4"/>
  </tablePart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L39"/>
  <sheetViews>
    <sheetView topLeftCell="A16" workbookViewId="0">
      <selection activeCell="M38" sqref="M38"/>
    </sheetView>
  </sheetViews>
  <sheetFormatPr baseColWidth="10" defaultRowHeight="14.4" x14ac:dyDescent="0.3"/>
  <cols>
    <col min="2" max="2" width="34.44140625" customWidth="1"/>
  </cols>
  <sheetData>
    <row r="1" spans="1:12" ht="15.6" x14ac:dyDescent="0.3">
      <c r="A1" s="27" t="s">
        <v>429</v>
      </c>
      <c r="B1" s="41" t="s">
        <v>555</v>
      </c>
      <c r="C1" s="4"/>
      <c r="D1" s="1"/>
      <c r="E1" s="1"/>
      <c r="F1" s="1"/>
      <c r="G1" s="1"/>
      <c r="H1" s="1"/>
      <c r="L1" t="s">
        <v>366</v>
      </c>
    </row>
    <row r="2" spans="1:12" x14ac:dyDescent="0.3">
      <c r="A2" s="27" t="s">
        <v>31</v>
      </c>
      <c r="B2" s="28" t="s">
        <v>554</v>
      </c>
      <c r="C2" s="4"/>
      <c r="D2" s="1"/>
      <c r="E2" s="1"/>
      <c r="F2" s="1"/>
      <c r="G2" s="1"/>
      <c r="H2" s="1"/>
    </row>
    <row r="3" spans="1:12" x14ac:dyDescent="0.3">
      <c r="A3" s="27" t="s">
        <v>32</v>
      </c>
      <c r="B3" s="28" t="e">
        <f>LOOKUP(B1,#REF!,#REF!)</f>
        <v>#REF!</v>
      </c>
      <c r="C3" s="4"/>
      <c r="D3" s="1"/>
      <c r="E3" s="1"/>
      <c r="F3" s="1"/>
      <c r="G3" s="1"/>
      <c r="H3" s="1"/>
    </row>
    <row r="4" spans="1:12" x14ac:dyDescent="0.3">
      <c r="A4" s="27" t="s">
        <v>33</v>
      </c>
      <c r="B4" s="28" t="e">
        <f>LOOKUP(B1,#REF!,#REF!)</f>
        <v>#REF!</v>
      </c>
      <c r="C4" s="4"/>
      <c r="D4" s="1"/>
      <c r="E4" s="1"/>
      <c r="F4" s="1"/>
      <c r="G4" s="1"/>
      <c r="H4" s="1"/>
    </row>
    <row r="5" spans="1:12" x14ac:dyDescent="0.3">
      <c r="A5" s="27" t="s">
        <v>34</v>
      </c>
      <c r="B5" s="28" t="e">
        <f>LOOKUP(B1,#REF!,#REF!)</f>
        <v>#REF!</v>
      </c>
      <c r="C5" s="4"/>
      <c r="D5" s="1"/>
      <c r="E5" s="1"/>
      <c r="F5" s="1"/>
      <c r="G5" s="25"/>
      <c r="H5" s="25"/>
    </row>
    <row r="6" spans="1:12" x14ac:dyDescent="0.3">
      <c r="A6" s="27" t="s">
        <v>35</v>
      </c>
      <c r="B6" s="29" t="e">
        <f>LOOKUP(B1,#REF!,#REF!)</f>
        <v>#REF!</v>
      </c>
      <c r="C6" s="5"/>
      <c r="D6" s="1"/>
      <c r="E6" s="1"/>
      <c r="F6" s="1"/>
      <c r="G6" s="25"/>
      <c r="H6" s="26" t="s">
        <v>30</v>
      </c>
      <c r="I6" s="24"/>
    </row>
    <row r="7" spans="1:12" x14ac:dyDescent="0.3">
      <c r="A7" s="21"/>
      <c r="B7" s="21"/>
      <c r="C7" s="4"/>
      <c r="D7" s="1"/>
      <c r="E7" s="1"/>
      <c r="F7" s="1"/>
      <c r="G7" s="1"/>
      <c r="H7" s="1"/>
    </row>
    <row r="8" spans="1:12" x14ac:dyDescent="0.3">
      <c r="A8" s="11" t="s">
        <v>3</v>
      </c>
      <c r="B8" s="12" t="s">
        <v>1</v>
      </c>
      <c r="C8" s="13" t="s">
        <v>23</v>
      </c>
      <c r="D8" s="14" t="s">
        <v>21</v>
      </c>
      <c r="E8" s="14" t="s">
        <v>4</v>
      </c>
      <c r="F8" s="14" t="s">
        <v>50</v>
      </c>
      <c r="G8" s="15" t="s">
        <v>5</v>
      </c>
      <c r="H8" s="16" t="s">
        <v>28</v>
      </c>
      <c r="I8" s="34" t="s">
        <v>49</v>
      </c>
      <c r="J8" s="75" t="s">
        <v>188</v>
      </c>
      <c r="K8" s="182" t="s">
        <v>191</v>
      </c>
    </row>
    <row r="9" spans="1:12" x14ac:dyDescent="0.3">
      <c r="A9" s="288"/>
      <c r="B9" s="118" t="s">
        <v>431</v>
      </c>
      <c r="C9" s="284"/>
      <c r="D9" s="285"/>
      <c r="E9" s="285"/>
      <c r="F9" s="285"/>
      <c r="G9" s="285"/>
      <c r="H9" s="233">
        <v>0</v>
      </c>
      <c r="I9" s="6"/>
      <c r="J9" s="180"/>
      <c r="K9" s="210"/>
    </row>
    <row r="10" spans="1:12" x14ac:dyDescent="0.3">
      <c r="A10" s="288"/>
      <c r="B10" s="118" t="s">
        <v>432</v>
      </c>
      <c r="C10" s="284"/>
      <c r="D10" s="285"/>
      <c r="E10" s="285"/>
      <c r="F10" s="285"/>
      <c r="G10" s="285"/>
      <c r="H10" s="10">
        <v>0</v>
      </c>
      <c r="I10" s="302">
        <f>IF(T_T134131132133134135136137138139141142[[#This Row],[Total]]&lt;0,T_T134131132133134135136137138139141142[[#This Row],[Total]]*-1,0)</f>
        <v>0</v>
      </c>
      <c r="J10" s="302"/>
      <c r="K10" s="232"/>
    </row>
    <row r="11" spans="1:12" x14ac:dyDescent="0.3">
      <c r="A11" s="117"/>
      <c r="B11" s="118" t="s">
        <v>467</v>
      </c>
      <c r="C11" s="284"/>
      <c r="D11" s="285"/>
      <c r="E11" s="285"/>
      <c r="F11" s="285"/>
      <c r="G11" s="285"/>
      <c r="H11" s="10">
        <v>0</v>
      </c>
      <c r="I11" s="440">
        <f>IF(T_T134131132133134135136137138139141142[[#This Row],[Total]]&lt;0,T_T134131132133134135136137138139141142[[#This Row],[Total]]*-1,0)</f>
        <v>0</v>
      </c>
      <c r="J11" s="440"/>
      <c r="K11" s="79"/>
    </row>
    <row r="12" spans="1:12" x14ac:dyDescent="0.3">
      <c r="A12" s="288"/>
      <c r="B12" s="118" t="s">
        <v>502</v>
      </c>
      <c r="C12" s="289"/>
      <c r="D12" s="290"/>
      <c r="E12" s="290"/>
      <c r="F12" s="290"/>
      <c r="G12" s="290"/>
      <c r="H12" s="291">
        <v>0</v>
      </c>
      <c r="I12" s="302">
        <f>IF(T_T134131132133134135136137138139141142[[#This Row],[Total]]&lt;0,T_T134131132133134135136137138139141142[[#This Row],[Total]]*-1,0)</f>
        <v>0</v>
      </c>
      <c r="J12" s="302"/>
      <c r="K12" s="232"/>
    </row>
    <row r="13" spans="1:12" x14ac:dyDescent="0.3">
      <c r="A13" s="288"/>
      <c r="B13" s="118" t="s">
        <v>529</v>
      </c>
      <c r="C13" s="481"/>
      <c r="D13" s="482"/>
      <c r="E13" s="482"/>
      <c r="F13" s="482"/>
      <c r="G13" s="482"/>
      <c r="H13" s="484"/>
      <c r="I13" s="502">
        <f>IF(T_T134131132133134135136137138139141142[[#This Row],[Total]]&lt;0,T_T134131132133134135136137138139141142[[#This Row],[Total]]*-1,0)</f>
        <v>0</v>
      </c>
      <c r="J13" s="502"/>
      <c r="K13" s="485"/>
    </row>
    <row r="14" spans="1:12" x14ac:dyDescent="0.3">
      <c r="A14" s="17">
        <v>45687</v>
      </c>
      <c r="B14" s="18" t="s">
        <v>530</v>
      </c>
      <c r="C14" s="6"/>
      <c r="D14" s="2">
        <v>26</v>
      </c>
      <c r="E14" s="2"/>
      <c r="F14" s="20"/>
      <c r="G14" s="20">
        <f>SUM(D14:F14)</f>
        <v>26</v>
      </c>
      <c r="H14" s="233">
        <f>+H12+T_T134131132133134135136137138139141142[[#This Row],[Total]]</f>
        <v>26</v>
      </c>
      <c r="I14" s="302">
        <f>IF(T_T134131132133134135136137138139141142[[#This Row],[Total]]&lt;0,T_T134131132133134135136137138139141142[[#This Row],[Total]]*-1,0)</f>
        <v>0</v>
      </c>
      <c r="J14" s="302"/>
      <c r="K14" s="232"/>
    </row>
    <row r="15" spans="1:12" x14ac:dyDescent="0.3">
      <c r="A15" s="17"/>
      <c r="B15" s="18" t="s">
        <v>531</v>
      </c>
      <c r="C15" s="6">
        <v>7293</v>
      </c>
      <c r="D15" s="2">
        <v>-26</v>
      </c>
      <c r="E15" s="2"/>
      <c r="F15" s="230"/>
      <c r="G15" s="230">
        <f t="shared" ref="G15:G37" si="0">SUM(D15:F15)</f>
        <v>-26</v>
      </c>
      <c r="H15" s="233">
        <f t="shared" ref="H15:H39" si="1">H14+G15</f>
        <v>0</v>
      </c>
      <c r="I15" s="303">
        <f>IF(T_T134131132133134135136137138139141142[[#This Row],[Total]]&lt;0,T_T134131132133134135136137138139141142[[#This Row],[Total]]*-1,0)</f>
        <v>26</v>
      </c>
      <c r="J15" s="303"/>
      <c r="K15" s="232"/>
    </row>
    <row r="16" spans="1:12" x14ac:dyDescent="0.3">
      <c r="A16" s="164">
        <v>45715</v>
      </c>
      <c r="B16" s="161" t="s">
        <v>532</v>
      </c>
      <c r="C16" s="6"/>
      <c r="D16" s="2">
        <v>26</v>
      </c>
      <c r="E16" s="2"/>
      <c r="F16" s="230"/>
      <c r="G16" s="230">
        <f t="shared" si="0"/>
        <v>26</v>
      </c>
      <c r="H16" s="233">
        <f t="shared" si="1"/>
        <v>26</v>
      </c>
      <c r="I16" s="302">
        <f>IF(T_T134131132133134135136137138139141142[[#This Row],[Total]]&lt;0,T_T134131132133134135136137138139141142[[#This Row],[Total]]*-1,0)</f>
        <v>0</v>
      </c>
      <c r="J16" s="302"/>
      <c r="K16" s="232"/>
    </row>
    <row r="17" spans="1:11" x14ac:dyDescent="0.3">
      <c r="A17" s="187"/>
      <c r="B17" s="18" t="s">
        <v>533</v>
      </c>
      <c r="C17" s="6">
        <v>7385</v>
      </c>
      <c r="D17" s="2">
        <v>-26</v>
      </c>
      <c r="E17" s="2"/>
      <c r="F17" s="230"/>
      <c r="G17" s="230">
        <f t="shared" si="0"/>
        <v>-26</v>
      </c>
      <c r="H17" s="233">
        <f t="shared" si="1"/>
        <v>0</v>
      </c>
      <c r="I17" s="302">
        <f>IF(T_T134131132133134135136137138139141142[[#This Row],[Total]]&lt;0,T_T134131132133134135136137138139141142[[#This Row],[Total]]*-1,0)</f>
        <v>26</v>
      </c>
      <c r="J17" s="302"/>
      <c r="K17" s="232"/>
    </row>
    <row r="18" spans="1:11" x14ac:dyDescent="0.3">
      <c r="A18" s="188">
        <v>45747</v>
      </c>
      <c r="B18" s="3" t="s">
        <v>534</v>
      </c>
      <c r="C18" s="6"/>
      <c r="D18" s="2">
        <v>26</v>
      </c>
      <c r="E18" s="2"/>
      <c r="F18" s="230"/>
      <c r="G18" s="230">
        <f t="shared" si="0"/>
        <v>26</v>
      </c>
      <c r="H18" s="233">
        <f t="shared" si="1"/>
        <v>26</v>
      </c>
      <c r="I18" s="240">
        <f>IF(T_T134131132133134135136137138139141142[[#This Row],[Total]]&lt;0,T_T134131132133134135136137138139141142[[#This Row],[Total]]*-1,0)</f>
        <v>0</v>
      </c>
      <c r="J18" s="240"/>
      <c r="K18" s="232"/>
    </row>
    <row r="19" spans="1:11" x14ac:dyDescent="0.3">
      <c r="A19" s="188"/>
      <c r="B19" s="82" t="s">
        <v>535</v>
      </c>
      <c r="C19" s="6">
        <v>7485</v>
      </c>
      <c r="D19" s="2">
        <v>-26</v>
      </c>
      <c r="E19" s="2"/>
      <c r="F19" s="230"/>
      <c r="G19" s="230">
        <f t="shared" si="0"/>
        <v>-26</v>
      </c>
      <c r="H19" s="233">
        <f t="shared" si="1"/>
        <v>0</v>
      </c>
      <c r="I19" s="239">
        <f>IF(T_T134131132133134135136137138139141142[[#This Row],[Total]]&lt;0,T_T134131132133134135136137138139141142[[#This Row],[Total]]*-1,0)</f>
        <v>26</v>
      </c>
      <c r="J19" s="239"/>
      <c r="K19" s="232"/>
    </row>
    <row r="20" spans="1:11" x14ac:dyDescent="0.3">
      <c r="A20" s="188">
        <v>45777</v>
      </c>
      <c r="B20" s="3" t="s">
        <v>536</v>
      </c>
      <c r="C20" s="6"/>
      <c r="D20" s="2">
        <v>26</v>
      </c>
      <c r="E20" s="2"/>
      <c r="F20" s="230"/>
      <c r="G20" s="230">
        <f t="shared" si="0"/>
        <v>26</v>
      </c>
      <c r="H20" s="233">
        <f t="shared" si="1"/>
        <v>26</v>
      </c>
      <c r="I20" s="309">
        <f>IF(T_T134131132133134135136137138139141142[[#This Row],[Total]]&lt;0,T_T134131132133134135136137138139141142[[#This Row],[Total]]*-1,0)</f>
        <v>0</v>
      </c>
      <c r="J20" s="309"/>
      <c r="K20" s="313"/>
    </row>
    <row r="21" spans="1:11" x14ac:dyDescent="0.3">
      <c r="A21" s="83"/>
      <c r="B21" s="82" t="s">
        <v>537</v>
      </c>
      <c r="C21" s="6">
        <v>7566</v>
      </c>
      <c r="D21" s="2">
        <v>-26</v>
      </c>
      <c r="E21" s="2"/>
      <c r="F21" s="230"/>
      <c r="G21" s="230">
        <f t="shared" si="0"/>
        <v>-26</v>
      </c>
      <c r="H21" s="233">
        <f t="shared" si="1"/>
        <v>0</v>
      </c>
      <c r="I21" s="309">
        <f>IF(T_T134131132133134135136137138139141142[[#This Row],[Total]]&lt;0,T_T134131132133134135136137138139141142[[#This Row],[Total]]*-1,0)</f>
        <v>26</v>
      </c>
      <c r="J21" s="309"/>
      <c r="K21" s="313"/>
    </row>
    <row r="22" spans="1:11" x14ac:dyDescent="0.3">
      <c r="A22" s="40">
        <v>45807</v>
      </c>
      <c r="B22" s="3" t="s">
        <v>538</v>
      </c>
      <c r="C22" s="229"/>
      <c r="D22" s="230">
        <v>26</v>
      </c>
      <c r="E22" s="230"/>
      <c r="F22" s="230"/>
      <c r="G22" s="230">
        <f t="shared" si="0"/>
        <v>26</v>
      </c>
      <c r="H22" s="233">
        <f t="shared" si="1"/>
        <v>26</v>
      </c>
      <c r="I22" s="309">
        <f>IF(T_T134131132133134135136137138139141142[[#This Row],[Total]]&lt;0,T_T134131132133134135136137138139141142[[#This Row],[Total]]*-1,0)</f>
        <v>0</v>
      </c>
      <c r="J22" s="309"/>
      <c r="K22" s="313"/>
    </row>
    <row r="23" spans="1:11" x14ac:dyDescent="0.3">
      <c r="A23" s="9"/>
      <c r="B23" s="18" t="s">
        <v>539</v>
      </c>
      <c r="C23" s="6">
        <v>7763</v>
      </c>
      <c r="D23" s="230">
        <v>-26</v>
      </c>
      <c r="E23" s="230"/>
      <c r="F23" s="230"/>
      <c r="G23" s="230">
        <f t="shared" si="0"/>
        <v>-26</v>
      </c>
      <c r="H23" s="233">
        <f t="shared" si="1"/>
        <v>0</v>
      </c>
      <c r="I23" s="311">
        <f>IF(T_T134131132133134135136137138139141142[[#This Row],[Total]]&lt;0,T_T134131132133134135136137138139141142[[#This Row],[Total]]*-1,0)</f>
        <v>26</v>
      </c>
      <c r="J23" s="311"/>
      <c r="K23" s="313"/>
    </row>
    <row r="24" spans="1:11" x14ac:dyDescent="0.3">
      <c r="A24" s="9">
        <v>45838</v>
      </c>
      <c r="B24" s="3" t="s">
        <v>540</v>
      </c>
      <c r="C24" s="229"/>
      <c r="D24" s="230">
        <v>26</v>
      </c>
      <c r="E24" s="230"/>
      <c r="F24" s="230"/>
      <c r="G24" s="230">
        <f t="shared" si="0"/>
        <v>26</v>
      </c>
      <c r="H24" s="233">
        <f t="shared" si="1"/>
        <v>26</v>
      </c>
      <c r="I24" s="309">
        <f>IF(T_T134131132133134135136137138139141142[[#This Row],[Total]]&lt;0,T_T134131132133134135136137138139141142[[#This Row],[Total]]*-1,0)</f>
        <v>0</v>
      </c>
      <c r="J24" s="309"/>
      <c r="K24" s="313"/>
    </row>
    <row r="25" spans="1:11" x14ac:dyDescent="0.3">
      <c r="A25" s="9"/>
      <c r="B25" s="18" t="s">
        <v>541</v>
      </c>
      <c r="C25" s="6">
        <v>7786</v>
      </c>
      <c r="D25" s="230">
        <v>-26</v>
      </c>
      <c r="E25" s="230"/>
      <c r="F25" s="230"/>
      <c r="G25" s="230">
        <f t="shared" si="0"/>
        <v>-26</v>
      </c>
      <c r="H25" s="233">
        <f t="shared" si="1"/>
        <v>0</v>
      </c>
      <c r="I25" s="309">
        <f>IF(T_T134131132133134135136137138139141142[[#This Row],[Total]]&lt;0,T_T134131132133134135136137138139141142[[#This Row],[Total]]*-1,0)</f>
        <v>26</v>
      </c>
      <c r="J25" s="309"/>
      <c r="K25" s="313"/>
    </row>
    <row r="26" spans="1:11" x14ac:dyDescent="0.3">
      <c r="A26" s="107">
        <v>45868</v>
      </c>
      <c r="B26" s="82" t="s">
        <v>542</v>
      </c>
      <c r="C26" s="229"/>
      <c r="D26" s="230">
        <v>26</v>
      </c>
      <c r="E26" s="230"/>
      <c r="F26" s="230"/>
      <c r="G26" s="230">
        <f t="shared" si="0"/>
        <v>26</v>
      </c>
      <c r="H26" s="233">
        <f t="shared" si="1"/>
        <v>26</v>
      </c>
      <c r="I26" s="309">
        <f>IF(T_T134131132133134135136137138139141142[[#This Row],[Total]]&lt;0,T_T134131132133134135136137138139141142[[#This Row],[Total]]*-1,0)</f>
        <v>0</v>
      </c>
      <c r="J26" s="309"/>
      <c r="K26" s="313"/>
    </row>
    <row r="27" spans="1:11" x14ac:dyDescent="0.3">
      <c r="A27" s="107"/>
      <c r="B27" s="82" t="s">
        <v>543</v>
      </c>
      <c r="C27" s="6">
        <v>7912</v>
      </c>
      <c r="D27" s="230">
        <v>-26</v>
      </c>
      <c r="E27" s="230"/>
      <c r="F27" s="230"/>
      <c r="G27" s="230">
        <f t="shared" si="0"/>
        <v>-26</v>
      </c>
      <c r="H27" s="233">
        <f t="shared" si="1"/>
        <v>0</v>
      </c>
      <c r="I27" s="311">
        <f>IF(T_T134131132133134135136137138139141142[[#This Row],[Total]]&lt;0,T_T134131132133134135136137138139141142[[#This Row],[Total]]*-1,0)</f>
        <v>26</v>
      </c>
      <c r="J27" s="311"/>
      <c r="K27" s="313"/>
    </row>
    <row r="28" spans="1:11" x14ac:dyDescent="0.3">
      <c r="A28" s="107">
        <v>45899</v>
      </c>
      <c r="B28" s="82" t="s">
        <v>544</v>
      </c>
      <c r="C28" s="229"/>
      <c r="D28" s="230">
        <v>26</v>
      </c>
      <c r="E28" s="230"/>
      <c r="F28" s="230"/>
      <c r="G28" s="230">
        <f t="shared" si="0"/>
        <v>26</v>
      </c>
      <c r="H28" s="233">
        <f t="shared" si="1"/>
        <v>26</v>
      </c>
      <c r="I28" s="309">
        <f>IF(T_T134131132133134135136137138139141142[[#This Row],[Total]]&lt;0,T_T134131132133134135136137138139141142[[#This Row],[Total]]*-1,0)</f>
        <v>0</v>
      </c>
      <c r="J28" s="309"/>
      <c r="K28" s="313"/>
    </row>
    <row r="29" spans="1:11" x14ac:dyDescent="0.3">
      <c r="A29" s="107"/>
      <c r="B29" s="82" t="s">
        <v>545</v>
      </c>
      <c r="C29" s="6">
        <v>8009</v>
      </c>
      <c r="D29" s="230">
        <v>-26</v>
      </c>
      <c r="E29" s="230"/>
      <c r="F29" s="230"/>
      <c r="G29" s="230">
        <f t="shared" si="0"/>
        <v>-26</v>
      </c>
      <c r="H29" s="233">
        <f t="shared" si="1"/>
        <v>0</v>
      </c>
      <c r="I29" s="309">
        <f>IF(T_T134131132133134135136137138139141142[[#This Row],[Total]]&lt;0,T_T134131132133134135136137138139141142[[#This Row],[Total]]*-1,0)</f>
        <v>26</v>
      </c>
      <c r="J29" s="309"/>
      <c r="K29" s="313"/>
    </row>
    <row r="30" spans="1:11" x14ac:dyDescent="0.3">
      <c r="A30" s="9">
        <v>45930</v>
      </c>
      <c r="B30" s="3" t="s">
        <v>546</v>
      </c>
      <c r="C30" s="229"/>
      <c r="D30" s="230">
        <v>26</v>
      </c>
      <c r="E30" s="230"/>
      <c r="F30" s="230"/>
      <c r="G30" s="230">
        <f t="shared" si="0"/>
        <v>26</v>
      </c>
      <c r="H30" s="233">
        <f t="shared" si="1"/>
        <v>26</v>
      </c>
      <c r="I30" s="309">
        <f>IF(T_T134131132133134135136137138139141142[[#This Row],[Total]]&lt;0,T_T134131132133134135136137138139141142[[#This Row],[Total]]*-1,0)</f>
        <v>0</v>
      </c>
      <c r="J30" s="309"/>
      <c r="K30" s="313"/>
    </row>
    <row r="31" spans="1:11" x14ac:dyDescent="0.3">
      <c r="A31" s="9"/>
      <c r="B31" s="3" t="s">
        <v>547</v>
      </c>
      <c r="C31" s="6">
        <v>8101</v>
      </c>
      <c r="D31" s="230">
        <v>-26</v>
      </c>
      <c r="E31" s="230"/>
      <c r="F31" s="230"/>
      <c r="G31" s="230">
        <f t="shared" si="0"/>
        <v>-26</v>
      </c>
      <c r="H31" s="233">
        <f t="shared" si="1"/>
        <v>0</v>
      </c>
      <c r="I31" s="309">
        <f>IF(T_T134131132133134135136137138139141142[[#This Row],[Total]]&lt;0,T_T134131132133134135136137138139141142[[#This Row],[Total]]*-1,0)</f>
        <v>26</v>
      </c>
      <c r="J31" s="309"/>
      <c r="K31" s="313"/>
    </row>
    <row r="32" spans="1:11" x14ac:dyDescent="0.3">
      <c r="A32" s="9">
        <v>45960</v>
      </c>
      <c r="B32" s="3" t="s">
        <v>548</v>
      </c>
      <c r="C32" s="229"/>
      <c r="D32" s="230">
        <v>26</v>
      </c>
      <c r="E32" s="230"/>
      <c r="F32" s="230"/>
      <c r="G32" s="230">
        <f t="shared" si="0"/>
        <v>26</v>
      </c>
      <c r="H32" s="233">
        <f t="shared" si="1"/>
        <v>26</v>
      </c>
      <c r="I32" s="309">
        <f>IF(T_T134131132133134135136137138139141142[[#This Row],[Total]]&lt;0,T_T134131132133134135136137138139141142[[#This Row],[Total]]*-1,0)</f>
        <v>0</v>
      </c>
      <c r="J32" s="309"/>
      <c r="K32" s="313"/>
    </row>
    <row r="33" spans="1:11" x14ac:dyDescent="0.3">
      <c r="A33" s="9"/>
      <c r="B33" s="3" t="s">
        <v>549</v>
      </c>
      <c r="C33" s="229">
        <v>8421</v>
      </c>
      <c r="D33" s="230">
        <v>-26</v>
      </c>
      <c r="E33" s="230"/>
      <c r="F33" s="230"/>
      <c r="G33" s="230">
        <f t="shared" si="0"/>
        <v>-26</v>
      </c>
      <c r="H33" s="233">
        <f t="shared" si="1"/>
        <v>0</v>
      </c>
      <c r="I33" s="309">
        <f>IF(T_T134131132133134135136137138139141142[[#This Row],[Total]]&lt;0,T_T134131132133134135136137138139141142[[#This Row],[Total]]*-1,0)</f>
        <v>26</v>
      </c>
      <c r="J33" s="309"/>
      <c r="K33" s="313"/>
    </row>
    <row r="34" spans="1:11" x14ac:dyDescent="0.3">
      <c r="A34" s="9">
        <v>45991</v>
      </c>
      <c r="B34" s="3" t="s">
        <v>550</v>
      </c>
      <c r="C34" s="229"/>
      <c r="D34" s="230">
        <v>26</v>
      </c>
      <c r="E34" s="230"/>
      <c r="F34" s="230"/>
      <c r="G34" s="230">
        <f t="shared" si="0"/>
        <v>26</v>
      </c>
      <c r="H34" s="233">
        <f t="shared" si="1"/>
        <v>26</v>
      </c>
      <c r="I34" s="309">
        <f>IF(T_T134131132133134135136137138139141142[[#This Row],[Total]]&lt;0,T_T134131132133134135136137138139141142[[#This Row],[Total]]*-1,0)</f>
        <v>0</v>
      </c>
      <c r="J34" s="309"/>
      <c r="K34" s="313"/>
    </row>
    <row r="35" spans="1:11" x14ac:dyDescent="0.3">
      <c r="A35" s="17"/>
      <c r="B35" s="18" t="s">
        <v>551</v>
      </c>
      <c r="C35" s="229">
        <v>8421</v>
      </c>
      <c r="D35" s="230">
        <v>-26</v>
      </c>
      <c r="E35" s="7"/>
      <c r="F35" s="230"/>
      <c r="G35" s="230">
        <f t="shared" si="0"/>
        <v>-26</v>
      </c>
      <c r="H35" s="233">
        <f t="shared" si="1"/>
        <v>0</v>
      </c>
      <c r="I35" s="311">
        <f>IF(T_T134131132133134135136137138139141142[[#This Row],[Total]]&lt;0,T_T134131132133134135136137138139141142[[#This Row],[Total]]*-1,0)</f>
        <v>26</v>
      </c>
      <c r="J35" s="311"/>
      <c r="K35" s="313"/>
    </row>
    <row r="36" spans="1:11" x14ac:dyDescent="0.3">
      <c r="A36" s="188">
        <v>46021</v>
      </c>
      <c r="B36" s="3" t="s">
        <v>552</v>
      </c>
      <c r="C36" s="229"/>
      <c r="D36" s="230">
        <v>26</v>
      </c>
      <c r="E36" s="230"/>
      <c r="F36" s="230"/>
      <c r="G36" s="230">
        <f t="shared" si="0"/>
        <v>26</v>
      </c>
      <c r="H36" s="233">
        <f t="shared" si="1"/>
        <v>26</v>
      </c>
      <c r="I36" s="353">
        <f>IF(T_T134131132133134135136137138139141142[[#This Row],[Total]]&lt;0,T_T134131132133134135136137138139141142[[#This Row],[Total]]*-1,0)</f>
        <v>0</v>
      </c>
      <c r="J36" s="353"/>
      <c r="K36" s="354"/>
    </row>
    <row r="37" spans="1:11" x14ac:dyDescent="0.3">
      <c r="A37" s="257"/>
      <c r="B37" s="110" t="s">
        <v>553</v>
      </c>
      <c r="C37" s="229">
        <v>8473</v>
      </c>
      <c r="D37" s="230">
        <v>-26</v>
      </c>
      <c r="E37" s="230"/>
      <c r="F37" s="230"/>
      <c r="G37" s="230">
        <f t="shared" si="0"/>
        <v>-26</v>
      </c>
      <c r="H37" s="233">
        <f t="shared" si="1"/>
        <v>0</v>
      </c>
      <c r="I37" s="353">
        <f>IF(T_T134131132133134135136137138139141142[[#This Row],[Total]]&lt;0,T_T134131132133134135136137138139141142[[#This Row],[Total]]*-1,0)</f>
        <v>26</v>
      </c>
      <c r="J37" s="353"/>
      <c r="K37" s="354"/>
    </row>
    <row r="38" spans="1:11" x14ac:dyDescent="0.3">
      <c r="A38" s="107"/>
      <c r="B38" s="82"/>
      <c r="C38" s="229"/>
      <c r="D38" s="230"/>
      <c r="E38" s="230"/>
      <c r="F38" s="230"/>
      <c r="G38" s="230">
        <f>SUM(D38:F45)</f>
        <v>0</v>
      </c>
      <c r="H38" s="233">
        <f t="shared" si="1"/>
        <v>0</v>
      </c>
      <c r="I38" s="353">
        <f>IF(T_T134131132133134135136137138139141142[[#This Row],[Total]]&lt;0,T_T134131132133134135136137138139141142[[#This Row],[Total]]*-1,0)</f>
        <v>0</v>
      </c>
      <c r="J38" s="353"/>
      <c r="K38" s="354"/>
    </row>
    <row r="39" spans="1:11" x14ac:dyDescent="0.3">
      <c r="A39" s="107"/>
      <c r="B39" s="82"/>
      <c r="C39" s="229"/>
      <c r="D39" s="230"/>
      <c r="E39" s="230"/>
      <c r="F39" s="230"/>
      <c r="G39" s="230">
        <f>SUM(D39:F46)</f>
        <v>0</v>
      </c>
      <c r="H39" s="233">
        <f t="shared" si="1"/>
        <v>0</v>
      </c>
      <c r="I39" s="353">
        <f>IF(T_T134131132133134135136137138139141142[[#This Row],[Total]]&lt;0,T_T134131132133134135136137138139141142[[#This Row],[Total]]*-1,0)</f>
        <v>0</v>
      </c>
      <c r="J39" s="353"/>
      <c r="K39" s="354"/>
    </row>
  </sheetData>
  <hyperlinks>
    <hyperlink ref="B6" r:id="rId1" display="jose.orozco@outlook.com"/>
    <hyperlink ref="H6" location="Resumen!A1" display="Rsumen         "/>
  </hyperlinks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142</vt:i4>
      </vt:variant>
      <vt:variant>
        <vt:lpstr>Rangos con nombre</vt:lpstr>
      </vt:variant>
      <vt:variant>
        <vt:i4>88</vt:i4>
      </vt:variant>
    </vt:vector>
  </HeadingPairs>
  <TitlesOfParts>
    <vt:vector size="230" baseType="lpstr">
      <vt:lpstr>Plantilla</vt:lpstr>
      <vt:lpstr>LOCAL 01</vt:lpstr>
      <vt:lpstr>LOCAL 02</vt:lpstr>
      <vt:lpstr>LOCAL 03</vt:lpstr>
      <vt:lpstr>LOCAL 04</vt:lpstr>
      <vt:lpstr>LOCAL 05</vt:lpstr>
      <vt:lpstr>LOCAL 06</vt:lpstr>
      <vt:lpstr>LOCAL 07</vt:lpstr>
      <vt:lpstr>lOCAL 8 </vt:lpstr>
      <vt:lpstr>LOCAL 09</vt:lpstr>
      <vt:lpstr>LOCAL 10</vt:lpstr>
      <vt:lpstr>LOCAL.11</vt:lpstr>
      <vt:lpstr>LOCAL 12-13</vt:lpstr>
      <vt:lpstr>LOCAL 14</vt:lpstr>
      <vt:lpstr>LOCAL 15</vt:lpstr>
      <vt:lpstr>LOCAL 16</vt:lpstr>
      <vt:lpstr>LOCAL 17</vt:lpstr>
      <vt:lpstr>LOCAL 18</vt:lpstr>
      <vt:lpstr>LOCAL 19</vt:lpstr>
      <vt:lpstr>RESUMEN LOCALES</vt:lpstr>
      <vt:lpstr>OF.3A</vt:lpstr>
      <vt:lpstr>OF.3B</vt:lpstr>
      <vt:lpstr>OF.3C</vt:lpstr>
      <vt:lpstr>OF.3D</vt:lpstr>
      <vt:lpstr>OF.4A</vt:lpstr>
      <vt:lpstr>OF.4B</vt:lpstr>
      <vt:lpstr>OF.4C</vt:lpstr>
      <vt:lpstr>OF.5A</vt:lpstr>
      <vt:lpstr>OF.5B</vt:lpstr>
      <vt:lpstr>OF.5C</vt:lpstr>
      <vt:lpstr>OF.5D</vt:lpstr>
      <vt:lpstr>OF.5E</vt:lpstr>
      <vt:lpstr>OF.5F</vt:lpstr>
      <vt:lpstr>OF.5G</vt:lpstr>
      <vt:lpstr>OF.6A</vt:lpstr>
      <vt:lpstr>OF.6B</vt:lpstr>
      <vt:lpstr>OF.6C</vt:lpstr>
      <vt:lpstr>OF.6D</vt:lpstr>
      <vt:lpstr>OF.6E</vt:lpstr>
      <vt:lpstr>OF.6F</vt:lpstr>
      <vt:lpstr>OF.6G</vt:lpstr>
      <vt:lpstr>OF.7A</vt:lpstr>
      <vt:lpstr>OF.7B</vt:lpstr>
      <vt:lpstr>OF.7C</vt:lpstr>
      <vt:lpstr>OF.7D</vt:lpstr>
      <vt:lpstr>OF.7E</vt:lpstr>
      <vt:lpstr>OF.7F</vt:lpstr>
      <vt:lpstr>OF.7G</vt:lpstr>
      <vt:lpstr>OF.8A</vt:lpstr>
      <vt:lpstr>OF.8B</vt:lpstr>
      <vt:lpstr>OF.8C</vt:lpstr>
      <vt:lpstr>OF.8D</vt:lpstr>
      <vt:lpstr>OF.8E</vt:lpstr>
      <vt:lpstr>OF.8F</vt:lpstr>
      <vt:lpstr>OF.8G</vt:lpstr>
      <vt:lpstr>OF.9A</vt:lpstr>
      <vt:lpstr>OF.9B</vt:lpstr>
      <vt:lpstr>OF.9C</vt:lpstr>
      <vt:lpstr>OF.9D</vt:lpstr>
      <vt:lpstr>OF.9E</vt:lpstr>
      <vt:lpstr>OF.9F</vt:lpstr>
      <vt:lpstr>OF.9G</vt:lpstr>
      <vt:lpstr>OF.10A</vt:lpstr>
      <vt:lpstr>OF.10B</vt:lpstr>
      <vt:lpstr>OF.10C</vt:lpstr>
      <vt:lpstr>OF.10D</vt:lpstr>
      <vt:lpstr>OF.10E</vt:lpstr>
      <vt:lpstr>OF.10F</vt:lpstr>
      <vt:lpstr>OF.10G</vt:lpstr>
      <vt:lpstr>RESUMEN OFI</vt:lpstr>
      <vt:lpstr>DEP.11A</vt:lpstr>
      <vt:lpstr>DEP.11B</vt:lpstr>
      <vt:lpstr>DEP.11C</vt:lpstr>
      <vt:lpstr>DEP.11D</vt:lpstr>
      <vt:lpstr>DEP.12A</vt:lpstr>
      <vt:lpstr>DEP.12B</vt:lpstr>
      <vt:lpstr>DEP.12C</vt:lpstr>
      <vt:lpstr>DEP.12D</vt:lpstr>
      <vt:lpstr>DEP.13A</vt:lpstr>
      <vt:lpstr>DEP.13B</vt:lpstr>
      <vt:lpstr>DEP.13C</vt:lpstr>
      <vt:lpstr>DEP.13D</vt:lpstr>
      <vt:lpstr>DEP 14A</vt:lpstr>
      <vt:lpstr>DEP.14B</vt:lpstr>
      <vt:lpstr>DEP.14C</vt:lpstr>
      <vt:lpstr>DEP.14D</vt:lpstr>
      <vt:lpstr>DEP.15A</vt:lpstr>
      <vt:lpstr>DEP.15B</vt:lpstr>
      <vt:lpstr>DEP.15C</vt:lpstr>
      <vt:lpstr>DEP.15D</vt:lpstr>
      <vt:lpstr>DEP.16A</vt:lpstr>
      <vt:lpstr>DEP.16B</vt:lpstr>
      <vt:lpstr>DEP.16C</vt:lpstr>
      <vt:lpstr>DEP.16D</vt:lpstr>
      <vt:lpstr>DEP.17A</vt:lpstr>
      <vt:lpstr>DEP. 17B</vt:lpstr>
      <vt:lpstr>DEP.17C</vt:lpstr>
      <vt:lpstr>DEP.17D</vt:lpstr>
      <vt:lpstr>DEP.18A</vt:lpstr>
      <vt:lpstr>DEP.18B</vt:lpstr>
      <vt:lpstr>DEP.18C</vt:lpstr>
      <vt:lpstr>DEP.18D</vt:lpstr>
      <vt:lpstr>DEP.19A</vt:lpstr>
      <vt:lpstr>DEP.19B</vt:lpstr>
      <vt:lpstr>DEP.19C</vt:lpstr>
      <vt:lpstr>DEP.19D</vt:lpstr>
      <vt:lpstr>DEP.20A</vt:lpstr>
      <vt:lpstr>DEP.20B</vt:lpstr>
      <vt:lpstr>DEP.20C</vt:lpstr>
      <vt:lpstr>DEP.20D</vt:lpstr>
      <vt:lpstr>DEP.21A</vt:lpstr>
      <vt:lpstr>DEP.21B</vt:lpstr>
      <vt:lpstr>DEP.21C</vt:lpstr>
      <vt:lpstr>DEP.21D</vt:lpstr>
      <vt:lpstr>DEP.22A</vt:lpstr>
      <vt:lpstr>DEP.22B</vt:lpstr>
      <vt:lpstr>DEP.22C</vt:lpstr>
      <vt:lpstr>DEP.22D</vt:lpstr>
      <vt:lpstr>DEP.23A</vt:lpstr>
      <vt:lpstr>DEP.23B</vt:lpstr>
      <vt:lpstr>DEP.23C</vt:lpstr>
      <vt:lpstr>DEP.23D</vt:lpstr>
      <vt:lpstr>DEP.24A</vt:lpstr>
      <vt:lpstr>DEP.24B</vt:lpstr>
      <vt:lpstr>DEP.24C</vt:lpstr>
      <vt:lpstr>DEP.24D</vt:lpstr>
      <vt:lpstr>DEP.25A</vt:lpstr>
      <vt:lpstr>DEP.25B</vt:lpstr>
      <vt:lpstr>DEP.25C</vt:lpstr>
      <vt:lpstr>DEP.25 D</vt:lpstr>
      <vt:lpstr>DEP.26A</vt:lpstr>
      <vt:lpstr>DEP.26B</vt:lpstr>
      <vt:lpstr>DEP.26C</vt:lpstr>
      <vt:lpstr>DEP.26D</vt:lpstr>
      <vt:lpstr>DEP.27A</vt:lpstr>
      <vt:lpstr>DEP.27B</vt:lpstr>
      <vt:lpstr>DEP.27C</vt:lpstr>
      <vt:lpstr>RESUMEN DEPARTAMENTOS</vt:lpstr>
      <vt:lpstr>DEP.28A</vt:lpstr>
      <vt:lpstr>DEP.28B</vt:lpstr>
      <vt:lpstr>DEP. 30</vt:lpstr>
      <vt:lpstr>PARQUEO 128</vt:lpstr>
      <vt:lpstr>'DEP. 17B'!Área_de_impresión</vt:lpstr>
      <vt:lpstr>DEP.11A!Área_de_impresión</vt:lpstr>
      <vt:lpstr>DEP.11B!Área_de_impresión</vt:lpstr>
      <vt:lpstr>DEP.12A!Área_de_impresión</vt:lpstr>
      <vt:lpstr>DEP.12B!Área_de_impresión</vt:lpstr>
      <vt:lpstr>DEP.13B!Área_de_impresión</vt:lpstr>
      <vt:lpstr>DEP.13C!Área_de_impresión</vt:lpstr>
      <vt:lpstr>DEP.15A!Área_de_impresión</vt:lpstr>
      <vt:lpstr>DEP.15C!Área_de_impresión</vt:lpstr>
      <vt:lpstr>DEP.15D!Área_de_impresión</vt:lpstr>
      <vt:lpstr>DEP.16A!Área_de_impresión</vt:lpstr>
      <vt:lpstr>DEP.16B!Área_de_impresión</vt:lpstr>
      <vt:lpstr>DEP.16C!Área_de_impresión</vt:lpstr>
      <vt:lpstr>DEP.16D!Área_de_impresión</vt:lpstr>
      <vt:lpstr>DEP.17A!Área_de_impresión</vt:lpstr>
      <vt:lpstr>DEP.17C!Área_de_impresión</vt:lpstr>
      <vt:lpstr>DEP.17D!Área_de_impresión</vt:lpstr>
      <vt:lpstr>DEP.18A!Área_de_impresión</vt:lpstr>
      <vt:lpstr>DEP.18B!Área_de_impresión</vt:lpstr>
      <vt:lpstr>DEP.18D!Área_de_impresión</vt:lpstr>
      <vt:lpstr>DEP.19C!Área_de_impresión</vt:lpstr>
      <vt:lpstr>DEP.19D!Área_de_impresión</vt:lpstr>
      <vt:lpstr>DEP.20A!Área_de_impresión</vt:lpstr>
      <vt:lpstr>DEP.20D!Área_de_impresión</vt:lpstr>
      <vt:lpstr>DEP.21A!Área_de_impresión</vt:lpstr>
      <vt:lpstr>DEP.21B!Área_de_impresión</vt:lpstr>
      <vt:lpstr>DEP.21C!Área_de_impresión</vt:lpstr>
      <vt:lpstr>DEP.21D!Área_de_impresión</vt:lpstr>
      <vt:lpstr>DEP.22A!Área_de_impresión</vt:lpstr>
      <vt:lpstr>DEP.22D!Área_de_impresión</vt:lpstr>
      <vt:lpstr>DEP.23D!Área_de_impresión</vt:lpstr>
      <vt:lpstr>DEP.24A!Área_de_impresión</vt:lpstr>
      <vt:lpstr>DEP.24B!Área_de_impresión</vt:lpstr>
      <vt:lpstr>DEP.24C!Área_de_impresión</vt:lpstr>
      <vt:lpstr>DEP.25A!Área_de_impresión</vt:lpstr>
      <vt:lpstr>DEP.25C!Área_de_impresión</vt:lpstr>
      <vt:lpstr>DEP.26A!Área_de_impresión</vt:lpstr>
      <vt:lpstr>DEP.26B!Área_de_impresión</vt:lpstr>
      <vt:lpstr>DEP.26D!Área_de_impresión</vt:lpstr>
      <vt:lpstr>DEP.27A!Área_de_impresión</vt:lpstr>
      <vt:lpstr>DEP.27B!Área_de_impresión</vt:lpstr>
      <vt:lpstr>DEP.27C!Área_de_impresión</vt:lpstr>
      <vt:lpstr>DEP.28A!Área_de_impresión</vt:lpstr>
      <vt:lpstr>'LOCAL 01'!Área_de_impresión</vt:lpstr>
      <vt:lpstr>'LOCAL 03'!Área_de_impresión</vt:lpstr>
      <vt:lpstr>'LOCAL 04'!Área_de_impresión</vt:lpstr>
      <vt:lpstr>'LOCAL 05'!Área_de_impresión</vt:lpstr>
      <vt:lpstr>'LOCAL 06'!Área_de_impresión</vt:lpstr>
      <vt:lpstr>'LOCAL 07'!Área_de_impresión</vt:lpstr>
      <vt:lpstr>'LOCAL 14'!Área_de_impresión</vt:lpstr>
      <vt:lpstr>'LOCAL 15'!Área_de_impresión</vt:lpstr>
      <vt:lpstr>'LOCAL 16'!Área_de_impresión</vt:lpstr>
      <vt:lpstr>'LOCAL 18'!Área_de_impresión</vt:lpstr>
      <vt:lpstr>OF.10A!Área_de_impresión</vt:lpstr>
      <vt:lpstr>OF.10B!Área_de_impresión</vt:lpstr>
      <vt:lpstr>OF.10C!Área_de_impresión</vt:lpstr>
      <vt:lpstr>OF.10D!Área_de_impresión</vt:lpstr>
      <vt:lpstr>OF.10E!Área_de_impresión</vt:lpstr>
      <vt:lpstr>OF.10F!Área_de_impresión</vt:lpstr>
      <vt:lpstr>OF.10G!Área_de_impresión</vt:lpstr>
      <vt:lpstr>OF.3A!Área_de_impresión</vt:lpstr>
      <vt:lpstr>OF.3B!Área_de_impresión</vt:lpstr>
      <vt:lpstr>OF.3C!Área_de_impresión</vt:lpstr>
      <vt:lpstr>OF.3D!Área_de_impresión</vt:lpstr>
      <vt:lpstr>OF.4B!Área_de_impresión</vt:lpstr>
      <vt:lpstr>OF.5B!Área_de_impresión</vt:lpstr>
      <vt:lpstr>OF.5C!Área_de_impresión</vt:lpstr>
      <vt:lpstr>OF.5E!Área_de_impresión</vt:lpstr>
      <vt:lpstr>OF.5F!Área_de_impresión</vt:lpstr>
      <vt:lpstr>OF.5G!Área_de_impresión</vt:lpstr>
      <vt:lpstr>OF.6C!Área_de_impresión</vt:lpstr>
      <vt:lpstr>OF.6E!Área_de_impresión</vt:lpstr>
      <vt:lpstr>OF.7A!Área_de_impresión</vt:lpstr>
      <vt:lpstr>OF.7D!Área_de_impresión</vt:lpstr>
      <vt:lpstr>OF.7E!Área_de_impresión</vt:lpstr>
      <vt:lpstr>OF.7F!Área_de_impresión</vt:lpstr>
      <vt:lpstr>OF.7G!Área_de_impresión</vt:lpstr>
      <vt:lpstr>OF.8B!Área_de_impresión</vt:lpstr>
      <vt:lpstr>OF.8E!Área_de_impresión</vt:lpstr>
      <vt:lpstr>OF.8F!Área_de_impresión</vt:lpstr>
      <vt:lpstr>OF.9B!Área_de_impresión</vt:lpstr>
      <vt:lpstr>OF.9C!Área_de_impresión</vt:lpstr>
      <vt:lpstr>OF.9E!Área_de_impresión</vt:lpstr>
      <vt:lpstr>OF.9F!Área_de_impresión</vt:lpstr>
      <vt:lpstr>OF.9G!Área_de_impresión</vt:lpstr>
      <vt:lpstr>'RESUMEN DEPARTAMENTOS'!Área_de_impresión</vt:lpstr>
      <vt:lpstr>'RESUMEN LOCALES'!Área_de_impresión</vt:lpstr>
      <vt:lpstr>'RESUMEN OFI'!Área_de_impresión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Maria Orozco JOA</dc:creator>
  <cp:lastModifiedBy>de</cp:lastModifiedBy>
  <cp:lastPrinted>2026-02-27T19:56:56Z</cp:lastPrinted>
  <dcterms:created xsi:type="dcterms:W3CDTF">2017-06-06T04:13:10Z</dcterms:created>
  <dcterms:modified xsi:type="dcterms:W3CDTF">2026-06-01T14:28:24Z</dcterms:modified>
</cp:coreProperties>
</file>