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zqi\Documents\"/>
    </mc:Choice>
  </mc:AlternateContent>
  <xr:revisionPtr revIDLastSave="0" documentId="13_ncr:1_{AC2129C9-247F-4702-BD9A-8DB104D91B0C}" xr6:coauthVersionLast="47" xr6:coauthVersionMax="47" xr10:uidLastSave="{00000000-0000-0000-0000-000000000000}"/>
  <bookViews>
    <workbookView xWindow="-110" yWindow="-110" windowWidth="19420" windowHeight="10520" xr2:uid="{EEAA0515-067F-49CD-BE72-FD7C921C95FE}"/>
  </bookViews>
  <sheets>
    <sheet name="Physical" sheetId="1" r:id="rId1"/>
    <sheet name="Arts" sheetId="3" r:id="rId2"/>
    <sheet name="Enem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32" i="1" l="1"/>
  <c r="AP32" i="1"/>
  <c r="AK32" i="1"/>
  <c r="AF32" i="1"/>
  <c r="AU31" i="1"/>
  <c r="AP31" i="1"/>
  <c r="AK31" i="1"/>
  <c r="AF31" i="1"/>
  <c r="AU30" i="1"/>
  <c r="AP30" i="1"/>
  <c r="AK30" i="1"/>
  <c r="AF30" i="1"/>
  <c r="AU29" i="1"/>
  <c r="AP29" i="1"/>
  <c r="AK29" i="1"/>
  <c r="AF29" i="1"/>
  <c r="AU28" i="1"/>
  <c r="AP28" i="1"/>
  <c r="AK28" i="1"/>
  <c r="AF28" i="1"/>
  <c r="AU27" i="1"/>
  <c r="AP27" i="1"/>
  <c r="AK27" i="1"/>
  <c r="AF27" i="1"/>
  <c r="AU26" i="1"/>
  <c r="AP26" i="1"/>
  <c r="AK26" i="1"/>
  <c r="AF26" i="1"/>
  <c r="AU25" i="1"/>
  <c r="AP25" i="1"/>
  <c r="AK25" i="1"/>
  <c r="AF25" i="1"/>
  <c r="AU24" i="1"/>
  <c r="AP24" i="1"/>
  <c r="AK24" i="1"/>
  <c r="AF24" i="1"/>
  <c r="AU23" i="1"/>
  <c r="AP23" i="1"/>
  <c r="AK23" i="1"/>
  <c r="AF23" i="1"/>
  <c r="AU22" i="1"/>
  <c r="AP22" i="1"/>
  <c r="AK22" i="1"/>
  <c r="AF22" i="1"/>
  <c r="AU21" i="1"/>
  <c r="AP21" i="1"/>
  <c r="AK21" i="1"/>
  <c r="AF21" i="1"/>
  <c r="AU20" i="1"/>
  <c r="AP20" i="1"/>
  <c r="AK20" i="1"/>
  <c r="AF20" i="1"/>
  <c r="AU19" i="1"/>
  <c r="AP19" i="1"/>
  <c r="AK19" i="1"/>
  <c r="AF19" i="1"/>
  <c r="AU18" i="1"/>
  <c r="AP18" i="1"/>
  <c r="AK18" i="1"/>
  <c r="AF18" i="1"/>
  <c r="AU17" i="1"/>
  <c r="AP17" i="1"/>
  <c r="AK17" i="1"/>
  <c r="AF17" i="1"/>
  <c r="AU16" i="1"/>
  <c r="AP16" i="1"/>
  <c r="AK16" i="1"/>
  <c r="AF16" i="1"/>
  <c r="AU15" i="1"/>
  <c r="AP15" i="1"/>
  <c r="AK15" i="1"/>
  <c r="AF15" i="1"/>
  <c r="AU14" i="1"/>
  <c r="AP14" i="1"/>
  <c r="AK14" i="1"/>
  <c r="AF14" i="1"/>
  <c r="AU13" i="1"/>
  <c r="AP13" i="1"/>
  <c r="AK13" i="1"/>
  <c r="AF13" i="1"/>
  <c r="AU12" i="1"/>
  <c r="AP12" i="1"/>
  <c r="AK12" i="1"/>
  <c r="AF12" i="1"/>
  <c r="AU11" i="1"/>
  <c r="AP11" i="1"/>
  <c r="AK11" i="1"/>
  <c r="AF11" i="1"/>
  <c r="AU10" i="1"/>
  <c r="AP10" i="1"/>
  <c r="AK10" i="1"/>
  <c r="AF10" i="1"/>
  <c r="AU9" i="1"/>
  <c r="AP9" i="1"/>
  <c r="AK9" i="1"/>
  <c r="AF9" i="1"/>
  <c r="AU8" i="1"/>
  <c r="AP8" i="1"/>
  <c r="AK8" i="1"/>
  <c r="AF8" i="1"/>
  <c r="AU7" i="1"/>
  <c r="AP7" i="1"/>
  <c r="AK7" i="1"/>
  <c r="AF7" i="1"/>
  <c r="AV6" i="1"/>
  <c r="AU6" i="1"/>
  <c r="AP6" i="1"/>
  <c r="AK6" i="1"/>
  <c r="AG6" i="1"/>
  <c r="AH6" i="1" s="1"/>
  <c r="AF6" i="1"/>
  <c r="AV5" i="1"/>
  <c r="AU5" i="1"/>
  <c r="AP5" i="1"/>
  <c r="AL5" i="1"/>
  <c r="AK5" i="1"/>
  <c r="AG5" i="1"/>
  <c r="AF5" i="1"/>
  <c r="AI4" i="1" s="1"/>
  <c r="AV4" i="1"/>
  <c r="AU4" i="1"/>
  <c r="AW5" i="1" s="1"/>
  <c r="AQ4" i="1"/>
  <c r="AR4" i="1" s="1"/>
  <c r="AP4" i="1"/>
  <c r="AL4" i="1"/>
  <c r="AK4" i="1"/>
  <c r="AM4" i="1" s="1"/>
  <c r="AH4" i="1"/>
  <c r="AG4" i="1"/>
  <c r="AF4" i="1"/>
  <c r="AC31" i="1"/>
  <c r="Z31" i="1"/>
  <c r="R31" i="1"/>
  <c r="V31" i="1" s="1"/>
  <c r="W31" i="1" s="1"/>
  <c r="AA31" i="1" s="1"/>
  <c r="Q31" i="1"/>
  <c r="S31" i="1" s="1"/>
  <c r="A31" i="1"/>
  <c r="T31" i="1" s="1"/>
  <c r="AP6" i="3"/>
  <c r="AP7" i="3" s="1"/>
  <c r="AU5" i="3"/>
  <c r="AU6" i="3" s="1"/>
  <c r="AP5" i="3"/>
  <c r="AF5" i="3"/>
  <c r="AF6" i="3" s="1"/>
  <c r="AU4" i="3"/>
  <c r="AP4" i="3"/>
  <c r="AK4" i="3"/>
  <c r="AF4" i="3"/>
  <c r="AB7" i="3"/>
  <c r="Y7" i="3"/>
  <c r="R7" i="3"/>
  <c r="V7" i="3" s="1"/>
  <c r="Z7" i="3" s="1"/>
  <c r="Q7" i="3"/>
  <c r="S7" i="3" s="1"/>
  <c r="A7" i="3"/>
  <c r="T7" i="3" s="1"/>
  <c r="AB6" i="3"/>
  <c r="Y6" i="3"/>
  <c r="R6" i="3"/>
  <c r="V6" i="3" s="1"/>
  <c r="Z6" i="3" s="1"/>
  <c r="Q6" i="3"/>
  <c r="S6" i="3" s="1"/>
  <c r="A6" i="3"/>
  <c r="T6" i="3" s="1"/>
  <c r="E10" i="3"/>
  <c r="I30" i="1"/>
  <c r="AC30" i="1"/>
  <c r="Z30" i="1"/>
  <c r="R30" i="1"/>
  <c r="V30" i="1" s="1"/>
  <c r="Q30" i="1"/>
  <c r="S30" i="1" s="1"/>
  <c r="A30" i="1"/>
  <c r="T30" i="1" s="1"/>
  <c r="AC29" i="1"/>
  <c r="Z29" i="1"/>
  <c r="R29" i="1"/>
  <c r="V29" i="1" s="1"/>
  <c r="Q29" i="1"/>
  <c r="S29" i="1" s="1"/>
  <c r="A29" i="1"/>
  <c r="T29" i="1" s="1"/>
  <c r="AG3" i="1"/>
  <c r="V2" i="1"/>
  <c r="W2" i="1" s="1"/>
  <c r="I28" i="1"/>
  <c r="I27" i="1"/>
  <c r="AC28" i="1"/>
  <c r="Z28" i="1"/>
  <c r="R28" i="1"/>
  <c r="V28" i="1" s="1"/>
  <c r="J28" i="1" s="1"/>
  <c r="Q28" i="1"/>
  <c r="S28" i="1" s="1"/>
  <c r="A28" i="1"/>
  <c r="T28" i="1" s="1"/>
  <c r="AC27" i="1"/>
  <c r="Z27" i="1"/>
  <c r="R27" i="1"/>
  <c r="V27" i="1" s="1"/>
  <c r="Q27" i="1"/>
  <c r="S27" i="1" s="1"/>
  <c r="A27" i="1"/>
  <c r="T27" i="1" s="1"/>
  <c r="H26" i="1"/>
  <c r="H25" i="1"/>
  <c r="H11" i="3"/>
  <c r="AU3" i="3"/>
  <c r="AB12" i="3"/>
  <c r="AB11" i="3"/>
  <c r="AB10" i="3"/>
  <c r="AB9" i="3"/>
  <c r="AB8" i="3"/>
  <c r="AB5" i="3"/>
  <c r="AB4" i="3"/>
  <c r="AB3" i="3"/>
  <c r="AC32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V3" i="1"/>
  <c r="Y11" i="3"/>
  <c r="R11" i="3"/>
  <c r="Q11" i="3"/>
  <c r="S11" i="3" s="1"/>
  <c r="A11" i="3"/>
  <c r="T11" i="3" s="1"/>
  <c r="E24" i="1"/>
  <c r="E23" i="1"/>
  <c r="Z26" i="1"/>
  <c r="R26" i="1"/>
  <c r="Q26" i="1"/>
  <c r="S26" i="1" s="1"/>
  <c r="A26" i="1"/>
  <c r="T26" i="1" s="1"/>
  <c r="Z25" i="1"/>
  <c r="R25" i="1"/>
  <c r="Q25" i="1"/>
  <c r="S25" i="1" s="1"/>
  <c r="A25" i="1"/>
  <c r="T25" i="1" s="1"/>
  <c r="Z24" i="1"/>
  <c r="R24" i="1"/>
  <c r="V24" i="1" s="1"/>
  <c r="W24" i="1" s="1"/>
  <c r="Q24" i="1"/>
  <c r="A24" i="1"/>
  <c r="T24" i="1" s="1"/>
  <c r="Z23" i="1"/>
  <c r="R23" i="1"/>
  <c r="V23" i="1" s="1"/>
  <c r="W23" i="1" s="1"/>
  <c r="Q23" i="1"/>
  <c r="A23" i="1"/>
  <c r="T23" i="1" s="1"/>
  <c r="Y12" i="3"/>
  <c r="Y10" i="3"/>
  <c r="Y9" i="3"/>
  <c r="Y8" i="3"/>
  <c r="Y5" i="3"/>
  <c r="Y4" i="3"/>
  <c r="Y3" i="3"/>
  <c r="Z32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E21" i="1"/>
  <c r="H21" i="1"/>
  <c r="R21" i="1"/>
  <c r="Q21" i="1"/>
  <c r="A21" i="1"/>
  <c r="T21" i="1" s="1"/>
  <c r="R22" i="1"/>
  <c r="V22" i="1" s="1"/>
  <c r="W22" i="1" s="1"/>
  <c r="Q22" i="1"/>
  <c r="S22" i="1" s="1"/>
  <c r="A22" i="1"/>
  <c r="T22" i="1" s="1"/>
  <c r="AP3" i="3"/>
  <c r="AQ3" i="1"/>
  <c r="O13" i="1"/>
  <c r="I19" i="1"/>
  <c r="I18" i="1"/>
  <c r="R20" i="1"/>
  <c r="V20" i="1" s="1"/>
  <c r="W20" i="1" s="1"/>
  <c r="Q20" i="1"/>
  <c r="S20" i="1" s="1"/>
  <c r="A20" i="1"/>
  <c r="T20" i="1" s="1"/>
  <c r="R19" i="1"/>
  <c r="V19" i="1" s="1"/>
  <c r="W19" i="1" s="1"/>
  <c r="Q19" i="1"/>
  <c r="S19" i="1" s="1"/>
  <c r="A19" i="1"/>
  <c r="T19" i="1" s="1"/>
  <c r="R18" i="1"/>
  <c r="V18" i="1" s="1"/>
  <c r="W18" i="1" s="1"/>
  <c r="Q18" i="1"/>
  <c r="S18" i="1" s="1"/>
  <c r="A18" i="1"/>
  <c r="T18" i="1" s="1"/>
  <c r="R10" i="3"/>
  <c r="V10" i="3" s="1"/>
  <c r="Q10" i="3"/>
  <c r="A10" i="3"/>
  <c r="T10" i="3" s="1"/>
  <c r="R9" i="3"/>
  <c r="V9" i="3" s="1"/>
  <c r="Q9" i="3"/>
  <c r="S9" i="3" s="1"/>
  <c r="A9" i="3"/>
  <c r="T9" i="3" s="1"/>
  <c r="V2" i="3"/>
  <c r="Z2" i="3" s="1"/>
  <c r="F3" i="3"/>
  <c r="E2" i="3"/>
  <c r="S2" i="3" s="1"/>
  <c r="A12" i="3"/>
  <c r="T12" i="3" s="1"/>
  <c r="Q12" i="3"/>
  <c r="S12" i="3" s="1"/>
  <c r="R12" i="3"/>
  <c r="V12" i="3" s="1"/>
  <c r="A4" i="3"/>
  <c r="T4" i="3" s="1"/>
  <c r="Q4" i="3"/>
  <c r="S4" i="3" s="1"/>
  <c r="R4" i="3"/>
  <c r="V4" i="3" s="1"/>
  <c r="A5" i="3"/>
  <c r="T5" i="3" s="1"/>
  <c r="Q5" i="3"/>
  <c r="S5" i="3" s="1"/>
  <c r="R5" i="3"/>
  <c r="V5" i="3" s="1"/>
  <c r="A8" i="3"/>
  <c r="T8" i="3" s="1"/>
  <c r="Q8" i="3"/>
  <c r="S8" i="3" s="1"/>
  <c r="R8" i="3"/>
  <c r="V8" i="3" s="1"/>
  <c r="A3" i="3"/>
  <c r="T3" i="3" s="1"/>
  <c r="Q3" i="3"/>
  <c r="S3" i="3" s="1"/>
  <c r="R3" i="3"/>
  <c r="AF3" i="3"/>
  <c r="AK3" i="3"/>
  <c r="T2" i="3"/>
  <c r="T2" i="1"/>
  <c r="R17" i="1"/>
  <c r="V17" i="1" s="1"/>
  <c r="W17" i="1" s="1"/>
  <c r="Q17" i="1"/>
  <c r="S17" i="1" s="1"/>
  <c r="A17" i="1"/>
  <c r="T17" i="1" s="1"/>
  <c r="A32" i="1"/>
  <c r="T32" i="1" s="1"/>
  <c r="A16" i="1"/>
  <c r="T16" i="1" s="1"/>
  <c r="A15" i="1"/>
  <c r="T15" i="1" s="1"/>
  <c r="A14" i="1"/>
  <c r="T14" i="1" s="1"/>
  <c r="A13" i="1"/>
  <c r="T13" i="1" s="1"/>
  <c r="A12" i="1"/>
  <c r="T12" i="1" s="1"/>
  <c r="A11" i="1"/>
  <c r="T11" i="1" s="1"/>
  <c r="A10" i="1"/>
  <c r="T10" i="1" s="1"/>
  <c r="A9" i="1"/>
  <c r="T9" i="1" s="1"/>
  <c r="A8" i="1"/>
  <c r="T8" i="1" s="1"/>
  <c r="A7" i="1"/>
  <c r="T7" i="1" s="1"/>
  <c r="A6" i="1"/>
  <c r="T6" i="1" s="1"/>
  <c r="A5" i="1"/>
  <c r="T5" i="1" s="1"/>
  <c r="A4" i="1"/>
  <c r="T4" i="1" s="1"/>
  <c r="A3" i="1"/>
  <c r="T3" i="1" s="1"/>
  <c r="R32" i="1"/>
  <c r="V32" i="1" s="1"/>
  <c r="W32" i="1" s="1"/>
  <c r="Q32" i="1"/>
  <c r="S32" i="1" s="1"/>
  <c r="R16" i="1"/>
  <c r="V16" i="1" s="1"/>
  <c r="W16" i="1" s="1"/>
  <c r="Q16" i="1"/>
  <c r="S16" i="1" s="1"/>
  <c r="R15" i="1"/>
  <c r="V15" i="1" s="1"/>
  <c r="W15" i="1" s="1"/>
  <c r="Q15" i="1"/>
  <c r="S15" i="1" s="1"/>
  <c r="R14" i="1"/>
  <c r="V14" i="1" s="1"/>
  <c r="W14" i="1" s="1"/>
  <c r="Q14" i="1"/>
  <c r="S14" i="1" s="1"/>
  <c r="R13" i="1"/>
  <c r="V13" i="1" s="1"/>
  <c r="W13" i="1" s="1"/>
  <c r="Q13" i="1"/>
  <c r="S13" i="1" s="1"/>
  <c r="R12" i="1"/>
  <c r="V12" i="1" s="1"/>
  <c r="W12" i="1" s="1"/>
  <c r="Q12" i="1"/>
  <c r="S12" i="1" s="1"/>
  <c r="R11" i="1"/>
  <c r="V11" i="1" s="1"/>
  <c r="W11" i="1" s="1"/>
  <c r="Q11" i="1"/>
  <c r="S11" i="1" s="1"/>
  <c r="R10" i="1"/>
  <c r="V10" i="1" s="1"/>
  <c r="W10" i="1" s="1"/>
  <c r="Q10" i="1"/>
  <c r="S10" i="1" s="1"/>
  <c r="R9" i="1"/>
  <c r="V9" i="1" s="1"/>
  <c r="W9" i="1" s="1"/>
  <c r="Q9" i="1"/>
  <c r="S9" i="1" s="1"/>
  <c r="R8" i="1"/>
  <c r="V8" i="1" s="1"/>
  <c r="W8" i="1" s="1"/>
  <c r="Q8" i="1"/>
  <c r="S8" i="1" s="1"/>
  <c r="R7" i="1"/>
  <c r="V7" i="1" s="1"/>
  <c r="W7" i="1" s="1"/>
  <c r="Q7" i="1"/>
  <c r="S7" i="1" s="1"/>
  <c r="R6" i="1"/>
  <c r="V6" i="1" s="1"/>
  <c r="W6" i="1" s="1"/>
  <c r="Q6" i="1"/>
  <c r="S6" i="1" s="1"/>
  <c r="R5" i="1"/>
  <c r="V5" i="1" s="1"/>
  <c r="W5" i="1" s="1"/>
  <c r="Q5" i="1"/>
  <c r="S5" i="1" s="1"/>
  <c r="R4" i="1"/>
  <c r="V4" i="1" s="1"/>
  <c r="W4" i="1" s="1"/>
  <c r="Q4" i="1"/>
  <c r="S4" i="1" s="1"/>
  <c r="R3" i="1"/>
  <c r="V3" i="1" s="1"/>
  <c r="W3" i="1" s="1"/>
  <c r="Q3" i="1"/>
  <c r="S3" i="1" s="1"/>
  <c r="AL3" i="1"/>
  <c r="K3" i="1"/>
  <c r="I10" i="1"/>
  <c r="I8" i="1"/>
  <c r="I9" i="1"/>
  <c r="I3" i="1"/>
  <c r="S2" i="1"/>
  <c r="I4" i="1"/>
  <c r="AN4" i="1" l="1"/>
  <c r="AV7" i="1"/>
  <c r="AX6" i="1"/>
  <c r="AI5" i="1"/>
  <c r="AG7" i="1"/>
  <c r="AI6" i="1"/>
  <c r="AH5" i="1"/>
  <c r="AW4" i="1"/>
  <c r="AL6" i="1"/>
  <c r="AN5" i="1"/>
  <c r="AX5" i="1"/>
  <c r="AW6" i="1"/>
  <c r="AQ5" i="1"/>
  <c r="AS4" i="1"/>
  <c r="AX4" i="1"/>
  <c r="AM5" i="1"/>
  <c r="U31" i="1"/>
  <c r="U7" i="3"/>
  <c r="W7" i="3" s="1"/>
  <c r="U6" i="3"/>
  <c r="W6" i="3" s="1"/>
  <c r="AU7" i="3"/>
  <c r="AF7" i="3"/>
  <c r="AP8" i="3"/>
  <c r="AK5" i="3"/>
  <c r="Z4" i="3"/>
  <c r="V11" i="3"/>
  <c r="Z11" i="3" s="1"/>
  <c r="S10" i="3"/>
  <c r="U10" i="3" s="1"/>
  <c r="W10" i="3" s="1"/>
  <c r="V21" i="1"/>
  <c r="W21" i="1" s="1"/>
  <c r="V25" i="1"/>
  <c r="W25" i="1" s="1"/>
  <c r="V26" i="1"/>
  <c r="W26" i="1" s="1"/>
  <c r="U29" i="1"/>
  <c r="U30" i="1"/>
  <c r="W30" i="1"/>
  <c r="AA30" i="1" s="1"/>
  <c r="W29" i="1"/>
  <c r="AA29" i="1" s="1"/>
  <c r="W28" i="1"/>
  <c r="AA28" i="1" s="1"/>
  <c r="AB28" i="1" s="1"/>
  <c r="W27" i="1"/>
  <c r="AA11" i="1"/>
  <c r="AA5" i="1"/>
  <c r="AA32" i="1"/>
  <c r="AA24" i="1"/>
  <c r="AA17" i="1"/>
  <c r="U27" i="1"/>
  <c r="X27" i="1" s="1"/>
  <c r="AA19" i="1"/>
  <c r="AA27" i="1"/>
  <c r="U28" i="1"/>
  <c r="AA25" i="1"/>
  <c r="AA26" i="1"/>
  <c r="Z12" i="3"/>
  <c r="Z10" i="3"/>
  <c r="Z8" i="3"/>
  <c r="Z9" i="3"/>
  <c r="Z5" i="3"/>
  <c r="AA8" i="1"/>
  <c r="AA14" i="1"/>
  <c r="AA23" i="1"/>
  <c r="AA13" i="1"/>
  <c r="AA6" i="1"/>
  <c r="AA12" i="1"/>
  <c r="AA18" i="1"/>
  <c r="AA20" i="1"/>
  <c r="U26" i="1"/>
  <c r="S24" i="1"/>
  <c r="U24" i="1" s="1"/>
  <c r="AA4" i="1"/>
  <c r="AA7" i="1"/>
  <c r="AA10" i="1"/>
  <c r="AA16" i="1"/>
  <c r="AA22" i="1"/>
  <c r="AA3" i="1"/>
  <c r="AA9" i="1"/>
  <c r="AA15" i="1"/>
  <c r="U11" i="3"/>
  <c r="S23" i="1"/>
  <c r="U23" i="1" s="1"/>
  <c r="U25" i="1"/>
  <c r="S21" i="1"/>
  <c r="U21" i="1" s="1"/>
  <c r="U20" i="1"/>
  <c r="AA2" i="1"/>
  <c r="U6" i="1"/>
  <c r="U12" i="1"/>
  <c r="AA21" i="1"/>
  <c r="U4" i="1"/>
  <c r="U16" i="1"/>
  <c r="U7" i="1"/>
  <c r="U13" i="1"/>
  <c r="U18" i="1"/>
  <c r="U22" i="1"/>
  <c r="U5" i="1"/>
  <c r="U11" i="1"/>
  <c r="U32" i="1"/>
  <c r="U19" i="1"/>
  <c r="U17" i="1"/>
  <c r="U14" i="1"/>
  <c r="U3" i="1"/>
  <c r="U9" i="1"/>
  <c r="U15" i="1"/>
  <c r="U2" i="1"/>
  <c r="U8" i="1"/>
  <c r="U10" i="1"/>
  <c r="U8" i="3"/>
  <c r="W8" i="3" s="1"/>
  <c r="U3" i="3"/>
  <c r="U5" i="3"/>
  <c r="W5" i="3" s="1"/>
  <c r="U12" i="3"/>
  <c r="W12" i="3" s="1"/>
  <c r="U4" i="3"/>
  <c r="W4" i="3" s="1"/>
  <c r="U9" i="3"/>
  <c r="W9" i="3" s="1"/>
  <c r="U2" i="3"/>
  <c r="W2" i="3" s="1"/>
  <c r="X2" i="3" s="1"/>
  <c r="V3" i="3"/>
  <c r="Z3" i="3" s="1"/>
  <c r="AG8" i="1" l="1"/>
  <c r="AI7" i="1"/>
  <c r="AH7" i="1"/>
  <c r="AL7" i="1"/>
  <c r="AN6" i="1"/>
  <c r="AM6" i="1"/>
  <c r="AV8" i="1"/>
  <c r="AW7" i="1"/>
  <c r="AX7" i="1"/>
  <c r="AQ6" i="1"/>
  <c r="AR5" i="1"/>
  <c r="AS5" i="1"/>
  <c r="X29" i="1"/>
  <c r="AB31" i="1"/>
  <c r="X31" i="1"/>
  <c r="W11" i="3"/>
  <c r="X11" i="3" s="1"/>
  <c r="AA7" i="3"/>
  <c r="X6" i="3"/>
  <c r="X5" i="3"/>
  <c r="X9" i="3"/>
  <c r="X8" i="3"/>
  <c r="AA6" i="3"/>
  <c r="AC6" i="3" s="1"/>
  <c r="X4" i="3"/>
  <c r="X12" i="3"/>
  <c r="X10" i="3"/>
  <c r="X7" i="3"/>
  <c r="AF8" i="3"/>
  <c r="AK6" i="3"/>
  <c r="AP9" i="3"/>
  <c r="AU8" i="3"/>
  <c r="AC7" i="3"/>
  <c r="X28" i="1"/>
  <c r="Y28" i="1" s="1"/>
  <c r="AB29" i="1"/>
  <c r="AB30" i="1"/>
  <c r="AD30" i="1" s="1"/>
  <c r="Y29" i="1"/>
  <c r="AB27" i="1"/>
  <c r="AD27" i="1" s="1"/>
  <c r="AD29" i="1"/>
  <c r="X30" i="1"/>
  <c r="AD28" i="1"/>
  <c r="Y27" i="1"/>
  <c r="W3" i="3"/>
  <c r="X9" i="1"/>
  <c r="AB9" i="1"/>
  <c r="AB3" i="1"/>
  <c r="AD3" i="1" s="1"/>
  <c r="X3" i="1"/>
  <c r="X21" i="1"/>
  <c r="AB21" i="1"/>
  <c r="AB24" i="1"/>
  <c r="X24" i="1"/>
  <c r="X10" i="1"/>
  <c r="AB10" i="1"/>
  <c r="X14" i="1"/>
  <c r="AB14" i="1"/>
  <c r="X22" i="1"/>
  <c r="AB22" i="1"/>
  <c r="X25" i="1"/>
  <c r="AB25" i="1"/>
  <c r="AB16" i="1"/>
  <c r="X16" i="1"/>
  <c r="AB5" i="1"/>
  <c r="X5" i="1"/>
  <c r="AB17" i="1"/>
  <c r="X17" i="1"/>
  <c r="X12" i="1"/>
  <c r="AB12" i="1"/>
  <c r="AB23" i="1"/>
  <c r="X23" i="1"/>
  <c r="X26" i="1"/>
  <c r="AB26" i="1"/>
  <c r="AB11" i="1"/>
  <c r="X11" i="1"/>
  <c r="AB4" i="1"/>
  <c r="X4" i="1"/>
  <c r="AB19" i="1"/>
  <c r="X19" i="1"/>
  <c r="X20" i="1"/>
  <c r="AB20" i="1"/>
  <c r="X8" i="1"/>
  <c r="AB8" i="1"/>
  <c r="X18" i="1"/>
  <c r="AB18" i="1"/>
  <c r="X2" i="1"/>
  <c r="Y2" i="1" s="1"/>
  <c r="AB2" i="1"/>
  <c r="AD2" i="1" s="1"/>
  <c r="X13" i="1"/>
  <c r="AB13" i="1"/>
  <c r="AB6" i="1"/>
  <c r="X6" i="1"/>
  <c r="AB15" i="1"/>
  <c r="X15" i="1"/>
  <c r="AB32" i="1"/>
  <c r="X32" i="1"/>
  <c r="AB7" i="1"/>
  <c r="X7" i="1"/>
  <c r="AA11" i="3"/>
  <c r="AA4" i="3"/>
  <c r="AA12" i="3"/>
  <c r="AA5" i="3"/>
  <c r="AA10" i="3"/>
  <c r="AA2" i="3"/>
  <c r="AC2" i="3" s="1"/>
  <c r="AA8" i="3"/>
  <c r="AA9" i="3"/>
  <c r="AA3" i="3"/>
  <c r="AC3" i="3" s="1"/>
  <c r="AS6" i="1" l="1"/>
  <c r="AQ7" i="1"/>
  <c r="AR6" i="1"/>
  <c r="AN7" i="1"/>
  <c r="AM7" i="1"/>
  <c r="AL8" i="1"/>
  <c r="AX8" i="1"/>
  <c r="AV9" i="1"/>
  <c r="AW8" i="1"/>
  <c r="AI8" i="1"/>
  <c r="AH8" i="1"/>
  <c r="AG9" i="1"/>
  <c r="Y31" i="1"/>
  <c r="AD31" i="1"/>
  <c r="AE6" i="3"/>
  <c r="AE5" i="3"/>
  <c r="AE12" i="3"/>
  <c r="AE9" i="3"/>
  <c r="AE11" i="3"/>
  <c r="AE8" i="3"/>
  <c r="AC9" i="3"/>
  <c r="AO9" i="3"/>
  <c r="AC4" i="3"/>
  <c r="AO4" i="3"/>
  <c r="AO7" i="3"/>
  <c r="AC10" i="3"/>
  <c r="AO10" i="3"/>
  <c r="AO6" i="3"/>
  <c r="AC5" i="3"/>
  <c r="AO5" i="3"/>
  <c r="AC12" i="3"/>
  <c r="AO12" i="3"/>
  <c r="AC8" i="3"/>
  <c r="AO8" i="3"/>
  <c r="AC11" i="3"/>
  <c r="AO11" i="3"/>
  <c r="AE10" i="3"/>
  <c r="AE4" i="3"/>
  <c r="AE7" i="3"/>
  <c r="AK7" i="3"/>
  <c r="AU9" i="3"/>
  <c r="AP10" i="3"/>
  <c r="AF9" i="3"/>
  <c r="X3" i="3"/>
  <c r="AJ9" i="3" s="1"/>
  <c r="Y30" i="1"/>
  <c r="Y15" i="1"/>
  <c r="AD23" i="1"/>
  <c r="Y14" i="1"/>
  <c r="AD15" i="1"/>
  <c r="Y20" i="1"/>
  <c r="AD12" i="1"/>
  <c r="AD14" i="1"/>
  <c r="AD21" i="1"/>
  <c r="Y6" i="1"/>
  <c r="AD18" i="1"/>
  <c r="Y12" i="1"/>
  <c r="Y21" i="1"/>
  <c r="AD7" i="1"/>
  <c r="AD6" i="1"/>
  <c r="Y18" i="1"/>
  <c r="Y19" i="1"/>
  <c r="AD26" i="1"/>
  <c r="Y17" i="1"/>
  <c r="AD25" i="1"/>
  <c r="AD10" i="1"/>
  <c r="Y3" i="1"/>
  <c r="AF3" i="1"/>
  <c r="AD32" i="1"/>
  <c r="Y13" i="1"/>
  <c r="Y8" i="1"/>
  <c r="Y4" i="1"/>
  <c r="Y23" i="1"/>
  <c r="Y5" i="1"/>
  <c r="AD22" i="1"/>
  <c r="Y24" i="1"/>
  <c r="AD9" i="1"/>
  <c r="AD20" i="1"/>
  <c r="AD4" i="1"/>
  <c r="AD5" i="1"/>
  <c r="Y22" i="1"/>
  <c r="AD24" i="1"/>
  <c r="Y9" i="1"/>
  <c r="Y11" i="1"/>
  <c r="Y16" i="1"/>
  <c r="Y7" i="1"/>
  <c r="AD16" i="1"/>
  <c r="Y32" i="1"/>
  <c r="AD13" i="1"/>
  <c r="AD8" i="1"/>
  <c r="AD19" i="1"/>
  <c r="Y26" i="1"/>
  <c r="AD17" i="1"/>
  <c r="Y25" i="1"/>
  <c r="Y10" i="1"/>
  <c r="AD11" i="1"/>
  <c r="AE2" i="3"/>
  <c r="AE3" i="3"/>
  <c r="AO2" i="3"/>
  <c r="AO3" i="3"/>
  <c r="AP2" i="1"/>
  <c r="AP3" i="1"/>
  <c r="AF2" i="1"/>
  <c r="AL9" i="1" l="1"/>
  <c r="AN8" i="1"/>
  <c r="AM8" i="1"/>
  <c r="AG10" i="1"/>
  <c r="AI9" i="1"/>
  <c r="AH9" i="1"/>
  <c r="AV10" i="1"/>
  <c r="AX9" i="1"/>
  <c r="AW9" i="1"/>
  <c r="AQ8" i="1"/>
  <c r="AS7" i="1"/>
  <c r="AR7" i="1"/>
  <c r="AJ6" i="3"/>
  <c r="AJ10" i="3"/>
  <c r="AT2" i="3"/>
  <c r="AG8" i="3"/>
  <c r="AJ4" i="3"/>
  <c r="AT8" i="3"/>
  <c r="AJ8" i="3"/>
  <c r="AJ7" i="3"/>
  <c r="AJ11" i="3"/>
  <c r="AH8" i="3"/>
  <c r="AJ12" i="3"/>
  <c r="AJ5" i="3"/>
  <c r="AJ2" i="3"/>
  <c r="AT10" i="3"/>
  <c r="AT3" i="3"/>
  <c r="AG5" i="3"/>
  <c r="AT7" i="3"/>
  <c r="AQ4" i="3"/>
  <c r="AR4" i="3"/>
  <c r="AR7" i="3"/>
  <c r="AQ5" i="3"/>
  <c r="AQ7" i="3"/>
  <c r="AR5" i="3"/>
  <c r="AR6" i="3"/>
  <c r="AQ8" i="3"/>
  <c r="AR8" i="3"/>
  <c r="AR9" i="3"/>
  <c r="AT12" i="3"/>
  <c r="AT4" i="3"/>
  <c r="AW2" i="3" s="1"/>
  <c r="AT11" i="3"/>
  <c r="AQ6" i="3"/>
  <c r="AH4" i="3"/>
  <c r="AG4" i="3"/>
  <c r="AH6" i="3"/>
  <c r="AH5" i="3"/>
  <c r="AG6" i="3"/>
  <c r="AG7" i="3"/>
  <c r="AH7" i="3"/>
  <c r="AQ9" i="3"/>
  <c r="AT5" i="3"/>
  <c r="AT9" i="3"/>
  <c r="AT6" i="3"/>
  <c r="AV2" i="3" s="1"/>
  <c r="AU10" i="3"/>
  <c r="AH9" i="3"/>
  <c r="AG9" i="3"/>
  <c r="AF10" i="3"/>
  <c r="AR10" i="3"/>
  <c r="AQ10" i="3"/>
  <c r="AP11" i="3"/>
  <c r="AK8" i="3"/>
  <c r="AR3" i="1"/>
  <c r="AU2" i="1"/>
  <c r="AU3" i="1"/>
  <c r="AJ3" i="3"/>
  <c r="AH2" i="3"/>
  <c r="AG2" i="3"/>
  <c r="AQ2" i="3"/>
  <c r="AR3" i="3"/>
  <c r="AR2" i="3"/>
  <c r="AQ3" i="3"/>
  <c r="AH3" i="3"/>
  <c r="AG3" i="3"/>
  <c r="AH3" i="1"/>
  <c r="AH2" i="1"/>
  <c r="AS3" i="1"/>
  <c r="AS2" i="1"/>
  <c r="AR2" i="1"/>
  <c r="AI2" i="1"/>
  <c r="AI3" i="1"/>
  <c r="AK3" i="1"/>
  <c r="AK2" i="1"/>
  <c r="AQ9" i="1" l="1"/>
  <c r="AS8" i="1"/>
  <c r="AR8" i="1"/>
  <c r="AG11" i="1"/>
  <c r="AH10" i="1"/>
  <c r="AI10" i="1"/>
  <c r="AV11" i="1"/>
  <c r="AX10" i="1"/>
  <c r="AW10" i="1"/>
  <c r="AL10" i="1"/>
  <c r="AM9" i="1"/>
  <c r="AN9" i="1"/>
  <c r="AW7" i="3"/>
  <c r="AV6" i="3"/>
  <c r="AV3" i="3"/>
  <c r="AV4" i="3"/>
  <c r="AW4" i="3"/>
  <c r="AL6" i="3"/>
  <c r="AM6" i="3"/>
  <c r="AL7" i="3"/>
  <c r="AL5" i="3"/>
  <c r="AM7" i="3"/>
  <c r="AL4" i="3"/>
  <c r="AW5" i="3"/>
  <c r="AV7" i="3"/>
  <c r="AM4" i="3"/>
  <c r="AW8" i="3"/>
  <c r="AW3" i="3"/>
  <c r="AV9" i="3"/>
  <c r="AW6" i="3"/>
  <c r="AW9" i="3"/>
  <c r="AM5" i="3"/>
  <c r="AV5" i="3"/>
  <c r="AV8" i="3"/>
  <c r="AF11" i="3"/>
  <c r="AG10" i="3"/>
  <c r="AH10" i="3"/>
  <c r="AM8" i="3"/>
  <c r="AL8" i="3"/>
  <c r="AK9" i="3"/>
  <c r="AP12" i="3"/>
  <c r="AQ11" i="3"/>
  <c r="AR11" i="3"/>
  <c r="AU11" i="3"/>
  <c r="AV10" i="3"/>
  <c r="AW10" i="3"/>
  <c r="AW3" i="1"/>
  <c r="AX2" i="1"/>
  <c r="AW2" i="1"/>
  <c r="AX3" i="1"/>
  <c r="AM2" i="3"/>
  <c r="AL2" i="3"/>
  <c r="AL3" i="3"/>
  <c r="AM3" i="3"/>
  <c r="AM3" i="1"/>
  <c r="AM2" i="1"/>
  <c r="AN2" i="1"/>
  <c r="AN3" i="1"/>
  <c r="AI11" i="1" l="1"/>
  <c r="AG12" i="1"/>
  <c r="AH11" i="1"/>
  <c r="AN10" i="1"/>
  <c r="AM10" i="1"/>
  <c r="AL11" i="1"/>
  <c r="AX11" i="1"/>
  <c r="AV12" i="1"/>
  <c r="AW11" i="1"/>
  <c r="AS9" i="1"/>
  <c r="AR9" i="1"/>
  <c r="AQ10" i="1"/>
  <c r="AK10" i="3"/>
  <c r="AL9" i="3"/>
  <c r="AM9" i="3"/>
  <c r="AV11" i="3"/>
  <c r="AU12" i="3"/>
  <c r="AW11" i="3"/>
  <c r="AQ12" i="3"/>
  <c r="AR12" i="3"/>
  <c r="AF12" i="3"/>
  <c r="AH11" i="3"/>
  <c r="AG11" i="3"/>
  <c r="AQ11" i="1" l="1"/>
  <c r="AS10" i="1"/>
  <c r="AR10" i="1"/>
  <c r="AL12" i="1"/>
  <c r="AN11" i="1"/>
  <c r="AM11" i="1"/>
  <c r="AV13" i="1"/>
  <c r="AX12" i="1"/>
  <c r="AW12" i="1"/>
  <c r="AG13" i="1"/>
  <c r="AI12" i="1"/>
  <c r="AH12" i="1"/>
  <c r="AW12" i="3"/>
  <c r="AV12" i="3"/>
  <c r="AH12" i="3"/>
  <c r="AG12" i="3"/>
  <c r="AK11" i="3"/>
  <c r="AM10" i="3"/>
  <c r="AL10" i="3"/>
  <c r="AG14" i="1" l="1"/>
  <c r="AI13" i="1"/>
  <c r="AH13" i="1"/>
  <c r="AL13" i="1"/>
  <c r="AM12" i="1"/>
  <c r="AN12" i="1"/>
  <c r="AV14" i="1"/>
  <c r="AX13" i="1"/>
  <c r="AW13" i="1"/>
  <c r="AQ12" i="1"/>
  <c r="AS11" i="1"/>
  <c r="AR11" i="1"/>
  <c r="AM11" i="3"/>
  <c r="AL11" i="3"/>
  <c r="AK12" i="3"/>
  <c r="AS12" i="1" l="1"/>
  <c r="AR12" i="1"/>
  <c r="AQ13" i="1"/>
  <c r="AN13" i="1"/>
  <c r="AL14" i="1"/>
  <c r="AM13" i="1"/>
  <c r="AX14" i="1"/>
  <c r="AW14" i="1"/>
  <c r="AV15" i="1"/>
  <c r="AI14" i="1"/>
  <c r="AG15" i="1"/>
  <c r="AH14" i="1"/>
  <c r="AM12" i="3"/>
  <c r="AL12" i="3"/>
  <c r="AG16" i="1" l="1"/>
  <c r="AI15" i="1"/>
  <c r="AH15" i="1"/>
  <c r="AV16" i="1"/>
  <c r="AX15" i="1"/>
  <c r="AW15" i="1"/>
  <c r="AQ14" i="1"/>
  <c r="AS13" i="1"/>
  <c r="AR13" i="1"/>
  <c r="AL15" i="1"/>
  <c r="AN14" i="1"/>
  <c r="AM14" i="1"/>
  <c r="AL16" i="1" l="1"/>
  <c r="AN15" i="1"/>
  <c r="AM15" i="1"/>
  <c r="AV17" i="1"/>
  <c r="AX16" i="1"/>
  <c r="AW16" i="1"/>
  <c r="AQ15" i="1"/>
  <c r="AS14" i="1"/>
  <c r="AR14" i="1"/>
  <c r="AG17" i="1"/>
  <c r="AH16" i="1"/>
  <c r="AI16" i="1"/>
  <c r="AI17" i="1" l="1"/>
  <c r="AH17" i="1"/>
  <c r="AG18" i="1"/>
  <c r="AX17" i="1"/>
  <c r="AW17" i="1"/>
  <c r="AV18" i="1"/>
  <c r="AS15" i="1"/>
  <c r="AQ16" i="1"/>
  <c r="AR15" i="1"/>
  <c r="AN16" i="1"/>
  <c r="AL17" i="1"/>
  <c r="AM16" i="1"/>
  <c r="AV19" i="1" l="1"/>
  <c r="AX18" i="1"/>
  <c r="AW18" i="1"/>
  <c r="AL18" i="1"/>
  <c r="AN17" i="1"/>
  <c r="AM17" i="1"/>
  <c r="AG19" i="1"/>
  <c r="AI18" i="1"/>
  <c r="AH18" i="1"/>
  <c r="AQ17" i="1"/>
  <c r="AS16" i="1"/>
  <c r="AR16" i="1"/>
  <c r="AL19" i="1" l="1"/>
  <c r="AN18" i="1"/>
  <c r="AM18" i="1"/>
  <c r="AQ18" i="1"/>
  <c r="AS17" i="1"/>
  <c r="AR17" i="1"/>
  <c r="AG20" i="1"/>
  <c r="AH19" i="1"/>
  <c r="AI19" i="1"/>
  <c r="AV20" i="1"/>
  <c r="AX19" i="1"/>
  <c r="AW19" i="1"/>
  <c r="AX20" i="1" l="1"/>
  <c r="AW20" i="1"/>
  <c r="AV21" i="1"/>
  <c r="AS18" i="1"/>
  <c r="AR18" i="1"/>
  <c r="AQ19" i="1"/>
  <c r="AI20" i="1"/>
  <c r="AH20" i="1"/>
  <c r="AG21" i="1"/>
  <c r="AN19" i="1"/>
  <c r="AM19" i="1"/>
  <c r="AL20" i="1"/>
  <c r="AG22" i="1" l="1"/>
  <c r="AI21" i="1"/>
  <c r="AH21" i="1"/>
  <c r="AV22" i="1"/>
  <c r="AX21" i="1"/>
  <c r="AW21" i="1"/>
  <c r="AL21" i="1"/>
  <c r="AN20" i="1"/>
  <c r="AM20" i="1"/>
  <c r="AQ20" i="1"/>
  <c r="AS19" i="1"/>
  <c r="AR19" i="1"/>
  <c r="AQ21" i="1" l="1"/>
  <c r="AS20" i="1"/>
  <c r="AR20" i="1"/>
  <c r="AV23" i="1"/>
  <c r="AX22" i="1"/>
  <c r="AW22" i="1"/>
  <c r="AL22" i="1"/>
  <c r="AN21" i="1"/>
  <c r="AM21" i="1"/>
  <c r="AG23" i="1"/>
  <c r="AI22" i="1"/>
  <c r="AH22" i="1"/>
  <c r="AI23" i="1" l="1"/>
  <c r="AH23" i="1"/>
  <c r="AG24" i="1"/>
  <c r="AX23" i="1"/>
  <c r="AW23" i="1"/>
  <c r="AV24" i="1"/>
  <c r="AN22" i="1"/>
  <c r="AM22" i="1"/>
  <c r="AL23" i="1"/>
  <c r="AS21" i="1"/>
  <c r="AR21" i="1"/>
  <c r="AQ22" i="1"/>
  <c r="AL24" i="1" l="1"/>
  <c r="AN23" i="1"/>
  <c r="AM23" i="1"/>
  <c r="AQ23" i="1"/>
  <c r="AS22" i="1"/>
  <c r="AR22" i="1"/>
  <c r="AV25" i="1"/>
  <c r="AX24" i="1"/>
  <c r="AW24" i="1"/>
  <c r="AG25" i="1"/>
  <c r="AI24" i="1"/>
  <c r="AH24" i="1"/>
  <c r="AG26" i="1" l="1"/>
  <c r="AI25" i="1"/>
  <c r="AH25" i="1"/>
  <c r="AQ24" i="1"/>
  <c r="AR23" i="1"/>
  <c r="AS23" i="1"/>
  <c r="AV26" i="1"/>
  <c r="AW25" i="1"/>
  <c r="AX25" i="1"/>
  <c r="AL25" i="1"/>
  <c r="AN24" i="1"/>
  <c r="AM24" i="1"/>
  <c r="AN25" i="1" l="1"/>
  <c r="AM25" i="1"/>
  <c r="AL26" i="1"/>
  <c r="AS24" i="1"/>
  <c r="AR24" i="1"/>
  <c r="AQ25" i="1"/>
  <c r="AX26" i="1"/>
  <c r="AW26" i="1"/>
  <c r="AV27" i="1"/>
  <c r="AI26" i="1"/>
  <c r="AH26" i="1"/>
  <c r="AG27" i="1"/>
  <c r="AG28" i="1" l="1"/>
  <c r="AI27" i="1"/>
  <c r="AH27" i="1"/>
  <c r="AQ26" i="1"/>
  <c r="AS25" i="1"/>
  <c r="AR25" i="1"/>
  <c r="AV28" i="1"/>
  <c r="AX27" i="1"/>
  <c r="AW27" i="1"/>
  <c r="AL27" i="1"/>
  <c r="AN26" i="1"/>
  <c r="AM26" i="1"/>
  <c r="AL28" i="1" l="1"/>
  <c r="AN27" i="1"/>
  <c r="AM27" i="1"/>
  <c r="AQ27" i="1"/>
  <c r="AS26" i="1"/>
  <c r="AR26" i="1"/>
  <c r="AV29" i="1"/>
  <c r="AX28" i="1"/>
  <c r="AW28" i="1"/>
  <c r="AG29" i="1"/>
  <c r="AH28" i="1"/>
  <c r="AI28" i="1"/>
  <c r="AS27" i="1" l="1"/>
  <c r="AR27" i="1"/>
  <c r="AQ28" i="1"/>
  <c r="AI29" i="1"/>
  <c r="AH29" i="1"/>
  <c r="AG30" i="1"/>
  <c r="AX29" i="1"/>
  <c r="AW29" i="1"/>
  <c r="AV30" i="1"/>
  <c r="AN28" i="1"/>
  <c r="AM28" i="1"/>
  <c r="AL29" i="1"/>
  <c r="AV31" i="1" l="1"/>
  <c r="AX30" i="1"/>
  <c r="AW30" i="1"/>
  <c r="AQ29" i="1"/>
  <c r="AS28" i="1"/>
  <c r="AR28" i="1"/>
  <c r="AL30" i="1"/>
  <c r="AN29" i="1"/>
  <c r="AM29" i="1"/>
  <c r="AG31" i="1"/>
  <c r="AI30" i="1"/>
  <c r="AH30" i="1"/>
  <c r="AG32" i="1" l="1"/>
  <c r="AI31" i="1"/>
  <c r="AH31" i="1"/>
  <c r="AQ30" i="1"/>
  <c r="AS29" i="1"/>
  <c r="AR29" i="1"/>
  <c r="AL31" i="1"/>
  <c r="AN30" i="1"/>
  <c r="AM30" i="1"/>
  <c r="AV32" i="1"/>
  <c r="AX31" i="1"/>
  <c r="AW31" i="1"/>
  <c r="AX32" i="1" l="1"/>
  <c r="AW32" i="1"/>
  <c r="AS30" i="1"/>
  <c r="AR30" i="1"/>
  <c r="AQ31" i="1"/>
  <c r="AN31" i="1"/>
  <c r="AM31" i="1"/>
  <c r="AL32" i="1"/>
  <c r="AI32" i="1"/>
  <c r="AH32" i="1"/>
  <c r="AQ32" i="1" l="1"/>
  <c r="AS31" i="1"/>
  <c r="AR31" i="1"/>
  <c r="AN32" i="1"/>
  <c r="AM32" i="1"/>
  <c r="AS32" i="1" l="1"/>
  <c r="AR32" i="1"/>
</calcChain>
</file>

<file path=xl/sharedStrings.xml><?xml version="1.0" encoding="utf-8"?>
<sst xmlns="http://schemas.openxmlformats.org/spreadsheetml/2006/main" count="139" uniqueCount="87">
  <si>
    <t>DEF</t>
  </si>
  <si>
    <t>Base ATK</t>
  </si>
  <si>
    <t>Hit</t>
  </si>
  <si>
    <t>+ATK</t>
  </si>
  <si>
    <t>Skill DPS</t>
  </si>
  <si>
    <t>+Interval</t>
  </si>
  <si>
    <t>Interval</t>
  </si>
  <si>
    <t>+ASPD</t>
  </si>
  <si>
    <t>Skill ATK</t>
  </si>
  <si>
    <t>Skill DMG Mul</t>
  </si>
  <si>
    <t>Skill Hit/s</t>
  </si>
  <si>
    <t>Skill Hit Dmg</t>
  </si>
  <si>
    <t>Operator</t>
  </si>
  <si>
    <t>+ATK2</t>
  </si>
  <si>
    <t>+ASPD2</t>
  </si>
  <si>
    <t>Schwarz S2</t>
  </si>
  <si>
    <t>Flint S2</t>
  </si>
  <si>
    <t>Bagpipe S3</t>
  </si>
  <si>
    <t>Mountain S3</t>
  </si>
  <si>
    <t>Exusiai S3</t>
  </si>
  <si>
    <t>Exusiai S2</t>
  </si>
  <si>
    <t>Siege S3</t>
  </si>
  <si>
    <t>Provence S2</t>
  </si>
  <si>
    <t>Schwarz S3</t>
  </si>
  <si>
    <t>Penalty</t>
  </si>
  <si>
    <t>Executor S1</t>
  </si>
  <si>
    <t>Executor S2</t>
  </si>
  <si>
    <t>Mudrock S3</t>
  </si>
  <si>
    <t>Target</t>
  </si>
  <si>
    <t>MultiTarget DPS</t>
  </si>
  <si>
    <t>Thorns S3</t>
  </si>
  <si>
    <t>Blaze S2</t>
  </si>
  <si>
    <t>Andreana S3</t>
  </si>
  <si>
    <t>Rank Skill DPS</t>
  </si>
  <si>
    <t>Sorted Name</t>
  </si>
  <si>
    <t>Sorted DPS</t>
  </si>
  <si>
    <t>Rank Multitarget DPS</t>
  </si>
  <si>
    <t>Sorted Rank</t>
  </si>
  <si>
    <t>SilverAsh S3</t>
  </si>
  <si>
    <t>Chen Alter S3</t>
  </si>
  <si>
    <t>-DEF</t>
  </si>
  <si>
    <t>-DEF%</t>
  </si>
  <si>
    <t>RES</t>
  </si>
  <si>
    <t>Enemy</t>
  </si>
  <si>
    <t>Shieldguard</t>
  </si>
  <si>
    <t>Shieldguard w/ Patriot phase 1</t>
  </si>
  <si>
    <t>Patriot phase 1</t>
  </si>
  <si>
    <t>Eyja S3</t>
  </si>
  <si>
    <t>Ifrit S3</t>
  </si>
  <si>
    <t>Angelina S3</t>
  </si>
  <si>
    <t>Surtr S3</t>
  </si>
  <si>
    <t>Broca S2</t>
  </si>
  <si>
    <t>Lappland S2</t>
  </si>
  <si>
    <t>-RES</t>
  </si>
  <si>
    <t>-RES%</t>
  </si>
  <si>
    <t>+Interval%</t>
  </si>
  <si>
    <t>Shirayuki S2</t>
  </si>
  <si>
    <t>Amiya Guard S1</t>
  </si>
  <si>
    <t>Tachanka S2</t>
  </si>
  <si>
    <t>Blitz S2</t>
  </si>
  <si>
    <t>Ash S2</t>
  </si>
  <si>
    <t>Duration</t>
  </si>
  <si>
    <t>Ammo</t>
  </si>
  <si>
    <t>Sorted DMG</t>
  </si>
  <si>
    <t>La Pluma S2</t>
  </si>
  <si>
    <t>Tequila S2</t>
  </si>
  <si>
    <t>Attack Window</t>
  </si>
  <si>
    <t>Total DMG</t>
  </si>
  <si>
    <t>Total Hit</t>
  </si>
  <si>
    <t>Skadi S2</t>
  </si>
  <si>
    <t>Skadi S3</t>
  </si>
  <si>
    <t>Hellagur S2</t>
  </si>
  <si>
    <t>Hellagur S3</t>
  </si>
  <si>
    <t>Utage S2</t>
  </si>
  <si>
    <t>Total Single DMG</t>
  </si>
  <si>
    <t>Total Multi DMG</t>
  </si>
  <si>
    <t>Rank Single DMG</t>
  </si>
  <si>
    <t>Rank Multi DMG</t>
  </si>
  <si>
    <t>Max Target</t>
  </si>
  <si>
    <t>Kroos Alter S1</t>
  </si>
  <si>
    <t>Kroos Alter S2</t>
  </si>
  <si>
    <t>Skill Atk/s</t>
  </si>
  <si>
    <t>Archetto S3</t>
  </si>
  <si>
    <t>Greythroat S2</t>
  </si>
  <si>
    <t>Surtr S2 Single</t>
  </si>
  <si>
    <t>Surtr S2 Multi</t>
  </si>
  <si>
    <t>Blue Poison 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</si>
</sst>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1" xfId="0" quotePrefix="1" applyBorder="1"/>
    <xf numFmtId="2" fontId="0" fillId="0" borderId="1" xfId="0" applyNumberFormat="1" applyBorder="1"/>
    <xf numFmtId="0" fontId="0" fillId="0" borderId="2" xfId="0" applyBorder="1"/>
    <xf numFmtId="9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0" xfId="0" applyNumberFormat="1" applyBorder="1"/>
    <xf numFmtId="2" fontId="0" fillId="0" borderId="0" xfId="0" applyNumberFormat="1" applyBorder="1"/>
    <xf numFmtId="10" fontId="0" fillId="0" borderId="0" xfId="0" applyNumberFormat="1" applyBorder="1"/>
    <xf numFmtId="0" fontId="0" fillId="0" borderId="2" xfId="0" applyFill="1" applyBorder="1"/>
    <xf numFmtId="0" fontId="0" fillId="0" borderId="0" xfId="0" applyFill="1" applyBorder="1"/>
    <xf numFmtId="9" fontId="0" fillId="0" borderId="0" xfId="0" applyNumberFormat="1" applyFill="1" applyBorder="1"/>
    <xf numFmtId="2" fontId="0" fillId="0" borderId="2" xfId="0" applyNumberFormat="1" applyFill="1" applyBorder="1"/>
    <xf numFmtId="0" fontId="0" fillId="0" borderId="7" xfId="0" applyBorder="1"/>
    <xf numFmtId="9" fontId="0" fillId="0" borderId="2" xfId="0" applyNumberFormat="1" applyFill="1" applyBorder="1"/>
    <xf numFmtId="0" fontId="0" fillId="0" borderId="8" xfId="0" applyBorder="1"/>
    <xf numFmtId="1" fontId="0" fillId="0" borderId="2" xfId="0" applyNumberFormat="1" applyFill="1" applyBorder="1"/>
    <xf numFmtId="1" fontId="0" fillId="0" borderId="0" xfId="0" applyNumberFormat="1" applyBorder="1"/>
    <xf numFmtId="1" fontId="0" fillId="0" borderId="2" xfId="0" applyNumberFormat="1" applyBorder="1"/>
    <xf numFmtId="1" fontId="0" fillId="0" borderId="0" xfId="0" applyNumberFormat="1"/>
    <xf numFmtId="4" fontId="0" fillId="0" borderId="2" xfId="0" applyNumberFormat="1" applyFill="1" applyBorder="1"/>
    <xf numFmtId="4" fontId="0" fillId="0" borderId="6" xfId="0" applyNumberFormat="1" applyFill="1" applyBorder="1"/>
    <xf numFmtId="4" fontId="0" fillId="0" borderId="0" xfId="0" applyNumberFormat="1" applyBorder="1"/>
    <xf numFmtId="4" fontId="0" fillId="0" borderId="2" xfId="0" applyNumberFormat="1" applyBorder="1"/>
    <xf numFmtId="4" fontId="0" fillId="0" borderId="6" xfId="0" applyNumberFormat="1" applyBorder="1"/>
    <xf numFmtId="4" fontId="0" fillId="0" borderId="0" xfId="0" applyNumberFormat="1"/>
    <xf numFmtId="4" fontId="0" fillId="0" borderId="1" xfId="0" applyNumberFormat="1" applyBorder="1"/>
    <xf numFmtId="3" fontId="0" fillId="0" borderId="1" xfId="0" applyNumberFormat="1" applyBorder="1"/>
    <xf numFmtId="3" fontId="0" fillId="0" borderId="0" xfId="0" applyNumberFormat="1" applyBorder="1"/>
    <xf numFmtId="3" fontId="0" fillId="0" borderId="0" xfId="0" applyNumberFormat="1" applyFill="1" applyBorder="1"/>
    <xf numFmtId="3" fontId="0" fillId="0" borderId="2" xfId="0" applyNumberFormat="1" applyFill="1" applyBorder="1"/>
    <xf numFmtId="3" fontId="0" fillId="0" borderId="0" xfId="0" applyNumberFormat="1"/>
    <xf numFmtId="2" fontId="0" fillId="0" borderId="3" xfId="0" applyNumberFormat="1" applyFill="1" applyBorder="1"/>
    <xf numFmtId="2" fontId="0" fillId="0" borderId="1" xfId="0" applyNumberFormat="1" applyFill="1" applyBorder="1"/>
    <xf numFmtId="3" fontId="0" fillId="0" borderId="9" xfId="0" applyNumberFormat="1" applyFill="1" applyBorder="1"/>
    <xf numFmtId="3" fontId="0" fillId="0" borderId="5" xfId="0" applyNumberFormat="1" applyBorder="1"/>
    <xf numFmtId="3" fontId="0" fillId="0" borderId="6" xfId="0" applyNumberFormat="1" applyFill="1" applyBorder="1"/>
    <xf numFmtId="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Target Skill 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Physical!$AI$1</c:f>
              <c:strCache>
                <c:ptCount val="1"/>
                <c:pt idx="0">
                  <c:v>Sorted DPS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Physical!$AH$2:$AH$32</c:f>
              <c:strCache>
                <c:ptCount val="31"/>
                <c:pt idx="0">
                  <c:v>Ash S2</c:v>
                </c:pt>
                <c:pt idx="1">
                  <c:v>Tachanka S2</c:v>
                </c:pt>
                <c:pt idx="2">
                  <c:v>Hellagur S2</c:v>
                </c:pt>
                <c:pt idx="3">
                  <c:v>Chen Alter S3</c:v>
                </c:pt>
                <c:pt idx="4">
                  <c:v>La Pluma S2</c:v>
                </c:pt>
                <c:pt idx="5">
                  <c:v>Blitz S2</c:v>
                </c:pt>
                <c:pt idx="6">
                  <c:v>Exusiai S3</c:v>
                </c:pt>
                <c:pt idx="7">
                  <c:v>Bagpipe S3</c:v>
                </c:pt>
                <c:pt idx="8">
                  <c:v>Mountain S3</c:v>
                </c:pt>
                <c:pt idx="9">
                  <c:v>Flint S2</c:v>
                </c:pt>
                <c:pt idx="10">
                  <c:v>Hellagur S3</c:v>
                </c:pt>
                <c:pt idx="11">
                  <c:v>Schwarz S3</c:v>
                </c:pt>
                <c:pt idx="12">
                  <c:v>Greythroat S2</c:v>
                </c:pt>
                <c:pt idx="13">
                  <c:v>Skadi S2</c:v>
                </c:pt>
                <c:pt idx="14">
                  <c:v>Kroos Alter S2</c:v>
                </c:pt>
                <c:pt idx="15">
                  <c:v>Exusiai S2</c:v>
                </c:pt>
                <c:pt idx="16">
                  <c:v>Provence S2</c:v>
                </c:pt>
                <c:pt idx="17">
                  <c:v>Tequila S2</c:v>
                </c:pt>
                <c:pt idx="18">
                  <c:v>Thorns S3</c:v>
                </c:pt>
                <c:pt idx="19">
                  <c:v>Executor S2</c:v>
                </c:pt>
                <c:pt idx="20">
                  <c:v>SilverAsh S3</c:v>
                </c:pt>
                <c:pt idx="21">
                  <c:v>Schwarz S2</c:v>
                </c:pt>
                <c:pt idx="22">
                  <c:v>Mudrock S3</c:v>
                </c:pt>
                <c:pt idx="23">
                  <c:v>Skadi S3</c:v>
                </c:pt>
                <c:pt idx="24">
                  <c:v>Andreana S3</c:v>
                </c:pt>
                <c:pt idx="25">
                  <c:v>Archetto S3</c:v>
                </c:pt>
                <c:pt idx="26">
                  <c:v>Blue Poison S2</c:v>
                </c:pt>
                <c:pt idx="27">
                  <c:v>Kroos Alter S1</c:v>
                </c:pt>
                <c:pt idx="28">
                  <c:v>Blaze S2</c:v>
                </c:pt>
                <c:pt idx="29">
                  <c:v>Siege S3</c:v>
                </c:pt>
                <c:pt idx="30">
                  <c:v>Executor S1</c:v>
                </c:pt>
              </c:strCache>
            </c:strRef>
          </c:cat>
          <c:val>
            <c:numRef>
              <c:f>Physical!$AI$2:$AI$32</c:f>
              <c:numCache>
                <c:formatCode>#,##0</c:formatCode>
                <c:ptCount val="31"/>
                <c:pt idx="0">
                  <c:v>5000.0000000000009</c:v>
                </c:pt>
                <c:pt idx="1">
                  <c:v>4335.8974358974347</c:v>
                </c:pt>
                <c:pt idx="2">
                  <c:v>2895.5555555555561</c:v>
                </c:pt>
                <c:pt idx="3">
                  <c:v>2031.3391304347829</c:v>
                </c:pt>
                <c:pt idx="4">
                  <c:v>2026.9230769230767</c:v>
                </c:pt>
                <c:pt idx="5">
                  <c:v>2010.8749999999998</c:v>
                </c:pt>
                <c:pt idx="6">
                  <c:v>1958.3333333333333</c:v>
                </c:pt>
                <c:pt idx="7">
                  <c:v>1870.9588235294118</c:v>
                </c:pt>
                <c:pt idx="8">
                  <c:v>1813.6486486486485</c:v>
                </c:pt>
                <c:pt idx="9">
                  <c:v>1741.2262820512822</c:v>
                </c:pt>
                <c:pt idx="10">
                  <c:v>1647.2222222222224</c:v>
                </c:pt>
                <c:pt idx="11">
                  <c:v>1636</c:v>
                </c:pt>
                <c:pt idx="12">
                  <c:v>1545.3050999999996</c:v>
                </c:pt>
                <c:pt idx="13">
                  <c:v>1531.6533333333332</c:v>
                </c:pt>
                <c:pt idx="14">
                  <c:v>1527.8933333333334</c:v>
                </c:pt>
                <c:pt idx="15">
                  <c:v>1525</c:v>
                </c:pt>
                <c:pt idx="16">
                  <c:v>1521.3999999999999</c:v>
                </c:pt>
                <c:pt idx="17">
                  <c:v>1459.1666666666665</c:v>
                </c:pt>
                <c:pt idx="18">
                  <c:v>1399.6153846153848</c:v>
                </c:pt>
                <c:pt idx="19">
                  <c:v>1352.1428571428571</c:v>
                </c:pt>
                <c:pt idx="20">
                  <c:v>1346.9230769230769</c:v>
                </c:pt>
                <c:pt idx="21">
                  <c:v>1323.28125</c:v>
                </c:pt>
                <c:pt idx="22">
                  <c:v>1314.153846153846</c:v>
                </c:pt>
                <c:pt idx="23">
                  <c:v>1292.4533333333331</c:v>
                </c:pt>
                <c:pt idx="24">
                  <c:v>1226.185185185185</c:v>
                </c:pt>
                <c:pt idx="25">
                  <c:v>1176.6000000000001</c:v>
                </c:pt>
                <c:pt idx="26">
                  <c:v>1030</c:v>
                </c:pt>
                <c:pt idx="27">
                  <c:v>1002.144</c:v>
                </c:pt>
                <c:pt idx="28">
                  <c:v>963.33333333333337</c:v>
                </c:pt>
                <c:pt idx="29">
                  <c:v>775.21951219512198</c:v>
                </c:pt>
                <c:pt idx="30">
                  <c:v>726.97826086956536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4-4299-A57C-8F5A9379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385872"/>
        <c:axId val="541374224"/>
      </c:barChart>
      <c:catAx>
        <c:axId val="54138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4224"/>
        <c:crosses val="autoZero"/>
        <c:auto val="1"/>
        <c:lblAlgn val="ctr"/>
        <c:lblOffset val="100"/>
        <c:noMultiLvlLbl val="0"/>
      </c:catAx>
      <c:valAx>
        <c:axId val="541374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 Target Skill 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Physical!$AN$1</c:f>
              <c:strCache>
                <c:ptCount val="1"/>
                <c:pt idx="0">
                  <c:v>Sorted DPS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Physical!$AM$2:$AM$32</c:f>
              <c:strCache>
                <c:ptCount val="31"/>
                <c:pt idx="0">
                  <c:v>Chen Alter S3</c:v>
                </c:pt>
                <c:pt idx="1">
                  <c:v>Executor S2</c:v>
                </c:pt>
                <c:pt idx="2">
                  <c:v>SilverAsh S3</c:v>
                </c:pt>
                <c:pt idx="3">
                  <c:v>Mountain S3</c:v>
                </c:pt>
                <c:pt idx="4">
                  <c:v>Ash S2</c:v>
                </c:pt>
                <c:pt idx="5">
                  <c:v>Hellagur S3</c:v>
                </c:pt>
                <c:pt idx="6">
                  <c:v>Tequila S2</c:v>
                </c:pt>
                <c:pt idx="7">
                  <c:v>Tachanka S2</c:v>
                </c:pt>
                <c:pt idx="8">
                  <c:v>La Pluma S2</c:v>
                </c:pt>
                <c:pt idx="9">
                  <c:v>Mudrock S3</c:v>
                </c:pt>
                <c:pt idx="10">
                  <c:v>Hellagur S2</c:v>
                </c:pt>
                <c:pt idx="11">
                  <c:v>Blaze S2</c:v>
                </c:pt>
                <c:pt idx="12">
                  <c:v>Andreana S3</c:v>
                </c:pt>
                <c:pt idx="13">
                  <c:v>Archetto S3</c:v>
                </c:pt>
                <c:pt idx="14">
                  <c:v>Bagpipe S3</c:v>
                </c:pt>
                <c:pt idx="15">
                  <c:v>Executor S1</c:v>
                </c:pt>
                <c:pt idx="16">
                  <c:v>Blue Poison S2</c:v>
                </c:pt>
                <c:pt idx="17">
                  <c:v>Blitz S2</c:v>
                </c:pt>
                <c:pt idx="18">
                  <c:v>Exusiai S3</c:v>
                </c:pt>
                <c:pt idx="19">
                  <c:v>Provence S2</c:v>
                </c:pt>
                <c:pt idx="20">
                  <c:v>Flint S2</c:v>
                </c:pt>
                <c:pt idx="21">
                  <c:v>Schwarz S3</c:v>
                </c:pt>
                <c:pt idx="22">
                  <c:v>Greythroat S2</c:v>
                </c:pt>
                <c:pt idx="23">
                  <c:v>Skadi S2</c:v>
                </c:pt>
                <c:pt idx="24">
                  <c:v>Kroos Alter S2</c:v>
                </c:pt>
                <c:pt idx="25">
                  <c:v>Exusiai S2</c:v>
                </c:pt>
                <c:pt idx="26">
                  <c:v>Thorns S3</c:v>
                </c:pt>
                <c:pt idx="27">
                  <c:v>Schwarz S2</c:v>
                </c:pt>
                <c:pt idx="28">
                  <c:v>Skadi S3</c:v>
                </c:pt>
                <c:pt idx="29">
                  <c:v>Kroos Alter S1</c:v>
                </c:pt>
                <c:pt idx="30">
                  <c:v>Siege S3</c:v>
                </c:pt>
              </c:strCache>
            </c:strRef>
          </c:cat>
          <c:val>
            <c:numRef>
              <c:f>Physical!$AN$2:$AN$32</c:f>
              <c:numCache>
                <c:formatCode>#,##0</c:formatCode>
                <c:ptCount val="31"/>
                <c:pt idx="0">
                  <c:v>12188.034782608698</c:v>
                </c:pt>
                <c:pt idx="1">
                  <c:v>8112.8571428571431</c:v>
                </c:pt>
                <c:pt idx="2">
                  <c:v>8081.538461538461</c:v>
                </c:pt>
                <c:pt idx="3">
                  <c:v>5440.9459459459458</c:v>
                </c:pt>
                <c:pt idx="4">
                  <c:v>5000.0000000000009</c:v>
                </c:pt>
                <c:pt idx="5">
                  <c:v>4941.666666666667</c:v>
                </c:pt>
                <c:pt idx="6">
                  <c:v>4377.5</c:v>
                </c:pt>
                <c:pt idx="7">
                  <c:v>4335.8974358974347</c:v>
                </c:pt>
                <c:pt idx="8">
                  <c:v>4053.8461538461534</c:v>
                </c:pt>
                <c:pt idx="9">
                  <c:v>3942.4615384615381</c:v>
                </c:pt>
                <c:pt idx="10">
                  <c:v>2895.5555555555561</c:v>
                </c:pt>
                <c:pt idx="11">
                  <c:v>2890</c:v>
                </c:pt>
                <c:pt idx="12">
                  <c:v>2452.37037037037</c:v>
                </c:pt>
                <c:pt idx="13">
                  <c:v>2353.2000000000003</c:v>
                </c:pt>
                <c:pt idx="14">
                  <c:v>2338.6985294117649</c:v>
                </c:pt>
                <c:pt idx="15">
                  <c:v>2180.934782608696</c:v>
                </c:pt>
                <c:pt idx="16">
                  <c:v>2060</c:v>
                </c:pt>
                <c:pt idx="17">
                  <c:v>2010.8749999999998</c:v>
                </c:pt>
                <c:pt idx="18">
                  <c:v>1958.3333333333333</c:v>
                </c:pt>
                <c:pt idx="19">
                  <c:v>1901.7499999999998</c:v>
                </c:pt>
                <c:pt idx="20">
                  <c:v>1741.2262820512822</c:v>
                </c:pt>
                <c:pt idx="21">
                  <c:v>1636</c:v>
                </c:pt>
                <c:pt idx="22">
                  <c:v>1545.3050999999996</c:v>
                </c:pt>
                <c:pt idx="23">
                  <c:v>1531.6533333333332</c:v>
                </c:pt>
                <c:pt idx="24">
                  <c:v>1527.8933333333334</c:v>
                </c:pt>
                <c:pt idx="25">
                  <c:v>1525</c:v>
                </c:pt>
                <c:pt idx="26">
                  <c:v>1399.6153846153848</c:v>
                </c:pt>
                <c:pt idx="27">
                  <c:v>1323.28125</c:v>
                </c:pt>
                <c:pt idx="28">
                  <c:v>1292.4533333333331</c:v>
                </c:pt>
                <c:pt idx="29">
                  <c:v>1002.144</c:v>
                </c:pt>
                <c:pt idx="30">
                  <c:v>775.21951219512198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AD3-AC57-E7FA0BC21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378800"/>
        <c:axId val="541383792"/>
      </c:barChart>
      <c:catAx>
        <c:axId val="541378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3792"/>
        <c:crosses val="autoZero"/>
        <c:auto val="1"/>
        <c:lblAlgn val="ctr"/>
        <c:lblOffset val="100"/>
        <c:noMultiLvlLbl val="0"/>
      </c:catAx>
      <c:valAx>
        <c:axId val="541383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Single Target Skill DMG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Physical!$AS$1</c:f>
              <c:strCache>
                <c:ptCount val="1"/>
                <c:pt idx="0">
                  <c:v>Sorted DMG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Physical!$AR$2:$AR$32</c:f>
              <c:strCache>
                <c:ptCount val="31"/>
                <c:pt idx="0">
                  <c:v>Hellagur S2</c:v>
                </c:pt>
                <c:pt idx="1">
                  <c:v>Ash S2</c:v>
                </c:pt>
                <c:pt idx="2">
                  <c:v>Chen Alter S3</c:v>
                </c:pt>
                <c:pt idx="3">
                  <c:v>La Pluma S2</c:v>
                </c:pt>
                <c:pt idx="4">
                  <c:v>Exusiai S3</c:v>
                </c:pt>
                <c:pt idx="5">
                  <c:v>Bagpipe S3</c:v>
                </c:pt>
                <c:pt idx="6">
                  <c:v>Mountain S3</c:v>
                </c:pt>
                <c:pt idx="7">
                  <c:v>Flint S2</c:v>
                </c:pt>
                <c:pt idx="8">
                  <c:v>Hellagur S3</c:v>
                </c:pt>
                <c:pt idx="9">
                  <c:v>Skadi S2</c:v>
                </c:pt>
                <c:pt idx="10">
                  <c:v>Kroos Alter S2</c:v>
                </c:pt>
                <c:pt idx="11">
                  <c:v>Schwarz S3</c:v>
                </c:pt>
                <c:pt idx="12">
                  <c:v>Exusiai S2</c:v>
                </c:pt>
                <c:pt idx="13">
                  <c:v>Greythroat S2</c:v>
                </c:pt>
                <c:pt idx="14">
                  <c:v>Provence S2</c:v>
                </c:pt>
                <c:pt idx="15">
                  <c:v>Tequila S2</c:v>
                </c:pt>
                <c:pt idx="16">
                  <c:v>Thorns S3</c:v>
                </c:pt>
                <c:pt idx="17">
                  <c:v>Executor S2</c:v>
                </c:pt>
                <c:pt idx="18">
                  <c:v>Skadi S3</c:v>
                </c:pt>
                <c:pt idx="19">
                  <c:v>SilverAsh S3</c:v>
                </c:pt>
                <c:pt idx="20">
                  <c:v>Schwarz S2</c:v>
                </c:pt>
                <c:pt idx="21">
                  <c:v>Mudrock S3</c:v>
                </c:pt>
                <c:pt idx="22">
                  <c:v>Archetto S3</c:v>
                </c:pt>
                <c:pt idx="23">
                  <c:v>Tachanka S2</c:v>
                </c:pt>
                <c:pt idx="24">
                  <c:v>Andreana S3</c:v>
                </c:pt>
                <c:pt idx="25">
                  <c:v>Blue Poison S2</c:v>
                </c:pt>
                <c:pt idx="26">
                  <c:v>Kroos Alter S1</c:v>
                </c:pt>
                <c:pt idx="27">
                  <c:v>Blaze S2</c:v>
                </c:pt>
                <c:pt idx="28">
                  <c:v>Blitz S2</c:v>
                </c:pt>
                <c:pt idx="29">
                  <c:v>Siege S3</c:v>
                </c:pt>
                <c:pt idx="30">
                  <c:v>Executor S1</c:v>
                </c:pt>
              </c:strCache>
            </c:strRef>
          </c:cat>
          <c:val>
            <c:numRef>
              <c:f>Physical!$AS$2:$AS$32</c:f>
              <c:numCache>
                <c:formatCode>#,##0</c:formatCode>
                <c:ptCount val="31"/>
                <c:pt idx="0">
                  <c:v>37526.400000000001</c:v>
                </c:pt>
                <c:pt idx="1">
                  <c:v>31000</c:v>
                </c:pt>
                <c:pt idx="2">
                  <c:v>30282</c:v>
                </c:pt>
                <c:pt idx="3">
                  <c:v>30031.25</c:v>
                </c:pt>
                <c:pt idx="4">
                  <c:v>29328</c:v>
                </c:pt>
                <c:pt idx="5">
                  <c:v>27565.46</c:v>
                </c:pt>
                <c:pt idx="6">
                  <c:v>26842</c:v>
                </c:pt>
                <c:pt idx="7">
                  <c:v>25410.670000000002</c:v>
                </c:pt>
                <c:pt idx="8">
                  <c:v>23720</c:v>
                </c:pt>
                <c:pt idx="9">
                  <c:v>22974.799999999999</c:v>
                </c:pt>
                <c:pt idx="10">
                  <c:v>22918.400000000001</c:v>
                </c:pt>
                <c:pt idx="11">
                  <c:v>22904</c:v>
                </c:pt>
                <c:pt idx="12">
                  <c:v>22875</c:v>
                </c:pt>
                <c:pt idx="13">
                  <c:v>22839.41499999999</c:v>
                </c:pt>
                <c:pt idx="14">
                  <c:v>21908.16</c:v>
                </c:pt>
                <c:pt idx="15">
                  <c:v>21011.999999999996</c:v>
                </c:pt>
                <c:pt idx="16">
                  <c:v>20621.000000000004</c:v>
                </c:pt>
                <c:pt idx="17">
                  <c:v>19876.5</c:v>
                </c:pt>
                <c:pt idx="18">
                  <c:v>19386.8</c:v>
                </c:pt>
                <c:pt idx="19">
                  <c:v>19261</c:v>
                </c:pt>
                <c:pt idx="20">
                  <c:v>19055.25</c:v>
                </c:pt>
                <c:pt idx="21">
                  <c:v>18792.399999999998</c:v>
                </c:pt>
                <c:pt idx="22">
                  <c:v>17649.000000000004</c:v>
                </c:pt>
                <c:pt idx="23">
                  <c:v>17332.75</c:v>
                </c:pt>
                <c:pt idx="24">
                  <c:v>16553.5</c:v>
                </c:pt>
                <c:pt idx="25">
                  <c:v>15450</c:v>
                </c:pt>
                <c:pt idx="26">
                  <c:v>15032.16</c:v>
                </c:pt>
                <c:pt idx="27">
                  <c:v>13872</c:v>
                </c:pt>
                <c:pt idx="28">
                  <c:v>13673.949999999999</c:v>
                </c:pt>
                <c:pt idx="29">
                  <c:v>11124.399999999998</c:v>
                </c:pt>
                <c:pt idx="30">
                  <c:v>10032.300000000001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7-4994-A893-A6CB92C50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774287"/>
        <c:axId val="1959771791"/>
      </c:barChart>
      <c:catAx>
        <c:axId val="195977428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71791"/>
        <c:crosses val="autoZero"/>
        <c:auto val="1"/>
        <c:lblAlgn val="ctr"/>
        <c:lblOffset val="100"/>
        <c:noMultiLvlLbl val="0"/>
      </c:catAx>
      <c:valAx>
        <c:axId val="195977179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74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Physical!$AX$1</c:f>
              <c:strCache>
                <c:ptCount val="1"/>
                <c:pt idx="0">
                  <c:v>Sorted DMG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Physical!$AW$2:$AW$32</c:f>
              <c:strCache>
                <c:ptCount val="31"/>
                <c:pt idx="0">
                  <c:v>Chen Alter S3</c:v>
                </c:pt>
                <c:pt idx="1">
                  <c:v>Executor S2</c:v>
                </c:pt>
                <c:pt idx="2">
                  <c:v>SilverAsh S3</c:v>
                </c:pt>
                <c:pt idx="3">
                  <c:v>Mountain S3</c:v>
                </c:pt>
                <c:pt idx="4">
                  <c:v>Hellagur S3</c:v>
                </c:pt>
                <c:pt idx="5">
                  <c:v>Tequila S2</c:v>
                </c:pt>
                <c:pt idx="6">
                  <c:v>La Pluma S2</c:v>
                </c:pt>
                <c:pt idx="7">
                  <c:v>Mudrock S3</c:v>
                </c:pt>
                <c:pt idx="8">
                  <c:v>Blaze S2</c:v>
                </c:pt>
                <c:pt idx="9">
                  <c:v>Hellagur S2</c:v>
                </c:pt>
                <c:pt idx="10">
                  <c:v>Archetto S3</c:v>
                </c:pt>
                <c:pt idx="11">
                  <c:v>Bagpipe S3</c:v>
                </c:pt>
                <c:pt idx="12">
                  <c:v>Andreana S3</c:v>
                </c:pt>
                <c:pt idx="13">
                  <c:v>Ash S2</c:v>
                </c:pt>
                <c:pt idx="14">
                  <c:v>Blue Poison S2</c:v>
                </c:pt>
                <c:pt idx="15">
                  <c:v>Executor S1</c:v>
                </c:pt>
                <c:pt idx="16">
                  <c:v>Exusiai S3</c:v>
                </c:pt>
                <c:pt idx="17">
                  <c:v>Provence S2</c:v>
                </c:pt>
                <c:pt idx="18">
                  <c:v>Flint S2</c:v>
                </c:pt>
                <c:pt idx="19">
                  <c:v>Skadi S2</c:v>
                </c:pt>
                <c:pt idx="20">
                  <c:v>Kroos Alter S2</c:v>
                </c:pt>
                <c:pt idx="21">
                  <c:v>Schwarz S3</c:v>
                </c:pt>
                <c:pt idx="22">
                  <c:v>Exusiai S2</c:v>
                </c:pt>
                <c:pt idx="23">
                  <c:v>Greythroat S2</c:v>
                </c:pt>
                <c:pt idx="24">
                  <c:v>Thorns S3</c:v>
                </c:pt>
                <c:pt idx="25">
                  <c:v>Skadi S3</c:v>
                </c:pt>
                <c:pt idx="26">
                  <c:v>Schwarz S2</c:v>
                </c:pt>
                <c:pt idx="27">
                  <c:v>Tachanka S2</c:v>
                </c:pt>
                <c:pt idx="28">
                  <c:v>Kroos Alter S1</c:v>
                </c:pt>
                <c:pt idx="29">
                  <c:v>Blitz S2</c:v>
                </c:pt>
                <c:pt idx="30">
                  <c:v>Siege S3</c:v>
                </c:pt>
              </c:strCache>
            </c:strRef>
          </c:cat>
          <c:val>
            <c:numRef>
              <c:f>Physical!$AX$2:$AX$32</c:f>
              <c:numCache>
                <c:formatCode>#,##0</c:formatCode>
                <c:ptCount val="31"/>
                <c:pt idx="0">
                  <c:v>181692</c:v>
                </c:pt>
                <c:pt idx="1">
                  <c:v>119259</c:v>
                </c:pt>
                <c:pt idx="2">
                  <c:v>115566</c:v>
                </c:pt>
                <c:pt idx="3">
                  <c:v>80526</c:v>
                </c:pt>
                <c:pt idx="4">
                  <c:v>71160</c:v>
                </c:pt>
                <c:pt idx="5">
                  <c:v>63035.999999999985</c:v>
                </c:pt>
                <c:pt idx="6">
                  <c:v>60062.5</c:v>
                </c:pt>
                <c:pt idx="7">
                  <c:v>56377.2</c:v>
                </c:pt>
                <c:pt idx="8">
                  <c:v>41616</c:v>
                </c:pt>
                <c:pt idx="9">
                  <c:v>37526.400000000001</c:v>
                </c:pt>
                <c:pt idx="10">
                  <c:v>35298.000000000007</c:v>
                </c:pt>
                <c:pt idx="11">
                  <c:v>34456.824999999997</c:v>
                </c:pt>
                <c:pt idx="12">
                  <c:v>33107</c:v>
                </c:pt>
                <c:pt idx="13">
                  <c:v>31000</c:v>
                </c:pt>
                <c:pt idx="14">
                  <c:v>30900</c:v>
                </c:pt>
                <c:pt idx="15">
                  <c:v>30096.9</c:v>
                </c:pt>
                <c:pt idx="16">
                  <c:v>29328</c:v>
                </c:pt>
                <c:pt idx="17">
                  <c:v>27385.199999999997</c:v>
                </c:pt>
                <c:pt idx="18">
                  <c:v>25410.670000000002</c:v>
                </c:pt>
                <c:pt idx="19">
                  <c:v>22974.799999999999</c:v>
                </c:pt>
                <c:pt idx="20">
                  <c:v>22918.400000000001</c:v>
                </c:pt>
                <c:pt idx="21">
                  <c:v>22904</c:v>
                </c:pt>
                <c:pt idx="22">
                  <c:v>22875</c:v>
                </c:pt>
                <c:pt idx="23">
                  <c:v>22839.41499999999</c:v>
                </c:pt>
                <c:pt idx="24">
                  <c:v>20621.000000000004</c:v>
                </c:pt>
                <c:pt idx="25">
                  <c:v>19386.8</c:v>
                </c:pt>
                <c:pt idx="26">
                  <c:v>19055.25</c:v>
                </c:pt>
                <c:pt idx="27">
                  <c:v>17332.75</c:v>
                </c:pt>
                <c:pt idx="28">
                  <c:v>15032.16</c:v>
                </c:pt>
                <c:pt idx="29">
                  <c:v>13673.949999999999</c:v>
                </c:pt>
                <c:pt idx="30">
                  <c:v>11124.399999999998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48-42C9-B2D3-C62C68DCB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58807536"/>
        <c:axId val="1758807952"/>
      </c:barChart>
      <c:catAx>
        <c:axId val="17588075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7952"/>
        <c:crosses val="autoZero"/>
        <c:auto val="1"/>
        <c:lblAlgn val="ctr"/>
        <c:lblOffset val="100"/>
        <c:noMultiLvlLbl val="0"/>
      </c:catAx>
      <c:valAx>
        <c:axId val="17588079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8807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Target Skill 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Arts!$AH$1</c:f>
              <c:strCache>
                <c:ptCount val="1"/>
                <c:pt idx="0">
                  <c:v>Sorted DPS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Arts!$AG$2:$AG$12</c:f>
              <c:strCache>
                <c:ptCount val="11"/>
                <c:pt idx="0">
                  <c:v>Eyja S3</c:v>
                </c:pt>
                <c:pt idx="1">
                  <c:v>Surtr S3</c:v>
                </c:pt>
                <c:pt idx="2">
                  <c:v>Surtr S2 Single</c:v>
                </c:pt>
                <c:pt idx="3">
                  <c:v>Amiya Guard S1</c:v>
                </c:pt>
                <c:pt idx="4">
                  <c:v>Ifrit S3</c:v>
                </c:pt>
                <c:pt idx="5">
                  <c:v>Utage S2</c:v>
                </c:pt>
                <c:pt idx="6">
                  <c:v>Surtr S2 Multi</c:v>
                </c:pt>
                <c:pt idx="7">
                  <c:v>Lappland S2</c:v>
                </c:pt>
                <c:pt idx="8">
                  <c:v>Broca S2</c:v>
                </c:pt>
                <c:pt idx="9">
                  <c:v>Shirayuki S2</c:v>
                </c:pt>
                <c:pt idx="10">
                  <c:v>Angelina S3</c:v>
                </c:pt>
              </c:strCache>
            </c:strRef>
          </c:cat>
          <c:val>
            <c:numRef>
              <c:f>Arts!$AH$2:$AH$12</c:f>
              <c:numCache>
                <c:formatCode>#,##0</c:formatCode>
                <c:ptCount val="11"/>
                <c:pt idx="0">
                  <c:v>4290.0480000000007</c:v>
                </c:pt>
                <c:pt idx="1">
                  <c:v>3623.0399999999995</c:v>
                </c:pt>
                <c:pt idx="2">
                  <c:v>3260.7360000000008</c:v>
                </c:pt>
                <c:pt idx="3">
                  <c:v>2928</c:v>
                </c:pt>
                <c:pt idx="4">
                  <c:v>2583</c:v>
                </c:pt>
                <c:pt idx="5">
                  <c:v>2538.7555555555564</c:v>
                </c:pt>
                <c:pt idx="6">
                  <c:v>2037.96</c:v>
                </c:pt>
                <c:pt idx="7">
                  <c:v>1624.9846153846154</c:v>
                </c:pt>
                <c:pt idx="8">
                  <c:v>1475.3939393939397</c:v>
                </c:pt>
                <c:pt idx="9">
                  <c:v>1189.5428571428574</c:v>
                </c:pt>
                <c:pt idx="10">
                  <c:v>968.21052631578959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3D-46F6-BEE4-41277618A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385872"/>
        <c:axId val="541374224"/>
      </c:barChart>
      <c:catAx>
        <c:axId val="541385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4224"/>
        <c:crosses val="autoZero"/>
        <c:auto val="1"/>
        <c:lblAlgn val="ctr"/>
        <c:lblOffset val="100"/>
        <c:noMultiLvlLbl val="0"/>
      </c:catAx>
      <c:valAx>
        <c:axId val="54137422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5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 Target Skill DPS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Arts!$AM$1</c:f>
              <c:strCache>
                <c:ptCount val="1"/>
                <c:pt idx="0">
                  <c:v>Sorted DPS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Arts!$AL$2:$AL$12</c:f>
              <c:strCache>
                <c:ptCount val="11"/>
                <c:pt idx="0">
                  <c:v>Eyja S3</c:v>
                </c:pt>
                <c:pt idx="1">
                  <c:v>Ifrit S3</c:v>
                </c:pt>
                <c:pt idx="2">
                  <c:v>Surtr S3</c:v>
                </c:pt>
                <c:pt idx="3">
                  <c:v>Shirayuki S2</c:v>
                </c:pt>
                <c:pt idx="4">
                  <c:v>Angelina S3</c:v>
                </c:pt>
                <c:pt idx="5">
                  <c:v>Broca S2</c:v>
                </c:pt>
                <c:pt idx="6">
                  <c:v>Surtr S2 Multi</c:v>
                </c:pt>
                <c:pt idx="7">
                  <c:v>Surtr S2 Single</c:v>
                </c:pt>
                <c:pt idx="8">
                  <c:v>Lappland S2</c:v>
                </c:pt>
                <c:pt idx="9">
                  <c:v>Amiya Guard S1</c:v>
                </c:pt>
                <c:pt idx="10">
                  <c:v>Utage S2</c:v>
                </c:pt>
              </c:strCache>
            </c:strRef>
          </c:cat>
          <c:val>
            <c:numRef>
              <c:f>Arts!$AM$2:$AM$12</c:f>
              <c:numCache>
                <c:formatCode>#,##0</c:formatCode>
                <c:ptCount val="11"/>
                <c:pt idx="0">
                  <c:v>25740.288000000004</c:v>
                </c:pt>
                <c:pt idx="1">
                  <c:v>15498</c:v>
                </c:pt>
                <c:pt idx="2">
                  <c:v>14492.159999999998</c:v>
                </c:pt>
                <c:pt idx="3">
                  <c:v>7137.2571428571446</c:v>
                </c:pt>
                <c:pt idx="4">
                  <c:v>4841.0526315789484</c:v>
                </c:pt>
                <c:pt idx="5">
                  <c:v>4426.1818181818189</c:v>
                </c:pt>
                <c:pt idx="6">
                  <c:v>4075.92</c:v>
                </c:pt>
                <c:pt idx="7">
                  <c:v>3260.7360000000008</c:v>
                </c:pt>
                <c:pt idx="8">
                  <c:v>3249.9692307692308</c:v>
                </c:pt>
                <c:pt idx="9">
                  <c:v>2928</c:v>
                </c:pt>
                <c:pt idx="10">
                  <c:v>2538.7555555555564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7E-4BAB-85C3-1E93DBCA0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1378800"/>
        <c:axId val="541383792"/>
      </c:barChart>
      <c:catAx>
        <c:axId val="5413788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83792"/>
        <c:crosses val="autoZero"/>
        <c:auto val="1"/>
        <c:lblAlgn val="ctr"/>
        <c:lblOffset val="100"/>
        <c:noMultiLvlLbl val="0"/>
      </c:catAx>
      <c:valAx>
        <c:axId val="5413837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37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Single Target Skill DMG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Arts!$AR$1</c:f>
              <c:strCache>
                <c:ptCount val="1"/>
                <c:pt idx="0">
                  <c:v>Sorted DMG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Arts!$AQ$2:$AQ$12</c:f>
              <c:strCache>
                <c:ptCount val="11"/>
                <c:pt idx="0">
                  <c:v>Eyja S3</c:v>
                </c:pt>
                <c:pt idx="1">
                  <c:v>Surtr S3</c:v>
                </c:pt>
                <c:pt idx="2">
                  <c:v>Surtr S2 Single</c:v>
                </c:pt>
                <c:pt idx="3">
                  <c:v>Amiya Guard S1</c:v>
                </c:pt>
                <c:pt idx="4">
                  <c:v>Utage S2</c:v>
                </c:pt>
                <c:pt idx="5">
                  <c:v>Ifrit S3</c:v>
                </c:pt>
                <c:pt idx="6">
                  <c:v>Surtr S2 Multi</c:v>
                </c:pt>
                <c:pt idx="7">
                  <c:v>Lappland S2</c:v>
                </c:pt>
                <c:pt idx="8">
                  <c:v>Broca S2</c:v>
                </c:pt>
                <c:pt idx="9">
                  <c:v>Shirayuki S2</c:v>
                </c:pt>
                <c:pt idx="10">
                  <c:v>Angelina S3</c:v>
                </c:pt>
              </c:strCache>
            </c:strRef>
          </c:cat>
          <c:val>
            <c:numRef>
              <c:f>Arts!$AR$2:$AR$12</c:f>
              <c:numCache>
                <c:formatCode>#,##0</c:formatCode>
                <c:ptCount val="11"/>
                <c:pt idx="0">
                  <c:v>64350.720000000001</c:v>
                </c:pt>
                <c:pt idx="1">
                  <c:v>54345.599999999999</c:v>
                </c:pt>
                <c:pt idx="2">
                  <c:v>48911.040000000008</c:v>
                </c:pt>
                <c:pt idx="3">
                  <c:v>43920</c:v>
                </c:pt>
                <c:pt idx="4">
                  <c:v>37964.160000000003</c:v>
                </c:pt>
                <c:pt idx="5">
                  <c:v>37884</c:v>
                </c:pt>
                <c:pt idx="6">
                  <c:v>30569.4</c:v>
                </c:pt>
                <c:pt idx="7">
                  <c:v>23941.440000000002</c:v>
                </c:pt>
                <c:pt idx="8">
                  <c:v>21422.720000000001</c:v>
                </c:pt>
                <c:pt idx="9">
                  <c:v>17763.840000000004</c:v>
                </c:pt>
                <c:pt idx="10">
                  <c:v>13490.400000000001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D-43A5-B49B-C9D5BCB6A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7353103"/>
        <c:axId val="1837351439"/>
      </c:barChart>
      <c:catAx>
        <c:axId val="183735310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51439"/>
        <c:crosses val="autoZero"/>
        <c:auto val="1"/>
        <c:lblAlgn val="ctr"/>
        <c:lblOffset val="100"/>
        <c:noMultiLvlLbl val="0"/>
      </c:catAx>
      <c:valAx>
        <c:axId val="183735143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5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Multi Target Skill DMG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Arts!$AW$1</c:f>
              <c:strCache>
                <c:ptCount val="1"/>
                <c:pt idx="0">
                  <c:v>Sorted DMG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Arts!$AV$2:$AV$12</c:f>
              <c:strCache>
                <c:ptCount val="11"/>
                <c:pt idx="0">
                  <c:v>Eyja S3</c:v>
                </c:pt>
                <c:pt idx="1">
                  <c:v>Ifrit S3</c:v>
                </c:pt>
                <c:pt idx="2">
                  <c:v>Surtr S3</c:v>
                </c:pt>
                <c:pt idx="3">
                  <c:v>Shirayuki S2</c:v>
                </c:pt>
                <c:pt idx="4">
                  <c:v>Angelina S3</c:v>
                </c:pt>
                <c:pt idx="5">
                  <c:v>Broca S2</c:v>
                </c:pt>
                <c:pt idx="6">
                  <c:v>Surtr S2 Multi</c:v>
                </c:pt>
                <c:pt idx="7">
                  <c:v>Surtr S2 Single</c:v>
                </c:pt>
                <c:pt idx="8">
                  <c:v>Lappland S2</c:v>
                </c:pt>
                <c:pt idx="9">
                  <c:v>Amiya Guard S1</c:v>
                </c:pt>
                <c:pt idx="10">
                  <c:v>Utage S2</c:v>
                </c:pt>
              </c:strCache>
            </c:strRef>
          </c:cat>
          <c:val>
            <c:numRef>
              <c:f>Arts!$AW$2:$AW$12</c:f>
              <c:numCache>
                <c:formatCode>#,##0</c:formatCode>
                <c:ptCount val="11"/>
                <c:pt idx="0">
                  <c:v>386104.32000000001</c:v>
                </c:pt>
                <c:pt idx="1">
                  <c:v>227304</c:v>
                </c:pt>
                <c:pt idx="2">
                  <c:v>217382.39999999999</c:v>
                </c:pt>
                <c:pt idx="3">
                  <c:v>106583.04000000002</c:v>
                </c:pt>
                <c:pt idx="4">
                  <c:v>67452</c:v>
                </c:pt>
                <c:pt idx="5">
                  <c:v>64268.160000000003</c:v>
                </c:pt>
                <c:pt idx="6">
                  <c:v>61138.8</c:v>
                </c:pt>
                <c:pt idx="7">
                  <c:v>48911.040000000008</c:v>
                </c:pt>
                <c:pt idx="8">
                  <c:v>47882.880000000005</c:v>
                </c:pt>
                <c:pt idx="9">
                  <c:v>43920</c:v>
                </c:pt>
                <c:pt idx="10">
                  <c:v>37964.160000000003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E-4A25-A3D7-59E9EF94D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07274000"/>
        <c:axId val="1607271088"/>
      </c:barChart>
      <c:catAx>
        <c:axId val="1607274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1088"/>
        <c:crosses val="autoZero"/>
        <c:auto val="1"/>
        <c:lblAlgn val="ctr"/>
        <c:lblOffset val="100"/>
        <c:noMultiLvlLbl val="0"/>
      </c:catAx>
      <c:valAx>
        <c:axId val="16072710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27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214751</xdr:colOff>
      <xdr:row>33</xdr:row>
      <xdr:rowOff>121622</xdr:rowOff>
    </xdr:from>
    <xdr:to>
      <xdr:col>12</xdr:col>
      <xdr:colOff>324133</xdr:colOff>
      <xdr:row>62</xdr:row>
      <xdr:rowOff>72253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56F1E-5329-4176-ADA5-1C4C732F0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240842</xdr:colOff>
      <xdr:row>33</xdr:row>
      <xdr:rowOff>127645</xdr:rowOff>
    </xdr:from>
    <xdr:to>
      <xdr:col>26</xdr:col>
      <xdr:colOff>0</xdr:colOff>
      <xdr:row>62</xdr:row>
      <xdr:rowOff>128449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38C7594-9F4A-480A-AE5C-6FFE85A38A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84367</xdr:colOff>
      <xdr:row>63</xdr:row>
      <xdr:rowOff>148885</xdr:rowOff>
    </xdr:from>
    <xdr:to>
      <xdr:col>15</xdr:col>
      <xdr:colOff>322583</xdr:colOff>
      <xdr:row>91</xdr:row>
      <xdr:rowOff>111665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2FD13C-C363-4D14-ABA0-CE80FEAAB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160669</xdr:colOff>
      <xdr:row>64</xdr:row>
      <xdr:rowOff>151984</xdr:rowOff>
    </xdr:from>
    <xdr:to>
      <xdr:col>30</xdr:col>
      <xdr:colOff>545911</xdr:colOff>
      <xdr:row>92</xdr:row>
      <xdr:rowOff>82175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6803832-4E93-4F2A-9806-D89A46E27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392372</xdr:colOff>
      <xdr:row>13</xdr:row>
      <xdr:rowOff>155742</xdr:rowOff>
    </xdr:from>
    <xdr:to>
      <xdr:col>10</xdr:col>
      <xdr:colOff>255895</xdr:colOff>
      <xdr:row>30</xdr:row>
      <xdr:rowOff>17059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B24CE-E0D1-4426-8929-EF514B185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253692</xdr:colOff>
      <xdr:row>14</xdr:row>
      <xdr:rowOff>62951</xdr:rowOff>
    </xdr:from>
    <xdr:to>
      <xdr:col>20</xdr:col>
      <xdr:colOff>409434</xdr:colOff>
      <xdr:row>29</xdr:row>
      <xdr:rowOff>164394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814D6E-67CE-49A4-934F-5257CA3B13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826319</xdr:colOff>
      <xdr:row>31</xdr:row>
      <xdr:rowOff>156199</xdr:rowOff>
    </xdr:from>
    <xdr:to>
      <xdr:col>8</xdr:col>
      <xdr:colOff>757225</xdr:colOff>
      <xdr:row>47</xdr:row>
      <xdr:rowOff>128906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763FEC-6257-483C-AC33-4CD6A5FCC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339986</xdr:colOff>
      <xdr:row>32</xdr:row>
      <xdr:rowOff>54190</xdr:rowOff>
    </xdr:from>
    <xdr:to>
      <xdr:col>20</xdr:col>
      <xdr:colOff>443552</xdr:colOff>
      <xdr:row>47</xdr:row>
      <xdr:rowOff>148120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3F90D5-9D37-4D37-8B77-36236014A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6CA4A-B3A2-4664-9128-D31F8E40602C}">
  <dimension ref="A1:AX37"/>
  <sheetViews>
    <sheetView tabSelected="1" zoomScale="85" zoomScaleNormal="85" workbookViewId="0">
      <pane xSplit="2" ySplit="1" topLeftCell="Q62" activePane="bottomRight" state="frozen"/>
      <selection pane="topRight" activeCell="C1" sqref="C1"/>
      <selection pane="bottomLeft" activeCell="A2" sqref="A2"/>
      <selection pane="bottomRight" activeCell="AX3" sqref="AF3:AX32"/>
    </sheetView>
  </sheetViews>
  <sheetFormatPr defaultRowHeight="14.5" x14ac:dyDescent="0.35"/>
  <cols>
    <col min="1" max="1" width="5.7265625" customWidth="1"/>
    <col min="2" max="2" width="13.08984375" customWidth="1"/>
    <col min="3" max="3" width="8.81640625" style="36"/>
    <col min="4" max="4" width="7.7265625" customWidth="1"/>
    <col min="5" max="5" width="6.90625" customWidth="1"/>
    <col min="6" max="6" width="8.6328125" customWidth="1"/>
    <col min="7" max="7" width="9.81640625" customWidth="1"/>
    <col min="8" max="8" width="6.36328125" customWidth="1"/>
    <col min="9" max="9" width="12.81640625" customWidth="1"/>
    <col min="10" max="10" width="7.453125" customWidth="1"/>
    <col min="11" max="13" width="6.453125" customWidth="1"/>
    <col min="14" max="15" width="7.36328125" customWidth="1"/>
    <col min="16" max="16" width="6.81640625" customWidth="1"/>
    <col min="17" max="17" width="6.36328125" customWidth="1"/>
    <col min="18" max="18" width="7.26953125" customWidth="1"/>
    <col min="19" max="19" width="9.08984375" style="30" customWidth="1"/>
    <col min="20" max="20" width="7.90625" style="1" customWidth="1"/>
    <col min="21" max="22" width="10.81640625" style="30" customWidth="1"/>
    <col min="23" max="23" width="8.7265625" style="1" customWidth="1"/>
    <col min="24" max="24" width="8.81640625" style="30"/>
    <col min="25" max="26" width="14.08984375" style="30" customWidth="1"/>
    <col min="27" max="27" width="8.453125" style="24" customWidth="1"/>
    <col min="28" max="28" width="15.08984375" style="30" customWidth="1"/>
    <col min="29" max="29" width="10.1796875" style="24" customWidth="1"/>
    <col min="30" max="30" width="15.08984375" style="30" customWidth="1"/>
    <col min="32" max="32" width="12.7265625" customWidth="1"/>
    <col min="33" max="33" width="11" customWidth="1"/>
    <col min="34" max="34" width="12.26953125" customWidth="1"/>
    <col min="35" max="35" width="10.7265625" style="36" customWidth="1"/>
    <col min="37" max="37" width="18.7265625" customWidth="1"/>
    <col min="38" max="38" width="10.81640625" customWidth="1"/>
    <col min="39" max="39" width="11.90625" customWidth="1"/>
    <col min="40" max="40" width="11.7265625" style="36" customWidth="1"/>
    <col min="42" max="42" width="15.1796875" customWidth="1"/>
    <col min="43" max="43" width="10.90625" customWidth="1"/>
    <col min="44" max="44" width="13.08984375" customWidth="1"/>
    <col min="45" max="45" width="11.6328125" style="36" customWidth="1"/>
    <col min="47" max="47" width="14.6328125" customWidth="1"/>
    <col min="48" max="48" width="11.26953125" customWidth="1"/>
    <col min="49" max="49" width="13.1796875" customWidth="1"/>
    <col min="50" max="50" width="14.90625" customWidth="1"/>
  </cols>
  <sheetData>
    <row r="1" spans="1:50" s="5" customFormat="1" x14ac:dyDescent="0.35">
      <c r="A1" s="8" t="s">
        <v>0</v>
      </c>
      <c r="B1" s="2" t="s">
        <v>12</v>
      </c>
      <c r="C1" s="32" t="s">
        <v>1</v>
      </c>
      <c r="D1" s="2" t="s">
        <v>6</v>
      </c>
      <c r="E1" s="3" t="s">
        <v>3</v>
      </c>
      <c r="F1" s="3" t="s">
        <v>5</v>
      </c>
      <c r="G1" s="3" t="s">
        <v>55</v>
      </c>
      <c r="H1" s="3" t="s">
        <v>7</v>
      </c>
      <c r="I1" s="2" t="s">
        <v>9</v>
      </c>
      <c r="J1" s="2" t="s">
        <v>2</v>
      </c>
      <c r="K1" s="2" t="s">
        <v>28</v>
      </c>
      <c r="L1" s="3" t="s">
        <v>40</v>
      </c>
      <c r="M1" s="3" t="s">
        <v>41</v>
      </c>
      <c r="N1" s="2" t="s">
        <v>24</v>
      </c>
      <c r="O1" s="2" t="s">
        <v>61</v>
      </c>
      <c r="P1" s="2" t="s">
        <v>62</v>
      </c>
      <c r="Q1" s="3" t="s">
        <v>13</v>
      </c>
      <c r="R1" s="3" t="s">
        <v>14</v>
      </c>
      <c r="S1" s="31" t="s">
        <v>8</v>
      </c>
      <c r="T1" s="4" t="s">
        <v>0</v>
      </c>
      <c r="U1" s="31" t="s">
        <v>11</v>
      </c>
      <c r="V1" s="31" t="s">
        <v>81</v>
      </c>
      <c r="W1" s="4" t="s">
        <v>10</v>
      </c>
      <c r="X1" s="31" t="s">
        <v>4</v>
      </c>
      <c r="Y1" s="25" t="s">
        <v>29</v>
      </c>
      <c r="Z1" s="25" t="s">
        <v>66</v>
      </c>
      <c r="AA1" s="21" t="s">
        <v>68</v>
      </c>
      <c r="AB1" s="25" t="s">
        <v>74</v>
      </c>
      <c r="AC1" s="21" t="s">
        <v>78</v>
      </c>
      <c r="AD1" s="26" t="s">
        <v>75</v>
      </c>
      <c r="AE1" s="18"/>
      <c r="AF1" s="17" t="s">
        <v>33</v>
      </c>
      <c r="AG1" s="17" t="s">
        <v>37</v>
      </c>
      <c r="AH1" s="17" t="s">
        <v>34</v>
      </c>
      <c r="AI1" s="35" t="s">
        <v>35</v>
      </c>
      <c r="AJ1" s="18"/>
      <c r="AK1" s="17" t="s">
        <v>36</v>
      </c>
      <c r="AL1" s="17" t="s">
        <v>37</v>
      </c>
      <c r="AM1" s="17" t="s">
        <v>34</v>
      </c>
      <c r="AN1" s="41" t="s">
        <v>35</v>
      </c>
      <c r="AO1" s="10"/>
      <c r="AP1" s="37" t="s">
        <v>76</v>
      </c>
      <c r="AQ1" s="38" t="s">
        <v>37</v>
      </c>
      <c r="AR1" s="38" t="s">
        <v>34</v>
      </c>
      <c r="AS1" s="39" t="s">
        <v>63</v>
      </c>
      <c r="AU1" s="37" t="s">
        <v>77</v>
      </c>
      <c r="AV1" s="38" t="s">
        <v>37</v>
      </c>
      <c r="AW1" s="38" t="s">
        <v>34</v>
      </c>
      <c r="AX1" s="39" t="s">
        <v>63</v>
      </c>
    </row>
    <row r="2" spans="1:50" x14ac:dyDescent="0.35">
      <c r="A2" s="9">
        <v>250</v>
      </c>
      <c r="B2" s="10" t="s">
        <v>16</v>
      </c>
      <c r="C2" s="33">
        <v>519</v>
      </c>
      <c r="D2" s="10">
        <v>0.78</v>
      </c>
      <c r="E2" s="11">
        <v>0.55000000000000004</v>
      </c>
      <c r="F2" s="10"/>
      <c r="G2" s="10"/>
      <c r="H2" s="10">
        <v>55</v>
      </c>
      <c r="I2" s="11">
        <v>0.4</v>
      </c>
      <c r="J2" s="10">
        <v>1</v>
      </c>
      <c r="K2" s="15">
        <v>1</v>
      </c>
      <c r="L2" s="15"/>
      <c r="M2" s="15"/>
      <c r="N2" s="10"/>
      <c r="O2" s="10">
        <v>20</v>
      </c>
      <c r="P2" s="10"/>
      <c r="Q2" s="11">
        <v>0</v>
      </c>
      <c r="R2" s="15">
        <v>0</v>
      </c>
      <c r="S2" s="27">
        <f t="shared" ref="S2:S32" si="0">C2*(1+E2+Q2)</f>
        <v>804.45</v>
      </c>
      <c r="T2" s="12">
        <f>MAX(0,(A2-L2)*(1-M2))</f>
        <v>250</v>
      </c>
      <c r="U2" s="27">
        <f>MAX(S2*(1+I2)-T2,5%*S2)</f>
        <v>876.23</v>
      </c>
      <c r="V2" s="27">
        <f>(1+(H2+R2)/100)/(D2*(1+G2)+F2)</f>
        <v>1.9871794871794872</v>
      </c>
      <c r="W2" s="12">
        <f>J2*V2</f>
        <v>1.9871794871794872</v>
      </c>
      <c r="X2" s="27">
        <f>$U2*W2*(1-$N2)</f>
        <v>1741.2262820512822</v>
      </c>
      <c r="Y2" s="27">
        <f>X2*$K2/(1-$N2)</f>
        <v>1741.2262820512822</v>
      </c>
      <c r="Z2" s="27">
        <v>15</v>
      </c>
      <c r="AA2" s="22">
        <f t="shared" ref="AA2:AA32" si="1">IF(NOT(OR(ISBLANK($O2),$O2="")),ROUNDDOWN($W2*MIN($O2,Z2),0),ROUNDDOWN(MIN($W2*Z2,$P2/$J2),0))</f>
        <v>29</v>
      </c>
      <c r="AB2" s="27">
        <f>$U2*AA2*(1-$N2)</f>
        <v>25410.670000000002</v>
      </c>
      <c r="AC2" s="22">
        <v>6</v>
      </c>
      <c r="AD2" s="27">
        <f>AB2*MIN($K2, AC2)/(1-$N2)</f>
        <v>25410.670000000002</v>
      </c>
      <c r="AE2" s="18"/>
      <c r="AF2">
        <f t="shared" ref="AF2:AF32" si="2">RANK(X2, X$2:X$32, 0)</f>
        <v>10</v>
      </c>
      <c r="AG2">
        <v>1</v>
      </c>
      <c r="AH2" t="str">
        <f>INDEX($B$2:$B$32,MATCH(AG2,AF$2:AF$32,0))</f>
        <v>Ash S2</v>
      </c>
      <c r="AI2" s="33">
        <f t="shared" ref="AI2:AI32" si="3">INDEX(X$2:X$32,MATCH(AG2,AF$2:AF$32,0))</f>
        <v>5000.0000000000009</v>
      </c>
      <c r="AJ2" s="18"/>
      <c r="AK2">
        <f t="shared" ref="AK2:AK32" si="4">RANK(Y2, Y$2:Y$32, 0)</f>
        <v>21</v>
      </c>
      <c r="AL2">
        <v>1</v>
      </c>
      <c r="AM2" t="str">
        <f>INDEX($B$2:$B$32,MATCH(AL2,AK$2:AK$32,0))</f>
        <v>Chen Alter S3</v>
      </c>
      <c r="AN2" s="40">
        <f t="shared" ref="AN2:AN32" si="5">INDEX(Y$2:Y$32,MATCH(AL2,AK$2:AK$32,0))</f>
        <v>12188.034782608698</v>
      </c>
      <c r="AO2" s="10"/>
      <c r="AP2" s="9">
        <f>RANK(AB2, AB$2:AB$32, 0)</f>
        <v>8</v>
      </c>
      <c r="AQ2" s="10">
        <v>1</v>
      </c>
      <c r="AR2" s="10" t="str">
        <f>INDEX($B$2:$B$32,MATCH(AQ2,AP$2:AP$32,0))</f>
        <v>Hellagur S2</v>
      </c>
      <c r="AS2" s="40">
        <f>INDEX(AB$2:AB$32,MATCH(AQ2,AP$2:AP$32,0))</f>
        <v>37526.400000000001</v>
      </c>
      <c r="AU2" s="9">
        <f>RANK(AD2, AD$2:AD$32, 0)</f>
        <v>19</v>
      </c>
      <c r="AV2" s="10">
        <v>1</v>
      </c>
      <c r="AW2" s="10" t="str">
        <f>INDEX($B$2:$B$32,MATCH(AV2,AU$2:AU$32,0))</f>
        <v>Chen Alter S3</v>
      </c>
      <c r="AX2" s="40">
        <f>INDEX(AD$2:AD$32,MATCH(AV2,AU$2:AU$32,0))</f>
        <v>181692</v>
      </c>
    </row>
    <row r="3" spans="1:50" x14ac:dyDescent="0.35">
      <c r="A3" s="9">
        <f>A$2</f>
        <v>250</v>
      </c>
      <c r="B3" s="10" t="s">
        <v>17</v>
      </c>
      <c r="C3" s="33">
        <v>554</v>
      </c>
      <c r="D3" s="10">
        <v>1</v>
      </c>
      <c r="E3" s="11">
        <v>1.2</v>
      </c>
      <c r="F3" s="10">
        <v>0.7</v>
      </c>
      <c r="G3" s="10"/>
      <c r="H3" s="10"/>
      <c r="I3" s="13">
        <f>25%*30%</f>
        <v>7.4999999999999997E-2</v>
      </c>
      <c r="J3" s="10">
        <v>3</v>
      </c>
      <c r="K3" s="15">
        <f>1+25%*1</f>
        <v>1.25</v>
      </c>
      <c r="L3" s="15"/>
      <c r="M3" s="15"/>
      <c r="N3" s="10"/>
      <c r="O3" s="10">
        <v>20</v>
      </c>
      <c r="P3" s="10"/>
      <c r="Q3" s="11">
        <f>Q$2</f>
        <v>0</v>
      </c>
      <c r="R3" s="15">
        <f>R$2</f>
        <v>0</v>
      </c>
      <c r="S3" s="27">
        <f t="shared" si="0"/>
        <v>1218.8000000000002</v>
      </c>
      <c r="T3" s="12">
        <f t="shared" ref="T3:T32" si="6">MAX(0,(A3-L3)*(1-M3))</f>
        <v>250</v>
      </c>
      <c r="U3" s="27">
        <f t="shared" ref="U3:U32" si="7">MAX(S3*(1+I3)-T3,5%*S3)</f>
        <v>1060.21</v>
      </c>
      <c r="V3" s="27">
        <f t="shared" ref="V3:V32" si="8">(1+(H3+R3)/100)/(D3*(1+G3)+F3)</f>
        <v>0.58823529411764708</v>
      </c>
      <c r="W3" s="12">
        <f t="shared" ref="W3:W32" si="9">J3*V3</f>
        <v>1.7647058823529411</v>
      </c>
      <c r="X3" s="27">
        <f t="shared" ref="X3:X32" si="10">$U3*W3*(1-$N3)</f>
        <v>1870.9588235294118</v>
      </c>
      <c r="Y3" s="27">
        <f t="shared" ref="Y3:Y32" si="11">X3*$K3/(1-$N3)</f>
        <v>2338.6985294117649</v>
      </c>
      <c r="Z3" s="27">
        <f>Z$2</f>
        <v>15</v>
      </c>
      <c r="AA3" s="22">
        <f t="shared" si="1"/>
        <v>26</v>
      </c>
      <c r="AB3" s="27">
        <f t="shared" ref="AB3:AB32" si="12">$U3*AA3*(1-$N3)</f>
        <v>27565.46</v>
      </c>
      <c r="AC3" s="22">
        <f t="shared" ref="AC3:AC32" si="13">AC$2</f>
        <v>6</v>
      </c>
      <c r="AD3" s="27">
        <f t="shared" ref="AD3:AD32" si="14">AB3*MIN($K3, AC3)/(1-$N3)</f>
        <v>34456.824999999997</v>
      </c>
      <c r="AE3" s="18"/>
      <c r="AF3">
        <f t="shared" si="2"/>
        <v>8</v>
      </c>
      <c r="AG3">
        <f>AG2+1</f>
        <v>2</v>
      </c>
      <c r="AH3" t="str">
        <f>INDEX($B$2:$B$32,MATCH(AG3,AF$2:AF$32,0))</f>
        <v>Tachanka S2</v>
      </c>
      <c r="AI3" s="33">
        <f t="shared" si="3"/>
        <v>4335.8974358974347</v>
      </c>
      <c r="AJ3" s="18"/>
      <c r="AK3">
        <f t="shared" si="4"/>
        <v>15</v>
      </c>
      <c r="AL3">
        <f>AL2+1</f>
        <v>2</v>
      </c>
      <c r="AM3" t="str">
        <f>INDEX($B$2:$B$32,MATCH(AL3,AK$2:AK$32,0))</f>
        <v>Executor S2</v>
      </c>
      <c r="AN3" s="40">
        <f t="shared" si="5"/>
        <v>8112.8571428571431</v>
      </c>
      <c r="AO3" s="10"/>
      <c r="AP3" s="9">
        <f>RANK(AB3, AB$2:AB$32, 0)</f>
        <v>6</v>
      </c>
      <c r="AQ3" s="10">
        <f>AQ2+1</f>
        <v>2</v>
      </c>
      <c r="AR3" s="10" t="str">
        <f>INDEX($B$2:$B$32,MATCH(AQ3,AP$2:AP$32,0))</f>
        <v>Ash S2</v>
      </c>
      <c r="AS3" s="40">
        <f>INDEX(AB$2:AB$32,MATCH(AQ3,AP$2:AP$32,0))</f>
        <v>31000</v>
      </c>
      <c r="AU3" s="9">
        <f>RANK(AD3, AD$2:AD$32, 0)</f>
        <v>12</v>
      </c>
      <c r="AV3" s="10">
        <f>AV2+1</f>
        <v>2</v>
      </c>
      <c r="AW3" s="10" t="str">
        <f>INDEX($B$2:$B$32,MATCH(AV3,AU$2:AU$32,0))</f>
        <v>Executor S2</v>
      </c>
      <c r="AX3" s="40">
        <f>INDEX(AD$2:AD$32,MATCH(AV3,AU$2:AU$32,0))</f>
        <v>119259</v>
      </c>
    </row>
    <row r="4" spans="1:50" x14ac:dyDescent="0.35">
      <c r="A4" s="9">
        <f t="shared" ref="A4:A32" si="15">A$2</f>
        <v>250</v>
      </c>
      <c r="B4" s="10" t="s">
        <v>18</v>
      </c>
      <c r="C4" s="33">
        <v>549</v>
      </c>
      <c r="D4" s="10">
        <v>0.78</v>
      </c>
      <c r="E4" s="11">
        <v>1</v>
      </c>
      <c r="F4" s="10">
        <v>0.7</v>
      </c>
      <c r="G4" s="10"/>
      <c r="H4" s="10"/>
      <c r="I4" s="13">
        <f>75%*60%</f>
        <v>0.44999999999999996</v>
      </c>
      <c r="J4" s="10">
        <v>2</v>
      </c>
      <c r="K4" s="15">
        <v>3</v>
      </c>
      <c r="L4" s="15"/>
      <c r="M4" s="15"/>
      <c r="N4" s="10"/>
      <c r="O4" s="10">
        <v>30</v>
      </c>
      <c r="P4" s="10"/>
      <c r="Q4" s="11">
        <f t="shared" ref="Q4:R32" si="16">Q$2</f>
        <v>0</v>
      </c>
      <c r="R4" s="15">
        <f t="shared" si="16"/>
        <v>0</v>
      </c>
      <c r="S4" s="27">
        <f t="shared" si="0"/>
        <v>1098</v>
      </c>
      <c r="T4" s="12">
        <f t="shared" si="6"/>
        <v>250</v>
      </c>
      <c r="U4" s="27">
        <f t="shared" si="7"/>
        <v>1342.1</v>
      </c>
      <c r="V4" s="27">
        <f t="shared" si="8"/>
        <v>0.67567567567567566</v>
      </c>
      <c r="W4" s="12">
        <f t="shared" si="9"/>
        <v>1.3513513513513513</v>
      </c>
      <c r="X4" s="27">
        <f t="shared" si="10"/>
        <v>1813.6486486486485</v>
      </c>
      <c r="Y4" s="27">
        <f t="shared" si="11"/>
        <v>5440.9459459459458</v>
      </c>
      <c r="Z4" s="27">
        <f t="shared" ref="Z4:Z32" si="17">Z$2</f>
        <v>15</v>
      </c>
      <c r="AA4" s="22">
        <f t="shared" si="1"/>
        <v>20</v>
      </c>
      <c r="AB4" s="27">
        <f t="shared" si="12"/>
        <v>26842</v>
      </c>
      <c r="AC4" s="22">
        <f t="shared" si="13"/>
        <v>6</v>
      </c>
      <c r="AD4" s="27">
        <f t="shared" si="14"/>
        <v>80526</v>
      </c>
      <c r="AE4" s="18"/>
      <c r="AF4">
        <f t="shared" ref="AF4:AF32" si="18">RANK(X4, X$2:X$32, 0)</f>
        <v>9</v>
      </c>
      <c r="AG4">
        <f t="shared" ref="AG4:AG32" si="19">AG3+1</f>
        <v>3</v>
      </c>
      <c r="AH4" t="str">
        <f t="shared" ref="AH4:AH32" si="20">INDEX($B$2:$B$32,MATCH(AG4,AF$2:AF$32,0))</f>
        <v>Hellagur S2</v>
      </c>
      <c r="AI4" s="33">
        <f t="shared" ref="AI4:AI32" si="21">INDEX(X$2:X$32,MATCH(AG4,AF$2:AF$32,0))</f>
        <v>2895.5555555555561</v>
      </c>
      <c r="AJ4" s="18"/>
      <c r="AK4">
        <f t="shared" ref="AK4:AK32" si="22">RANK(Y4, Y$2:Y$32, 0)</f>
        <v>4</v>
      </c>
      <c r="AL4">
        <f t="shared" ref="AL4:AL32" si="23">AL3+1</f>
        <v>3</v>
      </c>
      <c r="AM4" t="str">
        <f t="shared" ref="AM4:AM32" si="24">INDEX($B$2:$B$32,MATCH(AL4,AK$2:AK$32,0))</f>
        <v>SilverAsh S3</v>
      </c>
      <c r="AN4" s="40">
        <f t="shared" ref="AN4:AN32" si="25">INDEX(Y$2:Y$32,MATCH(AL4,AK$2:AK$32,0))</f>
        <v>8081.538461538461</v>
      </c>
      <c r="AO4" s="10"/>
      <c r="AP4" s="9">
        <f t="shared" ref="AP4:AP32" si="26">RANK(AB4, AB$2:AB$32, 0)</f>
        <v>7</v>
      </c>
      <c r="AQ4" s="10">
        <f t="shared" ref="AQ4:AQ32" si="27">AQ3+1</f>
        <v>3</v>
      </c>
      <c r="AR4" s="10" t="str">
        <f t="shared" ref="AR4:AR32" si="28">INDEX($B$2:$B$32,MATCH(AQ4,AP$2:AP$32,0))</f>
        <v>Chen Alter S3</v>
      </c>
      <c r="AS4" s="40">
        <f t="shared" ref="AS4:AS32" si="29">INDEX(AB$2:AB$32,MATCH(AQ4,AP$2:AP$32,0))</f>
        <v>30282</v>
      </c>
      <c r="AU4" s="9">
        <f t="shared" ref="AU4:AU32" si="30">RANK(AD4, AD$2:AD$32, 0)</f>
        <v>4</v>
      </c>
      <c r="AV4" s="10">
        <f t="shared" ref="AV4:AV32" si="31">AV3+1</f>
        <v>3</v>
      </c>
      <c r="AW4" s="10" t="str">
        <f t="shared" ref="AW4:AW32" si="32">INDEX($B$2:$B$32,MATCH(AV4,AU$2:AU$32,0))</f>
        <v>SilverAsh S3</v>
      </c>
      <c r="AX4" s="40">
        <f t="shared" ref="AX4:AX32" si="33">INDEX(AD$2:AD$32,MATCH(AV4,AU$2:AU$32,0))</f>
        <v>115566</v>
      </c>
    </row>
    <row r="5" spans="1:50" x14ac:dyDescent="0.35">
      <c r="A5" s="9">
        <f t="shared" si="15"/>
        <v>250</v>
      </c>
      <c r="B5" s="10" t="s">
        <v>20</v>
      </c>
      <c r="C5" s="33">
        <v>505</v>
      </c>
      <c r="D5" s="10">
        <v>1</v>
      </c>
      <c r="E5" s="10"/>
      <c r="F5" s="10"/>
      <c r="G5" s="10"/>
      <c r="H5" s="10"/>
      <c r="I5" s="11">
        <v>0.25</v>
      </c>
      <c r="J5" s="10">
        <v>4</v>
      </c>
      <c r="K5" s="10">
        <v>1</v>
      </c>
      <c r="L5" s="10"/>
      <c r="M5" s="10"/>
      <c r="N5" s="10"/>
      <c r="O5" s="15">
        <v>15</v>
      </c>
      <c r="P5" s="15"/>
      <c r="Q5" s="11">
        <f t="shared" si="16"/>
        <v>0</v>
      </c>
      <c r="R5" s="15">
        <f t="shared" si="16"/>
        <v>0</v>
      </c>
      <c r="S5" s="27">
        <f t="shared" si="0"/>
        <v>505</v>
      </c>
      <c r="T5" s="12">
        <f t="shared" si="6"/>
        <v>250</v>
      </c>
      <c r="U5" s="27">
        <f t="shared" si="7"/>
        <v>381.25</v>
      </c>
      <c r="V5" s="27">
        <f t="shared" si="8"/>
        <v>1</v>
      </c>
      <c r="W5" s="12">
        <f t="shared" si="9"/>
        <v>4</v>
      </c>
      <c r="X5" s="27">
        <f t="shared" si="10"/>
        <v>1525</v>
      </c>
      <c r="Y5" s="27">
        <f t="shared" si="11"/>
        <v>1525</v>
      </c>
      <c r="Z5" s="27">
        <f t="shared" si="17"/>
        <v>15</v>
      </c>
      <c r="AA5" s="22">
        <f t="shared" si="1"/>
        <v>60</v>
      </c>
      <c r="AB5" s="27">
        <f t="shared" si="12"/>
        <v>22875</v>
      </c>
      <c r="AC5" s="22">
        <f t="shared" si="13"/>
        <v>6</v>
      </c>
      <c r="AD5" s="27">
        <f t="shared" si="14"/>
        <v>22875</v>
      </c>
      <c r="AE5" s="18"/>
      <c r="AF5">
        <f t="shared" si="18"/>
        <v>16</v>
      </c>
      <c r="AG5">
        <f t="shared" si="19"/>
        <v>4</v>
      </c>
      <c r="AH5" t="str">
        <f t="shared" si="20"/>
        <v>Chen Alter S3</v>
      </c>
      <c r="AI5" s="33">
        <f t="shared" si="21"/>
        <v>2031.3391304347829</v>
      </c>
      <c r="AJ5" s="18"/>
      <c r="AK5">
        <f t="shared" si="22"/>
        <v>26</v>
      </c>
      <c r="AL5">
        <f t="shared" si="23"/>
        <v>4</v>
      </c>
      <c r="AM5" t="str">
        <f t="shared" si="24"/>
        <v>Mountain S3</v>
      </c>
      <c r="AN5" s="40">
        <f t="shared" si="25"/>
        <v>5440.9459459459458</v>
      </c>
      <c r="AO5" s="10"/>
      <c r="AP5" s="9">
        <f t="shared" si="26"/>
        <v>13</v>
      </c>
      <c r="AQ5" s="10">
        <f t="shared" si="27"/>
        <v>4</v>
      </c>
      <c r="AR5" s="10" t="str">
        <f t="shared" si="28"/>
        <v>La Pluma S2</v>
      </c>
      <c r="AS5" s="40">
        <f t="shared" si="29"/>
        <v>30031.25</v>
      </c>
      <c r="AU5" s="9">
        <f t="shared" si="30"/>
        <v>23</v>
      </c>
      <c r="AV5" s="10">
        <f t="shared" si="31"/>
        <v>4</v>
      </c>
      <c r="AW5" s="10" t="str">
        <f t="shared" si="32"/>
        <v>Mountain S3</v>
      </c>
      <c r="AX5" s="40">
        <f t="shared" si="33"/>
        <v>80526</v>
      </c>
    </row>
    <row r="6" spans="1:50" x14ac:dyDescent="0.35">
      <c r="A6" s="9">
        <f t="shared" si="15"/>
        <v>250</v>
      </c>
      <c r="B6" s="10" t="s">
        <v>19</v>
      </c>
      <c r="C6" s="33">
        <v>505</v>
      </c>
      <c r="D6" s="10">
        <v>1</v>
      </c>
      <c r="E6" s="10"/>
      <c r="F6" s="10">
        <v>-0.22</v>
      </c>
      <c r="G6" s="10"/>
      <c r="H6" s="10"/>
      <c r="I6" s="11">
        <v>0.1</v>
      </c>
      <c r="J6" s="10">
        <v>5</v>
      </c>
      <c r="K6" s="15">
        <v>1</v>
      </c>
      <c r="L6" s="15"/>
      <c r="M6" s="15"/>
      <c r="N6" s="10"/>
      <c r="O6" s="15">
        <v>15</v>
      </c>
      <c r="P6" s="15"/>
      <c r="Q6" s="11">
        <f t="shared" si="16"/>
        <v>0</v>
      </c>
      <c r="R6" s="15">
        <f t="shared" si="16"/>
        <v>0</v>
      </c>
      <c r="S6" s="27">
        <f t="shared" si="0"/>
        <v>505</v>
      </c>
      <c r="T6" s="12">
        <f t="shared" si="6"/>
        <v>250</v>
      </c>
      <c r="U6" s="27">
        <f t="shared" si="7"/>
        <v>305.5</v>
      </c>
      <c r="V6" s="27">
        <f t="shared" si="8"/>
        <v>1.2820512820512819</v>
      </c>
      <c r="W6" s="12">
        <f t="shared" si="9"/>
        <v>6.4102564102564097</v>
      </c>
      <c r="X6" s="27">
        <f t="shared" si="10"/>
        <v>1958.3333333333333</v>
      </c>
      <c r="Y6" s="27">
        <f t="shared" si="11"/>
        <v>1958.3333333333333</v>
      </c>
      <c r="Z6" s="27">
        <f t="shared" si="17"/>
        <v>15</v>
      </c>
      <c r="AA6" s="22">
        <f t="shared" si="1"/>
        <v>96</v>
      </c>
      <c r="AB6" s="27">
        <f t="shared" si="12"/>
        <v>29328</v>
      </c>
      <c r="AC6" s="22">
        <f t="shared" si="13"/>
        <v>6</v>
      </c>
      <c r="AD6" s="27">
        <f t="shared" si="14"/>
        <v>29328</v>
      </c>
      <c r="AE6" s="18"/>
      <c r="AF6">
        <f t="shared" si="18"/>
        <v>7</v>
      </c>
      <c r="AG6">
        <f t="shared" si="19"/>
        <v>5</v>
      </c>
      <c r="AH6" t="str">
        <f t="shared" si="20"/>
        <v>La Pluma S2</v>
      </c>
      <c r="AI6" s="33">
        <f t="shared" si="21"/>
        <v>2026.9230769230767</v>
      </c>
      <c r="AJ6" s="18"/>
      <c r="AK6">
        <f t="shared" si="22"/>
        <v>19</v>
      </c>
      <c r="AL6">
        <f t="shared" si="23"/>
        <v>5</v>
      </c>
      <c r="AM6" t="str">
        <f t="shared" si="24"/>
        <v>Ash S2</v>
      </c>
      <c r="AN6" s="40">
        <f t="shared" si="25"/>
        <v>5000.0000000000009</v>
      </c>
      <c r="AO6" s="10"/>
      <c r="AP6" s="9">
        <f t="shared" si="26"/>
        <v>5</v>
      </c>
      <c r="AQ6" s="10">
        <f t="shared" si="27"/>
        <v>5</v>
      </c>
      <c r="AR6" s="10" t="str">
        <f t="shared" si="28"/>
        <v>Exusiai S3</v>
      </c>
      <c r="AS6" s="40">
        <f t="shared" si="29"/>
        <v>29328</v>
      </c>
      <c r="AU6" s="9">
        <f t="shared" si="30"/>
        <v>17</v>
      </c>
      <c r="AV6" s="10">
        <f t="shared" si="31"/>
        <v>5</v>
      </c>
      <c r="AW6" s="10" t="str">
        <f t="shared" si="32"/>
        <v>Hellagur S3</v>
      </c>
      <c r="AX6" s="40">
        <f t="shared" si="33"/>
        <v>71160</v>
      </c>
    </row>
    <row r="7" spans="1:50" x14ac:dyDescent="0.35">
      <c r="A7" s="9">
        <f t="shared" si="15"/>
        <v>250</v>
      </c>
      <c r="B7" s="10" t="s">
        <v>21</v>
      </c>
      <c r="C7" s="33">
        <v>484</v>
      </c>
      <c r="D7" s="10">
        <v>1.05</v>
      </c>
      <c r="E7" s="10"/>
      <c r="F7" s="15">
        <v>1</v>
      </c>
      <c r="G7" s="15"/>
      <c r="H7" s="10"/>
      <c r="I7" s="11">
        <v>2.8</v>
      </c>
      <c r="J7" s="15">
        <v>1</v>
      </c>
      <c r="K7" s="15">
        <v>1</v>
      </c>
      <c r="L7" s="15"/>
      <c r="M7" s="15"/>
      <c r="N7" s="15"/>
      <c r="O7" s="15">
        <v>25</v>
      </c>
      <c r="P7" s="15"/>
      <c r="Q7" s="11">
        <f t="shared" si="16"/>
        <v>0</v>
      </c>
      <c r="R7" s="15">
        <f t="shared" si="16"/>
        <v>0</v>
      </c>
      <c r="S7" s="27">
        <f t="shared" si="0"/>
        <v>484</v>
      </c>
      <c r="T7" s="12">
        <f t="shared" si="6"/>
        <v>250</v>
      </c>
      <c r="U7" s="27">
        <f t="shared" si="7"/>
        <v>1589.1999999999998</v>
      </c>
      <c r="V7" s="27">
        <f t="shared" si="8"/>
        <v>0.48780487804878053</v>
      </c>
      <c r="W7" s="12">
        <f t="shared" si="9"/>
        <v>0.48780487804878053</v>
      </c>
      <c r="X7" s="27">
        <f t="shared" si="10"/>
        <v>775.21951219512198</v>
      </c>
      <c r="Y7" s="27">
        <f t="shared" si="11"/>
        <v>775.21951219512198</v>
      </c>
      <c r="Z7" s="27">
        <f t="shared" si="17"/>
        <v>15</v>
      </c>
      <c r="AA7" s="22">
        <f t="shared" si="1"/>
        <v>7</v>
      </c>
      <c r="AB7" s="27">
        <f t="shared" si="12"/>
        <v>11124.399999999998</v>
      </c>
      <c r="AC7" s="22">
        <f t="shared" si="13"/>
        <v>6</v>
      </c>
      <c r="AD7" s="27">
        <f t="shared" si="14"/>
        <v>11124.399999999998</v>
      </c>
      <c r="AE7" s="18"/>
      <c r="AF7">
        <f t="shared" si="18"/>
        <v>30</v>
      </c>
      <c r="AG7">
        <f t="shared" si="19"/>
        <v>6</v>
      </c>
      <c r="AH7" t="str">
        <f t="shared" si="20"/>
        <v>Blitz S2</v>
      </c>
      <c r="AI7" s="33">
        <f t="shared" si="21"/>
        <v>2010.8749999999998</v>
      </c>
      <c r="AJ7" s="18"/>
      <c r="AK7">
        <f t="shared" si="22"/>
        <v>31</v>
      </c>
      <c r="AL7">
        <f t="shared" si="23"/>
        <v>6</v>
      </c>
      <c r="AM7" t="str">
        <f t="shared" si="24"/>
        <v>Hellagur S3</v>
      </c>
      <c r="AN7" s="40">
        <f t="shared" si="25"/>
        <v>4941.666666666667</v>
      </c>
      <c r="AO7" s="10"/>
      <c r="AP7" s="9">
        <f t="shared" si="26"/>
        <v>30</v>
      </c>
      <c r="AQ7" s="10">
        <f t="shared" si="27"/>
        <v>6</v>
      </c>
      <c r="AR7" s="10" t="str">
        <f t="shared" si="28"/>
        <v>Bagpipe S3</v>
      </c>
      <c r="AS7" s="40">
        <f t="shared" si="29"/>
        <v>27565.46</v>
      </c>
      <c r="AU7" s="9">
        <f t="shared" si="30"/>
        <v>31</v>
      </c>
      <c r="AV7" s="10">
        <f t="shared" si="31"/>
        <v>6</v>
      </c>
      <c r="AW7" s="10" t="str">
        <f t="shared" si="32"/>
        <v>Tequila S2</v>
      </c>
      <c r="AX7" s="40">
        <f t="shared" si="33"/>
        <v>63035.999999999985</v>
      </c>
    </row>
    <row r="8" spans="1:50" x14ac:dyDescent="0.35">
      <c r="A8" s="9">
        <f t="shared" si="15"/>
        <v>250</v>
      </c>
      <c r="B8" s="10" t="s">
        <v>22</v>
      </c>
      <c r="C8" s="33">
        <v>735</v>
      </c>
      <c r="D8" s="10">
        <v>1.6</v>
      </c>
      <c r="E8" s="11">
        <v>2.2000000000000002</v>
      </c>
      <c r="F8" s="15"/>
      <c r="G8" s="15"/>
      <c r="H8" s="10"/>
      <c r="I8" s="13">
        <f>50%*80%</f>
        <v>0.4</v>
      </c>
      <c r="J8" s="15">
        <v>1</v>
      </c>
      <c r="K8" s="15">
        <v>1</v>
      </c>
      <c r="L8" s="15"/>
      <c r="M8" s="15"/>
      <c r="N8" s="16">
        <v>0.2</v>
      </c>
      <c r="O8" s="15">
        <v>35</v>
      </c>
      <c r="P8" s="15"/>
      <c r="Q8" s="11">
        <f t="shared" si="16"/>
        <v>0</v>
      </c>
      <c r="R8" s="15">
        <f t="shared" si="16"/>
        <v>0</v>
      </c>
      <c r="S8" s="27">
        <f t="shared" si="0"/>
        <v>2352</v>
      </c>
      <c r="T8" s="12">
        <f t="shared" si="6"/>
        <v>250</v>
      </c>
      <c r="U8" s="27">
        <f t="shared" si="7"/>
        <v>3042.7999999999997</v>
      </c>
      <c r="V8" s="27">
        <f t="shared" si="8"/>
        <v>0.625</v>
      </c>
      <c r="W8" s="12">
        <f t="shared" si="9"/>
        <v>0.625</v>
      </c>
      <c r="X8" s="27">
        <f t="shared" si="10"/>
        <v>1521.3999999999999</v>
      </c>
      <c r="Y8" s="27">
        <f t="shared" si="11"/>
        <v>1901.7499999999998</v>
      </c>
      <c r="Z8" s="27">
        <f t="shared" si="17"/>
        <v>15</v>
      </c>
      <c r="AA8" s="22">
        <f t="shared" si="1"/>
        <v>9</v>
      </c>
      <c r="AB8" s="27">
        <f t="shared" si="12"/>
        <v>21908.16</v>
      </c>
      <c r="AC8" s="22">
        <f t="shared" si="13"/>
        <v>6</v>
      </c>
      <c r="AD8" s="27">
        <f t="shared" si="14"/>
        <v>27385.199999999997</v>
      </c>
      <c r="AE8" s="18"/>
      <c r="AF8">
        <f t="shared" si="18"/>
        <v>17</v>
      </c>
      <c r="AG8">
        <f t="shared" si="19"/>
        <v>7</v>
      </c>
      <c r="AH8" t="str">
        <f t="shared" si="20"/>
        <v>Exusiai S3</v>
      </c>
      <c r="AI8" s="33">
        <f t="shared" si="21"/>
        <v>1958.3333333333333</v>
      </c>
      <c r="AJ8" s="18"/>
      <c r="AK8">
        <f t="shared" si="22"/>
        <v>20</v>
      </c>
      <c r="AL8">
        <f t="shared" si="23"/>
        <v>7</v>
      </c>
      <c r="AM8" t="str">
        <f t="shared" si="24"/>
        <v>Tequila S2</v>
      </c>
      <c r="AN8" s="40">
        <f t="shared" si="25"/>
        <v>4377.5</v>
      </c>
      <c r="AO8" s="10"/>
      <c r="AP8" s="9">
        <f t="shared" si="26"/>
        <v>15</v>
      </c>
      <c r="AQ8" s="10">
        <f t="shared" si="27"/>
        <v>7</v>
      </c>
      <c r="AR8" s="10" t="str">
        <f t="shared" si="28"/>
        <v>Mountain S3</v>
      </c>
      <c r="AS8" s="40">
        <f t="shared" si="29"/>
        <v>26842</v>
      </c>
      <c r="AU8" s="9">
        <f t="shared" si="30"/>
        <v>18</v>
      </c>
      <c r="AV8" s="10">
        <f t="shared" si="31"/>
        <v>7</v>
      </c>
      <c r="AW8" s="10" t="str">
        <f t="shared" si="32"/>
        <v>La Pluma S2</v>
      </c>
      <c r="AX8" s="40">
        <f t="shared" si="33"/>
        <v>60062.5</v>
      </c>
    </row>
    <row r="9" spans="1:50" x14ac:dyDescent="0.35">
      <c r="A9" s="9">
        <f t="shared" si="15"/>
        <v>250</v>
      </c>
      <c r="B9" s="10" t="s">
        <v>15</v>
      </c>
      <c r="C9" s="33">
        <v>775</v>
      </c>
      <c r="D9" s="10">
        <v>1.6</v>
      </c>
      <c r="E9" s="11">
        <v>1.3</v>
      </c>
      <c r="F9" s="15"/>
      <c r="G9" s="15"/>
      <c r="H9" s="10"/>
      <c r="I9" s="13">
        <f>50%*60%</f>
        <v>0.3</v>
      </c>
      <c r="J9" s="15">
        <v>1</v>
      </c>
      <c r="K9" s="15">
        <v>1</v>
      </c>
      <c r="L9" s="15"/>
      <c r="M9" s="16">
        <v>0.2</v>
      </c>
      <c r="N9" s="15"/>
      <c r="O9" s="15">
        <v>40</v>
      </c>
      <c r="P9" s="15"/>
      <c r="Q9" s="11">
        <f t="shared" si="16"/>
        <v>0</v>
      </c>
      <c r="R9" s="15">
        <f t="shared" si="16"/>
        <v>0</v>
      </c>
      <c r="S9" s="27">
        <f t="shared" si="0"/>
        <v>1782.4999999999998</v>
      </c>
      <c r="T9" s="12">
        <f t="shared" si="6"/>
        <v>200</v>
      </c>
      <c r="U9" s="27">
        <f t="shared" si="7"/>
        <v>2117.25</v>
      </c>
      <c r="V9" s="27">
        <f t="shared" si="8"/>
        <v>0.625</v>
      </c>
      <c r="W9" s="12">
        <f t="shared" si="9"/>
        <v>0.625</v>
      </c>
      <c r="X9" s="27">
        <f t="shared" si="10"/>
        <v>1323.28125</v>
      </c>
      <c r="Y9" s="27">
        <f t="shared" si="11"/>
        <v>1323.28125</v>
      </c>
      <c r="Z9" s="27">
        <f t="shared" si="17"/>
        <v>15</v>
      </c>
      <c r="AA9" s="22">
        <f t="shared" si="1"/>
        <v>9</v>
      </c>
      <c r="AB9" s="27">
        <f t="shared" si="12"/>
        <v>19055.25</v>
      </c>
      <c r="AC9" s="22">
        <f t="shared" si="13"/>
        <v>6</v>
      </c>
      <c r="AD9" s="27">
        <f t="shared" si="14"/>
        <v>19055.25</v>
      </c>
      <c r="AE9" s="18"/>
      <c r="AF9">
        <f t="shared" si="18"/>
        <v>22</v>
      </c>
      <c r="AG9">
        <f t="shared" si="19"/>
        <v>8</v>
      </c>
      <c r="AH9" t="str">
        <f t="shared" si="20"/>
        <v>Bagpipe S3</v>
      </c>
      <c r="AI9" s="33">
        <f t="shared" si="21"/>
        <v>1870.9588235294118</v>
      </c>
      <c r="AJ9" s="18"/>
      <c r="AK9">
        <f t="shared" si="22"/>
        <v>28</v>
      </c>
      <c r="AL9">
        <f t="shared" si="23"/>
        <v>8</v>
      </c>
      <c r="AM9" t="str">
        <f t="shared" si="24"/>
        <v>Tachanka S2</v>
      </c>
      <c r="AN9" s="40">
        <f t="shared" si="25"/>
        <v>4335.8974358974347</v>
      </c>
      <c r="AO9" s="10"/>
      <c r="AP9" s="9">
        <f t="shared" si="26"/>
        <v>21</v>
      </c>
      <c r="AQ9" s="10">
        <f t="shared" si="27"/>
        <v>8</v>
      </c>
      <c r="AR9" s="10" t="str">
        <f t="shared" si="28"/>
        <v>Flint S2</v>
      </c>
      <c r="AS9" s="40">
        <f t="shared" si="29"/>
        <v>25410.670000000002</v>
      </c>
      <c r="AU9" s="9">
        <f t="shared" si="30"/>
        <v>27</v>
      </c>
      <c r="AV9" s="10">
        <f t="shared" si="31"/>
        <v>8</v>
      </c>
      <c r="AW9" s="10" t="str">
        <f t="shared" si="32"/>
        <v>Mudrock S3</v>
      </c>
      <c r="AX9" s="40">
        <f t="shared" si="33"/>
        <v>56377.2</v>
      </c>
    </row>
    <row r="10" spans="1:50" x14ac:dyDescent="0.35">
      <c r="A10" s="9">
        <f t="shared" si="15"/>
        <v>250</v>
      </c>
      <c r="B10" s="10" t="s">
        <v>23</v>
      </c>
      <c r="C10" s="33">
        <v>775</v>
      </c>
      <c r="D10" s="10">
        <v>1.6</v>
      </c>
      <c r="E10" s="11">
        <v>1.8</v>
      </c>
      <c r="F10" s="15">
        <v>0.4</v>
      </c>
      <c r="G10" s="15"/>
      <c r="H10" s="10"/>
      <c r="I10" s="13">
        <f>60%</f>
        <v>0.6</v>
      </c>
      <c r="J10" s="15">
        <v>1</v>
      </c>
      <c r="K10" s="15">
        <v>1</v>
      </c>
      <c r="L10" s="15"/>
      <c r="M10" s="16">
        <v>0.2</v>
      </c>
      <c r="N10" s="15"/>
      <c r="O10" s="15">
        <v>25</v>
      </c>
      <c r="P10" s="15"/>
      <c r="Q10" s="11">
        <f t="shared" si="16"/>
        <v>0</v>
      </c>
      <c r="R10" s="15">
        <f t="shared" si="16"/>
        <v>0</v>
      </c>
      <c r="S10" s="27">
        <f t="shared" si="0"/>
        <v>2170</v>
      </c>
      <c r="T10" s="12">
        <f t="shared" si="6"/>
        <v>200</v>
      </c>
      <c r="U10" s="27">
        <f t="shared" si="7"/>
        <v>3272</v>
      </c>
      <c r="V10" s="27">
        <f t="shared" si="8"/>
        <v>0.5</v>
      </c>
      <c r="W10" s="12">
        <f t="shared" si="9"/>
        <v>0.5</v>
      </c>
      <c r="X10" s="27">
        <f t="shared" si="10"/>
        <v>1636</v>
      </c>
      <c r="Y10" s="27">
        <f t="shared" si="11"/>
        <v>1636</v>
      </c>
      <c r="Z10" s="27">
        <f t="shared" si="17"/>
        <v>15</v>
      </c>
      <c r="AA10" s="22">
        <f t="shared" si="1"/>
        <v>7</v>
      </c>
      <c r="AB10" s="27">
        <f t="shared" si="12"/>
        <v>22904</v>
      </c>
      <c r="AC10" s="22">
        <f t="shared" si="13"/>
        <v>6</v>
      </c>
      <c r="AD10" s="27">
        <f t="shared" si="14"/>
        <v>22904</v>
      </c>
      <c r="AE10" s="18"/>
      <c r="AF10">
        <f t="shared" si="18"/>
        <v>12</v>
      </c>
      <c r="AG10">
        <f t="shared" si="19"/>
        <v>9</v>
      </c>
      <c r="AH10" t="str">
        <f t="shared" si="20"/>
        <v>Mountain S3</v>
      </c>
      <c r="AI10" s="33">
        <f t="shared" si="21"/>
        <v>1813.6486486486485</v>
      </c>
      <c r="AJ10" s="18"/>
      <c r="AK10">
        <f t="shared" si="22"/>
        <v>22</v>
      </c>
      <c r="AL10">
        <f t="shared" si="23"/>
        <v>9</v>
      </c>
      <c r="AM10" t="str">
        <f t="shared" si="24"/>
        <v>La Pluma S2</v>
      </c>
      <c r="AN10" s="40">
        <f t="shared" si="25"/>
        <v>4053.8461538461534</v>
      </c>
      <c r="AO10" s="10"/>
      <c r="AP10" s="9">
        <f t="shared" si="26"/>
        <v>12</v>
      </c>
      <c r="AQ10" s="10">
        <f t="shared" si="27"/>
        <v>9</v>
      </c>
      <c r="AR10" s="10" t="str">
        <f t="shared" si="28"/>
        <v>Hellagur S3</v>
      </c>
      <c r="AS10" s="40">
        <f t="shared" si="29"/>
        <v>23720</v>
      </c>
      <c r="AU10" s="9">
        <f t="shared" si="30"/>
        <v>22</v>
      </c>
      <c r="AV10" s="10">
        <f t="shared" si="31"/>
        <v>9</v>
      </c>
      <c r="AW10" s="10" t="str">
        <f t="shared" si="32"/>
        <v>Blaze S2</v>
      </c>
      <c r="AX10" s="40">
        <f t="shared" si="33"/>
        <v>41616</v>
      </c>
    </row>
    <row r="11" spans="1:50" x14ac:dyDescent="0.35">
      <c r="A11" s="9">
        <f t="shared" si="15"/>
        <v>250</v>
      </c>
      <c r="B11" s="10" t="s">
        <v>25</v>
      </c>
      <c r="C11" s="33">
        <v>691</v>
      </c>
      <c r="D11" s="10">
        <v>2.2999999999999998</v>
      </c>
      <c r="E11" s="11">
        <v>0.7</v>
      </c>
      <c r="F11" s="15"/>
      <c r="G11" s="15"/>
      <c r="H11" s="10"/>
      <c r="I11" s="13">
        <v>0.5</v>
      </c>
      <c r="J11" s="15">
        <v>1</v>
      </c>
      <c r="K11" s="15">
        <v>3</v>
      </c>
      <c r="L11" s="15">
        <v>160</v>
      </c>
      <c r="M11" s="15"/>
      <c r="N11" s="15"/>
      <c r="O11" s="15">
        <v>35</v>
      </c>
      <c r="P11" s="15"/>
      <c r="Q11" s="11">
        <f t="shared" si="16"/>
        <v>0</v>
      </c>
      <c r="R11" s="15">
        <f t="shared" si="16"/>
        <v>0</v>
      </c>
      <c r="S11" s="27">
        <f t="shared" si="0"/>
        <v>1174.7</v>
      </c>
      <c r="T11" s="12">
        <f t="shared" si="6"/>
        <v>90</v>
      </c>
      <c r="U11" s="27">
        <f t="shared" si="7"/>
        <v>1672.0500000000002</v>
      </c>
      <c r="V11" s="27">
        <f t="shared" si="8"/>
        <v>0.43478260869565222</v>
      </c>
      <c r="W11" s="12">
        <f t="shared" si="9"/>
        <v>0.43478260869565222</v>
      </c>
      <c r="X11" s="27">
        <f t="shared" si="10"/>
        <v>726.97826086956536</v>
      </c>
      <c r="Y11" s="27">
        <f t="shared" si="11"/>
        <v>2180.934782608696</v>
      </c>
      <c r="Z11" s="27">
        <f t="shared" si="17"/>
        <v>15</v>
      </c>
      <c r="AA11" s="22">
        <f t="shared" si="1"/>
        <v>6</v>
      </c>
      <c r="AB11" s="27">
        <f t="shared" si="12"/>
        <v>10032.300000000001</v>
      </c>
      <c r="AC11" s="22">
        <f t="shared" si="13"/>
        <v>6</v>
      </c>
      <c r="AD11" s="27">
        <f t="shared" si="14"/>
        <v>30096.9</v>
      </c>
      <c r="AE11" s="18"/>
      <c r="AF11">
        <f t="shared" si="18"/>
        <v>31</v>
      </c>
      <c r="AG11">
        <f t="shared" si="19"/>
        <v>10</v>
      </c>
      <c r="AH11" t="str">
        <f t="shared" si="20"/>
        <v>Flint S2</v>
      </c>
      <c r="AI11" s="33">
        <f t="shared" si="21"/>
        <v>1741.2262820512822</v>
      </c>
      <c r="AJ11" s="18"/>
      <c r="AK11">
        <f t="shared" si="22"/>
        <v>16</v>
      </c>
      <c r="AL11">
        <f t="shared" si="23"/>
        <v>10</v>
      </c>
      <c r="AM11" t="str">
        <f t="shared" si="24"/>
        <v>Mudrock S3</v>
      </c>
      <c r="AN11" s="40">
        <f t="shared" si="25"/>
        <v>3942.4615384615381</v>
      </c>
      <c r="AO11" s="10"/>
      <c r="AP11" s="9">
        <f t="shared" si="26"/>
        <v>31</v>
      </c>
      <c r="AQ11" s="10">
        <f t="shared" si="27"/>
        <v>10</v>
      </c>
      <c r="AR11" s="10" t="str">
        <f t="shared" si="28"/>
        <v>Skadi S2</v>
      </c>
      <c r="AS11" s="40">
        <f t="shared" si="29"/>
        <v>22974.799999999999</v>
      </c>
      <c r="AU11" s="9">
        <f t="shared" si="30"/>
        <v>16</v>
      </c>
      <c r="AV11" s="10">
        <f t="shared" si="31"/>
        <v>10</v>
      </c>
      <c r="AW11" s="10" t="str">
        <f t="shared" si="32"/>
        <v>Hellagur S2</v>
      </c>
      <c r="AX11" s="40">
        <f t="shared" si="33"/>
        <v>37526.400000000001</v>
      </c>
    </row>
    <row r="12" spans="1:50" x14ac:dyDescent="0.35">
      <c r="A12" s="9">
        <f t="shared" si="15"/>
        <v>250</v>
      </c>
      <c r="B12" s="10" t="s">
        <v>26</v>
      </c>
      <c r="C12" s="33">
        <v>691</v>
      </c>
      <c r="D12" s="10">
        <v>2.2999999999999998</v>
      </c>
      <c r="E12" s="11"/>
      <c r="F12" s="15">
        <v>-0.9</v>
      </c>
      <c r="G12" s="15"/>
      <c r="H12" s="10"/>
      <c r="I12" s="13">
        <v>0.5</v>
      </c>
      <c r="J12" s="15">
        <v>2</v>
      </c>
      <c r="K12" s="15">
        <v>6</v>
      </c>
      <c r="L12" s="15">
        <v>160</v>
      </c>
      <c r="M12" s="15"/>
      <c r="N12" s="15"/>
      <c r="O12" s="15">
        <v>20</v>
      </c>
      <c r="P12" s="15"/>
      <c r="Q12" s="11">
        <f t="shared" si="16"/>
        <v>0</v>
      </c>
      <c r="R12" s="15">
        <f t="shared" si="16"/>
        <v>0</v>
      </c>
      <c r="S12" s="27">
        <f t="shared" si="0"/>
        <v>691</v>
      </c>
      <c r="T12" s="12">
        <f t="shared" si="6"/>
        <v>90</v>
      </c>
      <c r="U12" s="27">
        <f t="shared" si="7"/>
        <v>946.5</v>
      </c>
      <c r="V12" s="27">
        <f t="shared" si="8"/>
        <v>0.7142857142857143</v>
      </c>
      <c r="W12" s="12">
        <f t="shared" si="9"/>
        <v>1.4285714285714286</v>
      </c>
      <c r="X12" s="27">
        <f t="shared" si="10"/>
        <v>1352.1428571428571</v>
      </c>
      <c r="Y12" s="27">
        <f t="shared" si="11"/>
        <v>8112.8571428571431</v>
      </c>
      <c r="Z12" s="27">
        <f t="shared" si="17"/>
        <v>15</v>
      </c>
      <c r="AA12" s="22">
        <f t="shared" si="1"/>
        <v>21</v>
      </c>
      <c r="AB12" s="27">
        <f t="shared" si="12"/>
        <v>19876.5</v>
      </c>
      <c r="AC12" s="22">
        <f t="shared" si="13"/>
        <v>6</v>
      </c>
      <c r="AD12" s="27">
        <f t="shared" si="14"/>
        <v>119259</v>
      </c>
      <c r="AE12" s="18"/>
      <c r="AF12">
        <f t="shared" si="18"/>
        <v>20</v>
      </c>
      <c r="AG12">
        <f t="shared" si="19"/>
        <v>11</v>
      </c>
      <c r="AH12" t="str">
        <f t="shared" si="20"/>
        <v>Hellagur S3</v>
      </c>
      <c r="AI12" s="33">
        <f t="shared" si="21"/>
        <v>1647.2222222222224</v>
      </c>
      <c r="AJ12" s="18"/>
      <c r="AK12">
        <f t="shared" si="22"/>
        <v>2</v>
      </c>
      <c r="AL12">
        <f t="shared" si="23"/>
        <v>11</v>
      </c>
      <c r="AM12" t="str">
        <f t="shared" si="24"/>
        <v>Hellagur S2</v>
      </c>
      <c r="AN12" s="40">
        <f t="shared" si="25"/>
        <v>2895.5555555555561</v>
      </c>
      <c r="AO12" s="10"/>
      <c r="AP12" s="9">
        <f t="shared" si="26"/>
        <v>18</v>
      </c>
      <c r="AQ12" s="10">
        <f t="shared" si="27"/>
        <v>11</v>
      </c>
      <c r="AR12" s="10" t="str">
        <f t="shared" si="28"/>
        <v>Kroos Alter S2</v>
      </c>
      <c r="AS12" s="40">
        <f t="shared" si="29"/>
        <v>22918.400000000001</v>
      </c>
      <c r="AU12" s="9">
        <f t="shared" si="30"/>
        <v>2</v>
      </c>
      <c r="AV12" s="10">
        <f t="shared" si="31"/>
        <v>11</v>
      </c>
      <c r="AW12" s="10" t="str">
        <f t="shared" si="32"/>
        <v>Archetto S3</v>
      </c>
      <c r="AX12" s="40">
        <f t="shared" si="33"/>
        <v>35298.000000000007</v>
      </c>
    </row>
    <row r="13" spans="1:50" x14ac:dyDescent="0.35">
      <c r="A13" s="9">
        <f t="shared" si="15"/>
        <v>250</v>
      </c>
      <c r="B13" s="10" t="s">
        <v>27</v>
      </c>
      <c r="C13" s="33">
        <v>816</v>
      </c>
      <c r="D13" s="10">
        <v>1.6</v>
      </c>
      <c r="E13" s="11">
        <v>1.4</v>
      </c>
      <c r="F13" s="15">
        <v>-0.3</v>
      </c>
      <c r="G13" s="15"/>
      <c r="H13" s="10"/>
      <c r="I13" s="13"/>
      <c r="J13" s="15">
        <v>1</v>
      </c>
      <c r="K13" s="15">
        <v>3</v>
      </c>
      <c r="L13" s="15"/>
      <c r="M13" s="15"/>
      <c r="N13" s="15"/>
      <c r="O13" s="15">
        <f>30-10</f>
        <v>20</v>
      </c>
      <c r="P13" s="15"/>
      <c r="Q13" s="11">
        <f t="shared" si="16"/>
        <v>0</v>
      </c>
      <c r="R13" s="15">
        <f t="shared" si="16"/>
        <v>0</v>
      </c>
      <c r="S13" s="27">
        <f t="shared" si="0"/>
        <v>1958.3999999999999</v>
      </c>
      <c r="T13" s="12">
        <f t="shared" si="6"/>
        <v>250</v>
      </c>
      <c r="U13" s="27">
        <f t="shared" si="7"/>
        <v>1708.3999999999999</v>
      </c>
      <c r="V13" s="27">
        <f t="shared" si="8"/>
        <v>0.76923076923076916</v>
      </c>
      <c r="W13" s="12">
        <f t="shared" si="9"/>
        <v>0.76923076923076916</v>
      </c>
      <c r="X13" s="27">
        <f t="shared" si="10"/>
        <v>1314.153846153846</v>
      </c>
      <c r="Y13" s="27">
        <f t="shared" si="11"/>
        <v>3942.4615384615381</v>
      </c>
      <c r="Z13" s="27">
        <f t="shared" si="17"/>
        <v>15</v>
      </c>
      <c r="AA13" s="22">
        <f t="shared" si="1"/>
        <v>11</v>
      </c>
      <c r="AB13" s="27">
        <f t="shared" si="12"/>
        <v>18792.399999999998</v>
      </c>
      <c r="AC13" s="22">
        <f t="shared" si="13"/>
        <v>6</v>
      </c>
      <c r="AD13" s="27">
        <f t="shared" si="14"/>
        <v>56377.2</v>
      </c>
      <c r="AE13" s="18"/>
      <c r="AF13">
        <f t="shared" si="18"/>
        <v>23</v>
      </c>
      <c r="AG13">
        <f t="shared" si="19"/>
        <v>12</v>
      </c>
      <c r="AH13" t="str">
        <f t="shared" si="20"/>
        <v>Schwarz S3</v>
      </c>
      <c r="AI13" s="33">
        <f t="shared" si="21"/>
        <v>1636</v>
      </c>
      <c r="AJ13" s="18"/>
      <c r="AK13">
        <f t="shared" si="22"/>
        <v>10</v>
      </c>
      <c r="AL13">
        <f t="shared" si="23"/>
        <v>12</v>
      </c>
      <c r="AM13" t="str">
        <f t="shared" si="24"/>
        <v>Blaze S2</v>
      </c>
      <c r="AN13" s="40">
        <f t="shared" si="25"/>
        <v>2890</v>
      </c>
      <c r="AO13" s="10"/>
      <c r="AP13" s="9">
        <f t="shared" si="26"/>
        <v>22</v>
      </c>
      <c r="AQ13" s="10">
        <f t="shared" si="27"/>
        <v>12</v>
      </c>
      <c r="AR13" s="10" t="str">
        <f t="shared" si="28"/>
        <v>Schwarz S3</v>
      </c>
      <c r="AS13" s="40">
        <f t="shared" si="29"/>
        <v>22904</v>
      </c>
      <c r="AU13" s="9">
        <f t="shared" si="30"/>
        <v>8</v>
      </c>
      <c r="AV13" s="10">
        <f t="shared" si="31"/>
        <v>12</v>
      </c>
      <c r="AW13" s="10" t="str">
        <f t="shared" si="32"/>
        <v>Bagpipe S3</v>
      </c>
      <c r="AX13" s="40">
        <f t="shared" si="33"/>
        <v>34456.824999999997</v>
      </c>
    </row>
    <row r="14" spans="1:50" x14ac:dyDescent="0.35">
      <c r="A14" s="9">
        <f t="shared" si="15"/>
        <v>250</v>
      </c>
      <c r="B14" s="10" t="s">
        <v>31</v>
      </c>
      <c r="C14" s="33">
        <v>703</v>
      </c>
      <c r="D14" s="10">
        <v>1.2</v>
      </c>
      <c r="E14" s="11">
        <v>1</v>
      </c>
      <c r="F14" s="15"/>
      <c r="G14" s="15"/>
      <c r="H14" s="10"/>
      <c r="I14" s="13"/>
      <c r="J14" s="15">
        <v>1</v>
      </c>
      <c r="K14" s="15">
        <v>3</v>
      </c>
      <c r="L14" s="15"/>
      <c r="M14" s="15"/>
      <c r="N14" s="15"/>
      <c r="O14" s="15">
        <v>100</v>
      </c>
      <c r="P14" s="15"/>
      <c r="Q14" s="11">
        <f t="shared" si="16"/>
        <v>0</v>
      </c>
      <c r="R14" s="15">
        <f t="shared" si="16"/>
        <v>0</v>
      </c>
      <c r="S14" s="27">
        <f t="shared" si="0"/>
        <v>1406</v>
      </c>
      <c r="T14" s="12">
        <f t="shared" si="6"/>
        <v>250</v>
      </c>
      <c r="U14" s="27">
        <f t="shared" si="7"/>
        <v>1156</v>
      </c>
      <c r="V14" s="27">
        <f t="shared" si="8"/>
        <v>0.83333333333333337</v>
      </c>
      <c r="W14" s="12">
        <f t="shared" si="9"/>
        <v>0.83333333333333337</v>
      </c>
      <c r="X14" s="27">
        <f t="shared" si="10"/>
        <v>963.33333333333337</v>
      </c>
      <c r="Y14" s="27">
        <f t="shared" si="11"/>
        <v>2890</v>
      </c>
      <c r="Z14" s="27">
        <f t="shared" si="17"/>
        <v>15</v>
      </c>
      <c r="AA14" s="22">
        <f t="shared" si="1"/>
        <v>12</v>
      </c>
      <c r="AB14" s="27">
        <f t="shared" si="12"/>
        <v>13872</v>
      </c>
      <c r="AC14" s="22">
        <f t="shared" si="13"/>
        <v>6</v>
      </c>
      <c r="AD14" s="27">
        <f t="shared" si="14"/>
        <v>41616</v>
      </c>
      <c r="AE14" s="18"/>
      <c r="AF14">
        <f t="shared" si="18"/>
        <v>29</v>
      </c>
      <c r="AG14">
        <f t="shared" si="19"/>
        <v>13</v>
      </c>
      <c r="AH14" t="str">
        <f t="shared" si="20"/>
        <v>Greythroat S2</v>
      </c>
      <c r="AI14" s="33">
        <f t="shared" si="21"/>
        <v>1545.3050999999996</v>
      </c>
      <c r="AJ14" s="18"/>
      <c r="AK14">
        <f t="shared" si="22"/>
        <v>12</v>
      </c>
      <c r="AL14">
        <f t="shared" si="23"/>
        <v>13</v>
      </c>
      <c r="AM14" t="str">
        <f t="shared" si="24"/>
        <v>Andreana S3</v>
      </c>
      <c r="AN14" s="40">
        <f t="shared" si="25"/>
        <v>2452.37037037037</v>
      </c>
      <c r="AO14" s="10"/>
      <c r="AP14" s="9">
        <f t="shared" si="26"/>
        <v>28</v>
      </c>
      <c r="AQ14" s="10">
        <f t="shared" si="27"/>
        <v>13</v>
      </c>
      <c r="AR14" s="10" t="str">
        <f t="shared" si="28"/>
        <v>Exusiai S2</v>
      </c>
      <c r="AS14" s="40">
        <f t="shared" si="29"/>
        <v>22875</v>
      </c>
      <c r="AU14" s="9">
        <f t="shared" si="30"/>
        <v>9</v>
      </c>
      <c r="AV14" s="10">
        <f t="shared" si="31"/>
        <v>13</v>
      </c>
      <c r="AW14" s="10" t="str">
        <f t="shared" si="32"/>
        <v>Andreana S3</v>
      </c>
      <c r="AX14" s="40">
        <f t="shared" si="33"/>
        <v>33107</v>
      </c>
    </row>
    <row r="15" spans="1:50" x14ac:dyDescent="0.35">
      <c r="A15" s="9">
        <f t="shared" si="15"/>
        <v>250</v>
      </c>
      <c r="B15" s="10" t="s">
        <v>30</v>
      </c>
      <c r="C15" s="33">
        <v>665</v>
      </c>
      <c r="D15" s="10">
        <v>1.3</v>
      </c>
      <c r="E15" s="11">
        <v>1.2</v>
      </c>
      <c r="F15" s="15"/>
      <c r="G15" s="15"/>
      <c r="H15" s="15">
        <v>50</v>
      </c>
      <c r="I15" s="13"/>
      <c r="J15" s="15">
        <v>1</v>
      </c>
      <c r="K15" s="15">
        <v>1</v>
      </c>
      <c r="L15" s="15"/>
      <c r="M15" s="15"/>
      <c r="N15" s="15"/>
      <c r="O15" s="15">
        <v>100</v>
      </c>
      <c r="P15" s="15"/>
      <c r="Q15" s="11">
        <f t="shared" si="16"/>
        <v>0</v>
      </c>
      <c r="R15" s="15">
        <f t="shared" si="16"/>
        <v>0</v>
      </c>
      <c r="S15" s="27">
        <f t="shared" si="0"/>
        <v>1463.0000000000002</v>
      </c>
      <c r="T15" s="12">
        <f t="shared" si="6"/>
        <v>250</v>
      </c>
      <c r="U15" s="27">
        <f t="shared" si="7"/>
        <v>1213.0000000000002</v>
      </c>
      <c r="V15" s="27">
        <f t="shared" si="8"/>
        <v>1.1538461538461537</v>
      </c>
      <c r="W15" s="12">
        <f t="shared" si="9"/>
        <v>1.1538461538461537</v>
      </c>
      <c r="X15" s="27">
        <f t="shared" si="10"/>
        <v>1399.6153846153848</v>
      </c>
      <c r="Y15" s="27">
        <f t="shared" si="11"/>
        <v>1399.6153846153848</v>
      </c>
      <c r="Z15" s="27">
        <f t="shared" si="17"/>
        <v>15</v>
      </c>
      <c r="AA15" s="22">
        <f t="shared" si="1"/>
        <v>17</v>
      </c>
      <c r="AB15" s="27">
        <f t="shared" si="12"/>
        <v>20621.000000000004</v>
      </c>
      <c r="AC15" s="22">
        <f t="shared" si="13"/>
        <v>6</v>
      </c>
      <c r="AD15" s="27">
        <f t="shared" si="14"/>
        <v>20621.000000000004</v>
      </c>
      <c r="AE15" s="18"/>
      <c r="AF15">
        <f t="shared" si="18"/>
        <v>19</v>
      </c>
      <c r="AG15">
        <f t="shared" si="19"/>
        <v>14</v>
      </c>
      <c r="AH15" t="str">
        <f t="shared" si="20"/>
        <v>Skadi S2</v>
      </c>
      <c r="AI15" s="33">
        <f t="shared" si="21"/>
        <v>1531.6533333333332</v>
      </c>
      <c r="AJ15" s="18"/>
      <c r="AK15">
        <f t="shared" si="22"/>
        <v>27</v>
      </c>
      <c r="AL15">
        <f t="shared" si="23"/>
        <v>14</v>
      </c>
      <c r="AM15" t="str">
        <f t="shared" si="24"/>
        <v>Archetto S3</v>
      </c>
      <c r="AN15" s="40">
        <f t="shared" si="25"/>
        <v>2353.2000000000003</v>
      </c>
      <c r="AO15" s="10"/>
      <c r="AP15" s="9">
        <f t="shared" si="26"/>
        <v>17</v>
      </c>
      <c r="AQ15" s="10">
        <f t="shared" si="27"/>
        <v>14</v>
      </c>
      <c r="AR15" s="10" t="str">
        <f t="shared" si="28"/>
        <v>Greythroat S2</v>
      </c>
      <c r="AS15" s="40">
        <f t="shared" si="29"/>
        <v>22839.41499999999</v>
      </c>
      <c r="AU15" s="9">
        <f t="shared" si="30"/>
        <v>25</v>
      </c>
      <c r="AV15" s="10">
        <f t="shared" si="31"/>
        <v>14</v>
      </c>
      <c r="AW15" s="10" t="str">
        <f t="shared" si="32"/>
        <v>Ash S2</v>
      </c>
      <c r="AX15" s="40">
        <f t="shared" si="33"/>
        <v>31000</v>
      </c>
    </row>
    <row r="16" spans="1:50" x14ac:dyDescent="0.35">
      <c r="A16" s="9">
        <f t="shared" si="15"/>
        <v>250</v>
      </c>
      <c r="B16" s="15" t="s">
        <v>38</v>
      </c>
      <c r="C16" s="34">
        <v>667</v>
      </c>
      <c r="D16" s="15">
        <v>1.3</v>
      </c>
      <c r="E16" s="11">
        <v>2</v>
      </c>
      <c r="F16" s="15"/>
      <c r="G16" s="15"/>
      <c r="H16" s="15"/>
      <c r="I16" s="13"/>
      <c r="J16" s="15">
        <v>1</v>
      </c>
      <c r="K16" s="15">
        <v>6</v>
      </c>
      <c r="L16" s="15"/>
      <c r="M16" s="15"/>
      <c r="N16" s="15"/>
      <c r="O16" s="15">
        <v>30</v>
      </c>
      <c r="P16" s="15"/>
      <c r="Q16" s="11">
        <f t="shared" si="16"/>
        <v>0</v>
      </c>
      <c r="R16" s="15">
        <f t="shared" si="16"/>
        <v>0</v>
      </c>
      <c r="S16" s="27">
        <f t="shared" si="0"/>
        <v>2001</v>
      </c>
      <c r="T16" s="12">
        <f t="shared" si="6"/>
        <v>250</v>
      </c>
      <c r="U16" s="27">
        <f t="shared" si="7"/>
        <v>1751</v>
      </c>
      <c r="V16" s="27">
        <f t="shared" si="8"/>
        <v>0.76923076923076916</v>
      </c>
      <c r="W16" s="12">
        <f t="shared" si="9"/>
        <v>0.76923076923076916</v>
      </c>
      <c r="X16" s="27">
        <f t="shared" si="10"/>
        <v>1346.9230769230769</v>
      </c>
      <c r="Y16" s="27">
        <f t="shared" si="11"/>
        <v>8081.538461538461</v>
      </c>
      <c r="Z16" s="27">
        <f t="shared" si="17"/>
        <v>15</v>
      </c>
      <c r="AA16" s="22">
        <f t="shared" si="1"/>
        <v>11</v>
      </c>
      <c r="AB16" s="27">
        <f t="shared" si="12"/>
        <v>19261</v>
      </c>
      <c r="AC16" s="22">
        <f t="shared" si="13"/>
        <v>6</v>
      </c>
      <c r="AD16" s="27">
        <f t="shared" si="14"/>
        <v>115566</v>
      </c>
      <c r="AE16" s="18"/>
      <c r="AF16">
        <f t="shared" si="18"/>
        <v>21</v>
      </c>
      <c r="AG16">
        <f t="shared" si="19"/>
        <v>15</v>
      </c>
      <c r="AH16" t="str">
        <f t="shared" si="20"/>
        <v>Kroos Alter S2</v>
      </c>
      <c r="AI16" s="33">
        <f t="shared" si="21"/>
        <v>1527.8933333333334</v>
      </c>
      <c r="AJ16" s="18"/>
      <c r="AK16">
        <f t="shared" si="22"/>
        <v>3</v>
      </c>
      <c r="AL16">
        <f t="shared" si="23"/>
        <v>15</v>
      </c>
      <c r="AM16" t="str">
        <f t="shared" si="24"/>
        <v>Bagpipe S3</v>
      </c>
      <c r="AN16" s="40">
        <f t="shared" si="25"/>
        <v>2338.6985294117649</v>
      </c>
      <c r="AO16" s="10"/>
      <c r="AP16" s="9">
        <f t="shared" si="26"/>
        <v>20</v>
      </c>
      <c r="AQ16" s="10">
        <f t="shared" si="27"/>
        <v>15</v>
      </c>
      <c r="AR16" s="10" t="str">
        <f t="shared" si="28"/>
        <v>Provence S2</v>
      </c>
      <c r="AS16" s="40">
        <f t="shared" si="29"/>
        <v>21908.16</v>
      </c>
      <c r="AU16" s="9">
        <f t="shared" si="30"/>
        <v>3</v>
      </c>
      <c r="AV16" s="10">
        <f t="shared" si="31"/>
        <v>15</v>
      </c>
      <c r="AW16" s="10" t="str">
        <f t="shared" si="32"/>
        <v>Blue Poison S2</v>
      </c>
      <c r="AX16" s="40">
        <f t="shared" si="33"/>
        <v>30900</v>
      </c>
    </row>
    <row r="17" spans="1:50" x14ac:dyDescent="0.35">
      <c r="A17" s="9">
        <f t="shared" si="15"/>
        <v>250</v>
      </c>
      <c r="B17" s="15" t="s">
        <v>39</v>
      </c>
      <c r="C17" s="34">
        <v>731</v>
      </c>
      <c r="D17" s="15">
        <v>2.2999999999999998</v>
      </c>
      <c r="E17" s="11">
        <v>1</v>
      </c>
      <c r="F17" s="15"/>
      <c r="G17" s="15"/>
      <c r="H17" s="15">
        <v>8</v>
      </c>
      <c r="I17" s="13">
        <v>0.5</v>
      </c>
      <c r="J17" s="15">
        <v>2</v>
      </c>
      <c r="K17" s="15">
        <v>6</v>
      </c>
      <c r="L17" s="15">
        <v>220</v>
      </c>
      <c r="M17" s="15"/>
      <c r="N17" s="15"/>
      <c r="O17" s="15"/>
      <c r="P17" s="15">
        <v>32</v>
      </c>
      <c r="Q17" s="11">
        <f t="shared" si="16"/>
        <v>0</v>
      </c>
      <c r="R17" s="15">
        <f t="shared" si="16"/>
        <v>0</v>
      </c>
      <c r="S17" s="27">
        <f t="shared" ref="S17:S19" si="34">C17*(1+E17+Q17)</f>
        <v>1462</v>
      </c>
      <c r="T17" s="12">
        <f t="shared" si="6"/>
        <v>30</v>
      </c>
      <c r="U17" s="27">
        <f t="shared" si="7"/>
        <v>2163</v>
      </c>
      <c r="V17" s="27">
        <f t="shared" si="8"/>
        <v>0.46956521739130441</v>
      </c>
      <c r="W17" s="12">
        <f t="shared" si="9"/>
        <v>0.93913043478260883</v>
      </c>
      <c r="X17" s="27">
        <f t="shared" si="10"/>
        <v>2031.3391304347829</v>
      </c>
      <c r="Y17" s="27">
        <f t="shared" si="11"/>
        <v>12188.034782608698</v>
      </c>
      <c r="Z17" s="27">
        <f t="shared" si="17"/>
        <v>15</v>
      </c>
      <c r="AA17" s="22">
        <f t="shared" si="1"/>
        <v>14</v>
      </c>
      <c r="AB17" s="27">
        <f t="shared" si="12"/>
        <v>30282</v>
      </c>
      <c r="AC17" s="22">
        <f t="shared" si="13"/>
        <v>6</v>
      </c>
      <c r="AD17" s="27">
        <f t="shared" si="14"/>
        <v>181692</v>
      </c>
      <c r="AE17" s="18"/>
      <c r="AF17">
        <f t="shared" si="18"/>
        <v>4</v>
      </c>
      <c r="AG17">
        <f t="shared" si="19"/>
        <v>16</v>
      </c>
      <c r="AH17" t="str">
        <f t="shared" si="20"/>
        <v>Exusiai S2</v>
      </c>
      <c r="AI17" s="33">
        <f t="shared" si="21"/>
        <v>1525</v>
      </c>
      <c r="AJ17" s="18"/>
      <c r="AK17">
        <f t="shared" si="22"/>
        <v>1</v>
      </c>
      <c r="AL17">
        <f t="shared" si="23"/>
        <v>16</v>
      </c>
      <c r="AM17" t="str">
        <f t="shared" si="24"/>
        <v>Executor S1</v>
      </c>
      <c r="AN17" s="40">
        <f t="shared" si="25"/>
        <v>2180.934782608696</v>
      </c>
      <c r="AO17" s="10"/>
      <c r="AP17" s="9">
        <f t="shared" si="26"/>
        <v>3</v>
      </c>
      <c r="AQ17" s="10">
        <f t="shared" si="27"/>
        <v>16</v>
      </c>
      <c r="AR17" s="10" t="str">
        <f t="shared" si="28"/>
        <v>Tequila S2</v>
      </c>
      <c r="AS17" s="40">
        <f t="shared" si="29"/>
        <v>21011.999999999996</v>
      </c>
      <c r="AU17" s="9">
        <f t="shared" si="30"/>
        <v>1</v>
      </c>
      <c r="AV17" s="10">
        <f t="shared" si="31"/>
        <v>16</v>
      </c>
      <c r="AW17" s="10" t="str">
        <f t="shared" si="32"/>
        <v>Executor S1</v>
      </c>
      <c r="AX17" s="40">
        <f t="shared" si="33"/>
        <v>30096.9</v>
      </c>
    </row>
    <row r="18" spans="1:50" x14ac:dyDescent="0.35">
      <c r="A18" s="9">
        <f t="shared" si="15"/>
        <v>250</v>
      </c>
      <c r="B18" s="10" t="s">
        <v>58</v>
      </c>
      <c r="C18" s="34">
        <v>585</v>
      </c>
      <c r="D18" s="15">
        <v>1.3</v>
      </c>
      <c r="E18" s="11"/>
      <c r="F18" s="16"/>
      <c r="G18" s="16">
        <v>-0.85</v>
      </c>
      <c r="H18" s="15"/>
      <c r="I18" s="13">
        <f>15%*100%</f>
        <v>0.15</v>
      </c>
      <c r="J18" s="15">
        <v>2</v>
      </c>
      <c r="K18" s="15">
        <v>1</v>
      </c>
      <c r="L18" s="15"/>
      <c r="M18" s="15"/>
      <c r="N18" s="15"/>
      <c r="O18" s="15">
        <v>4</v>
      </c>
      <c r="P18" s="15"/>
      <c r="Q18" s="11">
        <f t="shared" si="16"/>
        <v>0</v>
      </c>
      <c r="R18" s="15">
        <f t="shared" si="16"/>
        <v>0</v>
      </c>
      <c r="S18" s="27">
        <f t="shared" si="34"/>
        <v>585</v>
      </c>
      <c r="T18" s="12">
        <f t="shared" ref="T18:T21" si="35">MAX(0,(A18-L18)*(1-M18))</f>
        <v>250</v>
      </c>
      <c r="U18" s="27">
        <f t="shared" si="7"/>
        <v>422.75</v>
      </c>
      <c r="V18" s="27">
        <f t="shared" si="8"/>
        <v>5.1282051282051269</v>
      </c>
      <c r="W18" s="12">
        <f t="shared" si="9"/>
        <v>10.256410256410254</v>
      </c>
      <c r="X18" s="27">
        <f t="shared" si="10"/>
        <v>4335.8974358974347</v>
      </c>
      <c r="Y18" s="27">
        <f t="shared" si="11"/>
        <v>4335.8974358974347</v>
      </c>
      <c r="Z18" s="27">
        <f t="shared" si="17"/>
        <v>15</v>
      </c>
      <c r="AA18" s="22">
        <f t="shared" si="1"/>
        <v>41</v>
      </c>
      <c r="AB18" s="27">
        <f t="shared" si="12"/>
        <v>17332.75</v>
      </c>
      <c r="AC18" s="22">
        <f t="shared" si="13"/>
        <v>6</v>
      </c>
      <c r="AD18" s="27">
        <f t="shared" si="14"/>
        <v>17332.75</v>
      </c>
      <c r="AE18" s="18"/>
      <c r="AF18">
        <f t="shared" si="18"/>
        <v>2</v>
      </c>
      <c r="AG18">
        <f t="shared" si="19"/>
        <v>17</v>
      </c>
      <c r="AH18" t="str">
        <f t="shared" si="20"/>
        <v>Provence S2</v>
      </c>
      <c r="AI18" s="33">
        <f t="shared" si="21"/>
        <v>1521.3999999999999</v>
      </c>
      <c r="AJ18" s="18"/>
      <c r="AK18">
        <f t="shared" si="22"/>
        <v>8</v>
      </c>
      <c r="AL18">
        <f t="shared" si="23"/>
        <v>17</v>
      </c>
      <c r="AM18" t="str">
        <f t="shared" si="24"/>
        <v>Blue Poison S2</v>
      </c>
      <c r="AN18" s="40">
        <f t="shared" si="25"/>
        <v>2060</v>
      </c>
      <c r="AO18" s="10"/>
      <c r="AP18" s="9">
        <f t="shared" si="26"/>
        <v>24</v>
      </c>
      <c r="AQ18" s="10">
        <f t="shared" si="27"/>
        <v>17</v>
      </c>
      <c r="AR18" s="10" t="str">
        <f t="shared" si="28"/>
        <v>Thorns S3</v>
      </c>
      <c r="AS18" s="40">
        <f t="shared" si="29"/>
        <v>20621.000000000004</v>
      </c>
      <c r="AU18" s="9">
        <f t="shared" si="30"/>
        <v>28</v>
      </c>
      <c r="AV18" s="10">
        <f t="shared" si="31"/>
        <v>17</v>
      </c>
      <c r="AW18" s="10" t="str">
        <f t="shared" si="32"/>
        <v>Exusiai S3</v>
      </c>
      <c r="AX18" s="40">
        <f t="shared" si="33"/>
        <v>29328</v>
      </c>
    </row>
    <row r="19" spans="1:50" x14ac:dyDescent="0.35">
      <c r="A19" s="9">
        <f t="shared" si="15"/>
        <v>250</v>
      </c>
      <c r="B19" s="15" t="s">
        <v>59</v>
      </c>
      <c r="C19" s="34">
        <v>426</v>
      </c>
      <c r="D19" s="15">
        <v>1.2</v>
      </c>
      <c r="E19" s="11"/>
      <c r="F19" s="15"/>
      <c r="G19" s="15"/>
      <c r="H19" s="15">
        <v>200</v>
      </c>
      <c r="I19" s="13">
        <f>165%*150%-100%</f>
        <v>1.4749999999999996</v>
      </c>
      <c r="J19" s="15">
        <v>1</v>
      </c>
      <c r="K19" s="15">
        <v>1</v>
      </c>
      <c r="L19" s="15"/>
      <c r="M19" s="15"/>
      <c r="N19" s="15"/>
      <c r="O19" s="15">
        <v>7</v>
      </c>
      <c r="P19" s="15"/>
      <c r="Q19" s="11">
        <f t="shared" si="16"/>
        <v>0</v>
      </c>
      <c r="R19" s="15">
        <f t="shared" si="16"/>
        <v>0</v>
      </c>
      <c r="S19" s="27">
        <f t="shared" si="34"/>
        <v>426</v>
      </c>
      <c r="T19" s="12">
        <f t="shared" si="35"/>
        <v>250</v>
      </c>
      <c r="U19" s="27">
        <f t="shared" si="7"/>
        <v>804.34999999999991</v>
      </c>
      <c r="V19" s="27">
        <f t="shared" si="8"/>
        <v>2.5</v>
      </c>
      <c r="W19" s="12">
        <f t="shared" si="9"/>
        <v>2.5</v>
      </c>
      <c r="X19" s="27">
        <f t="shared" si="10"/>
        <v>2010.8749999999998</v>
      </c>
      <c r="Y19" s="27">
        <f t="shared" si="11"/>
        <v>2010.8749999999998</v>
      </c>
      <c r="Z19" s="27">
        <f t="shared" si="17"/>
        <v>15</v>
      </c>
      <c r="AA19" s="22">
        <f t="shared" si="1"/>
        <v>17</v>
      </c>
      <c r="AB19" s="27">
        <f t="shared" si="12"/>
        <v>13673.949999999999</v>
      </c>
      <c r="AC19" s="22">
        <f t="shared" si="13"/>
        <v>6</v>
      </c>
      <c r="AD19" s="27">
        <f t="shared" si="14"/>
        <v>13673.949999999999</v>
      </c>
      <c r="AE19" s="18"/>
      <c r="AF19">
        <f t="shared" si="18"/>
        <v>6</v>
      </c>
      <c r="AG19">
        <f t="shared" si="19"/>
        <v>18</v>
      </c>
      <c r="AH19" t="str">
        <f t="shared" si="20"/>
        <v>Tequila S2</v>
      </c>
      <c r="AI19" s="33">
        <f t="shared" si="21"/>
        <v>1459.1666666666665</v>
      </c>
      <c r="AJ19" s="18"/>
      <c r="AK19">
        <f t="shared" si="22"/>
        <v>18</v>
      </c>
      <c r="AL19">
        <f t="shared" si="23"/>
        <v>18</v>
      </c>
      <c r="AM19" t="str">
        <f t="shared" si="24"/>
        <v>Blitz S2</v>
      </c>
      <c r="AN19" s="40">
        <f t="shared" si="25"/>
        <v>2010.8749999999998</v>
      </c>
      <c r="AO19" s="10"/>
      <c r="AP19" s="9">
        <f t="shared" si="26"/>
        <v>29</v>
      </c>
      <c r="AQ19" s="10">
        <f t="shared" si="27"/>
        <v>18</v>
      </c>
      <c r="AR19" s="10" t="str">
        <f t="shared" si="28"/>
        <v>Executor S2</v>
      </c>
      <c r="AS19" s="40">
        <f t="shared" si="29"/>
        <v>19876.5</v>
      </c>
      <c r="AU19" s="9">
        <f t="shared" si="30"/>
        <v>30</v>
      </c>
      <c r="AV19" s="10">
        <f t="shared" si="31"/>
        <v>18</v>
      </c>
      <c r="AW19" s="10" t="str">
        <f t="shared" si="32"/>
        <v>Provence S2</v>
      </c>
      <c r="AX19" s="40">
        <f t="shared" si="33"/>
        <v>27385.199999999997</v>
      </c>
    </row>
    <row r="20" spans="1:50" x14ac:dyDescent="0.35">
      <c r="A20" s="9">
        <f t="shared" si="15"/>
        <v>250</v>
      </c>
      <c r="B20" s="15" t="s">
        <v>60</v>
      </c>
      <c r="C20" s="34">
        <v>500</v>
      </c>
      <c r="D20" s="15">
        <v>1</v>
      </c>
      <c r="E20" s="11"/>
      <c r="F20" s="15"/>
      <c r="G20" s="16">
        <v>-0.8</v>
      </c>
      <c r="H20" s="15"/>
      <c r="I20" s="13">
        <v>1.5</v>
      </c>
      <c r="J20" s="15">
        <v>1</v>
      </c>
      <c r="K20" s="15">
        <v>1</v>
      </c>
      <c r="L20" s="15"/>
      <c r="M20" s="15"/>
      <c r="N20" s="15"/>
      <c r="O20" s="15"/>
      <c r="P20" s="15">
        <v>31</v>
      </c>
      <c r="Q20" s="11">
        <f t="shared" si="16"/>
        <v>0</v>
      </c>
      <c r="R20" s="15">
        <f t="shared" si="16"/>
        <v>0</v>
      </c>
      <c r="S20" s="27">
        <f t="shared" ref="S20:S21" si="36">C20*(1+E20+Q20)</f>
        <v>500</v>
      </c>
      <c r="T20" s="12">
        <f t="shared" si="35"/>
        <v>250</v>
      </c>
      <c r="U20" s="27">
        <f t="shared" si="7"/>
        <v>1000</v>
      </c>
      <c r="V20" s="27">
        <f t="shared" si="8"/>
        <v>5.0000000000000009</v>
      </c>
      <c r="W20" s="12">
        <f t="shared" si="9"/>
        <v>5.0000000000000009</v>
      </c>
      <c r="X20" s="27">
        <f t="shared" si="10"/>
        <v>5000.0000000000009</v>
      </c>
      <c r="Y20" s="27">
        <f t="shared" si="11"/>
        <v>5000.0000000000009</v>
      </c>
      <c r="Z20" s="27">
        <f t="shared" si="17"/>
        <v>15</v>
      </c>
      <c r="AA20" s="22">
        <f t="shared" si="1"/>
        <v>31</v>
      </c>
      <c r="AB20" s="27">
        <f t="shared" si="12"/>
        <v>31000</v>
      </c>
      <c r="AC20" s="22">
        <f t="shared" si="13"/>
        <v>6</v>
      </c>
      <c r="AD20" s="27">
        <f t="shared" si="14"/>
        <v>31000</v>
      </c>
      <c r="AE20" s="18"/>
      <c r="AF20">
        <f t="shared" si="18"/>
        <v>1</v>
      </c>
      <c r="AG20">
        <f t="shared" si="19"/>
        <v>19</v>
      </c>
      <c r="AH20" t="str">
        <f t="shared" si="20"/>
        <v>Thorns S3</v>
      </c>
      <c r="AI20" s="33">
        <f t="shared" si="21"/>
        <v>1399.6153846153848</v>
      </c>
      <c r="AJ20" s="18"/>
      <c r="AK20">
        <f t="shared" si="22"/>
        <v>5</v>
      </c>
      <c r="AL20">
        <f t="shared" si="23"/>
        <v>19</v>
      </c>
      <c r="AM20" t="str">
        <f t="shared" si="24"/>
        <v>Exusiai S3</v>
      </c>
      <c r="AN20" s="40">
        <f t="shared" si="25"/>
        <v>1958.3333333333333</v>
      </c>
      <c r="AO20" s="10"/>
      <c r="AP20" s="9">
        <f t="shared" si="26"/>
        <v>2</v>
      </c>
      <c r="AQ20" s="10">
        <f t="shared" si="27"/>
        <v>19</v>
      </c>
      <c r="AR20" s="10" t="str">
        <f t="shared" si="28"/>
        <v>Skadi S3</v>
      </c>
      <c r="AS20" s="40">
        <f t="shared" si="29"/>
        <v>19386.8</v>
      </c>
      <c r="AU20" s="9">
        <f t="shared" si="30"/>
        <v>14</v>
      </c>
      <c r="AV20" s="10">
        <f t="shared" si="31"/>
        <v>19</v>
      </c>
      <c r="AW20" s="10" t="str">
        <f t="shared" si="32"/>
        <v>Flint S2</v>
      </c>
      <c r="AX20" s="40">
        <f t="shared" si="33"/>
        <v>25410.670000000002</v>
      </c>
    </row>
    <row r="21" spans="1:50" x14ac:dyDescent="0.35">
      <c r="A21" s="9">
        <f t="shared" si="15"/>
        <v>250</v>
      </c>
      <c r="B21" s="15" t="s">
        <v>64</v>
      </c>
      <c r="C21" s="34">
        <v>625</v>
      </c>
      <c r="D21" s="15">
        <v>1.3</v>
      </c>
      <c r="E21" s="11">
        <f>70%+50%*50%</f>
        <v>0.95</v>
      </c>
      <c r="F21" s="15"/>
      <c r="G21" s="16">
        <v>-0.5</v>
      </c>
      <c r="H21" s="15">
        <f>3*12</f>
        <v>36</v>
      </c>
      <c r="I21" s="13"/>
      <c r="J21" s="15">
        <v>1</v>
      </c>
      <c r="K21" s="15">
        <v>2</v>
      </c>
      <c r="L21" s="15"/>
      <c r="M21" s="15"/>
      <c r="N21" s="15"/>
      <c r="O21" s="15">
        <v>25</v>
      </c>
      <c r="P21" s="15"/>
      <c r="Q21" s="11">
        <f t="shared" si="16"/>
        <v>0</v>
      </c>
      <c r="R21" s="15">
        <f t="shared" si="16"/>
        <v>0</v>
      </c>
      <c r="S21" s="27">
        <f t="shared" si="36"/>
        <v>1218.75</v>
      </c>
      <c r="T21" s="12">
        <f t="shared" si="35"/>
        <v>250</v>
      </c>
      <c r="U21" s="27">
        <f t="shared" si="7"/>
        <v>968.75</v>
      </c>
      <c r="V21" s="27">
        <f t="shared" si="8"/>
        <v>2.092307692307692</v>
      </c>
      <c r="W21" s="12">
        <f t="shared" si="9"/>
        <v>2.092307692307692</v>
      </c>
      <c r="X21" s="27">
        <f t="shared" si="10"/>
        <v>2026.9230769230767</v>
      </c>
      <c r="Y21" s="27">
        <f t="shared" si="11"/>
        <v>4053.8461538461534</v>
      </c>
      <c r="Z21" s="27">
        <f t="shared" si="17"/>
        <v>15</v>
      </c>
      <c r="AA21" s="22">
        <f t="shared" si="1"/>
        <v>31</v>
      </c>
      <c r="AB21" s="27">
        <f t="shared" si="12"/>
        <v>30031.25</v>
      </c>
      <c r="AC21" s="22">
        <f t="shared" si="13"/>
        <v>6</v>
      </c>
      <c r="AD21" s="27">
        <f t="shared" si="14"/>
        <v>60062.5</v>
      </c>
      <c r="AE21" s="18"/>
      <c r="AF21">
        <f t="shared" si="18"/>
        <v>5</v>
      </c>
      <c r="AG21">
        <f t="shared" si="19"/>
        <v>20</v>
      </c>
      <c r="AH21" t="str">
        <f t="shared" si="20"/>
        <v>Executor S2</v>
      </c>
      <c r="AI21" s="33">
        <f t="shared" si="21"/>
        <v>1352.1428571428571</v>
      </c>
      <c r="AJ21" s="18"/>
      <c r="AK21">
        <f t="shared" si="22"/>
        <v>9</v>
      </c>
      <c r="AL21">
        <f t="shared" si="23"/>
        <v>20</v>
      </c>
      <c r="AM21" t="str">
        <f t="shared" si="24"/>
        <v>Provence S2</v>
      </c>
      <c r="AN21" s="40">
        <f t="shared" si="25"/>
        <v>1901.7499999999998</v>
      </c>
      <c r="AO21" s="10"/>
      <c r="AP21" s="9">
        <f t="shared" si="26"/>
        <v>4</v>
      </c>
      <c r="AQ21" s="10">
        <f t="shared" si="27"/>
        <v>20</v>
      </c>
      <c r="AR21" s="10" t="str">
        <f t="shared" si="28"/>
        <v>SilverAsh S3</v>
      </c>
      <c r="AS21" s="40">
        <f t="shared" si="29"/>
        <v>19261</v>
      </c>
      <c r="AU21" s="9">
        <f t="shared" si="30"/>
        <v>7</v>
      </c>
      <c r="AV21" s="10">
        <f t="shared" si="31"/>
        <v>20</v>
      </c>
      <c r="AW21" s="10" t="str">
        <f t="shared" si="32"/>
        <v>Skadi S2</v>
      </c>
      <c r="AX21" s="40">
        <f t="shared" si="33"/>
        <v>22974.799999999999</v>
      </c>
    </row>
    <row r="22" spans="1:50" x14ac:dyDescent="0.35">
      <c r="A22" s="9">
        <f t="shared" si="15"/>
        <v>250</v>
      </c>
      <c r="B22" s="15" t="s">
        <v>65</v>
      </c>
      <c r="C22" s="34">
        <v>290</v>
      </c>
      <c r="D22" s="15">
        <v>1.2</v>
      </c>
      <c r="E22" s="11">
        <v>2</v>
      </c>
      <c r="F22" s="15"/>
      <c r="G22" s="16"/>
      <c r="H22" s="15"/>
      <c r="I22" s="13">
        <v>1.3</v>
      </c>
      <c r="J22" s="15">
        <v>1</v>
      </c>
      <c r="K22" s="15">
        <v>3</v>
      </c>
      <c r="L22" s="15"/>
      <c r="M22" s="15"/>
      <c r="N22" s="15"/>
      <c r="O22" s="15">
        <v>15</v>
      </c>
      <c r="P22" s="15"/>
      <c r="Q22" s="11">
        <f t="shared" si="16"/>
        <v>0</v>
      </c>
      <c r="R22" s="15">
        <f t="shared" si="16"/>
        <v>0</v>
      </c>
      <c r="S22" s="27">
        <f t="shared" ref="S22:S25" si="37">C22*(1+E22+Q22)</f>
        <v>870</v>
      </c>
      <c r="T22" s="12">
        <f t="shared" ref="T22:T25" si="38">MAX(0,(A22-L22)*(1-M22))</f>
        <v>250</v>
      </c>
      <c r="U22" s="27">
        <f t="shared" ref="U22:U25" si="39">MAX(S22*(1+I22)-T22,5%*S22)</f>
        <v>1750.9999999999998</v>
      </c>
      <c r="V22" s="27">
        <f t="shared" si="8"/>
        <v>0.83333333333333337</v>
      </c>
      <c r="W22" s="12">
        <f t="shared" si="9"/>
        <v>0.83333333333333337</v>
      </c>
      <c r="X22" s="27">
        <f t="shared" si="10"/>
        <v>1459.1666666666665</v>
      </c>
      <c r="Y22" s="27">
        <f t="shared" si="11"/>
        <v>4377.5</v>
      </c>
      <c r="Z22" s="27">
        <f t="shared" si="17"/>
        <v>15</v>
      </c>
      <c r="AA22" s="22">
        <f t="shared" si="1"/>
        <v>12</v>
      </c>
      <c r="AB22" s="27">
        <f t="shared" si="12"/>
        <v>21011.999999999996</v>
      </c>
      <c r="AC22" s="22">
        <f t="shared" si="13"/>
        <v>6</v>
      </c>
      <c r="AD22" s="27">
        <f t="shared" si="14"/>
        <v>63035.999999999985</v>
      </c>
      <c r="AE22" s="18"/>
      <c r="AF22">
        <f t="shared" si="18"/>
        <v>18</v>
      </c>
      <c r="AG22">
        <f t="shared" si="19"/>
        <v>21</v>
      </c>
      <c r="AH22" t="str">
        <f t="shared" si="20"/>
        <v>SilverAsh S3</v>
      </c>
      <c r="AI22" s="33">
        <f t="shared" si="21"/>
        <v>1346.9230769230769</v>
      </c>
      <c r="AJ22" s="18"/>
      <c r="AK22">
        <f t="shared" si="22"/>
        <v>7</v>
      </c>
      <c r="AL22">
        <f t="shared" si="23"/>
        <v>21</v>
      </c>
      <c r="AM22" t="str">
        <f t="shared" si="24"/>
        <v>Flint S2</v>
      </c>
      <c r="AN22" s="40">
        <f t="shared" si="25"/>
        <v>1741.2262820512822</v>
      </c>
      <c r="AO22" s="10"/>
      <c r="AP22" s="9">
        <f t="shared" si="26"/>
        <v>16</v>
      </c>
      <c r="AQ22" s="10">
        <f t="shared" si="27"/>
        <v>21</v>
      </c>
      <c r="AR22" s="10" t="str">
        <f t="shared" si="28"/>
        <v>Schwarz S2</v>
      </c>
      <c r="AS22" s="40">
        <f t="shared" si="29"/>
        <v>19055.25</v>
      </c>
      <c r="AU22" s="9">
        <f t="shared" si="30"/>
        <v>6</v>
      </c>
      <c r="AV22" s="10">
        <f t="shared" si="31"/>
        <v>21</v>
      </c>
      <c r="AW22" s="10" t="str">
        <f t="shared" si="32"/>
        <v>Kroos Alter S2</v>
      </c>
      <c r="AX22" s="40">
        <f t="shared" si="33"/>
        <v>22918.400000000001</v>
      </c>
    </row>
    <row r="23" spans="1:50" x14ac:dyDescent="0.35">
      <c r="A23" s="9">
        <f t="shared" si="15"/>
        <v>250</v>
      </c>
      <c r="B23" s="15" t="s">
        <v>69</v>
      </c>
      <c r="C23" s="34">
        <v>897</v>
      </c>
      <c r="D23" s="15">
        <v>1.5</v>
      </c>
      <c r="E23" s="11">
        <f>14%+170%</f>
        <v>1.8399999999999999</v>
      </c>
      <c r="F23" s="15"/>
      <c r="G23" s="15"/>
      <c r="H23" s="15"/>
      <c r="I23" s="13"/>
      <c r="J23" s="15">
        <v>1</v>
      </c>
      <c r="K23" s="15">
        <v>1</v>
      </c>
      <c r="L23" s="15"/>
      <c r="M23" s="15"/>
      <c r="N23" s="15"/>
      <c r="O23" s="15">
        <v>30</v>
      </c>
      <c r="P23" s="15"/>
      <c r="Q23" s="11">
        <f t="shared" si="16"/>
        <v>0</v>
      </c>
      <c r="R23" s="15">
        <f t="shared" si="16"/>
        <v>0</v>
      </c>
      <c r="S23" s="27">
        <f t="shared" si="37"/>
        <v>2547.48</v>
      </c>
      <c r="T23" s="12">
        <f t="shared" si="38"/>
        <v>250</v>
      </c>
      <c r="U23" s="27">
        <f t="shared" si="39"/>
        <v>2297.48</v>
      </c>
      <c r="V23" s="27">
        <f t="shared" si="8"/>
        <v>0.66666666666666663</v>
      </c>
      <c r="W23" s="12">
        <f t="shared" si="9"/>
        <v>0.66666666666666663</v>
      </c>
      <c r="X23" s="27">
        <f t="shared" si="10"/>
        <v>1531.6533333333332</v>
      </c>
      <c r="Y23" s="27">
        <f t="shared" si="11"/>
        <v>1531.6533333333332</v>
      </c>
      <c r="Z23" s="27">
        <f t="shared" si="17"/>
        <v>15</v>
      </c>
      <c r="AA23" s="22">
        <f t="shared" si="1"/>
        <v>10</v>
      </c>
      <c r="AB23" s="27">
        <f t="shared" si="12"/>
        <v>22974.799999999999</v>
      </c>
      <c r="AC23" s="22">
        <f t="shared" si="13"/>
        <v>6</v>
      </c>
      <c r="AD23" s="27">
        <f t="shared" si="14"/>
        <v>22974.799999999999</v>
      </c>
      <c r="AE23" s="18"/>
      <c r="AF23">
        <f t="shared" si="18"/>
        <v>14</v>
      </c>
      <c r="AG23">
        <f t="shared" si="19"/>
        <v>22</v>
      </c>
      <c r="AH23" t="str">
        <f t="shared" si="20"/>
        <v>Schwarz S2</v>
      </c>
      <c r="AI23" s="33">
        <f t="shared" si="21"/>
        <v>1323.28125</v>
      </c>
      <c r="AJ23" s="18"/>
      <c r="AK23">
        <f t="shared" si="22"/>
        <v>24</v>
      </c>
      <c r="AL23">
        <f t="shared" si="23"/>
        <v>22</v>
      </c>
      <c r="AM23" t="str">
        <f t="shared" si="24"/>
        <v>Schwarz S3</v>
      </c>
      <c r="AN23" s="40">
        <f t="shared" si="25"/>
        <v>1636</v>
      </c>
      <c r="AO23" s="10"/>
      <c r="AP23" s="9">
        <f t="shared" si="26"/>
        <v>10</v>
      </c>
      <c r="AQ23" s="10">
        <f t="shared" si="27"/>
        <v>22</v>
      </c>
      <c r="AR23" s="10" t="str">
        <f t="shared" si="28"/>
        <v>Mudrock S3</v>
      </c>
      <c r="AS23" s="40">
        <f t="shared" si="29"/>
        <v>18792.399999999998</v>
      </c>
      <c r="AU23" s="9">
        <f t="shared" si="30"/>
        <v>20</v>
      </c>
      <c r="AV23" s="10">
        <f t="shared" si="31"/>
        <v>22</v>
      </c>
      <c r="AW23" s="10" t="str">
        <f t="shared" si="32"/>
        <v>Schwarz S3</v>
      </c>
      <c r="AX23" s="40">
        <f t="shared" si="33"/>
        <v>22904</v>
      </c>
    </row>
    <row r="24" spans="1:50" x14ac:dyDescent="0.35">
      <c r="A24" s="9">
        <f t="shared" si="15"/>
        <v>250</v>
      </c>
      <c r="B24" s="15" t="s">
        <v>70</v>
      </c>
      <c r="C24" s="34">
        <v>897</v>
      </c>
      <c r="D24" s="15">
        <v>1.5</v>
      </c>
      <c r="E24" s="11">
        <f>14%+130%</f>
        <v>1.44</v>
      </c>
      <c r="F24" s="15"/>
      <c r="G24" s="16"/>
      <c r="H24" s="15"/>
      <c r="I24" s="13"/>
      <c r="J24" s="15">
        <v>1</v>
      </c>
      <c r="K24" s="15">
        <v>1</v>
      </c>
      <c r="L24" s="15"/>
      <c r="M24" s="15"/>
      <c r="N24" s="15"/>
      <c r="O24" s="15">
        <v>50</v>
      </c>
      <c r="P24" s="15"/>
      <c r="Q24" s="11">
        <f t="shared" si="16"/>
        <v>0</v>
      </c>
      <c r="R24" s="15">
        <f t="shared" si="16"/>
        <v>0</v>
      </c>
      <c r="S24" s="27">
        <f t="shared" si="37"/>
        <v>2188.6799999999998</v>
      </c>
      <c r="T24" s="12">
        <f t="shared" si="38"/>
        <v>250</v>
      </c>
      <c r="U24" s="27">
        <f t="shared" si="39"/>
        <v>1938.6799999999998</v>
      </c>
      <c r="V24" s="27">
        <f t="shared" si="8"/>
        <v>0.66666666666666663</v>
      </c>
      <c r="W24" s="12">
        <f t="shared" si="9"/>
        <v>0.66666666666666663</v>
      </c>
      <c r="X24" s="27">
        <f t="shared" si="10"/>
        <v>1292.4533333333331</v>
      </c>
      <c r="Y24" s="27">
        <f t="shared" si="11"/>
        <v>1292.4533333333331</v>
      </c>
      <c r="Z24" s="27">
        <f t="shared" si="17"/>
        <v>15</v>
      </c>
      <c r="AA24" s="22">
        <f t="shared" si="1"/>
        <v>10</v>
      </c>
      <c r="AB24" s="27">
        <f t="shared" si="12"/>
        <v>19386.8</v>
      </c>
      <c r="AC24" s="22">
        <f t="shared" si="13"/>
        <v>6</v>
      </c>
      <c r="AD24" s="27">
        <f t="shared" si="14"/>
        <v>19386.8</v>
      </c>
      <c r="AE24" s="18"/>
      <c r="AF24">
        <f t="shared" si="18"/>
        <v>24</v>
      </c>
      <c r="AG24">
        <f t="shared" si="19"/>
        <v>23</v>
      </c>
      <c r="AH24" t="str">
        <f t="shared" si="20"/>
        <v>Mudrock S3</v>
      </c>
      <c r="AI24" s="33">
        <f t="shared" si="21"/>
        <v>1314.153846153846</v>
      </c>
      <c r="AJ24" s="18"/>
      <c r="AK24">
        <f t="shared" si="22"/>
        <v>29</v>
      </c>
      <c r="AL24">
        <f t="shared" si="23"/>
        <v>23</v>
      </c>
      <c r="AM24" t="str">
        <f t="shared" si="24"/>
        <v>Greythroat S2</v>
      </c>
      <c r="AN24" s="40">
        <f t="shared" si="25"/>
        <v>1545.3050999999996</v>
      </c>
      <c r="AO24" s="10"/>
      <c r="AP24" s="9">
        <f t="shared" si="26"/>
        <v>19</v>
      </c>
      <c r="AQ24" s="10">
        <f t="shared" si="27"/>
        <v>23</v>
      </c>
      <c r="AR24" s="10" t="str">
        <f t="shared" si="28"/>
        <v>Archetto S3</v>
      </c>
      <c r="AS24" s="40">
        <f t="shared" si="29"/>
        <v>17649.000000000004</v>
      </c>
      <c r="AU24" s="9">
        <f t="shared" si="30"/>
        <v>26</v>
      </c>
      <c r="AV24" s="10">
        <f t="shared" si="31"/>
        <v>23</v>
      </c>
      <c r="AW24" s="10" t="str">
        <f t="shared" si="32"/>
        <v>Exusiai S2</v>
      </c>
      <c r="AX24" s="40">
        <f t="shared" si="33"/>
        <v>22875</v>
      </c>
    </row>
    <row r="25" spans="1:50" x14ac:dyDescent="0.35">
      <c r="A25" s="9">
        <f t="shared" si="15"/>
        <v>250</v>
      </c>
      <c r="B25" s="15" t="s">
        <v>71</v>
      </c>
      <c r="C25" s="34">
        <v>718</v>
      </c>
      <c r="D25" s="15">
        <v>1.2</v>
      </c>
      <c r="E25" s="11">
        <v>0.8</v>
      </c>
      <c r="F25" s="15"/>
      <c r="G25" s="16"/>
      <c r="H25" s="15">
        <f>100*2/3</f>
        <v>66.666666666666671</v>
      </c>
      <c r="I25" s="13"/>
      <c r="J25" s="15">
        <v>2</v>
      </c>
      <c r="K25" s="15">
        <v>1</v>
      </c>
      <c r="L25" s="15"/>
      <c r="M25" s="15"/>
      <c r="N25" s="15"/>
      <c r="O25" s="15">
        <v>13</v>
      </c>
      <c r="P25" s="15"/>
      <c r="Q25" s="11">
        <f t="shared" si="16"/>
        <v>0</v>
      </c>
      <c r="R25" s="15">
        <f t="shared" si="16"/>
        <v>0</v>
      </c>
      <c r="S25" s="27">
        <f t="shared" si="37"/>
        <v>1292.4000000000001</v>
      </c>
      <c r="T25" s="12">
        <f t="shared" si="38"/>
        <v>250</v>
      </c>
      <c r="U25" s="27">
        <f t="shared" si="39"/>
        <v>1042.4000000000001</v>
      </c>
      <c r="V25" s="27">
        <f t="shared" si="8"/>
        <v>1.3888888888888891</v>
      </c>
      <c r="W25" s="12">
        <f t="shared" si="9"/>
        <v>2.7777777777777781</v>
      </c>
      <c r="X25" s="27">
        <f t="shared" si="10"/>
        <v>2895.5555555555561</v>
      </c>
      <c r="Y25" s="27">
        <f t="shared" si="11"/>
        <v>2895.5555555555561</v>
      </c>
      <c r="Z25" s="27">
        <f t="shared" si="17"/>
        <v>15</v>
      </c>
      <c r="AA25" s="22">
        <f t="shared" si="1"/>
        <v>36</v>
      </c>
      <c r="AB25" s="27">
        <f t="shared" si="12"/>
        <v>37526.400000000001</v>
      </c>
      <c r="AC25" s="22">
        <f t="shared" si="13"/>
        <v>6</v>
      </c>
      <c r="AD25" s="27">
        <f t="shared" si="14"/>
        <v>37526.400000000001</v>
      </c>
      <c r="AE25" s="18"/>
      <c r="AF25">
        <f t="shared" si="18"/>
        <v>3</v>
      </c>
      <c r="AG25">
        <f t="shared" si="19"/>
        <v>24</v>
      </c>
      <c r="AH25" t="str">
        <f t="shared" si="20"/>
        <v>Skadi S3</v>
      </c>
      <c r="AI25" s="33">
        <f t="shared" si="21"/>
        <v>1292.4533333333331</v>
      </c>
      <c r="AJ25" s="18"/>
      <c r="AK25">
        <f t="shared" si="22"/>
        <v>11</v>
      </c>
      <c r="AL25">
        <f t="shared" si="23"/>
        <v>24</v>
      </c>
      <c r="AM25" t="str">
        <f t="shared" si="24"/>
        <v>Skadi S2</v>
      </c>
      <c r="AN25" s="40">
        <f t="shared" si="25"/>
        <v>1531.6533333333332</v>
      </c>
      <c r="AO25" s="10"/>
      <c r="AP25" s="9">
        <f t="shared" si="26"/>
        <v>1</v>
      </c>
      <c r="AQ25" s="10">
        <f t="shared" si="27"/>
        <v>24</v>
      </c>
      <c r="AR25" s="10" t="str">
        <f t="shared" si="28"/>
        <v>Tachanka S2</v>
      </c>
      <c r="AS25" s="40">
        <f t="shared" si="29"/>
        <v>17332.75</v>
      </c>
      <c r="AU25" s="9">
        <f t="shared" si="30"/>
        <v>10</v>
      </c>
      <c r="AV25" s="10">
        <f t="shared" si="31"/>
        <v>24</v>
      </c>
      <c r="AW25" s="10" t="str">
        <f t="shared" si="32"/>
        <v>Greythroat S2</v>
      </c>
      <c r="AX25" s="40">
        <f t="shared" si="33"/>
        <v>22839.41499999999</v>
      </c>
    </row>
    <row r="26" spans="1:50" x14ac:dyDescent="0.35">
      <c r="A26" s="9">
        <f t="shared" si="15"/>
        <v>250</v>
      </c>
      <c r="B26" s="15" t="s">
        <v>72</v>
      </c>
      <c r="C26" s="34">
        <v>718</v>
      </c>
      <c r="D26" s="15">
        <v>1.2</v>
      </c>
      <c r="E26" s="11">
        <v>1</v>
      </c>
      <c r="F26" s="15"/>
      <c r="G26" s="16"/>
      <c r="H26" s="15">
        <f>100*2/3</f>
        <v>66.666666666666671</v>
      </c>
      <c r="I26" s="13"/>
      <c r="J26" s="15">
        <v>1</v>
      </c>
      <c r="K26" s="15">
        <v>3</v>
      </c>
      <c r="L26" s="15"/>
      <c r="M26" s="15"/>
      <c r="N26" s="15"/>
      <c r="O26" s="15">
        <v>15</v>
      </c>
      <c r="P26" s="15"/>
      <c r="Q26" s="11">
        <f t="shared" si="16"/>
        <v>0</v>
      </c>
      <c r="R26" s="15">
        <f t="shared" si="16"/>
        <v>0</v>
      </c>
      <c r="S26" s="27">
        <f t="shared" ref="S26:S27" si="40">C26*(1+E26+Q26)</f>
        <v>1436</v>
      </c>
      <c r="T26" s="12">
        <f t="shared" ref="T26:T27" si="41">MAX(0,(A26-L26)*(1-M26))</f>
        <v>250</v>
      </c>
      <c r="U26" s="27">
        <f t="shared" ref="U26:U27" si="42">MAX(S26*(1+I26)-T26,5%*S26)</f>
        <v>1186</v>
      </c>
      <c r="V26" s="27">
        <f t="shared" si="8"/>
        <v>1.3888888888888891</v>
      </c>
      <c r="W26" s="12">
        <f t="shared" si="9"/>
        <v>1.3888888888888891</v>
      </c>
      <c r="X26" s="27">
        <f t="shared" si="10"/>
        <v>1647.2222222222224</v>
      </c>
      <c r="Y26" s="27">
        <f t="shared" si="11"/>
        <v>4941.666666666667</v>
      </c>
      <c r="Z26" s="27">
        <f t="shared" si="17"/>
        <v>15</v>
      </c>
      <c r="AA26" s="22">
        <f t="shared" si="1"/>
        <v>20</v>
      </c>
      <c r="AB26" s="27">
        <f t="shared" si="12"/>
        <v>23720</v>
      </c>
      <c r="AC26" s="22">
        <f t="shared" si="13"/>
        <v>6</v>
      </c>
      <c r="AD26" s="27">
        <f t="shared" si="14"/>
        <v>71160</v>
      </c>
      <c r="AE26" s="18"/>
      <c r="AF26">
        <f t="shared" si="18"/>
        <v>11</v>
      </c>
      <c r="AG26">
        <f t="shared" si="19"/>
        <v>25</v>
      </c>
      <c r="AH26" t="str">
        <f t="shared" si="20"/>
        <v>Andreana S3</v>
      </c>
      <c r="AI26" s="33">
        <f t="shared" si="21"/>
        <v>1226.185185185185</v>
      </c>
      <c r="AJ26" s="18"/>
      <c r="AK26">
        <f t="shared" si="22"/>
        <v>6</v>
      </c>
      <c r="AL26">
        <f t="shared" si="23"/>
        <v>25</v>
      </c>
      <c r="AM26" t="str">
        <f t="shared" si="24"/>
        <v>Kroos Alter S2</v>
      </c>
      <c r="AN26" s="40">
        <f t="shared" si="25"/>
        <v>1527.8933333333334</v>
      </c>
      <c r="AO26" s="10"/>
      <c r="AP26" s="9">
        <f t="shared" si="26"/>
        <v>9</v>
      </c>
      <c r="AQ26" s="10">
        <f t="shared" si="27"/>
        <v>25</v>
      </c>
      <c r="AR26" s="10" t="str">
        <f t="shared" si="28"/>
        <v>Andreana S3</v>
      </c>
      <c r="AS26" s="40">
        <f t="shared" si="29"/>
        <v>16553.5</v>
      </c>
      <c r="AU26" s="9">
        <f t="shared" si="30"/>
        <v>5</v>
      </c>
      <c r="AV26" s="10">
        <f t="shared" si="31"/>
        <v>25</v>
      </c>
      <c r="AW26" s="10" t="str">
        <f t="shared" si="32"/>
        <v>Thorns S3</v>
      </c>
      <c r="AX26" s="40">
        <f t="shared" si="33"/>
        <v>20621.000000000004</v>
      </c>
    </row>
    <row r="27" spans="1:50" x14ac:dyDescent="0.35">
      <c r="A27" s="9">
        <f t="shared" si="15"/>
        <v>250</v>
      </c>
      <c r="B27" s="15" t="s">
        <v>79</v>
      </c>
      <c r="C27" s="34">
        <v>479</v>
      </c>
      <c r="D27" s="15">
        <v>1</v>
      </c>
      <c r="E27" s="11">
        <v>0.4</v>
      </c>
      <c r="F27" s="15"/>
      <c r="G27" s="16"/>
      <c r="H27" s="15"/>
      <c r="I27" s="13">
        <f>20%*60%</f>
        <v>0.12</v>
      </c>
      <c r="J27" s="15">
        <v>2</v>
      </c>
      <c r="K27" s="15">
        <v>1</v>
      </c>
      <c r="L27" s="15"/>
      <c r="M27" s="15"/>
      <c r="N27" s="15"/>
      <c r="O27" s="15">
        <v>15</v>
      </c>
      <c r="P27" s="15"/>
      <c r="Q27" s="11">
        <f t="shared" si="16"/>
        <v>0</v>
      </c>
      <c r="R27" s="15">
        <f t="shared" si="16"/>
        <v>0</v>
      </c>
      <c r="S27" s="27">
        <f t="shared" si="40"/>
        <v>670.59999999999991</v>
      </c>
      <c r="T27" s="12">
        <f t="shared" si="41"/>
        <v>250</v>
      </c>
      <c r="U27" s="27">
        <f t="shared" si="42"/>
        <v>501.072</v>
      </c>
      <c r="V27" s="27">
        <f t="shared" si="8"/>
        <v>1</v>
      </c>
      <c r="W27" s="12">
        <f t="shared" si="9"/>
        <v>2</v>
      </c>
      <c r="X27" s="27">
        <f t="shared" ref="X27:X28" si="43">$U27*W27*(1-$N27)</f>
        <v>1002.144</v>
      </c>
      <c r="Y27" s="27">
        <f t="shared" ref="Y27:Y28" si="44">X27*$K27/(1-$N27)</f>
        <v>1002.144</v>
      </c>
      <c r="Z27" s="27">
        <f t="shared" si="17"/>
        <v>15</v>
      </c>
      <c r="AA27" s="22">
        <f t="shared" si="1"/>
        <v>30</v>
      </c>
      <c r="AB27" s="27">
        <f t="shared" ref="AB27:AB28" si="45">$U27*AA27*(1-$N27)</f>
        <v>15032.16</v>
      </c>
      <c r="AC27" s="22">
        <f t="shared" si="13"/>
        <v>6</v>
      </c>
      <c r="AD27" s="27">
        <f t="shared" ref="AD27:AD28" si="46">AB27*MIN($K27, AC27)/(1-$N27)</f>
        <v>15032.16</v>
      </c>
      <c r="AE27" s="18"/>
      <c r="AF27">
        <f t="shared" si="18"/>
        <v>28</v>
      </c>
      <c r="AG27">
        <f t="shared" si="19"/>
        <v>26</v>
      </c>
      <c r="AH27" t="str">
        <f t="shared" si="20"/>
        <v>Archetto S3</v>
      </c>
      <c r="AI27" s="33">
        <f t="shared" si="21"/>
        <v>1176.6000000000001</v>
      </c>
      <c r="AJ27" s="18"/>
      <c r="AK27">
        <f t="shared" si="22"/>
        <v>30</v>
      </c>
      <c r="AL27">
        <f t="shared" si="23"/>
        <v>26</v>
      </c>
      <c r="AM27" t="str">
        <f t="shared" si="24"/>
        <v>Exusiai S2</v>
      </c>
      <c r="AN27" s="40">
        <f t="shared" si="25"/>
        <v>1525</v>
      </c>
      <c r="AO27" s="10"/>
      <c r="AP27" s="9">
        <f t="shared" si="26"/>
        <v>27</v>
      </c>
      <c r="AQ27" s="10">
        <f t="shared" si="27"/>
        <v>26</v>
      </c>
      <c r="AR27" s="10" t="str">
        <f t="shared" si="28"/>
        <v>Blue Poison S2</v>
      </c>
      <c r="AS27" s="40">
        <f t="shared" si="29"/>
        <v>15450</v>
      </c>
      <c r="AU27" s="9">
        <f t="shared" si="30"/>
        <v>29</v>
      </c>
      <c r="AV27" s="10">
        <f t="shared" si="31"/>
        <v>26</v>
      </c>
      <c r="AW27" s="10" t="str">
        <f t="shared" si="32"/>
        <v>Skadi S3</v>
      </c>
      <c r="AX27" s="40">
        <f t="shared" si="33"/>
        <v>19386.8</v>
      </c>
    </row>
    <row r="28" spans="1:50" x14ac:dyDescent="0.35">
      <c r="A28" s="9">
        <f t="shared" si="15"/>
        <v>250</v>
      </c>
      <c r="B28" s="15" t="s">
        <v>80</v>
      </c>
      <c r="C28" s="34">
        <v>479</v>
      </c>
      <c r="D28" s="15">
        <v>1</v>
      </c>
      <c r="E28" s="11"/>
      <c r="F28" s="15">
        <v>-0.375</v>
      </c>
      <c r="G28" s="16"/>
      <c r="H28" s="15"/>
      <c r="I28" s="13">
        <f>20%*60%</f>
        <v>0.12</v>
      </c>
      <c r="J28" s="15">
        <f>16/(V28*O28)*2 + ((V28*O28)-16)/(V28*O28)*4</f>
        <v>3.333333333333333</v>
      </c>
      <c r="K28" s="15">
        <v>1</v>
      </c>
      <c r="L28" s="15"/>
      <c r="M28" s="15"/>
      <c r="N28" s="15"/>
      <c r="O28" s="15">
        <v>30</v>
      </c>
      <c r="P28" s="15"/>
      <c r="Q28" s="11">
        <f t="shared" si="16"/>
        <v>0</v>
      </c>
      <c r="R28" s="15">
        <f t="shared" si="16"/>
        <v>0</v>
      </c>
      <c r="S28" s="27">
        <f t="shared" ref="S28:S29" si="47">C28*(1+E28+Q28)</f>
        <v>479</v>
      </c>
      <c r="T28" s="12">
        <f t="shared" ref="T28:T29" si="48">MAX(0,(A28-L28)*(1-M28))</f>
        <v>250</v>
      </c>
      <c r="U28" s="27">
        <f t="shared" ref="U28:U29" si="49">MAX(S28*(1+I28)-T28,5%*S28)</f>
        <v>286.48</v>
      </c>
      <c r="V28" s="27">
        <f t="shared" si="8"/>
        <v>1.6</v>
      </c>
      <c r="W28" s="12">
        <f t="shared" si="9"/>
        <v>5.333333333333333</v>
      </c>
      <c r="X28" s="27">
        <f t="shared" si="43"/>
        <v>1527.8933333333334</v>
      </c>
      <c r="Y28" s="27">
        <f t="shared" si="44"/>
        <v>1527.8933333333334</v>
      </c>
      <c r="Z28" s="27">
        <f t="shared" si="17"/>
        <v>15</v>
      </c>
      <c r="AA28" s="22">
        <f t="shared" si="1"/>
        <v>80</v>
      </c>
      <c r="AB28" s="27">
        <f t="shared" si="45"/>
        <v>22918.400000000001</v>
      </c>
      <c r="AC28" s="22">
        <f t="shared" si="13"/>
        <v>6</v>
      </c>
      <c r="AD28" s="27">
        <f t="shared" si="46"/>
        <v>22918.400000000001</v>
      </c>
      <c r="AE28" s="18"/>
      <c r="AF28">
        <f t="shared" si="18"/>
        <v>15</v>
      </c>
      <c r="AG28">
        <f t="shared" si="19"/>
        <v>27</v>
      </c>
      <c r="AH28" t="str">
        <f t="shared" si="20"/>
        <v>Blue Poison S2</v>
      </c>
      <c r="AI28" s="33">
        <f t="shared" si="21"/>
        <v>1030</v>
      </c>
      <c r="AJ28" s="18"/>
      <c r="AK28">
        <f t="shared" si="22"/>
        <v>25</v>
      </c>
      <c r="AL28">
        <f t="shared" si="23"/>
        <v>27</v>
      </c>
      <c r="AM28" t="str">
        <f t="shared" si="24"/>
        <v>Thorns S3</v>
      </c>
      <c r="AN28" s="40">
        <f t="shared" si="25"/>
        <v>1399.6153846153848</v>
      </c>
      <c r="AO28" s="10"/>
      <c r="AP28" s="9">
        <f t="shared" si="26"/>
        <v>11</v>
      </c>
      <c r="AQ28" s="10">
        <f t="shared" si="27"/>
        <v>27</v>
      </c>
      <c r="AR28" s="10" t="str">
        <f t="shared" si="28"/>
        <v>Kroos Alter S1</v>
      </c>
      <c r="AS28" s="40">
        <f t="shared" si="29"/>
        <v>15032.16</v>
      </c>
      <c r="AU28" s="9">
        <f t="shared" si="30"/>
        <v>21</v>
      </c>
      <c r="AV28" s="10">
        <f t="shared" si="31"/>
        <v>27</v>
      </c>
      <c r="AW28" s="10" t="str">
        <f t="shared" si="32"/>
        <v>Schwarz S2</v>
      </c>
      <c r="AX28" s="40">
        <f t="shared" si="33"/>
        <v>19055.25</v>
      </c>
    </row>
    <row r="29" spans="1:50" x14ac:dyDescent="0.35">
      <c r="A29" s="9">
        <f t="shared" si="15"/>
        <v>250</v>
      </c>
      <c r="B29" s="15" t="s">
        <v>82</v>
      </c>
      <c r="C29" s="34">
        <v>494</v>
      </c>
      <c r="D29" s="15">
        <v>1</v>
      </c>
      <c r="E29" s="11">
        <v>0.3</v>
      </c>
      <c r="F29" s="15"/>
      <c r="G29" s="16"/>
      <c r="H29" s="15"/>
      <c r="I29" s="13"/>
      <c r="J29" s="15">
        <v>3</v>
      </c>
      <c r="K29" s="15">
        <v>2</v>
      </c>
      <c r="L29" s="15"/>
      <c r="M29" s="15"/>
      <c r="N29" s="15"/>
      <c r="O29" s="15">
        <v>20</v>
      </c>
      <c r="P29" s="15"/>
      <c r="Q29" s="11">
        <f t="shared" si="16"/>
        <v>0</v>
      </c>
      <c r="R29" s="15">
        <f t="shared" si="16"/>
        <v>0</v>
      </c>
      <c r="S29" s="27">
        <f t="shared" si="47"/>
        <v>642.20000000000005</v>
      </c>
      <c r="T29" s="12">
        <f t="shared" si="48"/>
        <v>250</v>
      </c>
      <c r="U29" s="27">
        <f t="shared" si="49"/>
        <v>392.20000000000005</v>
      </c>
      <c r="V29" s="27">
        <f t="shared" ref="V29:V30" si="50">(1+(H29+R29)/100)/(D29*(1+G29)+F29)</f>
        <v>1</v>
      </c>
      <c r="W29" s="12">
        <f t="shared" ref="W29:W30" si="51">J29*V29</f>
        <v>3</v>
      </c>
      <c r="X29" s="27">
        <f t="shared" ref="X29:X30" si="52">$U29*W29*(1-$N29)</f>
        <v>1176.6000000000001</v>
      </c>
      <c r="Y29" s="27">
        <f t="shared" ref="Y29:Y30" si="53">X29*$K29/(1-$N29)</f>
        <v>2353.2000000000003</v>
      </c>
      <c r="Z29" s="27">
        <f t="shared" si="17"/>
        <v>15</v>
      </c>
      <c r="AA29" s="22">
        <f t="shared" si="1"/>
        <v>45</v>
      </c>
      <c r="AB29" s="27">
        <f t="shared" ref="AB29:AB30" si="54">$U29*AA29*(1-$N29)</f>
        <v>17649.000000000004</v>
      </c>
      <c r="AC29" s="22">
        <f t="shared" si="13"/>
        <v>6</v>
      </c>
      <c r="AD29" s="27">
        <f t="shared" ref="AD29:AD30" si="55">AB29*MIN($K29, AC29)/(1-$N29)</f>
        <v>35298.000000000007</v>
      </c>
      <c r="AE29" s="18"/>
      <c r="AF29">
        <f t="shared" si="18"/>
        <v>26</v>
      </c>
      <c r="AG29">
        <f t="shared" si="19"/>
        <v>28</v>
      </c>
      <c r="AH29" t="str">
        <f t="shared" si="20"/>
        <v>Kroos Alter S1</v>
      </c>
      <c r="AI29" s="33">
        <f t="shared" si="21"/>
        <v>1002.144</v>
      </c>
      <c r="AJ29" s="18"/>
      <c r="AK29">
        <f t="shared" si="22"/>
        <v>14</v>
      </c>
      <c r="AL29">
        <f t="shared" si="23"/>
        <v>28</v>
      </c>
      <c r="AM29" t="str">
        <f t="shared" si="24"/>
        <v>Schwarz S2</v>
      </c>
      <c r="AN29" s="40">
        <f t="shared" si="25"/>
        <v>1323.28125</v>
      </c>
      <c r="AO29" s="10"/>
      <c r="AP29" s="9">
        <f t="shared" si="26"/>
        <v>23</v>
      </c>
      <c r="AQ29" s="10">
        <f t="shared" si="27"/>
        <v>28</v>
      </c>
      <c r="AR29" s="10" t="str">
        <f t="shared" si="28"/>
        <v>Blaze S2</v>
      </c>
      <c r="AS29" s="40">
        <f t="shared" si="29"/>
        <v>13872</v>
      </c>
      <c r="AU29" s="9">
        <f t="shared" si="30"/>
        <v>11</v>
      </c>
      <c r="AV29" s="10">
        <f t="shared" si="31"/>
        <v>28</v>
      </c>
      <c r="AW29" s="10" t="str">
        <f t="shared" si="32"/>
        <v>Tachanka S2</v>
      </c>
      <c r="AX29" s="40">
        <f t="shared" si="33"/>
        <v>17332.75</v>
      </c>
    </row>
    <row r="30" spans="1:50" x14ac:dyDescent="0.35">
      <c r="A30" s="9">
        <f t="shared" si="15"/>
        <v>250</v>
      </c>
      <c r="B30" s="15" t="s">
        <v>83</v>
      </c>
      <c r="C30" s="34">
        <v>489</v>
      </c>
      <c r="D30" s="15">
        <v>1</v>
      </c>
      <c r="E30" s="11">
        <v>0.4</v>
      </c>
      <c r="F30" s="15"/>
      <c r="G30" s="16"/>
      <c r="H30" s="15">
        <v>6</v>
      </c>
      <c r="I30" s="13">
        <f>15%*50%</f>
        <v>7.4999999999999997E-2</v>
      </c>
      <c r="J30" s="15">
        <v>3</v>
      </c>
      <c r="K30" s="15">
        <v>1</v>
      </c>
      <c r="L30" s="15"/>
      <c r="M30" s="15"/>
      <c r="N30" s="15"/>
      <c r="O30" s="15">
        <v>20</v>
      </c>
      <c r="P30" s="15"/>
      <c r="Q30" s="11">
        <f t="shared" si="16"/>
        <v>0</v>
      </c>
      <c r="R30" s="15">
        <f t="shared" si="16"/>
        <v>0</v>
      </c>
      <c r="S30" s="27">
        <f t="shared" ref="S30" si="56">C30*(1+E30+Q30)</f>
        <v>684.59999999999991</v>
      </c>
      <c r="T30" s="12">
        <f t="shared" ref="T30" si="57">MAX(0,(A30-L30)*(1-M30))</f>
        <v>250</v>
      </c>
      <c r="U30" s="27">
        <f t="shared" ref="U30" si="58">MAX(S30*(1+I30)-T30,5%*S30)</f>
        <v>485.94499999999982</v>
      </c>
      <c r="V30" s="27">
        <f t="shared" si="50"/>
        <v>1.06</v>
      </c>
      <c r="W30" s="12">
        <f t="shared" si="51"/>
        <v>3.18</v>
      </c>
      <c r="X30" s="27">
        <f t="shared" si="52"/>
        <v>1545.3050999999996</v>
      </c>
      <c r="Y30" s="27">
        <f t="shared" si="53"/>
        <v>1545.3050999999996</v>
      </c>
      <c r="Z30" s="27">
        <f t="shared" si="17"/>
        <v>15</v>
      </c>
      <c r="AA30" s="22">
        <f t="shared" si="1"/>
        <v>47</v>
      </c>
      <c r="AB30" s="27">
        <f t="shared" si="54"/>
        <v>22839.41499999999</v>
      </c>
      <c r="AC30" s="22">
        <f t="shared" si="13"/>
        <v>6</v>
      </c>
      <c r="AD30" s="27">
        <f t="shared" si="55"/>
        <v>22839.41499999999</v>
      </c>
      <c r="AE30" s="18"/>
      <c r="AF30">
        <f t="shared" si="18"/>
        <v>13</v>
      </c>
      <c r="AG30">
        <f t="shared" si="19"/>
        <v>29</v>
      </c>
      <c r="AH30" t="str">
        <f t="shared" si="20"/>
        <v>Blaze S2</v>
      </c>
      <c r="AI30" s="33">
        <f t="shared" si="21"/>
        <v>963.33333333333337</v>
      </c>
      <c r="AJ30" s="18"/>
      <c r="AK30">
        <f t="shared" si="22"/>
        <v>23</v>
      </c>
      <c r="AL30">
        <f t="shared" si="23"/>
        <v>29</v>
      </c>
      <c r="AM30" t="str">
        <f t="shared" si="24"/>
        <v>Skadi S3</v>
      </c>
      <c r="AN30" s="40">
        <f t="shared" si="25"/>
        <v>1292.4533333333331</v>
      </c>
      <c r="AO30" s="10"/>
      <c r="AP30" s="9">
        <f t="shared" si="26"/>
        <v>14</v>
      </c>
      <c r="AQ30" s="10">
        <f t="shared" si="27"/>
        <v>29</v>
      </c>
      <c r="AR30" s="10" t="str">
        <f t="shared" si="28"/>
        <v>Blitz S2</v>
      </c>
      <c r="AS30" s="40">
        <f t="shared" si="29"/>
        <v>13673.949999999999</v>
      </c>
      <c r="AU30" s="9">
        <f t="shared" si="30"/>
        <v>24</v>
      </c>
      <c r="AV30" s="10">
        <f t="shared" si="31"/>
        <v>29</v>
      </c>
      <c r="AW30" s="10" t="str">
        <f t="shared" si="32"/>
        <v>Kroos Alter S1</v>
      </c>
      <c r="AX30" s="40">
        <f t="shared" si="33"/>
        <v>15032.16</v>
      </c>
    </row>
    <row r="31" spans="1:50" x14ac:dyDescent="0.35">
      <c r="A31" s="9">
        <f t="shared" si="15"/>
        <v>250</v>
      </c>
      <c r="B31" s="15" t="s">
        <v>86</v>
      </c>
      <c r="C31" s="34">
        <v>510</v>
      </c>
      <c r="D31" s="15">
        <v>1</v>
      </c>
      <c r="E31" s="11">
        <v>0.5</v>
      </c>
      <c r="F31" s="15"/>
      <c r="G31" s="16"/>
      <c r="H31" s="15"/>
      <c r="I31" s="13"/>
      <c r="J31" s="15">
        <v>2</v>
      </c>
      <c r="K31" s="15">
        <v>2</v>
      </c>
      <c r="L31" s="15"/>
      <c r="M31" s="15"/>
      <c r="N31" s="15"/>
      <c r="O31" s="15">
        <v>30</v>
      </c>
      <c r="P31" s="15"/>
      <c r="Q31" s="11">
        <f t="shared" si="16"/>
        <v>0</v>
      </c>
      <c r="R31" s="15">
        <f t="shared" si="16"/>
        <v>0</v>
      </c>
      <c r="S31" s="27">
        <f t="shared" ref="S31" si="59">C31*(1+E31+Q31)</f>
        <v>765</v>
      </c>
      <c r="T31" s="12">
        <f t="shared" ref="T31" si="60">MAX(0,(A31-L31)*(1-M31))</f>
        <v>250</v>
      </c>
      <c r="U31" s="27">
        <f t="shared" ref="U31" si="61">MAX(S31*(1+I31)-T31,5%*S31)</f>
        <v>515</v>
      </c>
      <c r="V31" s="27">
        <f t="shared" ref="V31" si="62">(1+(H31+R31)/100)/(D31*(1+G31)+F31)</f>
        <v>1</v>
      </c>
      <c r="W31" s="12">
        <f t="shared" ref="W31" si="63">J31*V31</f>
        <v>2</v>
      </c>
      <c r="X31" s="27">
        <f t="shared" ref="X31" si="64">$U31*W31*(1-$N31)</f>
        <v>1030</v>
      </c>
      <c r="Y31" s="27">
        <f t="shared" ref="Y31" si="65">X31*$K31/(1-$N31)</f>
        <v>2060</v>
      </c>
      <c r="Z31" s="27">
        <f t="shared" si="17"/>
        <v>15</v>
      </c>
      <c r="AA31" s="22">
        <f t="shared" si="1"/>
        <v>30</v>
      </c>
      <c r="AB31" s="27">
        <f t="shared" ref="AB31" si="66">$U31*AA31*(1-$N31)</f>
        <v>15450</v>
      </c>
      <c r="AC31" s="22">
        <f t="shared" si="13"/>
        <v>6</v>
      </c>
      <c r="AD31" s="27">
        <f t="shared" ref="AD31" si="67">AB31*MIN($K31, AC31)/(1-$N31)</f>
        <v>30900</v>
      </c>
      <c r="AE31" s="18"/>
      <c r="AF31">
        <f t="shared" si="18"/>
        <v>27</v>
      </c>
      <c r="AG31">
        <f t="shared" si="19"/>
        <v>30</v>
      </c>
      <c r="AH31" t="str">
        <f t="shared" si="20"/>
        <v>Siege S3</v>
      </c>
      <c r="AI31" s="33">
        <f t="shared" si="21"/>
        <v>775.21951219512198</v>
      </c>
      <c r="AJ31" s="18"/>
      <c r="AK31">
        <f t="shared" si="22"/>
        <v>17</v>
      </c>
      <c r="AL31">
        <f t="shared" si="23"/>
        <v>30</v>
      </c>
      <c r="AM31" t="str">
        <f t="shared" si="24"/>
        <v>Kroos Alter S1</v>
      </c>
      <c r="AN31" s="40">
        <f t="shared" si="25"/>
        <v>1002.144</v>
      </c>
      <c r="AO31" s="10"/>
      <c r="AP31" s="9">
        <f t="shared" si="26"/>
        <v>26</v>
      </c>
      <c r="AQ31" s="10">
        <f t="shared" si="27"/>
        <v>30</v>
      </c>
      <c r="AR31" s="10" t="str">
        <f t="shared" si="28"/>
        <v>Siege S3</v>
      </c>
      <c r="AS31" s="40">
        <f t="shared" si="29"/>
        <v>11124.399999999998</v>
      </c>
      <c r="AU31" s="9">
        <f t="shared" si="30"/>
        <v>15</v>
      </c>
      <c r="AV31" s="10">
        <f t="shared" si="31"/>
        <v>30</v>
      </c>
      <c r="AW31" s="10" t="str">
        <f t="shared" si="32"/>
        <v>Blitz S2</v>
      </c>
      <c r="AX31" s="40">
        <f t="shared" si="33"/>
        <v>13673.949999999999</v>
      </c>
    </row>
    <row r="32" spans="1:50" s="5" customFormat="1" x14ac:dyDescent="0.35">
      <c r="A32" s="20">
        <f t="shared" si="15"/>
        <v>250</v>
      </c>
      <c r="B32" s="14" t="s">
        <v>32</v>
      </c>
      <c r="C32" s="35">
        <v>2021</v>
      </c>
      <c r="D32" s="14">
        <v>2.7</v>
      </c>
      <c r="E32" s="6">
        <v>2.4</v>
      </c>
      <c r="I32" s="6"/>
      <c r="J32" s="14">
        <v>1</v>
      </c>
      <c r="K32" s="14">
        <v>1</v>
      </c>
      <c r="L32" s="14"/>
      <c r="M32" s="14"/>
      <c r="N32" s="19">
        <v>0.5</v>
      </c>
      <c r="O32" s="14">
        <v>30</v>
      </c>
      <c r="P32" s="19"/>
      <c r="Q32" s="6">
        <f t="shared" si="16"/>
        <v>0</v>
      </c>
      <c r="R32" s="14">
        <f t="shared" si="16"/>
        <v>0</v>
      </c>
      <c r="S32" s="28">
        <f t="shared" si="0"/>
        <v>6871.4</v>
      </c>
      <c r="T32" s="7">
        <f t="shared" si="6"/>
        <v>250</v>
      </c>
      <c r="U32" s="28">
        <f t="shared" si="7"/>
        <v>6621.4</v>
      </c>
      <c r="V32" s="27">
        <f t="shared" si="8"/>
        <v>0.37037037037037035</v>
      </c>
      <c r="W32" s="12">
        <f t="shared" si="9"/>
        <v>0.37037037037037035</v>
      </c>
      <c r="X32" s="28">
        <f t="shared" si="10"/>
        <v>1226.185185185185</v>
      </c>
      <c r="Y32" s="28">
        <f t="shared" si="11"/>
        <v>2452.37037037037</v>
      </c>
      <c r="Z32" s="42">
        <f t="shared" si="17"/>
        <v>15</v>
      </c>
      <c r="AA32" s="23">
        <f t="shared" si="1"/>
        <v>5</v>
      </c>
      <c r="AB32" s="28">
        <f t="shared" si="12"/>
        <v>16553.5</v>
      </c>
      <c r="AC32" s="23">
        <f t="shared" si="13"/>
        <v>6</v>
      </c>
      <c r="AD32" s="29">
        <f t="shared" si="14"/>
        <v>33107</v>
      </c>
      <c r="AE32" s="18"/>
      <c r="AF32">
        <f t="shared" si="18"/>
        <v>25</v>
      </c>
      <c r="AG32">
        <f t="shared" si="19"/>
        <v>31</v>
      </c>
      <c r="AH32" t="str">
        <f t="shared" si="20"/>
        <v>Executor S1</v>
      </c>
      <c r="AI32" s="33">
        <f t="shared" si="21"/>
        <v>726.97826086956536</v>
      </c>
      <c r="AJ32" s="18"/>
      <c r="AK32">
        <f t="shared" si="22"/>
        <v>13</v>
      </c>
      <c r="AL32">
        <f t="shared" si="23"/>
        <v>31</v>
      </c>
      <c r="AM32" t="str">
        <f t="shared" si="24"/>
        <v>Siege S3</v>
      </c>
      <c r="AN32" s="40">
        <f t="shared" si="25"/>
        <v>775.21951219512198</v>
      </c>
      <c r="AO32" s="10"/>
      <c r="AP32" s="9">
        <f t="shared" si="26"/>
        <v>25</v>
      </c>
      <c r="AQ32" s="10">
        <f t="shared" si="27"/>
        <v>31</v>
      </c>
      <c r="AR32" s="10" t="str">
        <f t="shared" si="28"/>
        <v>Executor S1</v>
      </c>
      <c r="AS32" s="40">
        <f t="shared" si="29"/>
        <v>10032.300000000001</v>
      </c>
      <c r="AT32"/>
      <c r="AU32" s="9">
        <f t="shared" si="30"/>
        <v>13</v>
      </c>
      <c r="AV32" s="10">
        <f t="shared" si="31"/>
        <v>31</v>
      </c>
      <c r="AW32" s="10" t="str">
        <f t="shared" si="32"/>
        <v>Siege S3</v>
      </c>
      <c r="AX32" s="40">
        <f t="shared" si="33"/>
        <v>11124.399999999998</v>
      </c>
    </row>
    <row r="33" spans="31:36" x14ac:dyDescent="0.35">
      <c r="AE33" s="10"/>
      <c r="AJ33" s="10"/>
    </row>
    <row r="34" spans="31:36" x14ac:dyDescent="0.35">
      <c r="AJ34" s="10"/>
    </row>
    <row r="35" spans="31:36" x14ac:dyDescent="0.35">
      <c r="AJ35" s="10"/>
    </row>
    <row r="36" spans="31:36" x14ac:dyDescent="0.35">
      <c r="AJ36" s="10"/>
    </row>
    <row r="37" spans="31:36" x14ac:dyDescent="0.35">
      <c r="AJ37" s="1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DBCAC-9550-4A96-8BB4-C55609419528}">
  <dimension ref="A1:AW17"/>
  <sheetViews>
    <sheetView zoomScale="115" zoomScaleNormal="115" workbookViewId="0">
      <selection activeCell="A3" sqref="A3"/>
    </sheetView>
  </sheetViews>
  <sheetFormatPr defaultRowHeight="14.5" x14ac:dyDescent="0.35"/>
  <cols>
    <col min="1" max="1" width="4.36328125" customWidth="1"/>
    <col min="2" max="2" width="15.90625" customWidth="1"/>
    <col min="4" max="4" width="7.7265625" customWidth="1"/>
    <col min="5" max="5" width="8" customWidth="1"/>
    <col min="6" max="6" width="8.6328125" customWidth="1"/>
    <col min="7" max="7" width="9.26953125" customWidth="1"/>
    <col min="8" max="8" width="6.36328125" customWidth="1"/>
    <col min="9" max="9" width="12.81640625" customWidth="1"/>
    <col min="10" max="10" width="3.36328125" customWidth="1"/>
    <col min="11" max="13" width="6.453125" customWidth="1"/>
    <col min="14" max="15" width="7.36328125" customWidth="1"/>
    <col min="16" max="16" width="6.7265625" customWidth="1"/>
    <col min="17" max="17" width="6.36328125" customWidth="1"/>
    <col min="18" max="18" width="7.26953125" customWidth="1"/>
    <col min="19" max="19" width="9.08984375" style="30" customWidth="1"/>
    <col min="20" max="20" width="7.90625" style="1" customWidth="1"/>
    <col min="21" max="21" width="10.90625" style="30" customWidth="1"/>
    <col min="22" max="22" width="11.6328125" style="1" customWidth="1"/>
    <col min="23" max="23" width="8.81640625" style="30"/>
    <col min="24" max="25" width="14.08984375" style="30" customWidth="1"/>
    <col min="26" max="26" width="7" style="24" customWidth="1"/>
    <col min="27" max="27" width="10.1796875" style="30" customWidth="1"/>
    <col min="28" max="28" width="10.1796875" style="24" customWidth="1"/>
    <col min="29" max="29" width="15.7265625" style="30" customWidth="1"/>
    <col min="31" max="31" width="12.7265625" customWidth="1"/>
    <col min="32" max="32" width="11" customWidth="1"/>
    <col min="33" max="33" width="12.26953125" customWidth="1"/>
    <col min="34" max="34" width="10.7265625" style="36" customWidth="1"/>
    <col min="36" max="36" width="18.7265625" customWidth="1"/>
    <col min="37" max="37" width="10.81640625" customWidth="1"/>
    <col min="38" max="38" width="11.90625" customWidth="1"/>
    <col min="39" max="39" width="11.7265625" style="36" customWidth="1"/>
    <col min="41" max="41" width="15.08984375" customWidth="1"/>
    <col min="42" max="42" width="11.6328125" customWidth="1"/>
    <col min="43" max="43" width="12.81640625" customWidth="1"/>
    <col min="44" max="44" width="10.81640625" style="36" customWidth="1"/>
    <col min="46" max="46" width="15.81640625" customWidth="1"/>
    <col min="48" max="48" width="14.08984375" customWidth="1"/>
    <col min="49" max="49" width="11.453125" customWidth="1"/>
  </cols>
  <sheetData>
    <row r="1" spans="1:49" s="5" customFormat="1" x14ac:dyDescent="0.35">
      <c r="A1" s="8" t="s">
        <v>42</v>
      </c>
      <c r="B1" s="2" t="s">
        <v>12</v>
      </c>
      <c r="C1" s="2" t="s">
        <v>1</v>
      </c>
      <c r="D1" s="2" t="s">
        <v>6</v>
      </c>
      <c r="E1" s="3" t="s">
        <v>3</v>
      </c>
      <c r="F1" s="3" t="s">
        <v>5</v>
      </c>
      <c r="G1" s="3" t="s">
        <v>55</v>
      </c>
      <c r="H1" s="3" t="s">
        <v>7</v>
      </c>
      <c r="I1" s="2" t="s">
        <v>9</v>
      </c>
      <c r="J1" s="2" t="s">
        <v>2</v>
      </c>
      <c r="K1" s="2" t="s">
        <v>28</v>
      </c>
      <c r="L1" s="3" t="s">
        <v>53</v>
      </c>
      <c r="M1" s="3" t="s">
        <v>54</v>
      </c>
      <c r="N1" s="2" t="s">
        <v>24</v>
      </c>
      <c r="O1" s="2" t="s">
        <v>61</v>
      </c>
      <c r="P1" s="2" t="s">
        <v>62</v>
      </c>
      <c r="Q1" s="3" t="s">
        <v>13</v>
      </c>
      <c r="R1" s="3" t="s">
        <v>14</v>
      </c>
      <c r="S1" s="31" t="s">
        <v>8</v>
      </c>
      <c r="T1" s="4" t="s">
        <v>42</v>
      </c>
      <c r="U1" s="31" t="s">
        <v>11</v>
      </c>
      <c r="V1" s="4" t="s">
        <v>10</v>
      </c>
      <c r="W1" s="31" t="s">
        <v>4</v>
      </c>
      <c r="X1" s="25" t="s">
        <v>29</v>
      </c>
      <c r="Y1" s="25" t="s">
        <v>66</v>
      </c>
      <c r="Z1" s="21" t="s">
        <v>68</v>
      </c>
      <c r="AA1" s="25" t="s">
        <v>67</v>
      </c>
      <c r="AB1" s="21" t="s">
        <v>78</v>
      </c>
      <c r="AC1" s="26" t="s">
        <v>75</v>
      </c>
      <c r="AD1" s="18"/>
      <c r="AE1" s="17" t="s">
        <v>33</v>
      </c>
      <c r="AF1" s="17" t="s">
        <v>37</v>
      </c>
      <c r="AG1" s="17" t="s">
        <v>34</v>
      </c>
      <c r="AH1" s="35" t="s">
        <v>35</v>
      </c>
      <c r="AI1" s="18"/>
      <c r="AJ1" s="17" t="s">
        <v>36</v>
      </c>
      <c r="AK1" s="17" t="s">
        <v>37</v>
      </c>
      <c r="AL1" s="17" t="s">
        <v>34</v>
      </c>
      <c r="AM1" s="41" t="s">
        <v>35</v>
      </c>
      <c r="AN1" s="10"/>
      <c r="AO1" s="37" t="s">
        <v>76</v>
      </c>
      <c r="AP1" s="38" t="s">
        <v>37</v>
      </c>
      <c r="AQ1" s="38" t="s">
        <v>34</v>
      </c>
      <c r="AR1" s="39" t="s">
        <v>63</v>
      </c>
      <c r="AT1" s="37" t="s">
        <v>77</v>
      </c>
      <c r="AU1" s="38" t="s">
        <v>37</v>
      </c>
      <c r="AV1" s="38" t="s">
        <v>34</v>
      </c>
      <c r="AW1" s="39" t="s">
        <v>63</v>
      </c>
    </row>
    <row r="2" spans="1:49" x14ac:dyDescent="0.35">
      <c r="A2" s="9">
        <v>20</v>
      </c>
      <c r="B2" s="10" t="s">
        <v>47</v>
      </c>
      <c r="C2" s="10">
        <v>608</v>
      </c>
      <c r="D2" s="10">
        <v>1.6</v>
      </c>
      <c r="E2" s="11">
        <f>130%+14%</f>
        <v>1.44</v>
      </c>
      <c r="F2" s="15">
        <v>-1.1000000000000001</v>
      </c>
      <c r="G2" s="15"/>
      <c r="H2" s="10"/>
      <c r="I2" s="11"/>
      <c r="J2" s="10">
        <v>1</v>
      </c>
      <c r="K2" s="15">
        <v>6</v>
      </c>
      <c r="L2" s="15"/>
      <c r="M2" s="15"/>
      <c r="N2" s="10"/>
      <c r="O2" s="10">
        <v>15</v>
      </c>
      <c r="P2" s="10"/>
      <c r="Q2" s="11">
        <v>0.5</v>
      </c>
      <c r="R2" s="15">
        <v>50</v>
      </c>
      <c r="S2" s="27">
        <f t="shared" ref="S2:S12" si="0">C2*(1+E2+Q2)</f>
        <v>1787.52</v>
      </c>
      <c r="T2" s="12">
        <f t="shared" ref="T2:T12" si="1">MAX(0,(A2-L2)*(1-M2))</f>
        <v>20</v>
      </c>
      <c r="U2" s="27">
        <f>MAX(S2*(1+I2)*(1-T2/100),5%*S2)</f>
        <v>1430.0160000000001</v>
      </c>
      <c r="V2" s="12">
        <f>J2*(1+(H2+R2)/100)/(D2*(1+G2)+F2)</f>
        <v>3</v>
      </c>
      <c r="W2" s="27">
        <f>$U2*V2*(1-$N2)</f>
        <v>4290.0480000000007</v>
      </c>
      <c r="X2" s="27">
        <f>W2*$K2/(1-$N2)</f>
        <v>25740.288000000004</v>
      </c>
      <c r="Y2" s="27">
        <v>15</v>
      </c>
      <c r="Z2" s="22">
        <f>IF(NOT(OR(ISBLANK($O2),$O2="")),ROUNDDOWN($V2*MIN($O2,Y2),0),ROUNDDOWN(MIN($V2*Y2,$P2/$J2),0))</f>
        <v>45</v>
      </c>
      <c r="AA2" s="27">
        <f t="shared" ref="AA2:AA12" si="2">Z2*$U2*(1-N2)</f>
        <v>64350.720000000001</v>
      </c>
      <c r="AB2" s="22">
        <v>6</v>
      </c>
      <c r="AC2" s="27">
        <f>AA2*MIN($K2,AB2)/(1-$N2)</f>
        <v>386104.32000000001</v>
      </c>
      <c r="AD2" s="18"/>
      <c r="AE2">
        <f>RANK(W2, W$2:W$12, 0)</f>
        <v>1</v>
      </c>
      <c r="AF2">
        <v>1</v>
      </c>
      <c r="AG2" t="str">
        <f>INDEX(B$2:B$12,MATCH(AF2,AE$2:AE$12,0))</f>
        <v>Eyja S3</v>
      </c>
      <c r="AH2" s="33">
        <f>INDEX(W$2:W$12,MATCH(AF2,AE$2:AE$12,0))</f>
        <v>4290.0480000000007</v>
      </c>
      <c r="AI2" s="18"/>
      <c r="AJ2">
        <f>RANK(X2, X$2:X$12, 0)</f>
        <v>1</v>
      </c>
      <c r="AK2">
        <v>1</v>
      </c>
      <c r="AL2" t="str">
        <f>INDEX(B$2:B$12,MATCH(AK2,AJ$2:AJ$12,0))</f>
        <v>Eyja S3</v>
      </c>
      <c r="AM2" s="40">
        <f>INDEX(X$2:X$12,MATCH(AK2,AJ$2:AJ$12,0))</f>
        <v>25740.288000000004</v>
      </c>
      <c r="AN2" s="10"/>
      <c r="AO2" s="9">
        <f>RANK(AA2, AA$2:AA$12, 0)</f>
        <v>1</v>
      </c>
      <c r="AP2" s="10">
        <v>1</v>
      </c>
      <c r="AQ2" s="10" t="str">
        <f>INDEX($B$2:$B$12,MATCH(AP2,AO$2:AO$12,0))</f>
        <v>Eyja S3</v>
      </c>
      <c r="AR2" s="40">
        <f>INDEX(AA$2:AA$12,MATCH(AP2,AO$2:AO$12,0))</f>
        <v>64350.720000000001</v>
      </c>
      <c r="AT2" s="9">
        <f>RANK(AC2, AC$2:AC$12, 0)</f>
        <v>1</v>
      </c>
      <c r="AU2" s="10">
        <v>1</v>
      </c>
      <c r="AV2" s="10" t="str">
        <f>INDEX($B$2:$B$12,MATCH(AU2,AT$2:AT$12,0))</f>
        <v>Eyja S3</v>
      </c>
      <c r="AW2" s="40">
        <f>INDEX(AC$2:AC$12,MATCH(AU2,AT$2:AT$12,0))</f>
        <v>386104.32000000001</v>
      </c>
    </row>
    <row r="3" spans="1:49" x14ac:dyDescent="0.35">
      <c r="A3" s="9">
        <f>A$2</f>
        <v>20</v>
      </c>
      <c r="B3" s="10" t="s">
        <v>48</v>
      </c>
      <c r="C3" s="10">
        <v>820</v>
      </c>
      <c r="D3" s="10">
        <v>2.9</v>
      </c>
      <c r="E3" s="11"/>
      <c r="F3" s="10">
        <f>1-D3</f>
        <v>-1.9</v>
      </c>
      <c r="G3" s="10"/>
      <c r="H3" s="10"/>
      <c r="I3" s="13">
        <v>0.4</v>
      </c>
      <c r="J3" s="10">
        <v>1</v>
      </c>
      <c r="K3" s="15">
        <v>6</v>
      </c>
      <c r="L3" s="15">
        <v>20</v>
      </c>
      <c r="M3" s="16">
        <v>0.4</v>
      </c>
      <c r="N3" s="10"/>
      <c r="O3" s="15">
        <v>20</v>
      </c>
      <c r="P3" s="15"/>
      <c r="Q3" s="11">
        <f>Q$2</f>
        <v>0.5</v>
      </c>
      <c r="R3" s="15">
        <f>R$2</f>
        <v>50</v>
      </c>
      <c r="S3" s="27">
        <f t="shared" si="0"/>
        <v>1230</v>
      </c>
      <c r="T3" s="12">
        <f t="shared" si="1"/>
        <v>0</v>
      </c>
      <c r="U3" s="27">
        <f t="shared" ref="U3:U12" si="3">MAX(S3*(1+I3)*(1-T3/100),5%*S3)</f>
        <v>1722</v>
      </c>
      <c r="V3" s="12">
        <f t="shared" ref="V3:V12" si="4">J3*(1+(H3+R3)/100)/(D3*(1+G3)+F3)</f>
        <v>1.5</v>
      </c>
      <c r="W3" s="27">
        <f t="shared" ref="W3:W12" si="5">$U3*V3*(1-$N3)</f>
        <v>2583</v>
      </c>
      <c r="X3" s="27">
        <f t="shared" ref="X3:X12" si="6">W3*$K3/(1-$N3)</f>
        <v>15498</v>
      </c>
      <c r="Y3" s="27">
        <f>Y$2</f>
        <v>15</v>
      </c>
      <c r="Z3" s="22">
        <f t="shared" ref="Z3:Z12" si="7">IF(NOT(OR(ISBLANK($O3),$O3="")),ROUNDDOWN($V3*MIN($O3,Y3),0),ROUNDDOWN(MIN($V3*Y3,$P3/$J3),0))</f>
        <v>22</v>
      </c>
      <c r="AA3" s="27">
        <f t="shared" si="2"/>
        <v>37884</v>
      </c>
      <c r="AB3" s="22">
        <f t="shared" ref="AB3:AB12" si="8">AB$2</f>
        <v>6</v>
      </c>
      <c r="AC3" s="27">
        <f t="shared" ref="AC3:AC12" si="9">AA3*MIN($K3,AB3)/(1-$N3)</f>
        <v>227304</v>
      </c>
      <c r="AD3" s="18"/>
      <c r="AE3">
        <f>RANK(W3, W$2:W$12, 0)</f>
        <v>5</v>
      </c>
      <c r="AF3">
        <f>AF2+1</f>
        <v>2</v>
      </c>
      <c r="AG3" t="str">
        <f>INDEX(B$2:B$12,MATCH(AF3,AE$2:AE$12,0))</f>
        <v>Surtr S3</v>
      </c>
      <c r="AH3" s="33">
        <f>INDEX(W$2:W$12,MATCH(AF3,AE$2:AE$12,0))</f>
        <v>3623.0399999999995</v>
      </c>
      <c r="AI3" s="18"/>
      <c r="AJ3">
        <f>RANK(X3, X$2:X$12, 0)</f>
        <v>2</v>
      </c>
      <c r="AK3">
        <f>AK2+1</f>
        <v>2</v>
      </c>
      <c r="AL3" t="str">
        <f>INDEX(B$2:B$12,MATCH(AK3,AJ$2:AJ$12,0))</f>
        <v>Ifrit S3</v>
      </c>
      <c r="AM3" s="40">
        <f>INDEX(X$2:X$12,MATCH(AK3,AJ$2:AJ$12,0))</f>
        <v>15498</v>
      </c>
      <c r="AN3" s="10"/>
      <c r="AO3" s="9">
        <f>RANK(AA3, AA$2:AA$12, 0)</f>
        <v>6</v>
      </c>
      <c r="AP3" s="10">
        <f>AP2+1</f>
        <v>2</v>
      </c>
      <c r="AQ3" s="10" t="str">
        <f>INDEX($B$2:$B$12,MATCH(AP3,AO$2:AO$12,0))</f>
        <v>Surtr S3</v>
      </c>
      <c r="AR3" s="40">
        <f>INDEX(AA$2:AA$12,MATCH(AP3,AO$2:AO$12,0))</f>
        <v>54345.599999999999</v>
      </c>
      <c r="AT3" s="9">
        <f>RANK(AC3, AC$2:AC$12, 0)</f>
        <v>2</v>
      </c>
      <c r="AU3" s="10">
        <f>AU2+1</f>
        <v>2</v>
      </c>
      <c r="AV3" s="10" t="str">
        <f>INDEX($B$2:$B$12,MATCH(AU3,AT$2:AT$12,0))</f>
        <v>Ifrit S3</v>
      </c>
      <c r="AW3" s="40">
        <f>INDEX(AC$2:AC$12,MATCH(AU3,AT$2:AT$12,0))</f>
        <v>227304</v>
      </c>
    </row>
    <row r="4" spans="1:49" x14ac:dyDescent="0.35">
      <c r="A4" s="9">
        <f t="shared" ref="A4:A12" si="10">A$2</f>
        <v>20</v>
      </c>
      <c r="B4" s="10" t="s">
        <v>49</v>
      </c>
      <c r="C4" s="10">
        <v>511</v>
      </c>
      <c r="D4" s="10">
        <v>1.9</v>
      </c>
      <c r="E4" s="11">
        <v>1.5</v>
      </c>
      <c r="F4" s="10"/>
      <c r="G4" s="10"/>
      <c r="H4" s="10"/>
      <c r="I4" s="13"/>
      <c r="J4" s="10">
        <v>1</v>
      </c>
      <c r="K4" s="15">
        <v>5</v>
      </c>
      <c r="L4" s="15"/>
      <c r="M4" s="15"/>
      <c r="N4" s="10"/>
      <c r="O4" s="10">
        <v>25</v>
      </c>
      <c r="P4" s="10"/>
      <c r="Q4" s="11">
        <f t="shared" ref="Q4:R12" si="11">Q$2</f>
        <v>0.5</v>
      </c>
      <c r="R4" s="15">
        <f t="shared" si="11"/>
        <v>50</v>
      </c>
      <c r="S4" s="27">
        <f t="shared" si="0"/>
        <v>1533</v>
      </c>
      <c r="T4" s="12">
        <f t="shared" si="1"/>
        <v>20</v>
      </c>
      <c r="U4" s="27">
        <f t="shared" si="3"/>
        <v>1226.4000000000001</v>
      </c>
      <c r="V4" s="12">
        <f t="shared" si="4"/>
        <v>0.78947368421052633</v>
      </c>
      <c r="W4" s="27">
        <f t="shared" si="5"/>
        <v>968.21052631578959</v>
      </c>
      <c r="X4" s="27">
        <f t="shared" si="6"/>
        <v>4841.0526315789484</v>
      </c>
      <c r="Y4" s="27">
        <f t="shared" ref="Y4:Y12" si="12">Y$2</f>
        <v>15</v>
      </c>
      <c r="Z4" s="22">
        <f t="shared" si="7"/>
        <v>11</v>
      </c>
      <c r="AA4" s="27">
        <f t="shared" si="2"/>
        <v>13490.400000000001</v>
      </c>
      <c r="AB4" s="22">
        <f t="shared" si="8"/>
        <v>6</v>
      </c>
      <c r="AC4" s="27">
        <f t="shared" si="9"/>
        <v>67452</v>
      </c>
      <c r="AD4" s="18"/>
      <c r="AE4">
        <f t="shared" ref="AE4:AE12" si="13">RANK(W4, W$2:W$12, 0)</f>
        <v>11</v>
      </c>
      <c r="AF4">
        <f t="shared" ref="AF4:AF12" si="14">AF3+1</f>
        <v>3</v>
      </c>
      <c r="AG4" t="str">
        <f t="shared" ref="AG4:AG12" si="15">INDEX(B$2:B$12,MATCH(AF4,AE$2:AE$12,0))</f>
        <v>Surtr S2 Single</v>
      </c>
      <c r="AH4" s="33">
        <f t="shared" ref="AH4:AH12" si="16">INDEX(W$2:W$12,MATCH(AF4,AE$2:AE$12,0))</f>
        <v>3260.7360000000008</v>
      </c>
      <c r="AI4" s="18"/>
      <c r="AJ4">
        <f t="shared" ref="AJ4:AJ12" si="17">RANK(X4, X$2:X$12, 0)</f>
        <v>5</v>
      </c>
      <c r="AK4">
        <f t="shared" ref="AK4:AK12" si="18">AK3+1</f>
        <v>3</v>
      </c>
      <c r="AL4" t="str">
        <f t="shared" ref="AL4:AL12" si="19">INDEX(B$2:B$12,MATCH(AK4,AJ$2:AJ$12,0))</f>
        <v>Surtr S3</v>
      </c>
      <c r="AM4" s="40">
        <f t="shared" ref="AM4:AM12" si="20">INDEX(X$2:X$12,MATCH(AK4,AJ$2:AJ$12,0))</f>
        <v>14492.159999999998</v>
      </c>
      <c r="AN4" s="10"/>
      <c r="AO4" s="9">
        <f t="shared" ref="AO4:AO12" si="21">RANK(AA4, AA$2:AA$12, 0)</f>
        <v>11</v>
      </c>
      <c r="AP4" s="10">
        <f t="shared" ref="AP4:AP12" si="22">AP3+1</f>
        <v>3</v>
      </c>
      <c r="AQ4" s="10" t="str">
        <f t="shared" ref="AQ4:AQ12" si="23">INDEX($B$2:$B$12,MATCH(AP4,AO$2:AO$12,0))</f>
        <v>Surtr S2 Single</v>
      </c>
      <c r="AR4" s="40">
        <f t="shared" ref="AR4:AR12" si="24">INDEX(AA$2:AA$12,MATCH(AP4,AO$2:AO$12,0))</f>
        <v>48911.040000000008</v>
      </c>
      <c r="AT4" s="9">
        <f t="shared" ref="AT4:AT12" si="25">RANK(AC4, AC$2:AC$12, 0)</f>
        <v>5</v>
      </c>
      <c r="AU4" s="10">
        <f t="shared" ref="AU4:AU12" si="26">AU3+1</f>
        <v>3</v>
      </c>
      <c r="AV4" s="10" t="str">
        <f t="shared" ref="AV4:AV12" si="27">INDEX($B$2:$B$12,MATCH(AU4,AT$2:AT$12,0))</f>
        <v>Surtr S3</v>
      </c>
      <c r="AW4" s="40">
        <f t="shared" ref="AW4:AW12" si="28">INDEX(AC$2:AC$12,MATCH(AU4,AT$2:AT$12,0))</f>
        <v>217382.39999999999</v>
      </c>
    </row>
    <row r="5" spans="1:49" x14ac:dyDescent="0.35">
      <c r="A5" s="9">
        <f t="shared" si="10"/>
        <v>20</v>
      </c>
      <c r="B5" s="10" t="s">
        <v>50</v>
      </c>
      <c r="C5" s="10">
        <v>629</v>
      </c>
      <c r="D5" s="10">
        <v>1.25</v>
      </c>
      <c r="E5" s="11">
        <v>3.3</v>
      </c>
      <c r="F5" s="10"/>
      <c r="G5" s="10"/>
      <c r="H5" s="10"/>
      <c r="I5" s="11"/>
      <c r="J5" s="10">
        <v>1</v>
      </c>
      <c r="K5" s="10">
        <v>4</v>
      </c>
      <c r="L5" s="15">
        <v>20</v>
      </c>
      <c r="M5" s="10"/>
      <c r="N5" s="10"/>
      <c r="O5" s="15">
        <v>60</v>
      </c>
      <c r="P5" s="15"/>
      <c r="Q5" s="11">
        <f t="shared" si="11"/>
        <v>0.5</v>
      </c>
      <c r="R5" s="15">
        <f t="shared" si="11"/>
        <v>50</v>
      </c>
      <c r="S5" s="27">
        <f t="shared" si="0"/>
        <v>3019.2</v>
      </c>
      <c r="T5" s="12">
        <f t="shared" si="1"/>
        <v>0</v>
      </c>
      <c r="U5" s="27">
        <f t="shared" si="3"/>
        <v>3019.2</v>
      </c>
      <c r="V5" s="12">
        <f t="shared" si="4"/>
        <v>1.2</v>
      </c>
      <c r="W5" s="27">
        <f t="shared" si="5"/>
        <v>3623.0399999999995</v>
      </c>
      <c r="X5" s="27">
        <f t="shared" si="6"/>
        <v>14492.159999999998</v>
      </c>
      <c r="Y5" s="27">
        <f t="shared" si="12"/>
        <v>15</v>
      </c>
      <c r="Z5" s="22">
        <f t="shared" si="7"/>
        <v>18</v>
      </c>
      <c r="AA5" s="27">
        <f t="shared" si="2"/>
        <v>54345.599999999999</v>
      </c>
      <c r="AB5" s="22">
        <f t="shared" si="8"/>
        <v>6</v>
      </c>
      <c r="AC5" s="27">
        <f t="shared" si="9"/>
        <v>217382.39999999999</v>
      </c>
      <c r="AD5" s="18"/>
      <c r="AE5">
        <f t="shared" si="13"/>
        <v>2</v>
      </c>
      <c r="AF5">
        <f t="shared" si="14"/>
        <v>4</v>
      </c>
      <c r="AG5" t="str">
        <f t="shared" si="15"/>
        <v>Amiya Guard S1</v>
      </c>
      <c r="AH5" s="33">
        <f t="shared" si="16"/>
        <v>2928</v>
      </c>
      <c r="AI5" s="18"/>
      <c r="AJ5">
        <f t="shared" si="17"/>
        <v>3</v>
      </c>
      <c r="AK5">
        <f t="shared" si="18"/>
        <v>4</v>
      </c>
      <c r="AL5" t="str">
        <f t="shared" si="19"/>
        <v>Shirayuki S2</v>
      </c>
      <c r="AM5" s="40">
        <f t="shared" si="20"/>
        <v>7137.2571428571446</v>
      </c>
      <c r="AN5" s="10"/>
      <c r="AO5" s="9">
        <f t="shared" si="21"/>
        <v>2</v>
      </c>
      <c r="AP5" s="10">
        <f t="shared" si="22"/>
        <v>4</v>
      </c>
      <c r="AQ5" s="10" t="str">
        <f t="shared" si="23"/>
        <v>Amiya Guard S1</v>
      </c>
      <c r="AR5" s="40">
        <f t="shared" si="24"/>
        <v>43920</v>
      </c>
      <c r="AT5" s="9">
        <f t="shared" si="25"/>
        <v>3</v>
      </c>
      <c r="AU5" s="10">
        <f t="shared" si="26"/>
        <v>4</v>
      </c>
      <c r="AV5" s="10" t="str">
        <f t="shared" si="27"/>
        <v>Shirayuki S2</v>
      </c>
      <c r="AW5" s="40">
        <f t="shared" si="28"/>
        <v>106583.04000000002</v>
      </c>
    </row>
    <row r="6" spans="1:49" x14ac:dyDescent="0.35">
      <c r="A6" s="9">
        <f t="shared" si="10"/>
        <v>20</v>
      </c>
      <c r="B6" s="10" t="s">
        <v>84</v>
      </c>
      <c r="C6" s="10">
        <v>629</v>
      </c>
      <c r="D6" s="10">
        <v>1.25</v>
      </c>
      <c r="E6" s="11">
        <v>1.2</v>
      </c>
      <c r="F6" s="10"/>
      <c r="G6" s="10"/>
      <c r="H6" s="10"/>
      <c r="I6" s="11">
        <v>0.6</v>
      </c>
      <c r="J6" s="10">
        <v>1</v>
      </c>
      <c r="K6" s="10">
        <v>1</v>
      </c>
      <c r="L6" s="15">
        <v>20</v>
      </c>
      <c r="M6" s="10"/>
      <c r="N6" s="10"/>
      <c r="O6" s="15">
        <v>18</v>
      </c>
      <c r="P6" s="15"/>
      <c r="Q6" s="11">
        <f t="shared" si="11"/>
        <v>0.5</v>
      </c>
      <c r="R6" s="15">
        <f t="shared" si="11"/>
        <v>50</v>
      </c>
      <c r="S6" s="27">
        <f t="shared" ref="S6" si="29">C6*(1+E6+Q6)</f>
        <v>1698.3000000000002</v>
      </c>
      <c r="T6" s="12">
        <f t="shared" ref="T6" si="30">MAX(0,(A6-L6)*(1-M6))</f>
        <v>0</v>
      </c>
      <c r="U6" s="27">
        <f t="shared" ref="U6" si="31">MAX(S6*(1+I6)*(1-T6/100),5%*S6)</f>
        <v>2717.2800000000007</v>
      </c>
      <c r="V6" s="12">
        <f t="shared" ref="V6" si="32">J6*(1+(H6+R6)/100)/(D6*(1+G6)+F6)</f>
        <v>1.2</v>
      </c>
      <c r="W6" s="27">
        <f t="shared" ref="W6" si="33">$U6*V6*(1-$N6)</f>
        <v>3260.7360000000008</v>
      </c>
      <c r="X6" s="27">
        <f t="shared" ref="X6" si="34">W6*$K6/(1-$N6)</f>
        <v>3260.7360000000008</v>
      </c>
      <c r="Y6" s="27">
        <f t="shared" si="12"/>
        <v>15</v>
      </c>
      <c r="Z6" s="22">
        <f t="shared" ref="Z6" si="35">IF(NOT(OR(ISBLANK($O6),$O6="")),ROUNDDOWN($V6*MIN($O6,Y6),0),ROUNDDOWN(MIN($V6*Y6,$P6/$J6),0))</f>
        <v>18</v>
      </c>
      <c r="AA6" s="27">
        <f t="shared" ref="AA6" si="36">Z6*$U6*(1-N6)</f>
        <v>48911.040000000008</v>
      </c>
      <c r="AB6" s="22">
        <f t="shared" si="8"/>
        <v>6</v>
      </c>
      <c r="AC6" s="27">
        <f t="shared" ref="AC6" si="37">AA6*MIN($K6,AB6)/(1-$N6)</f>
        <v>48911.040000000008</v>
      </c>
      <c r="AD6" s="18"/>
      <c r="AE6">
        <f t="shared" si="13"/>
        <v>3</v>
      </c>
      <c r="AF6">
        <f t="shared" si="14"/>
        <v>5</v>
      </c>
      <c r="AG6" t="str">
        <f t="shared" si="15"/>
        <v>Ifrit S3</v>
      </c>
      <c r="AH6" s="33">
        <f t="shared" si="16"/>
        <v>2583</v>
      </c>
      <c r="AI6" s="18"/>
      <c r="AJ6">
        <f t="shared" si="17"/>
        <v>8</v>
      </c>
      <c r="AK6">
        <f t="shared" si="18"/>
        <v>5</v>
      </c>
      <c r="AL6" t="str">
        <f t="shared" si="19"/>
        <v>Angelina S3</v>
      </c>
      <c r="AM6" s="40">
        <f t="shared" si="20"/>
        <v>4841.0526315789484</v>
      </c>
      <c r="AN6" s="10"/>
      <c r="AO6" s="9">
        <f t="shared" si="21"/>
        <v>3</v>
      </c>
      <c r="AP6" s="10">
        <f t="shared" si="22"/>
        <v>5</v>
      </c>
      <c r="AQ6" s="10" t="str">
        <f t="shared" si="23"/>
        <v>Utage S2</v>
      </c>
      <c r="AR6" s="40">
        <f t="shared" si="24"/>
        <v>37964.160000000003</v>
      </c>
      <c r="AT6" s="9">
        <f t="shared" si="25"/>
        <v>8</v>
      </c>
      <c r="AU6" s="10">
        <f t="shared" si="26"/>
        <v>5</v>
      </c>
      <c r="AV6" s="10" t="str">
        <f t="shared" si="27"/>
        <v>Angelina S3</v>
      </c>
      <c r="AW6" s="40">
        <f t="shared" si="28"/>
        <v>67452</v>
      </c>
    </row>
    <row r="7" spans="1:49" x14ac:dyDescent="0.35">
      <c r="A7" s="9">
        <f t="shared" si="10"/>
        <v>20</v>
      </c>
      <c r="B7" s="10" t="s">
        <v>85</v>
      </c>
      <c r="C7" s="10">
        <v>629</v>
      </c>
      <c r="D7" s="10">
        <v>1.25</v>
      </c>
      <c r="E7" s="11">
        <v>1.2</v>
      </c>
      <c r="F7" s="10"/>
      <c r="G7" s="10"/>
      <c r="H7" s="10"/>
      <c r="I7" s="11"/>
      <c r="J7" s="10">
        <v>1</v>
      </c>
      <c r="K7" s="10">
        <v>2</v>
      </c>
      <c r="L7" s="15">
        <v>20</v>
      </c>
      <c r="M7" s="10"/>
      <c r="N7" s="10"/>
      <c r="O7" s="15">
        <v>18</v>
      </c>
      <c r="P7" s="15"/>
      <c r="Q7" s="11">
        <f t="shared" si="11"/>
        <v>0.5</v>
      </c>
      <c r="R7" s="15">
        <f t="shared" si="11"/>
        <v>50</v>
      </c>
      <c r="S7" s="27">
        <f t="shared" ref="S7" si="38">C7*(1+E7+Q7)</f>
        <v>1698.3000000000002</v>
      </c>
      <c r="T7" s="12">
        <f t="shared" ref="T7" si="39">MAX(0,(A7-L7)*(1-M7))</f>
        <v>0</v>
      </c>
      <c r="U7" s="27">
        <f t="shared" ref="U7" si="40">MAX(S7*(1+I7)*(1-T7/100),5%*S7)</f>
        <v>1698.3000000000002</v>
      </c>
      <c r="V7" s="12">
        <f t="shared" ref="V7" si="41">J7*(1+(H7+R7)/100)/(D7*(1+G7)+F7)</f>
        <v>1.2</v>
      </c>
      <c r="W7" s="27">
        <f t="shared" ref="W7" si="42">$U7*V7*(1-$N7)</f>
        <v>2037.96</v>
      </c>
      <c r="X7" s="27">
        <f t="shared" ref="X7" si="43">W7*$K7/(1-$N7)</f>
        <v>4075.92</v>
      </c>
      <c r="Y7" s="27">
        <f t="shared" si="12"/>
        <v>15</v>
      </c>
      <c r="Z7" s="22">
        <f t="shared" ref="Z7" si="44">IF(NOT(OR(ISBLANK($O7),$O7="")),ROUNDDOWN($V7*MIN($O7,Y7),0),ROUNDDOWN(MIN($V7*Y7,$P7/$J7),0))</f>
        <v>18</v>
      </c>
      <c r="AA7" s="27">
        <f t="shared" ref="AA7" si="45">Z7*$U7*(1-N7)</f>
        <v>30569.4</v>
      </c>
      <c r="AB7" s="22">
        <f t="shared" si="8"/>
        <v>6</v>
      </c>
      <c r="AC7" s="27">
        <f t="shared" ref="AC7" si="46">AA7*MIN($K7,AB7)/(1-$N7)</f>
        <v>61138.8</v>
      </c>
      <c r="AD7" s="18"/>
      <c r="AE7">
        <f t="shared" si="13"/>
        <v>7</v>
      </c>
      <c r="AF7">
        <f t="shared" si="14"/>
        <v>6</v>
      </c>
      <c r="AG7" t="str">
        <f t="shared" si="15"/>
        <v>Utage S2</v>
      </c>
      <c r="AH7" s="33">
        <f t="shared" si="16"/>
        <v>2538.7555555555564</v>
      </c>
      <c r="AI7" s="18"/>
      <c r="AJ7">
        <f t="shared" si="17"/>
        <v>7</v>
      </c>
      <c r="AK7">
        <f t="shared" si="18"/>
        <v>6</v>
      </c>
      <c r="AL7" t="str">
        <f t="shared" si="19"/>
        <v>Broca S2</v>
      </c>
      <c r="AM7" s="40">
        <f t="shared" si="20"/>
        <v>4426.1818181818189</v>
      </c>
      <c r="AN7" s="10"/>
      <c r="AO7" s="9">
        <f t="shared" si="21"/>
        <v>7</v>
      </c>
      <c r="AP7" s="10">
        <f t="shared" si="22"/>
        <v>6</v>
      </c>
      <c r="AQ7" s="10" t="str">
        <f t="shared" si="23"/>
        <v>Ifrit S3</v>
      </c>
      <c r="AR7" s="40">
        <f t="shared" si="24"/>
        <v>37884</v>
      </c>
      <c r="AT7" s="9">
        <f t="shared" si="25"/>
        <v>7</v>
      </c>
      <c r="AU7" s="10">
        <f t="shared" si="26"/>
        <v>6</v>
      </c>
      <c r="AV7" s="10" t="str">
        <f t="shared" si="27"/>
        <v>Broca S2</v>
      </c>
      <c r="AW7" s="40">
        <f t="shared" si="28"/>
        <v>64268.160000000003</v>
      </c>
    </row>
    <row r="8" spans="1:49" x14ac:dyDescent="0.35">
      <c r="A8" s="9">
        <f t="shared" si="10"/>
        <v>20</v>
      </c>
      <c r="B8" s="10" t="s">
        <v>51</v>
      </c>
      <c r="C8" s="10">
        <v>716</v>
      </c>
      <c r="D8" s="10">
        <v>1.2</v>
      </c>
      <c r="E8" s="11">
        <v>1.9</v>
      </c>
      <c r="F8" s="10"/>
      <c r="G8" s="15">
        <v>0.65</v>
      </c>
      <c r="H8" s="10"/>
      <c r="I8" s="11"/>
      <c r="J8" s="10">
        <v>1</v>
      </c>
      <c r="K8" s="15">
        <v>3</v>
      </c>
      <c r="L8" s="15"/>
      <c r="M8" s="15"/>
      <c r="N8" s="10"/>
      <c r="O8" s="15">
        <v>25</v>
      </c>
      <c r="P8" s="15"/>
      <c r="Q8" s="11">
        <f t="shared" si="11"/>
        <v>0.5</v>
      </c>
      <c r="R8" s="15">
        <f t="shared" si="11"/>
        <v>50</v>
      </c>
      <c r="S8" s="27">
        <f t="shared" si="0"/>
        <v>2434.4</v>
      </c>
      <c r="T8" s="12">
        <f t="shared" si="1"/>
        <v>20</v>
      </c>
      <c r="U8" s="27">
        <f t="shared" si="3"/>
        <v>1947.5200000000002</v>
      </c>
      <c r="V8" s="12">
        <f t="shared" si="4"/>
        <v>0.75757575757575768</v>
      </c>
      <c r="W8" s="27">
        <f t="shared" si="5"/>
        <v>1475.3939393939397</v>
      </c>
      <c r="X8" s="27">
        <f t="shared" si="6"/>
        <v>4426.1818181818189</v>
      </c>
      <c r="Y8" s="27">
        <f t="shared" si="12"/>
        <v>15</v>
      </c>
      <c r="Z8" s="22">
        <f t="shared" si="7"/>
        <v>11</v>
      </c>
      <c r="AA8" s="27">
        <f t="shared" si="2"/>
        <v>21422.720000000001</v>
      </c>
      <c r="AB8" s="22">
        <f t="shared" si="8"/>
        <v>6</v>
      </c>
      <c r="AC8" s="27">
        <f t="shared" si="9"/>
        <v>64268.160000000003</v>
      </c>
      <c r="AD8" s="18"/>
      <c r="AE8">
        <f t="shared" si="13"/>
        <v>9</v>
      </c>
      <c r="AF8">
        <f t="shared" si="14"/>
        <v>7</v>
      </c>
      <c r="AG8" t="str">
        <f t="shared" si="15"/>
        <v>Surtr S2 Multi</v>
      </c>
      <c r="AH8" s="33">
        <f t="shared" si="16"/>
        <v>2037.96</v>
      </c>
      <c r="AI8" s="18"/>
      <c r="AJ8">
        <f t="shared" si="17"/>
        <v>6</v>
      </c>
      <c r="AK8">
        <f t="shared" si="18"/>
        <v>7</v>
      </c>
      <c r="AL8" t="str">
        <f t="shared" si="19"/>
        <v>Surtr S2 Multi</v>
      </c>
      <c r="AM8" s="40">
        <f t="shared" si="20"/>
        <v>4075.92</v>
      </c>
      <c r="AN8" s="10"/>
      <c r="AO8" s="9">
        <f t="shared" si="21"/>
        <v>9</v>
      </c>
      <c r="AP8" s="10">
        <f t="shared" si="22"/>
        <v>7</v>
      </c>
      <c r="AQ8" s="10" t="str">
        <f t="shared" si="23"/>
        <v>Surtr S2 Multi</v>
      </c>
      <c r="AR8" s="40">
        <f t="shared" si="24"/>
        <v>30569.4</v>
      </c>
      <c r="AT8" s="9">
        <f t="shared" si="25"/>
        <v>6</v>
      </c>
      <c r="AU8" s="10">
        <f t="shared" si="26"/>
        <v>7</v>
      </c>
      <c r="AV8" s="10" t="str">
        <f t="shared" si="27"/>
        <v>Surtr S2 Multi</v>
      </c>
      <c r="AW8" s="40">
        <f t="shared" si="28"/>
        <v>61138.8</v>
      </c>
    </row>
    <row r="9" spans="1:49" x14ac:dyDescent="0.35">
      <c r="A9" s="9">
        <f t="shared" si="10"/>
        <v>20</v>
      </c>
      <c r="B9" s="10" t="s">
        <v>56</v>
      </c>
      <c r="C9" s="10">
        <v>771</v>
      </c>
      <c r="D9" s="10">
        <v>2.8</v>
      </c>
      <c r="E9" s="11"/>
      <c r="F9" s="10"/>
      <c r="G9" s="15"/>
      <c r="H9" s="10"/>
      <c r="I9" s="11">
        <v>-0.2</v>
      </c>
      <c r="J9" s="10">
        <v>3</v>
      </c>
      <c r="K9" s="15">
        <v>6</v>
      </c>
      <c r="L9" s="15"/>
      <c r="M9" s="15"/>
      <c r="N9" s="10"/>
      <c r="O9" s="15">
        <v>25</v>
      </c>
      <c r="P9" s="15"/>
      <c r="Q9" s="11">
        <f t="shared" si="11"/>
        <v>0.5</v>
      </c>
      <c r="R9" s="15">
        <f t="shared" si="11"/>
        <v>50</v>
      </c>
      <c r="S9" s="27">
        <f t="shared" si="0"/>
        <v>1156.5</v>
      </c>
      <c r="T9" s="12">
        <f t="shared" si="1"/>
        <v>20</v>
      </c>
      <c r="U9" s="27">
        <f t="shared" si="3"/>
        <v>740.16000000000008</v>
      </c>
      <c r="V9" s="12">
        <f t="shared" ref="V9" si="47">J9*(1+(H9+R9)/100)/(D9*(1+G9)+F9)</f>
        <v>1.6071428571428572</v>
      </c>
      <c r="W9" s="27">
        <f t="shared" si="5"/>
        <v>1189.5428571428574</v>
      </c>
      <c r="X9" s="27">
        <f t="shared" si="6"/>
        <v>7137.2571428571446</v>
      </c>
      <c r="Y9" s="27">
        <f t="shared" si="12"/>
        <v>15</v>
      </c>
      <c r="Z9" s="22">
        <f t="shared" si="7"/>
        <v>24</v>
      </c>
      <c r="AA9" s="27">
        <f t="shared" si="2"/>
        <v>17763.840000000004</v>
      </c>
      <c r="AB9" s="22">
        <f t="shared" si="8"/>
        <v>6</v>
      </c>
      <c r="AC9" s="27">
        <f t="shared" si="9"/>
        <v>106583.04000000002</v>
      </c>
      <c r="AD9" s="18"/>
      <c r="AE9">
        <f t="shared" si="13"/>
        <v>10</v>
      </c>
      <c r="AF9">
        <f t="shared" si="14"/>
        <v>8</v>
      </c>
      <c r="AG9" t="str">
        <f t="shared" si="15"/>
        <v>Lappland S2</v>
      </c>
      <c r="AH9" s="33">
        <f t="shared" si="16"/>
        <v>1624.9846153846154</v>
      </c>
      <c r="AI9" s="18"/>
      <c r="AJ9">
        <f t="shared" si="17"/>
        <v>4</v>
      </c>
      <c r="AK9">
        <f t="shared" si="18"/>
        <v>8</v>
      </c>
      <c r="AL9" t="str">
        <f t="shared" si="19"/>
        <v>Surtr S2 Single</v>
      </c>
      <c r="AM9" s="40">
        <f t="shared" si="20"/>
        <v>3260.7360000000008</v>
      </c>
      <c r="AN9" s="10"/>
      <c r="AO9" s="9">
        <f t="shared" si="21"/>
        <v>10</v>
      </c>
      <c r="AP9" s="10">
        <f t="shared" si="22"/>
        <v>8</v>
      </c>
      <c r="AQ9" s="10" t="str">
        <f t="shared" si="23"/>
        <v>Lappland S2</v>
      </c>
      <c r="AR9" s="40">
        <f t="shared" si="24"/>
        <v>23941.440000000002</v>
      </c>
      <c r="AT9" s="9">
        <f t="shared" si="25"/>
        <v>4</v>
      </c>
      <c r="AU9" s="10">
        <f t="shared" si="26"/>
        <v>8</v>
      </c>
      <c r="AV9" s="10" t="str">
        <f t="shared" si="27"/>
        <v>Surtr S2 Single</v>
      </c>
      <c r="AW9" s="40">
        <f t="shared" si="28"/>
        <v>48911.040000000008</v>
      </c>
    </row>
    <row r="10" spans="1:49" x14ac:dyDescent="0.35">
      <c r="A10" s="9">
        <f t="shared" si="10"/>
        <v>20</v>
      </c>
      <c r="B10" s="10" t="s">
        <v>57</v>
      </c>
      <c r="C10" s="10">
        <v>625</v>
      </c>
      <c r="D10" s="10">
        <v>1.25</v>
      </c>
      <c r="E10" s="11">
        <f>80%+14%</f>
        <v>0.94000000000000006</v>
      </c>
      <c r="F10" s="10"/>
      <c r="G10" s="15"/>
      <c r="H10" s="10"/>
      <c r="I10" s="11"/>
      <c r="J10" s="10">
        <v>2</v>
      </c>
      <c r="K10" s="15">
        <v>1</v>
      </c>
      <c r="L10" s="15"/>
      <c r="M10" s="15"/>
      <c r="N10" s="10"/>
      <c r="O10" s="15">
        <v>30</v>
      </c>
      <c r="P10" s="15"/>
      <c r="Q10" s="11">
        <f t="shared" si="11"/>
        <v>0.5</v>
      </c>
      <c r="R10" s="15">
        <f t="shared" si="11"/>
        <v>50</v>
      </c>
      <c r="S10" s="27">
        <f t="shared" ref="S10" si="48">C10*(1+E10+Q10)</f>
        <v>1525</v>
      </c>
      <c r="T10" s="12">
        <f t="shared" ref="T10" si="49">MAX(0,(A10-L10)*(1-M10))</f>
        <v>20</v>
      </c>
      <c r="U10" s="27">
        <f t="shared" si="3"/>
        <v>1220</v>
      </c>
      <c r="V10" s="12">
        <f t="shared" ref="V10" si="50">J10*(1+(H10+R10)/100)/(D10*(1+G10)+F10)</f>
        <v>2.4</v>
      </c>
      <c r="W10" s="27">
        <f t="shared" si="5"/>
        <v>2928</v>
      </c>
      <c r="X10" s="27">
        <f t="shared" si="6"/>
        <v>2928</v>
      </c>
      <c r="Y10" s="27">
        <f t="shared" si="12"/>
        <v>15</v>
      </c>
      <c r="Z10" s="22">
        <f t="shared" si="7"/>
        <v>36</v>
      </c>
      <c r="AA10" s="27">
        <f t="shared" si="2"/>
        <v>43920</v>
      </c>
      <c r="AB10" s="22">
        <f t="shared" si="8"/>
        <v>6</v>
      </c>
      <c r="AC10" s="27">
        <f t="shared" si="9"/>
        <v>43920</v>
      </c>
      <c r="AD10" s="18"/>
      <c r="AE10">
        <f t="shared" si="13"/>
        <v>4</v>
      </c>
      <c r="AF10">
        <f t="shared" si="14"/>
        <v>9</v>
      </c>
      <c r="AG10" t="str">
        <f t="shared" si="15"/>
        <v>Broca S2</v>
      </c>
      <c r="AH10" s="33">
        <f t="shared" si="16"/>
        <v>1475.3939393939397</v>
      </c>
      <c r="AI10" s="18"/>
      <c r="AJ10">
        <f t="shared" si="17"/>
        <v>10</v>
      </c>
      <c r="AK10">
        <f t="shared" si="18"/>
        <v>9</v>
      </c>
      <c r="AL10" t="str">
        <f t="shared" si="19"/>
        <v>Lappland S2</v>
      </c>
      <c r="AM10" s="40">
        <f t="shared" si="20"/>
        <v>3249.9692307692308</v>
      </c>
      <c r="AN10" s="10"/>
      <c r="AO10" s="9">
        <f t="shared" si="21"/>
        <v>4</v>
      </c>
      <c r="AP10" s="10">
        <f t="shared" si="22"/>
        <v>9</v>
      </c>
      <c r="AQ10" s="10" t="str">
        <f t="shared" si="23"/>
        <v>Broca S2</v>
      </c>
      <c r="AR10" s="40">
        <f t="shared" si="24"/>
        <v>21422.720000000001</v>
      </c>
      <c r="AT10" s="9">
        <f t="shared" si="25"/>
        <v>10</v>
      </c>
      <c r="AU10" s="10">
        <f t="shared" si="26"/>
        <v>9</v>
      </c>
      <c r="AV10" s="10" t="str">
        <f t="shared" si="27"/>
        <v>Lappland S2</v>
      </c>
      <c r="AW10" s="40">
        <f t="shared" si="28"/>
        <v>47882.880000000005</v>
      </c>
    </row>
    <row r="11" spans="1:49" x14ac:dyDescent="0.35">
      <c r="A11" s="9">
        <f t="shared" si="10"/>
        <v>20</v>
      </c>
      <c r="B11" s="10" t="s">
        <v>73</v>
      </c>
      <c r="C11" s="15">
        <v>676</v>
      </c>
      <c r="D11" s="15">
        <v>1.2</v>
      </c>
      <c r="E11" s="11">
        <v>1.1000000000000001</v>
      </c>
      <c r="F11" s="10"/>
      <c r="G11" s="15"/>
      <c r="H11" s="15">
        <f>100*2/3</f>
        <v>66.666666666666671</v>
      </c>
      <c r="I11" s="11"/>
      <c r="J11" s="15">
        <v>1</v>
      </c>
      <c r="K11" s="15">
        <v>1</v>
      </c>
      <c r="L11" s="15"/>
      <c r="M11" s="15"/>
      <c r="N11" s="10"/>
      <c r="O11" s="15">
        <v>16</v>
      </c>
      <c r="P11" s="15"/>
      <c r="Q11" s="11">
        <f t="shared" si="11"/>
        <v>0.5</v>
      </c>
      <c r="R11" s="15">
        <f t="shared" si="11"/>
        <v>50</v>
      </c>
      <c r="S11" s="27">
        <f t="shared" ref="S11" si="51">C11*(1+E11+Q11)</f>
        <v>1757.6000000000001</v>
      </c>
      <c r="T11" s="12">
        <f t="shared" ref="T11" si="52">MAX(0,(A11-L11)*(1-M11))</f>
        <v>20</v>
      </c>
      <c r="U11" s="27">
        <f t="shared" ref="U11" si="53">MAX(S11*(1+I11)*(1-T11/100),5%*S11)</f>
        <v>1406.0800000000002</v>
      </c>
      <c r="V11" s="12">
        <f t="shared" ref="V11" si="54">J11*(1+(H11+R11)/100)/(D11*(1+G11)+F11)</f>
        <v>1.8055555555555558</v>
      </c>
      <c r="W11" s="27">
        <f t="shared" si="5"/>
        <v>2538.7555555555564</v>
      </c>
      <c r="X11" s="27">
        <f t="shared" si="6"/>
        <v>2538.7555555555564</v>
      </c>
      <c r="Y11" s="27">
        <f t="shared" si="12"/>
        <v>15</v>
      </c>
      <c r="Z11" s="22">
        <f t="shared" si="7"/>
        <v>27</v>
      </c>
      <c r="AA11" s="27">
        <f t="shared" si="2"/>
        <v>37964.160000000003</v>
      </c>
      <c r="AB11" s="22">
        <f t="shared" si="8"/>
        <v>6</v>
      </c>
      <c r="AC11" s="27">
        <f t="shared" si="9"/>
        <v>37964.160000000003</v>
      </c>
      <c r="AD11" s="18"/>
      <c r="AE11">
        <f t="shared" si="13"/>
        <v>6</v>
      </c>
      <c r="AF11">
        <f t="shared" si="14"/>
        <v>10</v>
      </c>
      <c r="AG11" t="str">
        <f t="shared" si="15"/>
        <v>Shirayuki S2</v>
      </c>
      <c r="AH11" s="33">
        <f t="shared" si="16"/>
        <v>1189.5428571428574</v>
      </c>
      <c r="AI11" s="18"/>
      <c r="AJ11">
        <f t="shared" si="17"/>
        <v>11</v>
      </c>
      <c r="AK11">
        <f t="shared" si="18"/>
        <v>10</v>
      </c>
      <c r="AL11" t="str">
        <f t="shared" si="19"/>
        <v>Amiya Guard S1</v>
      </c>
      <c r="AM11" s="40">
        <f t="shared" si="20"/>
        <v>2928</v>
      </c>
      <c r="AN11" s="10"/>
      <c r="AO11" s="9">
        <f t="shared" si="21"/>
        <v>5</v>
      </c>
      <c r="AP11" s="10">
        <f t="shared" si="22"/>
        <v>10</v>
      </c>
      <c r="AQ11" s="10" t="str">
        <f t="shared" si="23"/>
        <v>Shirayuki S2</v>
      </c>
      <c r="AR11" s="40">
        <f t="shared" si="24"/>
        <v>17763.840000000004</v>
      </c>
      <c r="AT11" s="9">
        <f t="shared" si="25"/>
        <v>11</v>
      </c>
      <c r="AU11" s="10">
        <f t="shared" si="26"/>
        <v>10</v>
      </c>
      <c r="AV11" s="10" t="str">
        <f t="shared" si="27"/>
        <v>Amiya Guard S1</v>
      </c>
      <c r="AW11" s="40">
        <f t="shared" si="28"/>
        <v>43920</v>
      </c>
    </row>
    <row r="12" spans="1:49" x14ac:dyDescent="0.35">
      <c r="A12" s="20">
        <f t="shared" si="10"/>
        <v>20</v>
      </c>
      <c r="B12" s="5" t="s">
        <v>52</v>
      </c>
      <c r="C12" s="5">
        <v>652</v>
      </c>
      <c r="D12" s="5">
        <v>1.3</v>
      </c>
      <c r="E12" s="6">
        <v>1.2</v>
      </c>
      <c r="F12" s="14"/>
      <c r="G12" s="14"/>
      <c r="H12" s="5"/>
      <c r="I12" s="6"/>
      <c r="J12" s="14">
        <v>1</v>
      </c>
      <c r="K12" s="14">
        <v>2</v>
      </c>
      <c r="L12" s="14"/>
      <c r="M12" s="14"/>
      <c r="N12" s="14"/>
      <c r="O12" s="14">
        <v>20</v>
      </c>
      <c r="P12" s="14"/>
      <c r="Q12" s="6">
        <f t="shared" si="11"/>
        <v>0.5</v>
      </c>
      <c r="R12" s="14">
        <f t="shared" si="11"/>
        <v>50</v>
      </c>
      <c r="S12" s="28">
        <f t="shared" si="0"/>
        <v>1760.4</v>
      </c>
      <c r="T12" s="7">
        <f t="shared" si="1"/>
        <v>20</v>
      </c>
      <c r="U12" s="28">
        <f t="shared" si="3"/>
        <v>1408.3200000000002</v>
      </c>
      <c r="V12" s="7">
        <f t="shared" si="4"/>
        <v>1.1538461538461537</v>
      </c>
      <c r="W12" s="28">
        <f t="shared" si="5"/>
        <v>1624.9846153846154</v>
      </c>
      <c r="X12" s="28">
        <f t="shared" si="6"/>
        <v>3249.9692307692308</v>
      </c>
      <c r="Y12" s="28">
        <f t="shared" si="12"/>
        <v>15</v>
      </c>
      <c r="Z12" s="23">
        <f t="shared" si="7"/>
        <v>17</v>
      </c>
      <c r="AA12" s="28">
        <f t="shared" si="2"/>
        <v>23941.440000000002</v>
      </c>
      <c r="AB12" s="23">
        <f t="shared" si="8"/>
        <v>6</v>
      </c>
      <c r="AC12" s="29">
        <f t="shared" si="9"/>
        <v>47882.880000000005</v>
      </c>
      <c r="AD12" s="18"/>
      <c r="AE12">
        <f t="shared" si="13"/>
        <v>8</v>
      </c>
      <c r="AF12">
        <f t="shared" si="14"/>
        <v>11</v>
      </c>
      <c r="AG12" t="str">
        <f t="shared" si="15"/>
        <v>Angelina S3</v>
      </c>
      <c r="AH12" s="33">
        <f t="shared" si="16"/>
        <v>968.21052631578959</v>
      </c>
      <c r="AI12" s="18"/>
      <c r="AJ12">
        <f t="shared" si="17"/>
        <v>9</v>
      </c>
      <c r="AK12">
        <f t="shared" si="18"/>
        <v>11</v>
      </c>
      <c r="AL12" t="str">
        <f t="shared" si="19"/>
        <v>Utage S2</v>
      </c>
      <c r="AM12" s="40">
        <f t="shared" si="20"/>
        <v>2538.7555555555564</v>
      </c>
      <c r="AN12" s="10"/>
      <c r="AO12" s="9">
        <f t="shared" si="21"/>
        <v>8</v>
      </c>
      <c r="AP12" s="10">
        <f t="shared" si="22"/>
        <v>11</v>
      </c>
      <c r="AQ12" s="10" t="str">
        <f t="shared" si="23"/>
        <v>Angelina S3</v>
      </c>
      <c r="AR12" s="40">
        <f t="shared" si="24"/>
        <v>13490.400000000001</v>
      </c>
      <c r="AT12" s="9">
        <f t="shared" si="25"/>
        <v>9</v>
      </c>
      <c r="AU12" s="10">
        <f t="shared" si="26"/>
        <v>11</v>
      </c>
      <c r="AV12" s="10" t="str">
        <f t="shared" si="27"/>
        <v>Utage S2</v>
      </c>
      <c r="AW12" s="40">
        <f t="shared" si="28"/>
        <v>37964.160000000003</v>
      </c>
    </row>
    <row r="13" spans="1:49" x14ac:dyDescent="0.35">
      <c r="AD13" s="10"/>
      <c r="AI13" s="10"/>
    </row>
    <row r="14" spans="1:49" x14ac:dyDescent="0.35">
      <c r="AI14" s="10"/>
    </row>
    <row r="15" spans="1:49" x14ac:dyDescent="0.35">
      <c r="AI15" s="10"/>
    </row>
    <row r="16" spans="1:49" x14ac:dyDescent="0.35">
      <c r="AI16" s="10"/>
    </row>
    <row r="17" spans="35:35" x14ac:dyDescent="0.35">
      <c r="AI17" s="10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AF2E-578E-457F-A6FC-240A48F87B48}">
  <dimension ref="A1:C4"/>
  <sheetViews>
    <sheetView workbookViewId="0">
      <selection activeCell="B5" sqref="B5"/>
    </sheetView>
  </sheetViews>
  <sheetFormatPr defaultRowHeight="14.5" x14ac:dyDescent="0.35"/>
  <cols>
    <col min="1" max="1" width="26.36328125" customWidth="1"/>
  </cols>
  <sheetData>
    <row r="1" spans="1:3" x14ac:dyDescent="0.35">
      <c r="A1" t="s">
        <v>43</v>
      </c>
      <c r="B1" t="s">
        <v>0</v>
      </c>
      <c r="C1" t="s">
        <v>42</v>
      </c>
    </row>
    <row r="2" spans="1:3" x14ac:dyDescent="0.35">
      <c r="A2" t="s">
        <v>44</v>
      </c>
      <c r="B2">
        <v>1000</v>
      </c>
      <c r="C2">
        <v>60</v>
      </c>
    </row>
    <row r="3" spans="1:3" x14ac:dyDescent="0.35">
      <c r="A3" t="s">
        <v>45</v>
      </c>
      <c r="B3">
        <v>1200</v>
      </c>
      <c r="C3">
        <v>60</v>
      </c>
    </row>
    <row r="4" spans="1:3" x14ac:dyDescent="0.35">
      <c r="A4" t="s">
        <v>46</v>
      </c>
      <c r="B4">
        <v>2100</v>
      </c>
      <c r="C4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</vt:lpstr>
      <vt:lpstr>Arts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rizqi</dc:creator>
  <cp:lastModifiedBy>rizqi</cp:lastModifiedBy>
  <dcterms:created xsi:type="dcterms:W3CDTF">2021-08-01T12:37:48Z</dcterms:created>
  <dcterms:modified xsi:type="dcterms:W3CDTF">2022-03-09T07:06:03Z</dcterms:modified>
</cp:coreProperties>
</file>