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TL-v2\Hcl_dash_type4\backend\assets\progress\data\"/>
    </mc:Choice>
  </mc:AlternateContent>
  <bookViews>
    <workbookView xWindow="-105" yWindow="-105" windowWidth="23250" windowHeight="124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37" i="1"/>
  <c r="G30" i="1"/>
  <c r="G23" i="1"/>
  <c r="G16" i="1"/>
  <c r="G9" i="1"/>
  <c r="G2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50" i="1"/>
  <c r="V49" i="1"/>
  <c r="V48" i="1"/>
  <c r="V47" i="1"/>
  <c r="V46" i="1"/>
  <c r="V45" i="1"/>
  <c r="V43" i="1"/>
  <c r="V42" i="1"/>
  <c r="V41" i="1"/>
  <c r="V40" i="1"/>
  <c r="V39" i="1"/>
  <c r="V38" i="1"/>
  <c r="V36" i="1"/>
  <c r="V35" i="1"/>
  <c r="V34" i="1"/>
  <c r="V33" i="1"/>
  <c r="V29" i="1"/>
  <c r="V28" i="1"/>
  <c r="V27" i="1"/>
  <c r="V26" i="1"/>
  <c r="V25" i="1"/>
  <c r="V24" i="1"/>
  <c r="V22" i="1"/>
  <c r="V21" i="1"/>
  <c r="V20" i="1"/>
  <c r="V19" i="1"/>
  <c r="V18" i="1"/>
  <c r="V17" i="1"/>
  <c r="V15" i="1"/>
  <c r="V14" i="1"/>
  <c r="V13" i="1"/>
  <c r="V12" i="1"/>
  <c r="V11" i="1"/>
  <c r="V10" i="1"/>
  <c r="V8" i="1"/>
  <c r="V7" i="1"/>
  <c r="V6" i="1"/>
  <c r="V5" i="1"/>
  <c r="T2" i="1" l="1"/>
  <c r="T44" i="1"/>
  <c r="T37" i="1"/>
  <c r="T30" i="1"/>
  <c r="T23" i="1"/>
  <c r="T16" i="1"/>
  <c r="T9" i="1"/>
  <c r="I37" i="1" l="1"/>
  <c r="I44" i="1" l="1"/>
  <c r="J45" i="1" s="1"/>
  <c r="U45" i="1" s="1"/>
  <c r="J38" i="1"/>
  <c r="U38" i="1" s="1"/>
  <c r="I30" i="1"/>
  <c r="J31" i="1" s="1"/>
  <c r="U31" i="1" s="1"/>
  <c r="I23" i="1"/>
  <c r="J24" i="1" s="1"/>
  <c r="U24" i="1" s="1"/>
  <c r="I16" i="1"/>
  <c r="J17" i="1" s="1"/>
  <c r="U17" i="1" s="1"/>
  <c r="I9" i="1"/>
  <c r="J10" i="1" s="1"/>
  <c r="U10" i="1" s="1"/>
  <c r="Q50" i="1"/>
  <c r="Q49" i="1"/>
  <c r="Q48" i="1"/>
  <c r="Q47" i="1"/>
  <c r="Q43" i="1"/>
  <c r="Q42" i="1"/>
  <c r="Q41" i="1"/>
  <c r="Q40" i="1"/>
  <c r="Q38" i="1"/>
  <c r="Q45" i="1" s="1"/>
  <c r="Q36" i="1"/>
  <c r="Q35" i="1"/>
  <c r="Q34" i="1"/>
  <c r="Q33" i="1"/>
  <c r="Q32" i="1"/>
  <c r="Q22" i="1"/>
  <c r="Q28" i="1" s="1"/>
  <c r="Q21" i="1"/>
  <c r="Q20" i="1"/>
  <c r="Q19" i="1"/>
  <c r="Q18" i="1"/>
  <c r="Q15" i="1"/>
  <c r="Q14" i="1"/>
  <c r="Q13" i="1"/>
  <c r="Q12" i="1"/>
  <c r="Q11" i="1"/>
  <c r="Q8" i="1"/>
  <c r="Q7" i="1"/>
  <c r="Q6" i="1"/>
  <c r="Q5" i="1"/>
  <c r="Q4" i="1"/>
  <c r="Q30" i="1" l="1"/>
  <c r="Q29" i="1"/>
  <c r="Q9" i="1"/>
  <c r="Q24" i="1"/>
  <c r="Q2" i="1"/>
  <c r="Q25" i="1"/>
  <c r="Q26" i="1"/>
  <c r="Q16" i="1"/>
  <c r="Q27" i="1"/>
  <c r="Q44" i="1"/>
  <c r="Q37" i="1"/>
  <c r="Q23" i="1" l="1"/>
  <c r="F3" i="1"/>
  <c r="V3" i="1" s="1"/>
  <c r="F4" i="1"/>
  <c r="L4" i="1"/>
  <c r="P5" i="1"/>
  <c r="R5" i="1" s="1"/>
  <c r="S5" i="1" s="1"/>
  <c r="L6" i="1"/>
  <c r="P6" i="1"/>
  <c r="R6" i="1" s="1"/>
  <c r="S6" i="1" s="1"/>
  <c r="P7" i="1"/>
  <c r="R7" i="1" s="1"/>
  <c r="S7" i="1" s="1"/>
  <c r="L8" i="1"/>
  <c r="P8" i="1"/>
  <c r="R8" i="1" s="1"/>
  <c r="S8" i="1" s="1"/>
  <c r="I2" i="1"/>
  <c r="J3" i="1" s="1"/>
  <c r="U3" i="1" s="1"/>
  <c r="P4" i="1" l="1"/>
  <c r="R4" i="1" s="1"/>
  <c r="S4" i="1" s="1"/>
  <c r="V4" i="1"/>
  <c r="F2" i="1"/>
  <c r="V2" i="1" s="1"/>
  <c r="P3" i="1"/>
  <c r="P2" i="1" s="1"/>
  <c r="J6" i="1" l="1"/>
  <c r="M3" i="1"/>
  <c r="K3" i="1"/>
  <c r="J5" i="1"/>
  <c r="J4" i="1"/>
  <c r="U4" i="1" s="1"/>
  <c r="J8" i="1"/>
  <c r="M4" i="1"/>
  <c r="N4" i="1" s="1"/>
  <c r="R2" i="1"/>
  <c r="S2" i="1" s="1"/>
  <c r="R3" i="1"/>
  <c r="S3" i="1" s="1"/>
  <c r="K6" i="1"/>
  <c r="J7" i="1" s="1"/>
  <c r="M5" i="1" l="1"/>
  <c r="N5" i="1" s="1"/>
  <c r="U5" i="1"/>
  <c r="M7" i="1"/>
  <c r="N7" i="1" s="1"/>
  <c r="U7" i="1"/>
  <c r="M8" i="1"/>
  <c r="N8" i="1" s="1"/>
  <c r="U8" i="1"/>
  <c r="M6" i="1"/>
  <c r="N6" i="1" s="1"/>
  <c r="U6" i="1"/>
  <c r="N3" i="1"/>
  <c r="M2" i="1"/>
  <c r="K4" i="1"/>
  <c r="O4" i="1" s="1"/>
  <c r="J2" i="1"/>
  <c r="K5" i="1"/>
  <c r="K8" i="1"/>
  <c r="O8" i="1" s="1"/>
  <c r="K7" i="1"/>
  <c r="N2" i="1" l="1"/>
  <c r="O2" i="1" s="1"/>
  <c r="K2" i="1"/>
  <c r="L2" i="1" s="1"/>
  <c r="U2" i="1" s="1"/>
  <c r="P50" i="1"/>
  <c r="R50" i="1" s="1"/>
  <c r="S50" i="1" s="1"/>
  <c r="L50" i="1"/>
  <c r="P49" i="1"/>
  <c r="R49" i="1" s="1"/>
  <c r="S49" i="1" s="1"/>
  <c r="P48" i="1"/>
  <c r="R48" i="1" s="1"/>
  <c r="S48" i="1" s="1"/>
  <c r="L48" i="1"/>
  <c r="P47" i="1"/>
  <c r="R47" i="1" s="1"/>
  <c r="S47" i="1" s="1"/>
  <c r="L46" i="1"/>
  <c r="P45" i="1"/>
  <c r="R45" i="1" s="1"/>
  <c r="S45" i="1" s="1"/>
  <c r="M45" i="1"/>
  <c r="P43" i="1"/>
  <c r="R43" i="1" s="1"/>
  <c r="S43" i="1" s="1"/>
  <c r="L43" i="1"/>
  <c r="P42" i="1"/>
  <c r="R42" i="1" s="1"/>
  <c r="S42" i="1" s="1"/>
  <c r="P41" i="1"/>
  <c r="R41" i="1" s="1"/>
  <c r="S41" i="1" s="1"/>
  <c r="L41" i="1"/>
  <c r="P40" i="1"/>
  <c r="R40" i="1" s="1"/>
  <c r="S40" i="1" s="1"/>
  <c r="L39" i="1"/>
  <c r="P39" i="1"/>
  <c r="R39" i="1" s="1"/>
  <c r="S39" i="1" s="1"/>
  <c r="P38" i="1"/>
  <c r="R38" i="1" s="1"/>
  <c r="S38" i="1" s="1"/>
  <c r="M38" i="1"/>
  <c r="P36" i="1"/>
  <c r="R36" i="1" s="1"/>
  <c r="S36" i="1" s="1"/>
  <c r="L36" i="1"/>
  <c r="P35" i="1"/>
  <c r="R35" i="1" s="1"/>
  <c r="S35" i="1" s="1"/>
  <c r="P34" i="1"/>
  <c r="R34" i="1" s="1"/>
  <c r="S34" i="1" s="1"/>
  <c r="L34" i="1"/>
  <c r="P33" i="1"/>
  <c r="R33" i="1" s="1"/>
  <c r="S33" i="1" s="1"/>
  <c r="L32" i="1"/>
  <c r="F32" i="1"/>
  <c r="F31" i="1"/>
  <c r="M31" i="1"/>
  <c r="P29" i="1"/>
  <c r="R29" i="1" s="1"/>
  <c r="S29" i="1" s="1"/>
  <c r="L29" i="1"/>
  <c r="P28" i="1"/>
  <c r="R28" i="1" s="1"/>
  <c r="S28" i="1" s="1"/>
  <c r="P27" i="1"/>
  <c r="R27" i="1" s="1"/>
  <c r="S27" i="1" s="1"/>
  <c r="L27" i="1"/>
  <c r="P26" i="1"/>
  <c r="R26" i="1" s="1"/>
  <c r="S26" i="1" s="1"/>
  <c r="L25" i="1"/>
  <c r="P25" i="1"/>
  <c r="R25" i="1" s="1"/>
  <c r="S25" i="1" s="1"/>
  <c r="P24" i="1"/>
  <c r="R24" i="1" s="1"/>
  <c r="S24" i="1" s="1"/>
  <c r="M24" i="1"/>
  <c r="P22" i="1"/>
  <c r="R22" i="1" s="1"/>
  <c r="S22" i="1" s="1"/>
  <c r="L22" i="1"/>
  <c r="P21" i="1"/>
  <c r="R21" i="1" s="1"/>
  <c r="S21" i="1" s="1"/>
  <c r="P20" i="1"/>
  <c r="R20" i="1" s="1"/>
  <c r="S20" i="1" s="1"/>
  <c r="L20" i="1"/>
  <c r="P19" i="1"/>
  <c r="R19" i="1" s="1"/>
  <c r="S19" i="1" s="1"/>
  <c r="L18" i="1"/>
  <c r="P18" i="1"/>
  <c r="R18" i="1" s="1"/>
  <c r="S18" i="1" s="1"/>
  <c r="P17" i="1"/>
  <c r="R17" i="1" s="1"/>
  <c r="S17" i="1" s="1"/>
  <c r="M17" i="1"/>
  <c r="P15" i="1"/>
  <c r="R15" i="1" s="1"/>
  <c r="S15" i="1" s="1"/>
  <c r="L15" i="1"/>
  <c r="P14" i="1"/>
  <c r="R14" i="1" s="1"/>
  <c r="S14" i="1" s="1"/>
  <c r="P13" i="1"/>
  <c r="R13" i="1" s="1"/>
  <c r="S13" i="1" s="1"/>
  <c r="L13" i="1"/>
  <c r="P12" i="1"/>
  <c r="R12" i="1" s="1"/>
  <c r="S12" i="1" s="1"/>
  <c r="L11" i="1"/>
  <c r="P11" i="1"/>
  <c r="R11" i="1" s="1"/>
  <c r="S11" i="1" s="1"/>
  <c r="P10" i="1"/>
  <c r="R10" i="1" s="1"/>
  <c r="S10" i="1" s="1"/>
  <c r="M10" i="1"/>
  <c r="P31" i="1" l="1"/>
  <c r="R31" i="1" s="1"/>
  <c r="S31" i="1" s="1"/>
  <c r="V31" i="1"/>
  <c r="P32" i="1"/>
  <c r="R32" i="1" s="1"/>
  <c r="S32" i="1" s="1"/>
  <c r="V32" i="1"/>
  <c r="N24" i="1"/>
  <c r="N17" i="1"/>
  <c r="N10" i="1"/>
  <c r="F44" i="1"/>
  <c r="V44" i="1" s="1"/>
  <c r="F16" i="1"/>
  <c r="V16" i="1" s="1"/>
  <c r="P9" i="1"/>
  <c r="R9" i="1" s="1"/>
  <c r="S9" i="1" s="1"/>
  <c r="F30" i="1"/>
  <c r="V30" i="1" s="1"/>
  <c r="P16" i="1"/>
  <c r="R16" i="1" s="1"/>
  <c r="S16" i="1" s="1"/>
  <c r="P37" i="1"/>
  <c r="R37" i="1" s="1"/>
  <c r="S37" i="1" s="1"/>
  <c r="P23" i="1"/>
  <c r="R23" i="1" s="1"/>
  <c r="S23" i="1" s="1"/>
  <c r="F9" i="1"/>
  <c r="V9" i="1" s="1"/>
  <c r="J50" i="1"/>
  <c r="U50" i="1" s="1"/>
  <c r="K45" i="1"/>
  <c r="J47" i="1"/>
  <c r="U47" i="1" s="1"/>
  <c r="J46" i="1"/>
  <c r="U46" i="1" s="1"/>
  <c r="J48" i="1"/>
  <c r="P46" i="1"/>
  <c r="J39" i="1"/>
  <c r="U39" i="1" s="1"/>
  <c r="J41" i="1"/>
  <c r="J43" i="1"/>
  <c r="U43" i="1" s="1"/>
  <c r="K38" i="1"/>
  <c r="J40" i="1"/>
  <c r="U40" i="1" s="1"/>
  <c r="F37" i="1"/>
  <c r="V37" i="1" s="1"/>
  <c r="J32" i="1"/>
  <c r="U32" i="1" s="1"/>
  <c r="J34" i="1"/>
  <c r="U34" i="1" s="1"/>
  <c r="J36" i="1"/>
  <c r="U36" i="1" s="1"/>
  <c r="K31" i="1"/>
  <c r="J33" i="1"/>
  <c r="U33" i="1" s="1"/>
  <c r="J25" i="1"/>
  <c r="U25" i="1" s="1"/>
  <c r="J27" i="1"/>
  <c r="J29" i="1"/>
  <c r="U29" i="1" s="1"/>
  <c r="K24" i="1"/>
  <c r="J26" i="1"/>
  <c r="U26" i="1" s="1"/>
  <c r="F23" i="1"/>
  <c r="V23" i="1" s="1"/>
  <c r="J18" i="1"/>
  <c r="U18" i="1" s="1"/>
  <c r="J20" i="1"/>
  <c r="J22" i="1"/>
  <c r="U22" i="1" s="1"/>
  <c r="K17" i="1"/>
  <c r="J19" i="1"/>
  <c r="U19" i="1" s="1"/>
  <c r="J11" i="1"/>
  <c r="U11" i="1" s="1"/>
  <c r="J13" i="1"/>
  <c r="J15" i="1"/>
  <c r="U15" i="1" s="1"/>
  <c r="K10" i="1"/>
  <c r="J12" i="1"/>
  <c r="U12" i="1" s="1"/>
  <c r="M41" i="1" l="1"/>
  <c r="U41" i="1"/>
  <c r="M13" i="1"/>
  <c r="N13" i="1" s="1"/>
  <c r="U13" i="1"/>
  <c r="P30" i="1"/>
  <c r="R30" i="1" s="1"/>
  <c r="S30" i="1" s="1"/>
  <c r="M27" i="1"/>
  <c r="N27" i="1" s="1"/>
  <c r="U27" i="1"/>
  <c r="M20" i="1"/>
  <c r="N20" i="1" s="1"/>
  <c r="U20" i="1"/>
  <c r="M48" i="1"/>
  <c r="U48" i="1"/>
  <c r="N45" i="1"/>
  <c r="O10" i="1"/>
  <c r="N31" i="1"/>
  <c r="N38" i="1"/>
  <c r="K36" i="1"/>
  <c r="M36" i="1"/>
  <c r="K39" i="1"/>
  <c r="M39" i="1"/>
  <c r="K26" i="1"/>
  <c r="M26" i="1"/>
  <c r="N26" i="1" s="1"/>
  <c r="M34" i="1"/>
  <c r="J35" i="1"/>
  <c r="K43" i="1"/>
  <c r="M43" i="1"/>
  <c r="K32" i="1"/>
  <c r="M32" i="1"/>
  <c r="K25" i="1"/>
  <c r="O25" i="1" s="1"/>
  <c r="M25" i="1"/>
  <c r="K18" i="1"/>
  <c r="O18" i="1" s="1"/>
  <c r="M18" i="1"/>
  <c r="K19" i="1"/>
  <c r="M19" i="1"/>
  <c r="N19" i="1" s="1"/>
  <c r="K29" i="1"/>
  <c r="O29" i="1" s="1"/>
  <c r="M29" i="1"/>
  <c r="N29" i="1" s="1"/>
  <c r="K46" i="1"/>
  <c r="M46" i="1"/>
  <c r="K22" i="1"/>
  <c r="O22" i="1" s="1"/>
  <c r="M22" i="1"/>
  <c r="N22" i="1" s="1"/>
  <c r="K33" i="1"/>
  <c r="N33" i="1" s="1"/>
  <c r="M33" i="1"/>
  <c r="K50" i="1"/>
  <c r="M50" i="1"/>
  <c r="K40" i="1"/>
  <c r="N40" i="1" s="1"/>
  <c r="M40" i="1"/>
  <c r="K47" i="1"/>
  <c r="N47" i="1" s="1"/>
  <c r="M47" i="1"/>
  <c r="P44" i="1"/>
  <c r="R46" i="1"/>
  <c r="S46" i="1" s="1"/>
  <c r="K11" i="1"/>
  <c r="O11" i="1" s="1"/>
  <c r="M11" i="1"/>
  <c r="K12" i="1"/>
  <c r="M12" i="1"/>
  <c r="N12" i="1" s="1"/>
  <c r="K15" i="1"/>
  <c r="O15" i="1" s="1"/>
  <c r="M15" i="1"/>
  <c r="N15" i="1" s="1"/>
  <c r="K48" i="1"/>
  <c r="N48" i="1" s="1"/>
  <c r="J49" i="1"/>
  <c r="K41" i="1"/>
  <c r="J42" i="1"/>
  <c r="U42" i="1" s="1"/>
  <c r="K34" i="1"/>
  <c r="K27" i="1"/>
  <c r="O27" i="1" s="1"/>
  <c r="J28" i="1"/>
  <c r="K20" i="1"/>
  <c r="J21" i="1"/>
  <c r="K13" i="1"/>
  <c r="O13" i="1" s="1"/>
  <c r="J14" i="1"/>
  <c r="M49" i="1" l="1"/>
  <c r="U49" i="1"/>
  <c r="J44" i="1"/>
  <c r="J16" i="1"/>
  <c r="U21" i="1"/>
  <c r="M35" i="1"/>
  <c r="U35" i="1"/>
  <c r="J9" i="1"/>
  <c r="U14" i="1"/>
  <c r="J23" i="1"/>
  <c r="U28" i="1"/>
  <c r="J37" i="1"/>
  <c r="J30" i="1"/>
  <c r="K37" i="1"/>
  <c r="M30" i="1"/>
  <c r="M44" i="1"/>
  <c r="N25" i="1"/>
  <c r="N23" i="1" s="1"/>
  <c r="N34" i="1"/>
  <c r="O34" i="1"/>
  <c r="N46" i="1"/>
  <c r="O46" i="1"/>
  <c r="K42" i="1"/>
  <c r="N42" i="1" s="1"/>
  <c r="M42" i="1"/>
  <c r="M37" i="1" s="1"/>
  <c r="N41" i="1"/>
  <c r="O41" i="1"/>
  <c r="N50" i="1"/>
  <c r="O50" i="1"/>
  <c r="O32" i="1"/>
  <c r="N32" i="1"/>
  <c r="O39" i="1"/>
  <c r="N39" i="1"/>
  <c r="N37" i="1" s="1"/>
  <c r="K21" i="1"/>
  <c r="K16" i="1" s="1"/>
  <c r="L16" i="1" s="1"/>
  <c r="M21" i="1"/>
  <c r="N21" i="1" s="1"/>
  <c r="N43" i="1"/>
  <c r="O43" i="1"/>
  <c r="N18" i="1"/>
  <c r="O36" i="1"/>
  <c r="N36" i="1"/>
  <c r="K28" i="1"/>
  <c r="K23" i="1" s="1"/>
  <c r="L23" i="1" s="1"/>
  <c r="M28" i="1"/>
  <c r="N28" i="1" s="1"/>
  <c r="K14" i="1"/>
  <c r="O14" i="1" s="1"/>
  <c r="M14" i="1"/>
  <c r="N14" i="1" s="1"/>
  <c r="N11" i="1"/>
  <c r="N9" i="1" s="1"/>
  <c r="O9" i="1" s="1"/>
  <c r="K49" i="1"/>
  <c r="K44" i="1" s="1"/>
  <c r="L44" i="1" s="1"/>
  <c r="K35" i="1"/>
  <c r="K30" i="1" s="1"/>
  <c r="L30" i="1" s="1"/>
  <c r="U16" i="1" l="1"/>
  <c r="U44" i="1"/>
  <c r="L37" i="1"/>
  <c r="U37" i="1" s="1"/>
  <c r="U23" i="1"/>
  <c r="U30" i="1"/>
  <c r="M9" i="1"/>
  <c r="N16" i="1"/>
  <c r="M23" i="1"/>
  <c r="K9" i="1"/>
  <c r="L9" i="1" s="1"/>
  <c r="U9" i="1" s="1"/>
  <c r="M16" i="1"/>
  <c r="N49" i="1"/>
  <c r="N44" i="1" s="1"/>
  <c r="N35" i="1"/>
  <c r="N30" i="1" s="1"/>
  <c r="R44" i="1" l="1"/>
  <c r="S44" i="1" s="1"/>
</calcChain>
</file>

<file path=xl/sharedStrings.xml><?xml version="1.0" encoding="utf-8"?>
<sst xmlns="http://schemas.openxmlformats.org/spreadsheetml/2006/main" count="286" uniqueCount="76">
  <si>
    <t>Mobilisation</t>
  </si>
  <si>
    <t>Unit</t>
  </si>
  <si>
    <t>Contractor</t>
  </si>
  <si>
    <t>Sl</t>
  </si>
  <si>
    <t>Task</t>
  </si>
  <si>
    <t>BoQ Qty</t>
  </si>
  <si>
    <t>Start Date</t>
  </si>
  <si>
    <t>End Date</t>
  </si>
  <si>
    <t>Progress</t>
  </si>
  <si>
    <t>MCP</t>
  </si>
  <si>
    <t>Contract 01</t>
  </si>
  <si>
    <t>Decline Development</t>
  </si>
  <si>
    <t>Ramp from -60 mRL to -110 mRL</t>
  </si>
  <si>
    <t>Associated Dev. (LB, level sump, Cross over, Subsection)</t>
  </si>
  <si>
    <t>Horizontal Developments</t>
  </si>
  <si>
    <t>Conveyor Driver</t>
  </si>
  <si>
    <t>Vertical Development</t>
  </si>
  <si>
    <t>Mines</t>
  </si>
  <si>
    <t>Mines O/C</t>
  </si>
  <si>
    <t>Mines U/C</t>
  </si>
  <si>
    <t>Contract 02</t>
  </si>
  <si>
    <t>ICC</t>
  </si>
  <si>
    <t>SUDRA MINES</t>
  </si>
  <si>
    <t>KENDADIH MINE</t>
  </si>
  <si>
    <t>KCC</t>
  </si>
  <si>
    <t>KHETRI</t>
  </si>
  <si>
    <t>BANWAS</t>
  </si>
  <si>
    <t>KOLIHAN</t>
  </si>
  <si>
    <t>Issue of LOI</t>
  </si>
  <si>
    <t>Master Schedule</t>
  </si>
  <si>
    <t>Budget</t>
  </si>
  <si>
    <t>Consumed</t>
  </si>
  <si>
    <t>Remaining</t>
  </si>
  <si>
    <t>Days Remaining</t>
  </si>
  <si>
    <t>Actual End</t>
  </si>
  <si>
    <t>Work Completed Qty</t>
  </si>
  <si>
    <t>Duration (Days)</t>
  </si>
  <si>
    <t>Contract 03</t>
  </si>
  <si>
    <t>Contract 04</t>
  </si>
  <si>
    <t>Contract 05</t>
  </si>
  <si>
    <t>Contract 06</t>
  </si>
  <si>
    <t>Contract 07</t>
  </si>
  <si>
    <t>8-Oct-22</t>
  </si>
  <si>
    <t>19-Jun-23</t>
  </si>
  <si>
    <t>8-Dec-22</t>
  </si>
  <si>
    <t>9-Apr-23</t>
  </si>
  <si>
    <t>10-May-23</t>
  </si>
  <si>
    <t>8-Jan-24</t>
  </si>
  <si>
    <t>8-Aug-23</t>
  </si>
  <si>
    <t>08-10-2022</t>
  </si>
  <si>
    <t>27-09-2024</t>
  </si>
  <si>
    <t>03-10-2023</t>
  </si>
  <si>
    <t>19-06-2023</t>
  </si>
  <si>
    <t>08-06-2025</t>
  </si>
  <si>
    <t>15-01-2024</t>
  </si>
  <si>
    <t>08-12-2022</t>
  </si>
  <si>
    <t>27-11-2024</t>
  </si>
  <si>
    <t>06-07-2023</t>
  </si>
  <si>
    <t>09-04-2023</t>
  </si>
  <si>
    <t>29-03-2025</t>
  </si>
  <si>
    <t>05-11-2023</t>
  </si>
  <si>
    <t>10-05-2023</t>
  </si>
  <si>
    <t>29-04-2025</t>
  </si>
  <si>
    <t>06-12-2023</t>
  </si>
  <si>
    <t>08-01-2024</t>
  </si>
  <si>
    <t>28-12-2025</t>
  </si>
  <si>
    <t>05-08-2024</t>
  </si>
  <si>
    <t>08-08-2023</t>
  </si>
  <si>
    <t>28-07-2025</t>
  </si>
  <si>
    <t>05-03-2024</t>
  </si>
  <si>
    <t>Actual Start</t>
  </si>
  <si>
    <t>Target Qty</t>
  </si>
  <si>
    <t>Days till Today</t>
  </si>
  <si>
    <t>Target %age</t>
  </si>
  <si>
    <t>Today</t>
  </si>
  <si>
    <t>Data_date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</si>
</sst>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₹-4009]\ * #,##0.00_ ;_ [$₹-4009]\ * \-#,##0.00_ ;_ [$₹-4009]\ * &quot;-&quot;??_ ;_ @_ 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/>
    <xf numFmtId="0" fontId="4" fillId="3" borderId="2" xfId="0" applyFont="1" applyFill="1" applyBorder="1" applyAlignment="1">
      <alignment horizontal="left" vertical="center" wrapText="1" indent="2"/>
    </xf>
    <xf numFmtId="0" fontId="4" fillId="3" borderId="2" xfId="0" applyFont="1" applyFill="1" applyBorder="1" applyAlignment="1">
      <alignment horizontal="left" vertical="center" indent="2"/>
    </xf>
    <xf numFmtId="9" fontId="2" fillId="2" borderId="4" xfId="1" applyFont="1" applyFill="1" applyBorder="1" applyAlignment="1">
      <alignment horizontal="center" vertical="center" wrapText="1"/>
    </xf>
    <xf numFmtId="9" fontId="4" fillId="3" borderId="3" xfId="1" applyFont="1" applyFill="1" applyBorder="1" applyAlignment="1">
      <alignment horizontal="center" vertical="center"/>
    </xf>
    <xf numFmtId="9" fontId="0" fillId="0" borderId="0" xfId="1" applyFont="1"/>
    <xf numFmtId="164" fontId="4" fillId="3" borderId="3" xfId="1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9" fontId="5" fillId="4" borderId="7" xfId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9" fontId="5" fillId="4" borderId="4" xfId="1" applyFont="1" applyFill="1" applyBorder="1" applyAlignment="1">
      <alignment horizontal="center" vertical="center"/>
    </xf>
    <xf numFmtId="164" fontId="5" fillId="4" borderId="4" xfId="1" applyNumberFormat="1" applyFont="1" applyFill="1" applyBorder="1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165" fontId="2" fillId="2" borderId="1" xfId="0" applyNumberFormat="1" applyFont="1" applyFill="1" applyBorder="1" applyAlignment="1">
      <alignment horizontal="center" vertical="center" wrapText="1"/>
    </xf>
    <xf numFmtId="165" fontId="5" fillId="4" borderId="9" xfId="0" applyNumberFormat="1" applyFon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4" fillId="3" borderId="2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1" fontId="8" fillId="6" borderId="11" xfId="0" applyNumberFormat="1" applyFont="1" applyFill="1" applyBorder="1" applyAlignment="1">
      <alignment horizontal="center" vertical="center"/>
    </xf>
    <xf numFmtId="2" fontId="9" fillId="7" borderId="11" xfId="0" applyNumberFormat="1" applyFont="1" applyFill="1" applyBorder="1" applyAlignment="1">
      <alignment horizontal="center" vertical="center"/>
    </xf>
    <xf numFmtId="0" fontId="9" fillId="0" borderId="0" xfId="0" applyFont="1"/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 wrapText="1"/>
    </xf>
    <xf numFmtId="10" fontId="3" fillId="4" borderId="9" xfId="1" applyNumberFormat="1" applyFont="1" applyFill="1" applyBorder="1" applyAlignment="1">
      <alignment horizontal="center" vertical="center"/>
    </xf>
    <xf numFmtId="10" fontId="1" fillId="3" borderId="9" xfId="1" applyNumberFormat="1" applyFont="1" applyFill="1" applyBorder="1" applyAlignment="1">
      <alignment horizontal="center" vertical="center"/>
    </xf>
    <xf numFmtId="10" fontId="3" fillId="3" borderId="9" xfId="1" applyNumberFormat="1" applyFont="1" applyFill="1" applyBorder="1" applyAlignment="1">
      <alignment horizontal="center" vertical="center"/>
    </xf>
    <xf numFmtId="10" fontId="0" fillId="0" borderId="0" xfId="1" applyNumberFormat="1" applyFont="1"/>
    <xf numFmtId="14" fontId="3" fillId="4" borderId="9" xfId="0" applyNumberFormat="1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7"/>
  <sheetViews>
    <sheetView showGridLines="0" tabSelected="1" topLeftCell="H1" workbookViewId="0">
      <selection activeCell="W4" sqref="W4"/>
    </sheetView>
  </sheetViews>
  <sheetFormatPr defaultRowHeight="15" x14ac:dyDescent="0.25"/>
  <cols>
    <col min="1" max="1" width="5.7109375" customWidth="1"/>
    <col min="2" max="2" width="17" customWidth="1"/>
    <col min="3" max="3" width="12.28515625" bestFit="1" customWidth="1"/>
    <col min="4" max="4" width="4.7109375" customWidth="1"/>
    <col min="5" max="5" width="28.85546875" customWidth="1"/>
    <col min="6" max="7" width="15.42578125" customWidth="1"/>
    <col min="8" max="9" width="15.42578125" style="29" customWidth="1"/>
    <col min="10" max="11" width="10.42578125" style="29" customWidth="1"/>
    <col min="12" max="12" width="15" customWidth="1"/>
    <col min="13" max="13" width="17.7109375" style="29" customWidth="1"/>
    <col min="14" max="14" width="10.42578125" style="29" customWidth="1"/>
    <col min="15" max="15" width="10.42578125" customWidth="1"/>
    <col min="16" max="16" width="12.42578125" style="10" customWidth="1"/>
    <col min="17" max="18" width="20.7109375" customWidth="1"/>
    <col min="19" max="19" width="21.140625" customWidth="1"/>
    <col min="20" max="20" width="16" style="40" customWidth="1"/>
    <col min="21" max="21" width="15.42578125" customWidth="1"/>
    <col min="22" max="22" width="15.42578125" style="47" customWidth="1"/>
    <col min="23" max="24" width="16" customWidth="1"/>
  </cols>
  <sheetData>
    <row r="1" spans="1:24" ht="31.9" customHeight="1" x14ac:dyDescent="0.25">
      <c r="A1" s="1" t="s">
        <v>1</v>
      </c>
      <c r="B1" s="1" t="s">
        <v>17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24" t="s">
        <v>28</v>
      </c>
      <c r="I1" s="24" t="s">
        <v>0</v>
      </c>
      <c r="J1" s="24" t="s">
        <v>6</v>
      </c>
      <c r="K1" s="24" t="s">
        <v>7</v>
      </c>
      <c r="L1" s="1" t="s">
        <v>36</v>
      </c>
      <c r="M1" s="24" t="s">
        <v>70</v>
      </c>
      <c r="N1" s="32" t="s">
        <v>34</v>
      </c>
      <c r="O1" s="33" t="s">
        <v>33</v>
      </c>
      <c r="P1" s="8" t="s">
        <v>8</v>
      </c>
      <c r="Q1" s="8" t="s">
        <v>30</v>
      </c>
      <c r="R1" s="8" t="s">
        <v>31</v>
      </c>
      <c r="S1" s="8" t="s">
        <v>32</v>
      </c>
      <c r="T1" s="37" t="s">
        <v>71</v>
      </c>
      <c r="U1" s="1" t="s">
        <v>72</v>
      </c>
      <c r="V1" s="43" t="s">
        <v>73</v>
      </c>
      <c r="W1" s="1" t="s">
        <v>74</v>
      </c>
      <c r="X1" s="1" t="s">
        <v>75</v>
      </c>
    </row>
    <row r="2" spans="1:24" s="5" customFormat="1" ht="31.9" customHeight="1" x14ac:dyDescent="0.25">
      <c r="A2" s="17" t="s">
        <v>9</v>
      </c>
      <c r="B2" s="17" t="s">
        <v>18</v>
      </c>
      <c r="C2" s="18" t="s">
        <v>10</v>
      </c>
      <c r="D2" s="17">
        <v>1</v>
      </c>
      <c r="E2" s="18" t="s">
        <v>29</v>
      </c>
      <c r="F2" s="19">
        <f>SUM(F3:F8)</f>
        <v>15847</v>
      </c>
      <c r="G2" s="19">
        <f>SUM(G3:G8)</f>
        <v>14452</v>
      </c>
      <c r="H2" s="25">
        <v>44722</v>
      </c>
      <c r="I2" s="25">
        <f>H2+120</f>
        <v>44842</v>
      </c>
      <c r="J2" s="25" t="str">
        <f>TEXT(MIN(J3:J8),"DD/MM/YYYY")</f>
        <v>08/10/2022</v>
      </c>
      <c r="K2" s="25" t="str">
        <f>TEXT(MAX(K3:K8),"DD/MM/YYYY")</f>
        <v>22/09/2025</v>
      </c>
      <c r="L2" s="17">
        <f>K2-J2</f>
        <v>1080</v>
      </c>
      <c r="M2" s="25" t="str">
        <f>TEXT(MIN(M3:M8),"DD/MM/YYYY")</f>
        <v>13/10/2022</v>
      </c>
      <c r="N2" s="25" t="str">
        <f>TEXT(MAX(N3:N8),"DD/MM/YYYY")</f>
        <v>27/09/2025</v>
      </c>
      <c r="O2" s="34">
        <f ca="1">N2-TODAY()</f>
        <v>620</v>
      </c>
      <c r="P2" s="20">
        <f>AVERAGE(P3:P8)</f>
        <v>0.71693989071038244</v>
      </c>
      <c r="Q2" s="21">
        <f>SUM(Q3:Q8)</f>
        <v>33300000</v>
      </c>
      <c r="R2" s="21">
        <f>Q2*P2</f>
        <v>23874098.360655736</v>
      </c>
      <c r="S2" s="21">
        <f>Q2-R2</f>
        <v>9425901.6393442638</v>
      </c>
      <c r="T2" s="38">
        <f>SUM(T3:T8)</f>
        <v>14648.597222222223</v>
      </c>
      <c r="U2" s="41">
        <f ca="1">IF(TODAY()-J2&lt;0, "", IF(TODAY()-J2&gt;L2, L2, TODAY()-J2))</f>
        <v>465</v>
      </c>
      <c r="V2" s="44">
        <f t="shared" ref="V2:V50" si="0">T2/F2</f>
        <v>0.92437667837585802</v>
      </c>
      <c r="W2" s="48">
        <f ca="1">TODAY()</f>
        <v>45307</v>
      </c>
      <c r="X2" s="48">
        <v>45307</v>
      </c>
    </row>
    <row r="3" spans="1:24" ht="29.45" customHeight="1" x14ac:dyDescent="0.25">
      <c r="A3" s="2" t="s">
        <v>9</v>
      </c>
      <c r="B3" s="2" t="s">
        <v>18</v>
      </c>
      <c r="C3" s="3" t="s">
        <v>10</v>
      </c>
      <c r="D3" s="2">
        <v>1.1000000000000001</v>
      </c>
      <c r="E3" s="6" t="s">
        <v>11</v>
      </c>
      <c r="F3" s="4">
        <f>210+180+180+180+50+150+150+141</f>
        <v>1241</v>
      </c>
      <c r="G3" s="4">
        <v>1241</v>
      </c>
      <c r="H3" s="26"/>
      <c r="I3" s="26"/>
      <c r="J3" s="30">
        <f>I2</f>
        <v>44842</v>
      </c>
      <c r="K3" s="30">
        <f>J3+L3</f>
        <v>45142</v>
      </c>
      <c r="L3" s="2">
        <v>300</v>
      </c>
      <c r="M3" s="30">
        <f t="shared" ref="M3:M8" si="1">J3+5</f>
        <v>44847</v>
      </c>
      <c r="N3" s="31">
        <f t="shared" ref="N3:N8" si="2">M3+L3</f>
        <v>45147</v>
      </c>
      <c r="O3" s="35">
        <v>0</v>
      </c>
      <c r="P3" s="9">
        <f t="shared" ref="P3:P8" si="3">G3/F3</f>
        <v>1</v>
      </c>
      <c r="Q3" s="11">
        <v>3000000</v>
      </c>
      <c r="R3" s="11">
        <f>Q3*P3</f>
        <v>3000000</v>
      </c>
      <c r="S3" s="11">
        <f>Q3-R3</f>
        <v>0</v>
      </c>
      <c r="T3" s="39">
        <v>1241</v>
      </c>
      <c r="U3" s="4">
        <f t="shared" ref="U3:U8" ca="1" si="4">IF(TODAY()-J3&lt;=0, 0, IF(TODAY()-J3&gt;L3, L3, TODAY()-J3))</f>
        <v>300</v>
      </c>
      <c r="V3" s="45">
        <f t="shared" si="0"/>
        <v>1</v>
      </c>
      <c r="W3" s="49">
        <f ca="1">TODAY()</f>
        <v>45307</v>
      </c>
      <c r="X3" s="49">
        <v>45307</v>
      </c>
    </row>
    <row r="4" spans="1:24" ht="29.45" customHeight="1" x14ac:dyDescent="0.25">
      <c r="A4" s="2" t="s">
        <v>9</v>
      </c>
      <c r="B4" s="2" t="s">
        <v>18</v>
      </c>
      <c r="C4" s="3" t="s">
        <v>10</v>
      </c>
      <c r="D4" s="2">
        <v>1.2</v>
      </c>
      <c r="E4" s="6" t="s">
        <v>12</v>
      </c>
      <c r="F4" s="4">
        <f>150+150+30</f>
        <v>330</v>
      </c>
      <c r="G4" s="4">
        <v>0</v>
      </c>
      <c r="H4" s="26"/>
      <c r="I4" s="26"/>
      <c r="J4" s="30">
        <f>J3+(30*8*3)</f>
        <v>45562</v>
      </c>
      <c r="K4" s="30">
        <f t="shared" ref="K4:K8" si="5">J4+L4</f>
        <v>45832</v>
      </c>
      <c r="L4" s="2">
        <f>30*3*3</f>
        <v>270</v>
      </c>
      <c r="M4" s="30">
        <f t="shared" si="1"/>
        <v>45567</v>
      </c>
      <c r="N4" s="31">
        <f t="shared" si="2"/>
        <v>45837</v>
      </c>
      <c r="O4" s="35">
        <f t="shared" ref="O4:O50" ca="1" si="6">K4-TODAY()</f>
        <v>525</v>
      </c>
      <c r="P4" s="9">
        <f t="shared" si="3"/>
        <v>0</v>
      </c>
      <c r="Q4" s="11">
        <f>Q3-500000</f>
        <v>2500000</v>
      </c>
      <c r="R4" s="11">
        <f t="shared" ref="R4:R8" si="7">Q4*P4</f>
        <v>0</v>
      </c>
      <c r="S4" s="11">
        <f t="shared" ref="S4:S8" si="8">Q4-R4</f>
        <v>2500000</v>
      </c>
      <c r="T4" s="39">
        <v>0</v>
      </c>
      <c r="U4" s="4">
        <f t="shared" ca="1" si="4"/>
        <v>0</v>
      </c>
      <c r="V4" s="45">
        <f t="shared" si="0"/>
        <v>0</v>
      </c>
      <c r="W4" s="49">
        <f t="shared" ref="W4:W8" ca="1" si="9">TODAY()</f>
        <v>45307</v>
      </c>
      <c r="X4" s="49">
        <v>45307</v>
      </c>
    </row>
    <row r="5" spans="1:24" ht="29.45" customHeight="1" x14ac:dyDescent="0.25">
      <c r="A5" s="2" t="s">
        <v>9</v>
      </c>
      <c r="B5" s="2" t="s">
        <v>18</v>
      </c>
      <c r="C5" s="3" t="s">
        <v>10</v>
      </c>
      <c r="D5" s="2">
        <v>1.3</v>
      </c>
      <c r="E5" s="6" t="s">
        <v>13</v>
      </c>
      <c r="F5" s="4">
        <v>650</v>
      </c>
      <c r="G5" s="4">
        <v>650</v>
      </c>
      <c r="H5" s="26"/>
      <c r="I5" s="26"/>
      <c r="J5" s="30">
        <f>J3</f>
        <v>44842</v>
      </c>
      <c r="K5" s="30">
        <f t="shared" si="5"/>
        <v>44932</v>
      </c>
      <c r="L5" s="2">
        <v>90</v>
      </c>
      <c r="M5" s="30">
        <f t="shared" si="1"/>
        <v>44847</v>
      </c>
      <c r="N5" s="31">
        <f t="shared" si="2"/>
        <v>44937</v>
      </c>
      <c r="O5" s="35">
        <v>0</v>
      </c>
      <c r="P5" s="9">
        <f t="shared" si="3"/>
        <v>1</v>
      </c>
      <c r="Q5" s="11">
        <f>Q3+7000000</f>
        <v>10000000</v>
      </c>
      <c r="R5" s="11">
        <f t="shared" si="7"/>
        <v>10000000</v>
      </c>
      <c r="S5" s="11">
        <f t="shared" si="8"/>
        <v>0</v>
      </c>
      <c r="T5" s="39">
        <v>650</v>
      </c>
      <c r="U5" s="4">
        <f t="shared" ca="1" si="4"/>
        <v>90</v>
      </c>
      <c r="V5" s="45">
        <f t="shared" si="0"/>
        <v>1</v>
      </c>
      <c r="W5" s="49">
        <f t="shared" ca="1" si="9"/>
        <v>45307</v>
      </c>
      <c r="X5" s="49">
        <v>45307</v>
      </c>
    </row>
    <row r="6" spans="1:24" ht="29.45" customHeight="1" x14ac:dyDescent="0.25">
      <c r="A6" s="2" t="s">
        <v>9</v>
      </c>
      <c r="B6" s="2" t="s">
        <v>18</v>
      </c>
      <c r="C6" s="3" t="s">
        <v>10</v>
      </c>
      <c r="D6" s="2">
        <v>1.4</v>
      </c>
      <c r="E6" s="7" t="s">
        <v>14</v>
      </c>
      <c r="F6" s="4">
        <v>11735</v>
      </c>
      <c r="G6" s="4">
        <v>11735</v>
      </c>
      <c r="H6" s="26"/>
      <c r="I6" s="26"/>
      <c r="J6" s="30">
        <f>J3</f>
        <v>44842</v>
      </c>
      <c r="K6" s="30">
        <f t="shared" si="5"/>
        <v>45202</v>
      </c>
      <c r="L6" s="2">
        <f>30*12</f>
        <v>360</v>
      </c>
      <c r="M6" s="30">
        <f t="shared" si="1"/>
        <v>44847</v>
      </c>
      <c r="N6" s="31">
        <f t="shared" si="2"/>
        <v>45207</v>
      </c>
      <c r="O6" s="35">
        <v>0</v>
      </c>
      <c r="P6" s="9">
        <f t="shared" si="3"/>
        <v>1</v>
      </c>
      <c r="Q6" s="11">
        <f>Q3+400000</f>
        <v>3400000</v>
      </c>
      <c r="R6" s="11">
        <f t="shared" si="7"/>
        <v>3400000</v>
      </c>
      <c r="S6" s="11">
        <f t="shared" si="8"/>
        <v>0</v>
      </c>
      <c r="T6" s="39">
        <v>11735</v>
      </c>
      <c r="U6" s="4">
        <f t="shared" ca="1" si="4"/>
        <v>360</v>
      </c>
      <c r="V6" s="45">
        <f t="shared" si="0"/>
        <v>1</v>
      </c>
      <c r="W6" s="49">
        <f t="shared" ca="1" si="9"/>
        <v>45307</v>
      </c>
      <c r="X6" s="49">
        <v>45307</v>
      </c>
    </row>
    <row r="7" spans="1:24" ht="29.45" customHeight="1" x14ac:dyDescent="0.25">
      <c r="A7" s="2" t="s">
        <v>9</v>
      </c>
      <c r="B7" s="2" t="s">
        <v>18</v>
      </c>
      <c r="C7" s="3" t="s">
        <v>10</v>
      </c>
      <c r="D7" s="2">
        <v>1.5</v>
      </c>
      <c r="E7" s="7" t="s">
        <v>15</v>
      </c>
      <c r="F7" s="4">
        <v>366</v>
      </c>
      <c r="G7" s="4">
        <v>366</v>
      </c>
      <c r="H7" s="27"/>
      <c r="I7" s="27"/>
      <c r="J7" s="31">
        <f>K6</f>
        <v>45202</v>
      </c>
      <c r="K7" s="30">
        <f t="shared" si="5"/>
        <v>45232</v>
      </c>
      <c r="L7" s="2">
        <v>30</v>
      </c>
      <c r="M7" s="30">
        <f t="shared" si="1"/>
        <v>45207</v>
      </c>
      <c r="N7" s="31">
        <f t="shared" si="2"/>
        <v>45237</v>
      </c>
      <c r="O7" s="35">
        <v>0</v>
      </c>
      <c r="P7" s="9">
        <f t="shared" si="3"/>
        <v>1</v>
      </c>
      <c r="Q7" s="11">
        <f>Q3+2900000</f>
        <v>5900000</v>
      </c>
      <c r="R7" s="11">
        <f t="shared" si="7"/>
        <v>5900000</v>
      </c>
      <c r="S7" s="11">
        <f t="shared" si="8"/>
        <v>0</v>
      </c>
      <c r="T7" s="39">
        <v>366</v>
      </c>
      <c r="U7" s="4">
        <f t="shared" ca="1" si="4"/>
        <v>30</v>
      </c>
      <c r="V7" s="45">
        <f t="shared" si="0"/>
        <v>1</v>
      </c>
      <c r="W7" s="49">
        <f t="shared" ca="1" si="9"/>
        <v>45307</v>
      </c>
      <c r="X7" s="49">
        <v>45307</v>
      </c>
    </row>
    <row r="8" spans="1:24" ht="28.9" customHeight="1" x14ac:dyDescent="0.25">
      <c r="A8" s="2" t="s">
        <v>9</v>
      </c>
      <c r="B8" s="2" t="s">
        <v>18</v>
      </c>
      <c r="C8" s="3" t="s">
        <v>10</v>
      </c>
      <c r="D8" s="2">
        <v>1.6</v>
      </c>
      <c r="E8" s="7" t="s">
        <v>16</v>
      </c>
      <c r="F8" s="4">
        <v>1525</v>
      </c>
      <c r="G8" s="4">
        <v>460</v>
      </c>
      <c r="H8" s="26"/>
      <c r="I8" s="26"/>
      <c r="J8" s="30">
        <f>J3</f>
        <v>44842</v>
      </c>
      <c r="K8" s="30">
        <f t="shared" si="5"/>
        <v>45922</v>
      </c>
      <c r="L8" s="2">
        <f>30*3*4*3</f>
        <v>1080</v>
      </c>
      <c r="M8" s="30">
        <f t="shared" si="1"/>
        <v>44847</v>
      </c>
      <c r="N8" s="31">
        <f t="shared" si="2"/>
        <v>45927</v>
      </c>
      <c r="O8" s="35">
        <f t="shared" ca="1" si="6"/>
        <v>615</v>
      </c>
      <c r="P8" s="9">
        <f t="shared" si="3"/>
        <v>0.30163934426229511</v>
      </c>
      <c r="Q8" s="11">
        <f>Q3+5500000</f>
        <v>8500000</v>
      </c>
      <c r="R8" s="11">
        <f t="shared" si="7"/>
        <v>2563934.4262295086</v>
      </c>
      <c r="S8" s="11">
        <f t="shared" si="8"/>
        <v>5936065.5737704914</v>
      </c>
      <c r="T8" s="39">
        <v>656.59722222222217</v>
      </c>
      <c r="U8" s="4">
        <f t="shared" ca="1" si="4"/>
        <v>465</v>
      </c>
      <c r="V8" s="45">
        <f t="shared" si="0"/>
        <v>0.43055555555555552</v>
      </c>
      <c r="W8" s="49">
        <f t="shared" ca="1" si="9"/>
        <v>45307</v>
      </c>
      <c r="X8" s="49">
        <v>45307</v>
      </c>
    </row>
    <row r="9" spans="1:24" s="5" customFormat="1" ht="29.45" customHeight="1" x14ac:dyDescent="0.25">
      <c r="A9" s="12" t="s">
        <v>9</v>
      </c>
      <c r="B9" s="12" t="s">
        <v>19</v>
      </c>
      <c r="C9" s="13" t="s">
        <v>20</v>
      </c>
      <c r="D9" s="12">
        <v>2</v>
      </c>
      <c r="E9" s="13" t="s">
        <v>29</v>
      </c>
      <c r="F9" s="14">
        <f>SUM(F10:F15)</f>
        <v>21831</v>
      </c>
      <c r="G9" s="19">
        <f>SUM(G10:G15)</f>
        <v>9610</v>
      </c>
      <c r="H9" s="28">
        <v>44976</v>
      </c>
      <c r="I9" s="28">
        <f>H9+120</f>
        <v>45096</v>
      </c>
      <c r="J9" s="28" t="str">
        <f>TEXT(MIN(J10:J15),"DD/MM/YYYY")</f>
        <v>19/06/2023</v>
      </c>
      <c r="K9" s="28" t="str">
        <f>TEXT(MAX(K10:K15),"DD/MM/YYYY")</f>
        <v>03/06/2026</v>
      </c>
      <c r="L9" s="12">
        <f>K9-J9</f>
        <v>1080</v>
      </c>
      <c r="M9" s="28" t="str">
        <f>TEXT(MIN(M10:M15),"DD/MM/YYYY")</f>
        <v>19/06/2023</v>
      </c>
      <c r="N9" s="28" t="str">
        <f>TEXT(MAX(N10:N15),"DD/MM/YYYY")</f>
        <v>03/06/2026</v>
      </c>
      <c r="O9" s="36">
        <f ca="1">N9-TODAY()</f>
        <v>869</v>
      </c>
      <c r="P9" s="15">
        <f>AVERAGE(P10:P15)</f>
        <v>0.37591735589632891</v>
      </c>
      <c r="Q9" s="16">
        <f>SUM(Q10:Q15)</f>
        <v>24300000</v>
      </c>
      <c r="R9" s="16">
        <f>Q9*P9</f>
        <v>9134791.7482807916</v>
      </c>
      <c r="S9" s="16">
        <f>Q9-R9</f>
        <v>15165208.251719208</v>
      </c>
      <c r="T9" s="38">
        <f>SUM(T10:T15)</f>
        <v>11886.861111111111</v>
      </c>
      <c r="U9" s="42">
        <f ca="1">IF(TODAY()-J9&lt;0, "", IF(TODAY()-J9&gt;L9, L9, TODAY()-J9))</f>
        <v>211</v>
      </c>
      <c r="V9" s="44">
        <f t="shared" si="0"/>
        <v>0.54449457702858828</v>
      </c>
      <c r="W9" s="48">
        <f ca="1">TODAY()</f>
        <v>45307</v>
      </c>
      <c r="X9" s="48">
        <v>45307</v>
      </c>
    </row>
    <row r="10" spans="1:24" ht="29.45" customHeight="1" x14ac:dyDescent="0.25">
      <c r="A10" s="2" t="s">
        <v>9</v>
      </c>
      <c r="B10" s="2" t="s">
        <v>19</v>
      </c>
      <c r="C10" s="3" t="s">
        <v>20</v>
      </c>
      <c r="D10" s="2">
        <v>2.1</v>
      </c>
      <c r="E10" s="6" t="s">
        <v>11</v>
      </c>
      <c r="F10" s="4">
        <v>1545</v>
      </c>
      <c r="G10" s="4">
        <v>950</v>
      </c>
      <c r="H10" s="26"/>
      <c r="I10" s="26"/>
      <c r="J10" s="30">
        <f>I9</f>
        <v>45096</v>
      </c>
      <c r="K10" s="30">
        <f>J10+L10</f>
        <v>45396</v>
      </c>
      <c r="L10" s="2">
        <v>300</v>
      </c>
      <c r="M10" s="30">
        <f>J10+6</f>
        <v>45102</v>
      </c>
      <c r="N10" s="31">
        <f>M10+L10</f>
        <v>45402</v>
      </c>
      <c r="O10" s="35">
        <f t="shared" ca="1" si="6"/>
        <v>89</v>
      </c>
      <c r="P10" s="9">
        <f t="shared" ref="P10:P15" si="10">G10/F10</f>
        <v>0.61488673139158578</v>
      </c>
      <c r="Q10" s="11">
        <v>1500000</v>
      </c>
      <c r="R10" s="11">
        <f t="shared" ref="R10:R15" si="11">Q10*P10</f>
        <v>922330.09708737873</v>
      </c>
      <c r="S10" s="11">
        <f t="shared" ref="S10:S15" si="12">Q10-R10</f>
        <v>577669.90291262127</v>
      </c>
      <c r="T10" s="39">
        <v>1086.6500000000001</v>
      </c>
      <c r="U10" s="4">
        <f t="shared" ref="U10:U15" ca="1" si="13">IF(TODAY()-J10&lt;=0, 0, IF(TODAY()-J10&gt;L10, L10, TODAY()-J10))</f>
        <v>211</v>
      </c>
      <c r="V10" s="45">
        <f t="shared" si="0"/>
        <v>0.70333333333333337</v>
      </c>
      <c r="W10" s="49">
        <f ca="1">TODAY()</f>
        <v>45307</v>
      </c>
      <c r="X10" s="49">
        <v>45307</v>
      </c>
    </row>
    <row r="11" spans="1:24" ht="29.45" customHeight="1" x14ac:dyDescent="0.25">
      <c r="A11" s="2" t="s">
        <v>9</v>
      </c>
      <c r="B11" s="2" t="s">
        <v>19</v>
      </c>
      <c r="C11" s="3" t="s">
        <v>20</v>
      </c>
      <c r="D11" s="2">
        <v>2.2000000000000002</v>
      </c>
      <c r="E11" s="6" t="s">
        <v>12</v>
      </c>
      <c r="F11" s="4">
        <v>550</v>
      </c>
      <c r="G11" s="4">
        <v>0</v>
      </c>
      <c r="H11" s="26"/>
      <c r="I11" s="26"/>
      <c r="J11" s="30">
        <f>J10+(30*8*3)</f>
        <v>45816</v>
      </c>
      <c r="K11" s="30">
        <f t="shared" ref="K11:K15" si="14">J11+L11</f>
        <v>46086</v>
      </c>
      <c r="L11" s="2">
        <f>30*3*3</f>
        <v>270</v>
      </c>
      <c r="M11" s="30">
        <f>J11+3</f>
        <v>45819</v>
      </c>
      <c r="N11" s="31">
        <f t="shared" ref="N11:N15" si="15">M11+L11</f>
        <v>46089</v>
      </c>
      <c r="O11" s="35">
        <f t="shared" ca="1" si="6"/>
        <v>779</v>
      </c>
      <c r="P11" s="9">
        <f t="shared" si="10"/>
        <v>0</v>
      </c>
      <c r="Q11" s="11">
        <f>Q10-500000</f>
        <v>1000000</v>
      </c>
      <c r="R11" s="11">
        <f t="shared" si="11"/>
        <v>0</v>
      </c>
      <c r="S11" s="11">
        <f t="shared" si="12"/>
        <v>1000000</v>
      </c>
      <c r="T11" s="39">
        <v>0</v>
      </c>
      <c r="U11" s="4">
        <f t="shared" ca="1" si="13"/>
        <v>0</v>
      </c>
      <c r="V11" s="45">
        <f t="shared" si="0"/>
        <v>0</v>
      </c>
      <c r="W11" s="49">
        <f t="shared" ref="W11:W15" ca="1" si="16">TODAY()</f>
        <v>45307</v>
      </c>
      <c r="X11" s="49">
        <v>45307</v>
      </c>
    </row>
    <row r="12" spans="1:24" ht="29.45" customHeight="1" x14ac:dyDescent="0.25">
      <c r="A12" s="2" t="s">
        <v>9</v>
      </c>
      <c r="B12" s="2" t="s">
        <v>19</v>
      </c>
      <c r="C12" s="3" t="s">
        <v>20</v>
      </c>
      <c r="D12" s="2">
        <v>2.2999999999999998</v>
      </c>
      <c r="E12" s="6" t="s">
        <v>13</v>
      </c>
      <c r="F12" s="4">
        <v>750</v>
      </c>
      <c r="G12" s="4">
        <v>750</v>
      </c>
      <c r="H12" s="26"/>
      <c r="I12" s="26"/>
      <c r="J12" s="30">
        <f>J10</f>
        <v>45096</v>
      </c>
      <c r="K12" s="30">
        <f t="shared" si="14"/>
        <v>45186</v>
      </c>
      <c r="L12" s="2">
        <v>90</v>
      </c>
      <c r="M12" s="30">
        <f>J12+6</f>
        <v>45102</v>
      </c>
      <c r="N12" s="31">
        <f t="shared" si="15"/>
        <v>45192</v>
      </c>
      <c r="O12" s="35">
        <v>0</v>
      </c>
      <c r="P12" s="9">
        <f t="shared" si="10"/>
        <v>1</v>
      </c>
      <c r="Q12" s="11">
        <f>Q10+7000000</f>
        <v>8500000</v>
      </c>
      <c r="R12" s="11">
        <f t="shared" si="11"/>
        <v>8500000</v>
      </c>
      <c r="S12" s="11">
        <f t="shared" si="12"/>
        <v>0</v>
      </c>
      <c r="T12" s="39">
        <v>750</v>
      </c>
      <c r="U12" s="4">
        <f t="shared" ca="1" si="13"/>
        <v>90</v>
      </c>
      <c r="V12" s="45">
        <f t="shared" si="0"/>
        <v>1</v>
      </c>
      <c r="W12" s="49">
        <f t="shared" ca="1" si="16"/>
        <v>45307</v>
      </c>
      <c r="X12" s="49">
        <v>45307</v>
      </c>
    </row>
    <row r="13" spans="1:24" ht="29.45" customHeight="1" x14ac:dyDescent="0.25">
      <c r="A13" s="2" t="s">
        <v>9</v>
      </c>
      <c r="B13" s="2" t="s">
        <v>19</v>
      </c>
      <c r="C13" s="3" t="s">
        <v>20</v>
      </c>
      <c r="D13" s="2">
        <v>2.4</v>
      </c>
      <c r="E13" s="7" t="s">
        <v>14</v>
      </c>
      <c r="F13" s="4">
        <v>16456</v>
      </c>
      <c r="G13" s="4">
        <v>7550</v>
      </c>
      <c r="H13" s="26"/>
      <c r="I13" s="26"/>
      <c r="J13" s="30">
        <f>J10</f>
        <v>45096</v>
      </c>
      <c r="K13" s="30">
        <f t="shared" si="14"/>
        <v>45456</v>
      </c>
      <c r="L13" s="2">
        <f>30*12</f>
        <v>360</v>
      </c>
      <c r="M13" s="30">
        <f>J13+8</f>
        <v>45104</v>
      </c>
      <c r="N13" s="31">
        <f t="shared" si="15"/>
        <v>45464</v>
      </c>
      <c r="O13" s="35">
        <f t="shared" ca="1" si="6"/>
        <v>149</v>
      </c>
      <c r="P13" s="9">
        <f t="shared" si="10"/>
        <v>0.45879922216820612</v>
      </c>
      <c r="Q13" s="11">
        <f>Q10+400000</f>
        <v>1900000</v>
      </c>
      <c r="R13" s="11">
        <f t="shared" si="11"/>
        <v>871718.52211959159</v>
      </c>
      <c r="S13" s="11">
        <f t="shared" si="12"/>
        <v>1028281.4778804084</v>
      </c>
      <c r="T13" s="39">
        <v>9645.0444444444438</v>
      </c>
      <c r="U13" s="4">
        <f t="shared" ca="1" si="13"/>
        <v>211</v>
      </c>
      <c r="V13" s="45">
        <f t="shared" si="0"/>
        <v>0.58611111111111103</v>
      </c>
      <c r="W13" s="49">
        <f t="shared" ca="1" si="16"/>
        <v>45307</v>
      </c>
      <c r="X13" s="49">
        <v>45307</v>
      </c>
    </row>
    <row r="14" spans="1:24" ht="29.45" customHeight="1" x14ac:dyDescent="0.25">
      <c r="A14" s="2" t="s">
        <v>9</v>
      </c>
      <c r="B14" s="2" t="s">
        <v>19</v>
      </c>
      <c r="C14" s="3" t="s">
        <v>20</v>
      </c>
      <c r="D14" s="2">
        <v>2.5</v>
      </c>
      <c r="E14" s="7" t="s">
        <v>15</v>
      </c>
      <c r="F14" s="4">
        <v>550</v>
      </c>
      <c r="G14" s="4">
        <v>0</v>
      </c>
      <c r="H14" s="26"/>
      <c r="I14" s="26"/>
      <c r="J14" s="30">
        <f>J13+(30*7)</f>
        <v>45306</v>
      </c>
      <c r="K14" s="30">
        <f t="shared" si="14"/>
        <v>45336</v>
      </c>
      <c r="L14" s="2">
        <v>30</v>
      </c>
      <c r="M14" s="30">
        <f>J14+4</f>
        <v>45310</v>
      </c>
      <c r="N14" s="31">
        <f t="shared" si="15"/>
        <v>45340</v>
      </c>
      <c r="O14" s="35">
        <f t="shared" ca="1" si="6"/>
        <v>29</v>
      </c>
      <c r="P14" s="9">
        <f t="shared" si="10"/>
        <v>0</v>
      </c>
      <c r="Q14" s="11">
        <f>Q10+2900000</f>
        <v>4400000</v>
      </c>
      <c r="R14" s="11">
        <f t="shared" si="11"/>
        <v>0</v>
      </c>
      <c r="S14" s="11">
        <f t="shared" si="12"/>
        <v>4400000</v>
      </c>
      <c r="T14" s="39">
        <v>18.333333333333332</v>
      </c>
      <c r="U14" s="4">
        <f t="shared" ca="1" si="13"/>
        <v>1</v>
      </c>
      <c r="V14" s="45">
        <f t="shared" si="0"/>
        <v>3.3333333333333333E-2</v>
      </c>
      <c r="W14" s="49">
        <f t="shared" ca="1" si="16"/>
        <v>45307</v>
      </c>
      <c r="X14" s="49">
        <v>45307</v>
      </c>
    </row>
    <row r="15" spans="1:24" ht="28.9" customHeight="1" x14ac:dyDescent="0.25">
      <c r="A15" s="2" t="s">
        <v>9</v>
      </c>
      <c r="B15" s="2" t="s">
        <v>19</v>
      </c>
      <c r="C15" s="3" t="s">
        <v>20</v>
      </c>
      <c r="D15" s="2">
        <v>2.6</v>
      </c>
      <c r="E15" s="7" t="s">
        <v>16</v>
      </c>
      <c r="F15" s="4">
        <v>1980</v>
      </c>
      <c r="G15" s="4">
        <v>360</v>
      </c>
      <c r="H15" s="26"/>
      <c r="I15" s="26"/>
      <c r="J15" s="30">
        <f>J10</f>
        <v>45096</v>
      </c>
      <c r="K15" s="30">
        <f t="shared" si="14"/>
        <v>46176</v>
      </c>
      <c r="L15" s="2">
        <f>30*3*4*3</f>
        <v>1080</v>
      </c>
      <c r="M15" s="30">
        <f>J15</f>
        <v>45096</v>
      </c>
      <c r="N15" s="31">
        <f t="shared" si="15"/>
        <v>46176</v>
      </c>
      <c r="O15" s="35">
        <f t="shared" ca="1" si="6"/>
        <v>869</v>
      </c>
      <c r="P15" s="9">
        <f t="shared" si="10"/>
        <v>0.18181818181818182</v>
      </c>
      <c r="Q15" s="11">
        <f>Q10+5500000</f>
        <v>7000000</v>
      </c>
      <c r="R15" s="11">
        <f t="shared" si="11"/>
        <v>1272727.2727272727</v>
      </c>
      <c r="S15" s="11">
        <f t="shared" si="12"/>
        <v>5727272.7272727275</v>
      </c>
      <c r="T15" s="39">
        <v>386.83333333333331</v>
      </c>
      <c r="U15" s="4">
        <f t="shared" ca="1" si="13"/>
        <v>211</v>
      </c>
      <c r="V15" s="45">
        <f t="shared" si="0"/>
        <v>0.19537037037037036</v>
      </c>
      <c r="W15" s="49">
        <f t="shared" ca="1" si="16"/>
        <v>45307</v>
      </c>
      <c r="X15" s="49">
        <v>45307</v>
      </c>
    </row>
    <row r="16" spans="1:24" s="5" customFormat="1" ht="29.45" customHeight="1" x14ac:dyDescent="0.25">
      <c r="A16" s="17" t="s">
        <v>21</v>
      </c>
      <c r="B16" s="17" t="s">
        <v>22</v>
      </c>
      <c r="C16" s="18" t="s">
        <v>37</v>
      </c>
      <c r="D16" s="17">
        <v>3</v>
      </c>
      <c r="E16" s="18" t="s">
        <v>29</v>
      </c>
      <c r="F16" s="19">
        <f>SUM(F17:F22)</f>
        <v>14395</v>
      </c>
      <c r="G16" s="19">
        <f>SUM(G17:G22)</f>
        <v>12805</v>
      </c>
      <c r="H16" s="25">
        <v>44783</v>
      </c>
      <c r="I16" s="25">
        <f>H16+120</f>
        <v>44903</v>
      </c>
      <c r="J16" s="25" t="str">
        <f>TEXT(MIN(J17:J22),"DD/MM/YYYY")</f>
        <v>08/12/2022</v>
      </c>
      <c r="K16" s="25" t="str">
        <f>TEXT(MAX(K17:K22),"DD/MM/YYYY")</f>
        <v>22/11/2025</v>
      </c>
      <c r="L16" s="17">
        <f>K16-J16</f>
        <v>1080</v>
      </c>
      <c r="M16" s="25" t="str">
        <f>TEXT(MIN(M17:M22),"DD/MM/YYYY")</f>
        <v>08/12/2022</v>
      </c>
      <c r="N16" s="25" t="str">
        <f>TEXT(MAX(N17:N22),"DD/MM/YYYY")</f>
        <v>02/12/2025</v>
      </c>
      <c r="O16" s="34">
        <v>678</v>
      </c>
      <c r="P16" s="20">
        <f>AVERAGE(P17:P22)</f>
        <v>0.71746880570409977</v>
      </c>
      <c r="Q16" s="21">
        <f>SUM(Q17:Q22)</f>
        <v>21300000</v>
      </c>
      <c r="R16" s="21">
        <f>Q16*P16</f>
        <v>15282085.561497325</v>
      </c>
      <c r="S16" s="21">
        <f>Q16-R16</f>
        <v>6017914.4385026749</v>
      </c>
      <c r="T16" s="38">
        <f>SUM(T17:T22)</f>
        <v>12934.518518518518</v>
      </c>
      <c r="U16" s="42">
        <f ca="1">IF(TODAY()-J16&lt;0, "", IF(TODAY()-J16&gt;L16, L16, TODAY()-J16))</f>
        <v>404</v>
      </c>
      <c r="V16" s="44">
        <f t="shared" si="0"/>
        <v>0.89854244657995963</v>
      </c>
      <c r="W16" s="48">
        <f ca="1">TODAY()</f>
        <v>45307</v>
      </c>
      <c r="X16" s="48">
        <v>45307</v>
      </c>
    </row>
    <row r="17" spans="1:24" ht="29.45" customHeight="1" x14ac:dyDescent="0.25">
      <c r="A17" s="2" t="s">
        <v>21</v>
      </c>
      <c r="B17" s="2" t="s">
        <v>22</v>
      </c>
      <c r="C17" s="3" t="s">
        <v>37</v>
      </c>
      <c r="D17" s="2">
        <v>3.1</v>
      </c>
      <c r="E17" s="6" t="s">
        <v>11</v>
      </c>
      <c r="F17" s="4">
        <v>1050</v>
      </c>
      <c r="G17" s="4">
        <v>1050</v>
      </c>
      <c r="H17" s="26"/>
      <c r="I17" s="26"/>
      <c r="J17" s="30">
        <f>I16</f>
        <v>44903</v>
      </c>
      <c r="K17" s="30">
        <f>J17+L17</f>
        <v>45203</v>
      </c>
      <c r="L17" s="2">
        <v>300</v>
      </c>
      <c r="M17" s="30">
        <f>J17</f>
        <v>44903</v>
      </c>
      <c r="N17" s="31">
        <f>M17+L17+15</f>
        <v>45218</v>
      </c>
      <c r="O17" s="35">
        <v>0</v>
      </c>
      <c r="P17" s="9">
        <f t="shared" ref="P17:P22" si="17">G17/F17</f>
        <v>1</v>
      </c>
      <c r="Q17" s="11">
        <v>1000000</v>
      </c>
      <c r="R17" s="11">
        <f t="shared" ref="R17:R22" si="18">Q17*P17</f>
        <v>1000000</v>
      </c>
      <c r="S17" s="11">
        <f t="shared" ref="S17:S22" si="19">Q17-R17</f>
        <v>0</v>
      </c>
      <c r="T17" s="39">
        <v>1050</v>
      </c>
      <c r="U17" s="4">
        <f t="shared" ref="U17:U22" ca="1" si="20">IF(TODAY()-J17&lt;=0, 0, IF(TODAY()-J17&gt;L17, L17, TODAY()-J17))</f>
        <v>300</v>
      </c>
      <c r="V17" s="45">
        <f t="shared" si="0"/>
        <v>1</v>
      </c>
      <c r="W17" s="49">
        <f ca="1">TODAY()</f>
        <v>45307</v>
      </c>
      <c r="X17" s="49">
        <v>45307</v>
      </c>
    </row>
    <row r="18" spans="1:24" ht="29.45" customHeight="1" x14ac:dyDescent="0.25">
      <c r="A18" s="2" t="s">
        <v>21</v>
      </c>
      <c r="B18" s="2" t="s">
        <v>22</v>
      </c>
      <c r="C18" s="3" t="s">
        <v>37</v>
      </c>
      <c r="D18" s="2">
        <v>3.2</v>
      </c>
      <c r="E18" s="6" t="s">
        <v>12</v>
      </c>
      <c r="F18" s="4">
        <v>290</v>
      </c>
      <c r="G18" s="4">
        <v>0</v>
      </c>
      <c r="H18" s="26"/>
      <c r="I18" s="26"/>
      <c r="J18" s="30">
        <f>J17+(30*8*3)</f>
        <v>45623</v>
      </c>
      <c r="K18" s="30">
        <f t="shared" ref="K18:K22" si="21">J18+L18</f>
        <v>45893</v>
      </c>
      <c r="L18" s="2">
        <f>30*3*3</f>
        <v>270</v>
      </c>
      <c r="M18" s="30">
        <f t="shared" ref="M18:M22" si="22">J18</f>
        <v>45623</v>
      </c>
      <c r="N18" s="31">
        <f t="shared" ref="N18:N21" si="23">M18+L18+15</f>
        <v>45908</v>
      </c>
      <c r="O18" s="35">
        <f t="shared" ca="1" si="6"/>
        <v>586</v>
      </c>
      <c r="P18" s="9">
        <f t="shared" si="17"/>
        <v>0</v>
      </c>
      <c r="Q18" s="11">
        <f>Q17-500000</f>
        <v>500000</v>
      </c>
      <c r="R18" s="11">
        <f t="shared" si="18"/>
        <v>0</v>
      </c>
      <c r="S18" s="11">
        <f t="shared" si="19"/>
        <v>500000</v>
      </c>
      <c r="T18" s="39">
        <v>0</v>
      </c>
      <c r="U18" s="4">
        <f t="shared" ca="1" si="20"/>
        <v>0</v>
      </c>
      <c r="V18" s="45">
        <f t="shared" si="0"/>
        <v>0</v>
      </c>
      <c r="W18" s="49">
        <f t="shared" ref="W18:W22" ca="1" si="24">TODAY()</f>
        <v>45307</v>
      </c>
      <c r="X18" s="49">
        <v>45307</v>
      </c>
    </row>
    <row r="19" spans="1:24" ht="29.45" customHeight="1" x14ac:dyDescent="0.25">
      <c r="A19" s="2" t="s">
        <v>21</v>
      </c>
      <c r="B19" s="2" t="s">
        <v>22</v>
      </c>
      <c r="C19" s="3" t="s">
        <v>37</v>
      </c>
      <c r="D19" s="2">
        <v>3.3</v>
      </c>
      <c r="E19" s="6" t="s">
        <v>13</v>
      </c>
      <c r="F19" s="4">
        <v>870</v>
      </c>
      <c r="G19" s="4">
        <v>870</v>
      </c>
      <c r="H19" s="26"/>
      <c r="I19" s="26"/>
      <c r="J19" s="30">
        <f>J17</f>
        <v>44903</v>
      </c>
      <c r="K19" s="30">
        <f t="shared" si="21"/>
        <v>44993</v>
      </c>
      <c r="L19" s="2">
        <v>90</v>
      </c>
      <c r="M19" s="30">
        <f t="shared" si="22"/>
        <v>44903</v>
      </c>
      <c r="N19" s="31">
        <f t="shared" si="23"/>
        <v>45008</v>
      </c>
      <c r="O19" s="35">
        <v>0</v>
      </c>
      <c r="P19" s="9">
        <f t="shared" si="17"/>
        <v>1</v>
      </c>
      <c r="Q19" s="11">
        <f>Q17+7000000</f>
        <v>8000000</v>
      </c>
      <c r="R19" s="11">
        <f t="shared" si="18"/>
        <v>8000000</v>
      </c>
      <c r="S19" s="11">
        <f t="shared" si="19"/>
        <v>0</v>
      </c>
      <c r="T19" s="39">
        <v>870</v>
      </c>
      <c r="U19" s="4">
        <f t="shared" ca="1" si="20"/>
        <v>90</v>
      </c>
      <c r="V19" s="45">
        <f t="shared" si="0"/>
        <v>1</v>
      </c>
      <c r="W19" s="49">
        <f t="shared" ca="1" si="24"/>
        <v>45307</v>
      </c>
      <c r="X19" s="49">
        <v>45307</v>
      </c>
    </row>
    <row r="20" spans="1:24" ht="29.45" customHeight="1" x14ac:dyDescent="0.25">
      <c r="A20" s="2" t="s">
        <v>21</v>
      </c>
      <c r="B20" s="2" t="s">
        <v>22</v>
      </c>
      <c r="C20" s="3" t="s">
        <v>37</v>
      </c>
      <c r="D20" s="2">
        <v>3.4</v>
      </c>
      <c r="E20" s="7" t="s">
        <v>14</v>
      </c>
      <c r="F20" s="4">
        <v>9860</v>
      </c>
      <c r="G20" s="4">
        <v>9860</v>
      </c>
      <c r="H20" s="26"/>
      <c r="I20" s="26"/>
      <c r="J20" s="30">
        <f>J17</f>
        <v>44903</v>
      </c>
      <c r="K20" s="30">
        <f t="shared" si="21"/>
        <v>45263</v>
      </c>
      <c r="L20" s="2">
        <f>30*12</f>
        <v>360</v>
      </c>
      <c r="M20" s="30">
        <f t="shared" si="22"/>
        <v>44903</v>
      </c>
      <c r="N20" s="31">
        <f>M20+L20+8</f>
        <v>45271</v>
      </c>
      <c r="O20" s="35">
        <v>0</v>
      </c>
      <c r="P20" s="9">
        <f t="shared" si="17"/>
        <v>1</v>
      </c>
      <c r="Q20" s="11">
        <f>Q17+400000</f>
        <v>1400000</v>
      </c>
      <c r="R20" s="11">
        <f t="shared" si="18"/>
        <v>1400000</v>
      </c>
      <c r="S20" s="11">
        <f t="shared" si="19"/>
        <v>0</v>
      </c>
      <c r="T20" s="39">
        <v>9860</v>
      </c>
      <c r="U20" s="4">
        <f t="shared" ca="1" si="20"/>
        <v>360</v>
      </c>
      <c r="V20" s="45">
        <f t="shared" si="0"/>
        <v>1</v>
      </c>
      <c r="W20" s="49">
        <f t="shared" ca="1" si="24"/>
        <v>45307</v>
      </c>
      <c r="X20" s="49">
        <v>45307</v>
      </c>
    </row>
    <row r="21" spans="1:24" ht="29.45" customHeight="1" x14ac:dyDescent="0.25">
      <c r="A21" s="2" t="s">
        <v>21</v>
      </c>
      <c r="B21" s="2" t="s">
        <v>22</v>
      </c>
      <c r="C21" s="3" t="s">
        <v>37</v>
      </c>
      <c r="D21" s="2">
        <v>3.5</v>
      </c>
      <c r="E21" s="7" t="s">
        <v>15</v>
      </c>
      <c r="F21" s="4">
        <v>455</v>
      </c>
      <c r="G21" s="4">
        <v>455</v>
      </c>
      <c r="H21" s="26"/>
      <c r="I21" s="26"/>
      <c r="J21" s="30">
        <f>J20+(30*7)</f>
        <v>45113</v>
      </c>
      <c r="K21" s="30">
        <f t="shared" si="21"/>
        <v>45143</v>
      </c>
      <c r="L21" s="2">
        <v>30</v>
      </c>
      <c r="M21" s="30">
        <f t="shared" si="22"/>
        <v>45113</v>
      </c>
      <c r="N21" s="31">
        <f t="shared" si="23"/>
        <v>45158</v>
      </c>
      <c r="O21" s="35">
        <v>0</v>
      </c>
      <c r="P21" s="9">
        <f t="shared" si="17"/>
        <v>1</v>
      </c>
      <c r="Q21" s="11">
        <f>Q17+2900000</f>
        <v>3900000</v>
      </c>
      <c r="R21" s="11">
        <f t="shared" si="18"/>
        <v>3900000</v>
      </c>
      <c r="S21" s="11">
        <f t="shared" si="19"/>
        <v>0</v>
      </c>
      <c r="T21" s="39">
        <v>455</v>
      </c>
      <c r="U21" s="4">
        <f t="shared" ca="1" si="20"/>
        <v>30</v>
      </c>
      <c r="V21" s="45">
        <f t="shared" si="0"/>
        <v>1</v>
      </c>
      <c r="W21" s="49">
        <f t="shared" ca="1" si="24"/>
        <v>45307</v>
      </c>
      <c r="X21" s="49">
        <v>45307</v>
      </c>
    </row>
    <row r="22" spans="1:24" ht="28.9" customHeight="1" x14ac:dyDescent="0.25">
      <c r="A22" s="2" t="s">
        <v>21</v>
      </c>
      <c r="B22" s="2" t="s">
        <v>22</v>
      </c>
      <c r="C22" s="3" t="s">
        <v>37</v>
      </c>
      <c r="D22" s="2">
        <v>3.6</v>
      </c>
      <c r="E22" s="7" t="s">
        <v>16</v>
      </c>
      <c r="F22" s="4">
        <v>1870</v>
      </c>
      <c r="G22" s="4">
        <v>570</v>
      </c>
      <c r="H22" s="26"/>
      <c r="I22" s="26"/>
      <c r="J22" s="30">
        <f>J17</f>
        <v>44903</v>
      </c>
      <c r="K22" s="30">
        <f t="shared" si="21"/>
        <v>45983</v>
      </c>
      <c r="L22" s="2">
        <f>30*3*4*3</f>
        <v>1080</v>
      </c>
      <c r="M22" s="30">
        <f t="shared" si="22"/>
        <v>44903</v>
      </c>
      <c r="N22" s="31">
        <f>M22+L22+10</f>
        <v>45993</v>
      </c>
      <c r="O22" s="35">
        <f t="shared" ca="1" si="6"/>
        <v>676</v>
      </c>
      <c r="P22" s="9">
        <f t="shared" si="17"/>
        <v>0.30481283422459893</v>
      </c>
      <c r="Q22" s="11">
        <f>Q17+5500000</f>
        <v>6500000</v>
      </c>
      <c r="R22" s="11">
        <f t="shared" si="18"/>
        <v>1981283.4224598929</v>
      </c>
      <c r="S22" s="11">
        <f t="shared" si="19"/>
        <v>4518716.5775401071</v>
      </c>
      <c r="T22" s="39">
        <v>699.51851851851848</v>
      </c>
      <c r="U22" s="4">
        <f t="shared" ca="1" si="20"/>
        <v>404</v>
      </c>
      <c r="V22" s="45">
        <f t="shared" si="0"/>
        <v>0.37407407407407406</v>
      </c>
      <c r="W22" s="49">
        <f t="shared" ca="1" si="24"/>
        <v>45307</v>
      </c>
      <c r="X22" s="49">
        <v>45307</v>
      </c>
    </row>
    <row r="23" spans="1:24" s="5" customFormat="1" ht="29.45" customHeight="1" x14ac:dyDescent="0.25">
      <c r="A23" s="17" t="s">
        <v>21</v>
      </c>
      <c r="B23" s="17" t="s">
        <v>23</v>
      </c>
      <c r="C23" s="18" t="s">
        <v>38</v>
      </c>
      <c r="D23" s="17">
        <v>4</v>
      </c>
      <c r="E23" s="18" t="s">
        <v>29</v>
      </c>
      <c r="F23" s="19">
        <f>SUM(F24:F29)</f>
        <v>22686</v>
      </c>
      <c r="G23" s="19">
        <f>SUM(G24:G29)</f>
        <v>16150</v>
      </c>
      <c r="H23" s="25">
        <v>44905</v>
      </c>
      <c r="I23" s="25">
        <f>H23+120</f>
        <v>45025</v>
      </c>
      <c r="J23" s="25" t="str">
        <f>TEXT(MIN(J24:J29),"DD/MM/YYYY")</f>
        <v>09/04/2023</v>
      </c>
      <c r="K23" s="25" t="str">
        <f>TEXT(MAX(K24:K29),"DD/MM/YYYY")</f>
        <v>24/03/2026</v>
      </c>
      <c r="L23" s="17">
        <f>K23-J23</f>
        <v>1080</v>
      </c>
      <c r="M23" s="25" t="str">
        <f>TEXT(MIN(M24:M29),"DD/MM/YYYY")</f>
        <v>14/04/2023</v>
      </c>
      <c r="N23" s="25" t="str">
        <f>TEXT(MAX(N24:N29),"DD/MM/YYYY")</f>
        <v>24/03/2026</v>
      </c>
      <c r="O23" s="34">
        <v>800</v>
      </c>
      <c r="P23" s="20">
        <f>AVERAGE(P24:P29)</f>
        <v>0.63344704450298883</v>
      </c>
      <c r="Q23" s="21">
        <f>SUM(Q24:Q29)</f>
        <v>116800000</v>
      </c>
      <c r="R23" s="21">
        <f>Q23*P23</f>
        <v>73986614.797949091</v>
      </c>
      <c r="S23" s="21">
        <f>Q23-R23</f>
        <v>42813385.202050909</v>
      </c>
      <c r="T23" s="38">
        <f>SUM(T24:T29)</f>
        <v>17098.566666666666</v>
      </c>
      <c r="U23" s="42">
        <f ca="1">IF(TODAY()-J23&lt;0, "", IF(TODAY()-J23&gt;L23, L23, TODAY()-J23))</f>
        <v>282</v>
      </c>
      <c r="V23" s="44">
        <f t="shared" si="0"/>
        <v>0.75370566281700901</v>
      </c>
      <c r="W23" s="48">
        <f ca="1">TODAY()</f>
        <v>45307</v>
      </c>
      <c r="X23" s="48">
        <v>45307</v>
      </c>
    </row>
    <row r="24" spans="1:24" ht="29.45" customHeight="1" x14ac:dyDescent="0.25">
      <c r="A24" s="2" t="s">
        <v>21</v>
      </c>
      <c r="B24" s="2" t="s">
        <v>23</v>
      </c>
      <c r="C24" s="3" t="s">
        <v>38</v>
      </c>
      <c r="D24" s="2">
        <v>4.0999999999999996</v>
      </c>
      <c r="E24" s="6" t="s">
        <v>11</v>
      </c>
      <c r="F24" s="4">
        <v>1980</v>
      </c>
      <c r="G24" s="4">
        <v>1650</v>
      </c>
      <c r="H24" s="26"/>
      <c r="I24" s="26"/>
      <c r="J24" s="30">
        <f>I23</f>
        <v>45025</v>
      </c>
      <c r="K24" s="30">
        <f>J24+L24</f>
        <v>45325</v>
      </c>
      <c r="L24" s="2">
        <v>300</v>
      </c>
      <c r="M24" s="30">
        <f>J24+5</f>
        <v>45030</v>
      </c>
      <c r="N24" s="31">
        <f>M24+L24-5</f>
        <v>45325</v>
      </c>
      <c r="O24" s="35">
        <v>0</v>
      </c>
      <c r="P24" s="9">
        <f t="shared" ref="P24:P29" si="25">G24/F24</f>
        <v>0.83333333333333337</v>
      </c>
      <c r="Q24" s="11">
        <f>Q22+7000000</f>
        <v>13500000</v>
      </c>
      <c r="R24" s="11">
        <f t="shared" ref="R24:R29" si="26">Q24*P24</f>
        <v>11250000</v>
      </c>
      <c r="S24" s="11">
        <f t="shared" ref="S24:S29" si="27">Q24-R24</f>
        <v>2250000</v>
      </c>
      <c r="T24" s="39">
        <v>1861.1999999999998</v>
      </c>
      <c r="U24" s="4">
        <f t="shared" ref="U24:U29" ca="1" si="28">IF(TODAY()-J24&lt;=0, 0, IF(TODAY()-J24&gt;L24, L24, TODAY()-J24))</f>
        <v>282</v>
      </c>
      <c r="V24" s="45">
        <f t="shared" si="0"/>
        <v>0.94</v>
      </c>
      <c r="W24" s="49">
        <f ca="1">TODAY()</f>
        <v>45307</v>
      </c>
      <c r="X24" s="49">
        <v>45307</v>
      </c>
    </row>
    <row r="25" spans="1:24" ht="29.45" customHeight="1" x14ac:dyDescent="0.25">
      <c r="A25" s="2" t="s">
        <v>21</v>
      </c>
      <c r="B25" s="2" t="s">
        <v>23</v>
      </c>
      <c r="C25" s="3" t="s">
        <v>38</v>
      </c>
      <c r="D25" s="2">
        <v>4.2</v>
      </c>
      <c r="E25" s="6" t="s">
        <v>12</v>
      </c>
      <c r="F25" s="4">
        <v>488</v>
      </c>
      <c r="G25" s="4">
        <v>0</v>
      </c>
      <c r="H25" s="26"/>
      <c r="I25" s="26"/>
      <c r="J25" s="30">
        <f>J24+(30*8*3)</f>
        <v>45745</v>
      </c>
      <c r="K25" s="30">
        <f t="shared" ref="K25:K29" si="29">J25+L25</f>
        <v>46015</v>
      </c>
      <c r="L25" s="2">
        <f>30*3*3</f>
        <v>270</v>
      </c>
      <c r="M25" s="30">
        <f t="shared" ref="M25:M29" si="30">J25+5</f>
        <v>45750</v>
      </c>
      <c r="N25" s="31">
        <f t="shared" ref="N25:N29" si="31">M25+L25-5</f>
        <v>46015</v>
      </c>
      <c r="O25" s="35">
        <f t="shared" ca="1" si="6"/>
        <v>708</v>
      </c>
      <c r="P25" s="9">
        <f t="shared" si="25"/>
        <v>0</v>
      </c>
      <c r="Q25" s="11">
        <f>Q22+400000</f>
        <v>6900000</v>
      </c>
      <c r="R25" s="11">
        <f t="shared" si="26"/>
        <v>0</v>
      </c>
      <c r="S25" s="11">
        <f t="shared" si="27"/>
        <v>6900000</v>
      </c>
      <c r="T25" s="39">
        <v>0</v>
      </c>
      <c r="U25" s="4">
        <f t="shared" ca="1" si="28"/>
        <v>0</v>
      </c>
      <c r="V25" s="45">
        <f t="shared" si="0"/>
        <v>0</v>
      </c>
      <c r="W25" s="49">
        <f t="shared" ref="W25:W29" ca="1" si="32">TODAY()</f>
        <v>45307</v>
      </c>
      <c r="X25" s="49">
        <v>45307</v>
      </c>
    </row>
    <row r="26" spans="1:24" ht="29.45" customHeight="1" x14ac:dyDescent="0.25">
      <c r="A26" s="2" t="s">
        <v>21</v>
      </c>
      <c r="B26" s="2" t="s">
        <v>23</v>
      </c>
      <c r="C26" s="3" t="s">
        <v>38</v>
      </c>
      <c r="D26" s="2">
        <v>4.3</v>
      </c>
      <c r="E26" s="6" t="s">
        <v>13</v>
      </c>
      <c r="F26" s="4">
        <v>890</v>
      </c>
      <c r="G26" s="4">
        <v>890</v>
      </c>
      <c r="H26" s="26"/>
      <c r="I26" s="26"/>
      <c r="J26" s="30">
        <f>J24</f>
        <v>45025</v>
      </c>
      <c r="K26" s="30">
        <f t="shared" si="29"/>
        <v>45115</v>
      </c>
      <c r="L26" s="2">
        <v>90</v>
      </c>
      <c r="M26" s="30">
        <f t="shared" si="30"/>
        <v>45030</v>
      </c>
      <c r="N26" s="31">
        <f t="shared" si="31"/>
        <v>45115</v>
      </c>
      <c r="O26" s="35">
        <v>0</v>
      </c>
      <c r="P26" s="9">
        <f t="shared" si="25"/>
        <v>1</v>
      </c>
      <c r="Q26" s="11">
        <f>Q22+2900000</f>
        <v>9400000</v>
      </c>
      <c r="R26" s="11">
        <f t="shared" si="26"/>
        <v>9400000</v>
      </c>
      <c r="S26" s="11">
        <f t="shared" si="27"/>
        <v>0</v>
      </c>
      <c r="T26" s="39">
        <v>890</v>
      </c>
      <c r="U26" s="4">
        <f t="shared" ca="1" si="28"/>
        <v>90</v>
      </c>
      <c r="V26" s="45">
        <f t="shared" si="0"/>
        <v>1</v>
      </c>
      <c r="W26" s="49">
        <f t="shared" ca="1" si="32"/>
        <v>45307</v>
      </c>
      <c r="X26" s="49">
        <v>45307</v>
      </c>
    </row>
    <row r="27" spans="1:24" ht="29.45" customHeight="1" x14ac:dyDescent="0.25">
      <c r="A27" s="2" t="s">
        <v>21</v>
      </c>
      <c r="B27" s="2" t="s">
        <v>23</v>
      </c>
      <c r="C27" s="3" t="s">
        <v>38</v>
      </c>
      <c r="D27" s="2">
        <v>4.4000000000000004</v>
      </c>
      <c r="E27" s="7" t="s">
        <v>14</v>
      </c>
      <c r="F27" s="4">
        <v>16890</v>
      </c>
      <c r="G27" s="4">
        <v>12560</v>
      </c>
      <c r="H27" s="26"/>
      <c r="I27" s="26"/>
      <c r="J27" s="30">
        <f>J24</f>
        <v>45025</v>
      </c>
      <c r="K27" s="30">
        <f t="shared" si="29"/>
        <v>45385</v>
      </c>
      <c r="L27" s="2">
        <f>30*12</f>
        <v>360</v>
      </c>
      <c r="M27" s="30">
        <f t="shared" si="30"/>
        <v>45030</v>
      </c>
      <c r="N27" s="31">
        <f t="shared" si="31"/>
        <v>45385</v>
      </c>
      <c r="O27" s="35">
        <f t="shared" ca="1" si="6"/>
        <v>78</v>
      </c>
      <c r="P27" s="9">
        <f t="shared" si="25"/>
        <v>0.7436352871521611</v>
      </c>
      <c r="Q27" s="11">
        <f>Q22+5500000</f>
        <v>12000000</v>
      </c>
      <c r="R27" s="11">
        <f t="shared" si="26"/>
        <v>8923623.4458259325</v>
      </c>
      <c r="S27" s="11">
        <f t="shared" si="27"/>
        <v>3076376.5541740675</v>
      </c>
      <c r="T27" s="39">
        <v>13230.5</v>
      </c>
      <c r="U27" s="4">
        <f t="shared" ca="1" si="28"/>
        <v>282</v>
      </c>
      <c r="V27" s="45">
        <f t="shared" si="0"/>
        <v>0.78333333333333333</v>
      </c>
      <c r="W27" s="49">
        <f t="shared" ca="1" si="32"/>
        <v>45307</v>
      </c>
      <c r="X27" s="49">
        <v>45307</v>
      </c>
    </row>
    <row r="28" spans="1:24" ht="29.45" customHeight="1" x14ac:dyDescent="0.25">
      <c r="A28" s="2" t="s">
        <v>21</v>
      </c>
      <c r="B28" s="2" t="s">
        <v>23</v>
      </c>
      <c r="C28" s="3" t="s">
        <v>38</v>
      </c>
      <c r="D28" s="2">
        <v>4.5</v>
      </c>
      <c r="E28" s="7" t="s">
        <v>15</v>
      </c>
      <c r="F28" s="4">
        <v>650</v>
      </c>
      <c r="G28" s="4">
        <v>650</v>
      </c>
      <c r="H28" s="26"/>
      <c r="I28" s="26"/>
      <c r="J28" s="30">
        <f>J27+(30*7)</f>
        <v>45235</v>
      </c>
      <c r="K28" s="30">
        <f t="shared" si="29"/>
        <v>45265</v>
      </c>
      <c r="L28" s="2">
        <v>30</v>
      </c>
      <c r="M28" s="30">
        <f t="shared" si="30"/>
        <v>45240</v>
      </c>
      <c r="N28" s="31">
        <f t="shared" si="31"/>
        <v>45265</v>
      </c>
      <c r="O28" s="35">
        <v>0</v>
      </c>
      <c r="P28" s="9">
        <f t="shared" si="25"/>
        <v>1</v>
      </c>
      <c r="Q28" s="11">
        <f>Q22+50000000</f>
        <v>56500000</v>
      </c>
      <c r="R28" s="11">
        <f t="shared" si="26"/>
        <v>56500000</v>
      </c>
      <c r="S28" s="11">
        <f t="shared" si="27"/>
        <v>0</v>
      </c>
      <c r="T28" s="39">
        <v>650</v>
      </c>
      <c r="U28" s="4">
        <f t="shared" ca="1" si="28"/>
        <v>30</v>
      </c>
      <c r="V28" s="45">
        <f t="shared" si="0"/>
        <v>1</v>
      </c>
      <c r="W28" s="49">
        <f t="shared" ca="1" si="32"/>
        <v>45307</v>
      </c>
      <c r="X28" s="49">
        <v>45307</v>
      </c>
    </row>
    <row r="29" spans="1:24" ht="28.9" customHeight="1" x14ac:dyDescent="0.25">
      <c r="A29" s="2" t="s">
        <v>21</v>
      </c>
      <c r="B29" s="2" t="s">
        <v>23</v>
      </c>
      <c r="C29" s="3" t="s">
        <v>38</v>
      </c>
      <c r="D29" s="2">
        <v>4.5999999999999996</v>
      </c>
      <c r="E29" s="7" t="s">
        <v>16</v>
      </c>
      <c r="F29" s="4">
        <v>1788</v>
      </c>
      <c r="G29" s="4">
        <v>400</v>
      </c>
      <c r="H29" s="26"/>
      <c r="I29" s="26"/>
      <c r="J29" s="30">
        <f>J24</f>
        <v>45025</v>
      </c>
      <c r="K29" s="30">
        <f t="shared" si="29"/>
        <v>46105</v>
      </c>
      <c r="L29" s="2">
        <f>30*3*4*3</f>
        <v>1080</v>
      </c>
      <c r="M29" s="30">
        <f t="shared" si="30"/>
        <v>45030</v>
      </c>
      <c r="N29" s="31">
        <f t="shared" si="31"/>
        <v>46105</v>
      </c>
      <c r="O29" s="35">
        <f t="shared" ca="1" si="6"/>
        <v>798</v>
      </c>
      <c r="P29" s="9">
        <f t="shared" si="25"/>
        <v>0.22371364653243847</v>
      </c>
      <c r="Q29" s="11">
        <f>Q22+12000000</f>
        <v>18500000</v>
      </c>
      <c r="R29" s="11">
        <f t="shared" si="26"/>
        <v>4138702.4608501117</v>
      </c>
      <c r="S29" s="11">
        <f t="shared" si="27"/>
        <v>14361297.539149888</v>
      </c>
      <c r="T29" s="39">
        <v>466.86666666666662</v>
      </c>
      <c r="U29" s="4">
        <f t="shared" ca="1" si="28"/>
        <v>282</v>
      </c>
      <c r="V29" s="45">
        <f t="shared" si="0"/>
        <v>0.26111111111111107</v>
      </c>
      <c r="W29" s="49">
        <f t="shared" ca="1" si="32"/>
        <v>45307</v>
      </c>
      <c r="X29" s="49">
        <v>45307</v>
      </c>
    </row>
    <row r="30" spans="1:24" s="5" customFormat="1" ht="29.45" customHeight="1" x14ac:dyDescent="0.25">
      <c r="A30" s="17" t="s">
        <v>24</v>
      </c>
      <c r="B30" s="17" t="s">
        <v>25</v>
      </c>
      <c r="C30" s="18" t="s">
        <v>39</v>
      </c>
      <c r="D30" s="17">
        <v>5</v>
      </c>
      <c r="E30" s="18" t="s">
        <v>29</v>
      </c>
      <c r="F30" s="19">
        <f>SUM(F31:F36)</f>
        <v>15847</v>
      </c>
      <c r="G30" s="19">
        <f>SUM(G31:G36)</f>
        <v>9290</v>
      </c>
      <c r="H30" s="25">
        <v>44936</v>
      </c>
      <c r="I30" s="25">
        <f>H30+120</f>
        <v>45056</v>
      </c>
      <c r="J30" s="25" t="str">
        <f>TEXT(MIN(J31:J36),"DD/MM/YYYY")</f>
        <v>10/05/2023</v>
      </c>
      <c r="K30" s="25" t="str">
        <f>TEXT(MAX(K31:K36),"DD/MM/YYYY")</f>
        <v>24/04/2026</v>
      </c>
      <c r="L30" s="17">
        <f>K30-J30</f>
        <v>1080</v>
      </c>
      <c r="M30" s="25" t="str">
        <f>TEXT(MIN(M31:M36),"DD/MM/YYYY")</f>
        <v>20/05/2023</v>
      </c>
      <c r="N30" s="25" t="str">
        <f>TEXT(MAX(N31:N36),"DD/MM/YYYY")</f>
        <v>01/05/2026</v>
      </c>
      <c r="O30" s="34">
        <v>831</v>
      </c>
      <c r="P30" s="20">
        <f>AVERAGE(P31:P36)</f>
        <v>0.53557287037861034</v>
      </c>
      <c r="Q30" s="21">
        <f>SUM(Q31:Q36)</f>
        <v>52800000</v>
      </c>
      <c r="R30" s="21">
        <f>Q30*P30</f>
        <v>28278247.555990625</v>
      </c>
      <c r="S30" s="21">
        <f>Q30-R30</f>
        <v>24521752.444009375</v>
      </c>
      <c r="T30" s="38">
        <f>SUM(T31:T36)</f>
        <v>10590.627407407406</v>
      </c>
      <c r="U30" s="42">
        <f ca="1">IF(TODAY()-J30&lt;0, "", IF(TODAY()-J30&gt;L30, L30, TODAY()-J30))</f>
        <v>251</v>
      </c>
      <c r="V30" s="44">
        <f t="shared" si="0"/>
        <v>0.66830487836230246</v>
      </c>
      <c r="W30" s="48">
        <f ca="1">TODAY()</f>
        <v>45307</v>
      </c>
      <c r="X30" s="48">
        <v>45307</v>
      </c>
    </row>
    <row r="31" spans="1:24" ht="29.45" customHeight="1" x14ac:dyDescent="0.25">
      <c r="A31" s="2" t="s">
        <v>24</v>
      </c>
      <c r="B31" s="2" t="s">
        <v>25</v>
      </c>
      <c r="C31" s="3" t="s">
        <v>39</v>
      </c>
      <c r="D31" s="2">
        <v>5.0999999999999996</v>
      </c>
      <c r="E31" s="6" t="s">
        <v>11</v>
      </c>
      <c r="F31" s="4">
        <f>210+180+180+180+50+150+150+141</f>
        <v>1241</v>
      </c>
      <c r="G31" s="4">
        <v>750</v>
      </c>
      <c r="H31" s="26"/>
      <c r="I31" s="26"/>
      <c r="J31" s="30">
        <f>I30</f>
        <v>45056</v>
      </c>
      <c r="K31" s="30">
        <f>J31+L31</f>
        <v>45356</v>
      </c>
      <c r="L31" s="2">
        <v>300</v>
      </c>
      <c r="M31" s="30">
        <f>J31+10</f>
        <v>45066</v>
      </c>
      <c r="N31" s="31">
        <f>K31+7</f>
        <v>45363</v>
      </c>
      <c r="O31" s="35">
        <v>0</v>
      </c>
      <c r="P31" s="9">
        <f t="shared" ref="P31:P36" si="33">G31/F31</f>
        <v>0.60435132957292503</v>
      </c>
      <c r="Q31" s="11">
        <v>6250000</v>
      </c>
      <c r="R31" s="11">
        <f t="shared" ref="R31:R36" si="34">Q31*P31</f>
        <v>3777195.8098307815</v>
      </c>
      <c r="S31" s="11">
        <f t="shared" ref="S31:S36" si="35">Q31-R31</f>
        <v>2472804.1901692185</v>
      </c>
      <c r="T31" s="39">
        <v>1038.3033333333333</v>
      </c>
      <c r="U31" s="4">
        <f t="shared" ref="U31:U36" ca="1" si="36">IF(TODAY()-J31&lt;=0, 0, IF(TODAY()-J31&gt;L31, L31, TODAY()-J31))</f>
        <v>251</v>
      </c>
      <c r="V31" s="45">
        <f t="shared" si="0"/>
        <v>0.83666666666666667</v>
      </c>
      <c r="W31" s="49">
        <f ca="1">TODAY()</f>
        <v>45307</v>
      </c>
      <c r="X31" s="49">
        <v>45307</v>
      </c>
    </row>
    <row r="32" spans="1:24" ht="29.45" customHeight="1" x14ac:dyDescent="0.25">
      <c r="A32" s="2" t="s">
        <v>24</v>
      </c>
      <c r="B32" s="2" t="s">
        <v>25</v>
      </c>
      <c r="C32" s="3" t="s">
        <v>39</v>
      </c>
      <c r="D32" s="2">
        <v>5.2</v>
      </c>
      <c r="E32" s="6" t="s">
        <v>12</v>
      </c>
      <c r="F32" s="4">
        <f>150+150+30</f>
        <v>330</v>
      </c>
      <c r="G32" s="4">
        <v>0</v>
      </c>
      <c r="H32" s="26"/>
      <c r="I32" s="26"/>
      <c r="J32" s="30">
        <f>J31+(30*8*3)</f>
        <v>45776</v>
      </c>
      <c r="K32" s="30">
        <f t="shared" ref="K32:K36" si="37">J32+L32</f>
        <v>46046</v>
      </c>
      <c r="L32" s="2">
        <f>30*3*3</f>
        <v>270</v>
      </c>
      <c r="M32" s="30">
        <f t="shared" ref="M32:M36" si="38">J32+10</f>
        <v>45786</v>
      </c>
      <c r="N32" s="31">
        <f t="shared" ref="N32:N36" si="39">K32+7</f>
        <v>46053</v>
      </c>
      <c r="O32" s="35">
        <f t="shared" ca="1" si="6"/>
        <v>739</v>
      </c>
      <c r="P32" s="9">
        <f t="shared" si="33"/>
        <v>0</v>
      </c>
      <c r="Q32" s="11">
        <f>Q31-500000</f>
        <v>5750000</v>
      </c>
      <c r="R32" s="11">
        <f t="shared" si="34"/>
        <v>0</v>
      </c>
      <c r="S32" s="11">
        <f t="shared" si="35"/>
        <v>5750000</v>
      </c>
      <c r="T32" s="39">
        <v>0</v>
      </c>
      <c r="U32" s="4">
        <f t="shared" ca="1" si="36"/>
        <v>0</v>
      </c>
      <c r="V32" s="45">
        <f t="shared" si="0"/>
        <v>0</v>
      </c>
      <c r="W32" s="49">
        <f t="shared" ref="W32:W36" ca="1" si="40">TODAY()</f>
        <v>45307</v>
      </c>
      <c r="X32" s="49">
        <v>45307</v>
      </c>
    </row>
    <row r="33" spans="1:24" ht="29.45" customHeight="1" x14ac:dyDescent="0.25">
      <c r="A33" s="2" t="s">
        <v>24</v>
      </c>
      <c r="B33" s="2" t="s">
        <v>25</v>
      </c>
      <c r="C33" s="3" t="s">
        <v>39</v>
      </c>
      <c r="D33" s="2">
        <v>5.3</v>
      </c>
      <c r="E33" s="6" t="s">
        <v>13</v>
      </c>
      <c r="F33" s="4">
        <v>650</v>
      </c>
      <c r="G33" s="4">
        <v>650</v>
      </c>
      <c r="H33" s="26"/>
      <c r="I33" s="26"/>
      <c r="J33" s="30">
        <f>J31</f>
        <v>45056</v>
      </c>
      <c r="K33" s="30">
        <f t="shared" si="37"/>
        <v>45146</v>
      </c>
      <c r="L33" s="2">
        <v>90</v>
      </c>
      <c r="M33" s="30">
        <f t="shared" si="38"/>
        <v>45066</v>
      </c>
      <c r="N33" s="31">
        <f t="shared" si="39"/>
        <v>45153</v>
      </c>
      <c r="O33" s="35">
        <v>0</v>
      </c>
      <c r="P33" s="9">
        <f t="shared" si="33"/>
        <v>1</v>
      </c>
      <c r="Q33" s="11">
        <f>Q31+7000000</f>
        <v>13250000</v>
      </c>
      <c r="R33" s="11">
        <f t="shared" si="34"/>
        <v>13250000</v>
      </c>
      <c r="S33" s="11">
        <f t="shared" si="35"/>
        <v>0</v>
      </c>
      <c r="T33" s="39">
        <v>650</v>
      </c>
      <c r="U33" s="4">
        <f t="shared" ca="1" si="36"/>
        <v>90</v>
      </c>
      <c r="V33" s="45">
        <f t="shared" si="0"/>
        <v>1</v>
      </c>
      <c r="W33" s="49">
        <f t="shared" ca="1" si="40"/>
        <v>45307</v>
      </c>
      <c r="X33" s="49">
        <v>45307</v>
      </c>
    </row>
    <row r="34" spans="1:24" ht="29.45" customHeight="1" x14ac:dyDescent="0.25">
      <c r="A34" s="2" t="s">
        <v>24</v>
      </c>
      <c r="B34" s="2" t="s">
        <v>25</v>
      </c>
      <c r="C34" s="3" t="s">
        <v>39</v>
      </c>
      <c r="D34" s="2">
        <v>5.4</v>
      </c>
      <c r="E34" s="7" t="s">
        <v>14</v>
      </c>
      <c r="F34" s="4">
        <v>11735</v>
      </c>
      <c r="G34" s="4">
        <v>7340</v>
      </c>
      <c r="H34" s="26"/>
      <c r="I34" s="26"/>
      <c r="J34" s="30">
        <f>J31</f>
        <v>45056</v>
      </c>
      <c r="K34" s="30">
        <f t="shared" si="37"/>
        <v>45416</v>
      </c>
      <c r="L34" s="2">
        <f>30*12</f>
        <v>360</v>
      </c>
      <c r="M34" s="30">
        <f t="shared" si="38"/>
        <v>45066</v>
      </c>
      <c r="N34" s="31">
        <f t="shared" si="39"/>
        <v>45423</v>
      </c>
      <c r="O34" s="35">
        <f t="shared" ca="1" si="6"/>
        <v>109</v>
      </c>
      <c r="P34" s="9">
        <f t="shared" si="33"/>
        <v>0.62547933532168731</v>
      </c>
      <c r="Q34" s="11">
        <f>Q31+400000</f>
        <v>6650000</v>
      </c>
      <c r="R34" s="11">
        <f t="shared" si="34"/>
        <v>4159437.5798892207</v>
      </c>
      <c r="S34" s="11">
        <f t="shared" si="35"/>
        <v>2490562.4201107793</v>
      </c>
      <c r="T34" s="39">
        <v>8181.9027777777774</v>
      </c>
      <c r="U34" s="4">
        <f t="shared" ca="1" si="36"/>
        <v>251</v>
      </c>
      <c r="V34" s="45">
        <f t="shared" si="0"/>
        <v>0.69722222222222219</v>
      </c>
      <c r="W34" s="49">
        <f t="shared" ca="1" si="40"/>
        <v>45307</v>
      </c>
      <c r="X34" s="49">
        <v>45307</v>
      </c>
    </row>
    <row r="35" spans="1:24" ht="29.45" customHeight="1" x14ac:dyDescent="0.25">
      <c r="A35" s="2" t="s">
        <v>24</v>
      </c>
      <c r="B35" s="2" t="s">
        <v>25</v>
      </c>
      <c r="C35" s="3" t="s">
        <v>39</v>
      </c>
      <c r="D35" s="2">
        <v>5.5</v>
      </c>
      <c r="E35" s="7" t="s">
        <v>15</v>
      </c>
      <c r="F35" s="4">
        <v>366</v>
      </c>
      <c r="G35" s="4">
        <v>300</v>
      </c>
      <c r="H35" s="26"/>
      <c r="I35" s="26"/>
      <c r="J35" s="30">
        <f>J34+(30*7)</f>
        <v>45266</v>
      </c>
      <c r="K35" s="30">
        <f t="shared" si="37"/>
        <v>45296</v>
      </c>
      <c r="L35" s="2">
        <v>30</v>
      </c>
      <c r="M35" s="30">
        <f t="shared" si="38"/>
        <v>45276</v>
      </c>
      <c r="N35" s="31">
        <f t="shared" si="39"/>
        <v>45303</v>
      </c>
      <c r="O35" s="35">
        <v>0</v>
      </c>
      <c r="P35" s="9">
        <f t="shared" si="33"/>
        <v>0.81967213114754101</v>
      </c>
      <c r="Q35" s="11">
        <f>Q31+2900000</f>
        <v>9150000</v>
      </c>
      <c r="R35" s="11">
        <f t="shared" si="34"/>
        <v>7500000</v>
      </c>
      <c r="S35" s="11">
        <f t="shared" si="35"/>
        <v>1650000</v>
      </c>
      <c r="T35" s="39">
        <v>366</v>
      </c>
      <c r="U35" s="4">
        <f t="shared" ca="1" si="36"/>
        <v>30</v>
      </c>
      <c r="V35" s="45">
        <f t="shared" si="0"/>
        <v>1</v>
      </c>
      <c r="W35" s="49">
        <f t="shared" ca="1" si="40"/>
        <v>45307</v>
      </c>
      <c r="X35" s="49">
        <v>45307</v>
      </c>
    </row>
    <row r="36" spans="1:24" ht="28.9" customHeight="1" x14ac:dyDescent="0.25">
      <c r="A36" s="2" t="s">
        <v>24</v>
      </c>
      <c r="B36" s="2" t="s">
        <v>25</v>
      </c>
      <c r="C36" s="3" t="s">
        <v>39</v>
      </c>
      <c r="D36" s="2">
        <v>5.6</v>
      </c>
      <c r="E36" s="7" t="s">
        <v>16</v>
      </c>
      <c r="F36" s="4">
        <v>1525</v>
      </c>
      <c r="G36" s="4">
        <v>250</v>
      </c>
      <c r="H36" s="26"/>
      <c r="I36" s="26"/>
      <c r="J36" s="30">
        <f>J31</f>
        <v>45056</v>
      </c>
      <c r="K36" s="30">
        <f t="shared" si="37"/>
        <v>46136</v>
      </c>
      <c r="L36" s="2">
        <f>30*3*4*3</f>
        <v>1080</v>
      </c>
      <c r="M36" s="30">
        <f t="shared" si="38"/>
        <v>45066</v>
      </c>
      <c r="N36" s="31">
        <f t="shared" si="39"/>
        <v>46143</v>
      </c>
      <c r="O36" s="35">
        <f t="shared" ca="1" si="6"/>
        <v>829</v>
      </c>
      <c r="P36" s="9">
        <f t="shared" si="33"/>
        <v>0.16393442622950818</v>
      </c>
      <c r="Q36" s="11">
        <f>Q31+5500000</f>
        <v>11750000</v>
      </c>
      <c r="R36" s="11">
        <f t="shared" si="34"/>
        <v>1926229.5081967211</v>
      </c>
      <c r="S36" s="11">
        <f t="shared" si="35"/>
        <v>9823770.4918032791</v>
      </c>
      <c r="T36" s="39">
        <v>354.4212962962963</v>
      </c>
      <c r="U36" s="4">
        <f t="shared" ca="1" si="36"/>
        <v>251</v>
      </c>
      <c r="V36" s="45">
        <f t="shared" si="0"/>
        <v>0.23240740740740742</v>
      </c>
      <c r="W36" s="49">
        <f t="shared" ca="1" si="40"/>
        <v>45307</v>
      </c>
      <c r="X36" s="49">
        <v>45307</v>
      </c>
    </row>
    <row r="37" spans="1:24" s="5" customFormat="1" ht="29.45" customHeight="1" x14ac:dyDescent="0.25">
      <c r="A37" s="17" t="s">
        <v>24</v>
      </c>
      <c r="B37" s="17" t="s">
        <v>26</v>
      </c>
      <c r="C37" s="18" t="s">
        <v>40</v>
      </c>
      <c r="D37" s="17">
        <v>6</v>
      </c>
      <c r="E37" s="18" t="s">
        <v>29</v>
      </c>
      <c r="F37" s="19">
        <f>SUM(F38:F43)</f>
        <v>19271</v>
      </c>
      <c r="G37" s="19">
        <f>SUM(G38:G43)</f>
        <v>201</v>
      </c>
      <c r="H37" s="25">
        <v>45179</v>
      </c>
      <c r="I37" s="25">
        <f>H37+120</f>
        <v>45299</v>
      </c>
      <c r="J37" s="25" t="str">
        <f>TEXT(MIN(J38:J43),"DD/MM/YYYY")</f>
        <v>08/01/2024</v>
      </c>
      <c r="K37" s="25" t="str">
        <f>TEXT(MAX(K38:K43),"DD/MM/YYYY")</f>
        <v>23/12/2026</v>
      </c>
      <c r="L37" s="17">
        <f>K37-J37</f>
        <v>1080</v>
      </c>
      <c r="M37" s="25" t="str">
        <f>TEXT(MIN(M38:M43),"DD/MM/YYYY")</f>
        <v>08/01/2024</v>
      </c>
      <c r="N37" s="25" t="str">
        <f>TEXT(MAX(N38:N43),"DD/MM/YYYY")</f>
        <v>23/12/2026</v>
      </c>
      <c r="O37" s="34">
        <v>1074</v>
      </c>
      <c r="P37" s="20">
        <f>AVERAGE(P38:P43)</f>
        <v>1.6751166733818604E-2</v>
      </c>
      <c r="Q37" s="21">
        <f>SUM(Q38:Q43)</f>
        <v>61720000</v>
      </c>
      <c r="R37" s="21">
        <f>Q37*P37</f>
        <v>1033882.0108112843</v>
      </c>
      <c r="S37" s="21">
        <f>Q37-R37</f>
        <v>60686117.989188716</v>
      </c>
      <c r="T37" s="38">
        <f>SUM(T38:T43)</f>
        <v>433.87407407407409</v>
      </c>
      <c r="U37" s="42">
        <f ca="1">IF(TODAY()-J37&lt;0, "", IF(TODAY()-J37&gt;L37, L37, TODAY()-J37))</f>
        <v>8</v>
      </c>
      <c r="V37" s="44">
        <f t="shared" si="0"/>
        <v>2.2514351827828037E-2</v>
      </c>
      <c r="W37" s="48">
        <f ca="1">TODAY()</f>
        <v>45307</v>
      </c>
      <c r="X37" s="48">
        <v>45307</v>
      </c>
    </row>
    <row r="38" spans="1:24" ht="29.45" customHeight="1" x14ac:dyDescent="0.25">
      <c r="A38" s="2" t="s">
        <v>24</v>
      </c>
      <c r="B38" s="2" t="s">
        <v>26</v>
      </c>
      <c r="C38" s="3" t="s">
        <v>40</v>
      </c>
      <c r="D38" s="2">
        <v>6.1</v>
      </c>
      <c r="E38" s="6" t="s">
        <v>11</v>
      </c>
      <c r="F38" s="4">
        <v>1345</v>
      </c>
      <c r="G38" s="4">
        <v>25</v>
      </c>
      <c r="H38" s="26"/>
      <c r="I38" s="26"/>
      <c r="J38" s="30">
        <f>I37</f>
        <v>45299</v>
      </c>
      <c r="K38" s="30">
        <f>J38+L38</f>
        <v>45599</v>
      </c>
      <c r="L38" s="2">
        <v>300</v>
      </c>
      <c r="M38" s="30">
        <f>J38</f>
        <v>45299</v>
      </c>
      <c r="N38" s="31">
        <f>K38</f>
        <v>45599</v>
      </c>
      <c r="O38" s="35">
        <v>0</v>
      </c>
      <c r="P38" s="9">
        <f t="shared" ref="P38:P43" si="41">G38/F38</f>
        <v>1.858736059479554E-2</v>
      </c>
      <c r="Q38" s="11">
        <f>Q31+12000000</f>
        <v>18250000</v>
      </c>
      <c r="R38" s="11">
        <f t="shared" ref="R38:R43" si="42">Q38*P38</f>
        <v>339219.33085501858</v>
      </c>
      <c r="S38" s="11">
        <f t="shared" ref="S38:S43" si="43">Q38-R38</f>
        <v>17910780.669144981</v>
      </c>
      <c r="T38" s="39">
        <v>35.866666666666667</v>
      </c>
      <c r="U38" s="4">
        <f t="shared" ref="U38:U43" ca="1" si="44">IF(TODAY()-J38&lt;=0, 0, IF(TODAY()-J38&gt;L38, L38, TODAY()-J38))</f>
        <v>8</v>
      </c>
      <c r="V38" s="45">
        <f t="shared" si="0"/>
        <v>2.6666666666666668E-2</v>
      </c>
      <c r="W38" s="49">
        <f ca="1">TODAY()</f>
        <v>45307</v>
      </c>
      <c r="X38" s="49">
        <v>45307</v>
      </c>
    </row>
    <row r="39" spans="1:24" ht="29.45" customHeight="1" x14ac:dyDescent="0.25">
      <c r="A39" s="2" t="s">
        <v>24</v>
      </c>
      <c r="B39" s="2" t="s">
        <v>26</v>
      </c>
      <c r="C39" s="3" t="s">
        <v>40</v>
      </c>
      <c r="D39" s="2">
        <v>6.2</v>
      </c>
      <c r="E39" s="6" t="s">
        <v>12</v>
      </c>
      <c r="F39" s="4">
        <v>250</v>
      </c>
      <c r="G39" s="4">
        <v>0</v>
      </c>
      <c r="H39" s="26"/>
      <c r="I39" s="26"/>
      <c r="J39" s="30">
        <f>J38+(30*8*3)</f>
        <v>46019</v>
      </c>
      <c r="K39" s="30">
        <f t="shared" ref="K39:K43" si="45">J39+L39</f>
        <v>46289</v>
      </c>
      <c r="L39" s="2">
        <f>30*3*3</f>
        <v>270</v>
      </c>
      <c r="M39" s="30">
        <f t="shared" ref="M39:M43" si="46">J39</f>
        <v>46019</v>
      </c>
      <c r="N39" s="31">
        <f t="shared" ref="N39:N43" si="47">K39</f>
        <v>46289</v>
      </c>
      <c r="O39" s="35">
        <f t="shared" ca="1" si="6"/>
        <v>982</v>
      </c>
      <c r="P39" s="9">
        <f t="shared" si="41"/>
        <v>0</v>
      </c>
      <c r="Q39" s="11">
        <v>6734000</v>
      </c>
      <c r="R39" s="11">
        <f t="shared" si="42"/>
        <v>0</v>
      </c>
      <c r="S39" s="11">
        <f t="shared" si="43"/>
        <v>6734000</v>
      </c>
      <c r="T39" s="39">
        <v>0</v>
      </c>
      <c r="U39" s="4">
        <f t="shared" ca="1" si="44"/>
        <v>0</v>
      </c>
      <c r="V39" s="45">
        <f t="shared" si="0"/>
        <v>0</v>
      </c>
      <c r="W39" s="49">
        <f t="shared" ref="W39:W43" ca="1" si="48">TODAY()</f>
        <v>45307</v>
      </c>
      <c r="X39" s="49">
        <v>45307</v>
      </c>
    </row>
    <row r="40" spans="1:24" ht="29.45" customHeight="1" x14ac:dyDescent="0.25">
      <c r="A40" s="2" t="s">
        <v>24</v>
      </c>
      <c r="B40" s="2" t="s">
        <v>26</v>
      </c>
      <c r="C40" s="3" t="s">
        <v>40</v>
      </c>
      <c r="D40" s="2">
        <v>6.3</v>
      </c>
      <c r="E40" s="6" t="s">
        <v>13</v>
      </c>
      <c r="F40" s="4">
        <v>670</v>
      </c>
      <c r="G40" s="4">
        <v>46</v>
      </c>
      <c r="H40" s="26"/>
      <c r="I40" s="26"/>
      <c r="J40" s="30">
        <f>J38</f>
        <v>45299</v>
      </c>
      <c r="K40" s="30">
        <f t="shared" si="45"/>
        <v>45389</v>
      </c>
      <c r="L40" s="2">
        <v>90</v>
      </c>
      <c r="M40" s="30">
        <f t="shared" si="46"/>
        <v>45299</v>
      </c>
      <c r="N40" s="31">
        <f t="shared" si="47"/>
        <v>45389</v>
      </c>
      <c r="O40" s="35">
        <v>0</v>
      </c>
      <c r="P40" s="9">
        <f t="shared" si="41"/>
        <v>6.8656716417910449E-2</v>
      </c>
      <c r="Q40" s="11">
        <f>Q39-500000</f>
        <v>6234000</v>
      </c>
      <c r="R40" s="11">
        <f t="shared" si="42"/>
        <v>428005.97014925373</v>
      </c>
      <c r="S40" s="11">
        <f t="shared" si="43"/>
        <v>5805994.0298507465</v>
      </c>
      <c r="T40" s="39">
        <v>59.555555555555557</v>
      </c>
      <c r="U40" s="4">
        <f t="shared" ca="1" si="44"/>
        <v>8</v>
      </c>
      <c r="V40" s="45">
        <f t="shared" si="0"/>
        <v>8.8888888888888892E-2</v>
      </c>
      <c r="W40" s="49">
        <f t="shared" ca="1" si="48"/>
        <v>45307</v>
      </c>
      <c r="X40" s="49">
        <v>45307</v>
      </c>
    </row>
    <row r="41" spans="1:24" ht="29.45" customHeight="1" x14ac:dyDescent="0.25">
      <c r="A41" s="2" t="s">
        <v>24</v>
      </c>
      <c r="B41" s="2" t="s">
        <v>26</v>
      </c>
      <c r="C41" s="3" t="s">
        <v>40</v>
      </c>
      <c r="D41" s="2">
        <v>6.4</v>
      </c>
      <c r="E41" s="7" t="s">
        <v>14</v>
      </c>
      <c r="F41" s="4">
        <v>14567</v>
      </c>
      <c r="G41" s="4">
        <v>120</v>
      </c>
      <c r="H41" s="26"/>
      <c r="I41" s="26"/>
      <c r="J41" s="30">
        <f>J38</f>
        <v>45299</v>
      </c>
      <c r="K41" s="30">
        <f t="shared" si="45"/>
        <v>45659</v>
      </c>
      <c r="L41" s="2">
        <f>30*12</f>
        <v>360</v>
      </c>
      <c r="M41" s="30">
        <f t="shared" si="46"/>
        <v>45299</v>
      </c>
      <c r="N41" s="31">
        <f t="shared" si="47"/>
        <v>45659</v>
      </c>
      <c r="O41" s="35">
        <f t="shared" ca="1" si="6"/>
        <v>352</v>
      </c>
      <c r="P41" s="9">
        <f t="shared" si="41"/>
        <v>8.2377977620649405E-3</v>
      </c>
      <c r="Q41" s="11">
        <f>Q39+7000000</f>
        <v>13734000</v>
      </c>
      <c r="R41" s="11">
        <f t="shared" si="42"/>
        <v>113137.91446419989</v>
      </c>
      <c r="S41" s="11">
        <f t="shared" si="43"/>
        <v>13620862.0855358</v>
      </c>
      <c r="T41" s="39">
        <v>323.71111111111111</v>
      </c>
      <c r="U41" s="4">
        <f t="shared" ca="1" si="44"/>
        <v>8</v>
      </c>
      <c r="V41" s="45">
        <f t="shared" si="0"/>
        <v>2.2222222222222223E-2</v>
      </c>
      <c r="W41" s="49">
        <f t="shared" ca="1" si="48"/>
        <v>45307</v>
      </c>
      <c r="X41" s="49">
        <v>45307</v>
      </c>
    </row>
    <row r="42" spans="1:24" ht="29.45" customHeight="1" x14ac:dyDescent="0.25">
      <c r="A42" s="2" t="s">
        <v>24</v>
      </c>
      <c r="B42" s="2" t="s">
        <v>26</v>
      </c>
      <c r="C42" s="3" t="s">
        <v>40</v>
      </c>
      <c r="D42" s="2">
        <v>6.5</v>
      </c>
      <c r="E42" s="7" t="s">
        <v>15</v>
      </c>
      <c r="F42" s="4">
        <v>449</v>
      </c>
      <c r="G42" s="4">
        <v>0</v>
      </c>
      <c r="H42" s="26"/>
      <c r="I42" s="26"/>
      <c r="J42" s="30">
        <f>J41+(30*7)</f>
        <v>45509</v>
      </c>
      <c r="K42" s="30">
        <f t="shared" si="45"/>
        <v>45539</v>
      </c>
      <c r="L42" s="2">
        <v>30</v>
      </c>
      <c r="M42" s="30">
        <f t="shared" si="46"/>
        <v>45509</v>
      </c>
      <c r="N42" s="31">
        <f t="shared" si="47"/>
        <v>45539</v>
      </c>
      <c r="O42" s="35">
        <v>0</v>
      </c>
      <c r="P42" s="9">
        <f t="shared" si="41"/>
        <v>0</v>
      </c>
      <c r="Q42" s="11">
        <f>Q39+400000</f>
        <v>7134000</v>
      </c>
      <c r="R42" s="11">
        <f t="shared" si="42"/>
        <v>0</v>
      </c>
      <c r="S42" s="11">
        <f t="shared" si="43"/>
        <v>7134000</v>
      </c>
      <c r="T42" s="39">
        <v>0</v>
      </c>
      <c r="U42" s="4">
        <f t="shared" ca="1" si="44"/>
        <v>0</v>
      </c>
      <c r="V42" s="45">
        <f t="shared" si="0"/>
        <v>0</v>
      </c>
      <c r="W42" s="49">
        <f t="shared" ca="1" si="48"/>
        <v>45307</v>
      </c>
      <c r="X42" s="49">
        <v>45307</v>
      </c>
    </row>
    <row r="43" spans="1:24" ht="28.9" customHeight="1" x14ac:dyDescent="0.25">
      <c r="A43" s="2" t="s">
        <v>24</v>
      </c>
      <c r="B43" s="2" t="s">
        <v>26</v>
      </c>
      <c r="C43" s="3" t="s">
        <v>40</v>
      </c>
      <c r="D43" s="2">
        <v>6.6</v>
      </c>
      <c r="E43" s="7" t="s">
        <v>16</v>
      </c>
      <c r="F43" s="4">
        <v>1990</v>
      </c>
      <c r="G43" s="4">
        <v>10</v>
      </c>
      <c r="H43" s="26"/>
      <c r="I43" s="26"/>
      <c r="J43" s="30">
        <f>J38</f>
        <v>45299</v>
      </c>
      <c r="K43" s="30">
        <f t="shared" si="45"/>
        <v>46379</v>
      </c>
      <c r="L43" s="2">
        <f>30*3*4*3</f>
        <v>1080</v>
      </c>
      <c r="M43" s="30">
        <f t="shared" si="46"/>
        <v>45299</v>
      </c>
      <c r="N43" s="31">
        <f t="shared" si="47"/>
        <v>46379</v>
      </c>
      <c r="O43" s="35">
        <f t="shared" ca="1" si="6"/>
        <v>1072</v>
      </c>
      <c r="P43" s="9">
        <f t="shared" si="41"/>
        <v>5.0251256281407036E-3</v>
      </c>
      <c r="Q43" s="11">
        <f>Q39+2900000</f>
        <v>9634000</v>
      </c>
      <c r="R43" s="11">
        <f t="shared" si="42"/>
        <v>48412.060301507539</v>
      </c>
      <c r="S43" s="11">
        <f t="shared" si="43"/>
        <v>9585587.9396984931</v>
      </c>
      <c r="T43" s="39">
        <v>14.74074074074074</v>
      </c>
      <c r="U43" s="4">
        <f t="shared" ca="1" si="44"/>
        <v>8</v>
      </c>
      <c r="V43" s="45">
        <f t="shared" si="0"/>
        <v>7.4074074074074077E-3</v>
      </c>
      <c r="W43" s="49">
        <f t="shared" ca="1" si="48"/>
        <v>45307</v>
      </c>
      <c r="X43" s="49">
        <v>45307</v>
      </c>
    </row>
    <row r="44" spans="1:24" s="5" customFormat="1" ht="29.45" customHeight="1" x14ac:dyDescent="0.25">
      <c r="A44" s="17" t="s">
        <v>24</v>
      </c>
      <c r="B44" s="17" t="s">
        <v>27</v>
      </c>
      <c r="C44" s="18" t="s">
        <v>41</v>
      </c>
      <c r="D44" s="17">
        <v>7</v>
      </c>
      <c r="E44" s="18" t="s">
        <v>29</v>
      </c>
      <c r="F44" s="19">
        <f>SUM(F45:F50)</f>
        <v>23115</v>
      </c>
      <c r="G44" s="19">
        <f>SUM(G45:G50)</f>
        <v>8355</v>
      </c>
      <c r="H44" s="25">
        <v>45026</v>
      </c>
      <c r="I44" s="25">
        <f>H44+120</f>
        <v>45146</v>
      </c>
      <c r="J44" s="25" t="str">
        <f>TEXT(MIN(J45:J50),"DD/MM/YYYY")</f>
        <v>08/08/2023</v>
      </c>
      <c r="K44" s="25" t="str">
        <f>TEXT(MAX(K45:K50),"DD/MM/YYYY")</f>
        <v>23/07/2026</v>
      </c>
      <c r="L44" s="17">
        <f>K44-J44</f>
        <v>1080</v>
      </c>
      <c r="M44" s="25" t="str">
        <f>TEXT(MIN(M45:M50),"DD/MM/YYYY")</f>
        <v>22/08/2023</v>
      </c>
      <c r="N44" s="25" t="str">
        <f>TEXT(MAX(N45:N50),"DD/MM/YYYY")</f>
        <v>01/08/2026</v>
      </c>
      <c r="O44" s="34">
        <v>921</v>
      </c>
      <c r="P44" s="20">
        <f>AVERAGE(P45:P50)</f>
        <v>0.31816016883175735</v>
      </c>
      <c r="Q44" s="21">
        <f>SUM(Q45:Q50)</f>
        <v>73720000</v>
      </c>
      <c r="R44" s="21">
        <f>Q44*P44</f>
        <v>23454767.646277152</v>
      </c>
      <c r="S44" s="21">
        <f>Q44-R44</f>
        <v>50265232.353722848</v>
      </c>
      <c r="T44" s="38">
        <f>SUM(T45:T50)</f>
        <v>10015.42037037037</v>
      </c>
      <c r="U44" s="42">
        <f ca="1">IF(TODAY()-J44&lt;0, "", IF(TODAY()-J44&gt;L44, L44, TODAY()-J44))</f>
        <v>161</v>
      </c>
      <c r="V44" s="44">
        <f t="shared" si="0"/>
        <v>0.43328662644907506</v>
      </c>
      <c r="W44" s="48">
        <f ca="1">TODAY()</f>
        <v>45307</v>
      </c>
      <c r="X44" s="48">
        <v>45307</v>
      </c>
    </row>
    <row r="45" spans="1:24" ht="29.45" customHeight="1" x14ac:dyDescent="0.25">
      <c r="A45" s="2" t="s">
        <v>24</v>
      </c>
      <c r="B45" s="2" t="s">
        <v>27</v>
      </c>
      <c r="C45" s="3" t="s">
        <v>41</v>
      </c>
      <c r="D45" s="2">
        <v>7.1</v>
      </c>
      <c r="E45" s="6" t="s">
        <v>11</v>
      </c>
      <c r="F45" s="4">
        <v>1790</v>
      </c>
      <c r="G45" s="4">
        <v>755</v>
      </c>
      <c r="H45" s="26"/>
      <c r="I45" s="26"/>
      <c r="J45" s="30">
        <f>I44</f>
        <v>45146</v>
      </c>
      <c r="K45" s="30">
        <f>J45+L45</f>
        <v>45446</v>
      </c>
      <c r="L45" s="2">
        <v>300</v>
      </c>
      <c r="M45" s="30">
        <f>J45+14</f>
        <v>45160</v>
      </c>
      <c r="N45" s="31">
        <f>K45+9</f>
        <v>45455</v>
      </c>
      <c r="O45" s="35">
        <v>0</v>
      </c>
      <c r="P45" s="9">
        <f t="shared" ref="P45:P50" si="49">G45/F45</f>
        <v>0.42178770949720673</v>
      </c>
      <c r="Q45" s="11">
        <f>Q38+12000000</f>
        <v>30250000</v>
      </c>
      <c r="R45" s="11">
        <f t="shared" ref="R45:R50" si="50">Q45*P45</f>
        <v>12759078.212290503</v>
      </c>
      <c r="S45" s="11">
        <f t="shared" ref="S45:S50" si="51">Q45-R45</f>
        <v>17490921.787709497</v>
      </c>
      <c r="T45" s="39">
        <v>960.63333333333333</v>
      </c>
      <c r="U45" s="4">
        <f t="shared" ref="U45:U50" ca="1" si="52">IF(TODAY()-J45&lt;=0, 0, IF(TODAY()-J45&gt;L45, L45, TODAY()-J45))</f>
        <v>161</v>
      </c>
      <c r="V45" s="46">
        <f t="shared" si="0"/>
        <v>0.53666666666666663</v>
      </c>
      <c r="W45" s="49">
        <f ca="1">TODAY()</f>
        <v>45307</v>
      </c>
      <c r="X45" s="49">
        <v>45307</v>
      </c>
    </row>
    <row r="46" spans="1:24" ht="29.45" customHeight="1" x14ac:dyDescent="0.25">
      <c r="A46" s="2" t="s">
        <v>24</v>
      </c>
      <c r="B46" s="2" t="s">
        <v>27</v>
      </c>
      <c r="C46" s="3" t="s">
        <v>41</v>
      </c>
      <c r="D46" s="2">
        <v>7.2</v>
      </c>
      <c r="E46" s="6" t="s">
        <v>12</v>
      </c>
      <c r="F46" s="4">
        <v>445</v>
      </c>
      <c r="G46" s="4">
        <v>0</v>
      </c>
      <c r="H46" s="26"/>
      <c r="I46" s="26"/>
      <c r="J46" s="30">
        <f>J45+(30*8*3)</f>
        <v>45866</v>
      </c>
      <c r="K46" s="30">
        <f t="shared" ref="K46:K50" si="53">J46+L46</f>
        <v>46136</v>
      </c>
      <c r="L46" s="2">
        <f>30*3*3</f>
        <v>270</v>
      </c>
      <c r="M46" s="30">
        <f t="shared" ref="M46:M50" si="54">J46+14</f>
        <v>45880</v>
      </c>
      <c r="N46" s="31">
        <f t="shared" ref="N46:N50" si="55">K46+9</f>
        <v>46145</v>
      </c>
      <c r="O46" s="35">
        <f t="shared" ca="1" si="6"/>
        <v>829</v>
      </c>
      <c r="P46" s="9">
        <f t="shared" si="49"/>
        <v>0</v>
      </c>
      <c r="Q46" s="11">
        <v>6734000</v>
      </c>
      <c r="R46" s="11">
        <f t="shared" si="50"/>
        <v>0</v>
      </c>
      <c r="S46" s="11">
        <f t="shared" si="51"/>
        <v>6734000</v>
      </c>
      <c r="T46" s="39">
        <v>0</v>
      </c>
      <c r="U46" s="4">
        <f t="shared" ca="1" si="52"/>
        <v>0</v>
      </c>
      <c r="V46" s="46">
        <f t="shared" si="0"/>
        <v>0</v>
      </c>
      <c r="W46" s="49">
        <f t="shared" ref="W46:W50" ca="1" si="56">TODAY()</f>
        <v>45307</v>
      </c>
      <c r="X46" s="49">
        <v>45307</v>
      </c>
    </row>
    <row r="47" spans="1:24" ht="29.45" customHeight="1" x14ac:dyDescent="0.25">
      <c r="A47" s="2" t="s">
        <v>24</v>
      </c>
      <c r="B47" s="2" t="s">
        <v>27</v>
      </c>
      <c r="C47" s="3" t="s">
        <v>41</v>
      </c>
      <c r="D47" s="2">
        <v>7.3</v>
      </c>
      <c r="E47" s="6" t="s">
        <v>13</v>
      </c>
      <c r="F47" s="4">
        <v>890</v>
      </c>
      <c r="G47" s="4">
        <v>890</v>
      </c>
      <c r="H47" s="26"/>
      <c r="I47" s="26"/>
      <c r="J47" s="30">
        <f>J45</f>
        <v>45146</v>
      </c>
      <c r="K47" s="30">
        <f t="shared" si="53"/>
        <v>45236</v>
      </c>
      <c r="L47" s="2">
        <v>90</v>
      </c>
      <c r="M47" s="30">
        <f t="shared" si="54"/>
        <v>45160</v>
      </c>
      <c r="N47" s="31">
        <f t="shared" si="55"/>
        <v>45245</v>
      </c>
      <c r="O47" s="35">
        <v>0</v>
      </c>
      <c r="P47" s="9">
        <f t="shared" si="49"/>
        <v>1</v>
      </c>
      <c r="Q47" s="11">
        <f>Q46-500000</f>
        <v>6234000</v>
      </c>
      <c r="R47" s="11">
        <f t="shared" si="50"/>
        <v>6234000</v>
      </c>
      <c r="S47" s="11">
        <f t="shared" si="51"/>
        <v>0</v>
      </c>
      <c r="T47" s="39">
        <v>890</v>
      </c>
      <c r="U47" s="4">
        <f t="shared" ca="1" si="52"/>
        <v>90</v>
      </c>
      <c r="V47" s="46">
        <f t="shared" si="0"/>
        <v>1</v>
      </c>
      <c r="W47" s="49">
        <f t="shared" ca="1" si="56"/>
        <v>45307</v>
      </c>
      <c r="X47" s="49">
        <v>45307</v>
      </c>
    </row>
    <row r="48" spans="1:24" ht="29.45" customHeight="1" x14ac:dyDescent="0.25">
      <c r="A48" s="2" t="s">
        <v>24</v>
      </c>
      <c r="B48" s="2" t="s">
        <v>27</v>
      </c>
      <c r="C48" s="3" t="s">
        <v>41</v>
      </c>
      <c r="D48" s="2">
        <v>7.4</v>
      </c>
      <c r="E48" s="7" t="s">
        <v>14</v>
      </c>
      <c r="F48" s="4">
        <v>17670</v>
      </c>
      <c r="G48" s="4">
        <v>6500</v>
      </c>
      <c r="H48" s="26"/>
      <c r="I48" s="26"/>
      <c r="J48" s="30">
        <f>J45</f>
        <v>45146</v>
      </c>
      <c r="K48" s="30">
        <f t="shared" si="53"/>
        <v>45506</v>
      </c>
      <c r="L48" s="2">
        <f>30*12</f>
        <v>360</v>
      </c>
      <c r="M48" s="30">
        <f t="shared" si="54"/>
        <v>45160</v>
      </c>
      <c r="N48" s="31">
        <f t="shared" si="55"/>
        <v>45515</v>
      </c>
      <c r="O48" s="35">
        <v>0</v>
      </c>
      <c r="P48" s="9">
        <f t="shared" si="49"/>
        <v>0.36785512167515561</v>
      </c>
      <c r="Q48" s="11">
        <f>Q46+7000000</f>
        <v>13734000</v>
      </c>
      <c r="R48" s="11">
        <f t="shared" si="50"/>
        <v>5052122.2410865873</v>
      </c>
      <c r="S48" s="11">
        <f t="shared" si="51"/>
        <v>8681877.7589134127</v>
      </c>
      <c r="T48" s="39">
        <v>7902.416666666667</v>
      </c>
      <c r="U48" s="4">
        <f t="shared" ca="1" si="52"/>
        <v>161</v>
      </c>
      <c r="V48" s="46">
        <f t="shared" si="0"/>
        <v>0.44722222222222224</v>
      </c>
      <c r="W48" s="49">
        <f t="shared" ca="1" si="56"/>
        <v>45307</v>
      </c>
      <c r="X48" s="49">
        <v>45307</v>
      </c>
    </row>
    <row r="49" spans="1:24" ht="29.45" customHeight="1" x14ac:dyDescent="0.25">
      <c r="A49" s="2" t="s">
        <v>24</v>
      </c>
      <c r="B49" s="2" t="s">
        <v>27</v>
      </c>
      <c r="C49" s="3" t="s">
        <v>41</v>
      </c>
      <c r="D49" s="2">
        <v>7.5</v>
      </c>
      <c r="E49" s="7" t="s">
        <v>15</v>
      </c>
      <c r="F49" s="4">
        <v>560</v>
      </c>
      <c r="G49" s="4">
        <v>0</v>
      </c>
      <c r="H49" s="26"/>
      <c r="I49" s="26"/>
      <c r="J49" s="30">
        <f>J48+(30*7)</f>
        <v>45356</v>
      </c>
      <c r="K49" s="30">
        <f t="shared" si="53"/>
        <v>45386</v>
      </c>
      <c r="L49" s="2">
        <v>30</v>
      </c>
      <c r="M49" s="30">
        <f t="shared" si="54"/>
        <v>45370</v>
      </c>
      <c r="N49" s="31">
        <f t="shared" si="55"/>
        <v>45395</v>
      </c>
      <c r="O49" s="35">
        <v>0</v>
      </c>
      <c r="P49" s="9">
        <f t="shared" si="49"/>
        <v>0</v>
      </c>
      <c r="Q49" s="11">
        <f>Q46+400000</f>
        <v>7134000</v>
      </c>
      <c r="R49" s="11">
        <f t="shared" si="50"/>
        <v>0</v>
      </c>
      <c r="S49" s="11">
        <f t="shared" si="51"/>
        <v>7134000</v>
      </c>
      <c r="T49" s="39">
        <v>0</v>
      </c>
      <c r="U49" s="4">
        <f t="shared" ca="1" si="52"/>
        <v>0</v>
      </c>
      <c r="V49" s="46">
        <f t="shared" si="0"/>
        <v>0</v>
      </c>
      <c r="W49" s="49">
        <f t="shared" ca="1" si="56"/>
        <v>45307</v>
      </c>
      <c r="X49" s="49">
        <v>45307</v>
      </c>
    </row>
    <row r="50" spans="1:24" ht="28.9" customHeight="1" x14ac:dyDescent="0.25">
      <c r="A50" s="2" t="s">
        <v>24</v>
      </c>
      <c r="B50" s="2" t="s">
        <v>27</v>
      </c>
      <c r="C50" s="3" t="s">
        <v>41</v>
      </c>
      <c r="D50" s="2">
        <v>7.6</v>
      </c>
      <c r="E50" s="7" t="s">
        <v>16</v>
      </c>
      <c r="F50" s="4">
        <v>1760</v>
      </c>
      <c r="G50" s="4">
        <v>210</v>
      </c>
      <c r="H50" s="26"/>
      <c r="I50" s="26"/>
      <c r="J50" s="30">
        <f>J45</f>
        <v>45146</v>
      </c>
      <c r="K50" s="30">
        <f t="shared" si="53"/>
        <v>46226</v>
      </c>
      <c r="L50" s="2">
        <f>30*3*4*3</f>
        <v>1080</v>
      </c>
      <c r="M50" s="30">
        <f t="shared" si="54"/>
        <v>45160</v>
      </c>
      <c r="N50" s="31">
        <f t="shared" si="55"/>
        <v>46235</v>
      </c>
      <c r="O50" s="35">
        <f t="shared" ca="1" si="6"/>
        <v>919</v>
      </c>
      <c r="P50" s="9">
        <f t="shared" si="49"/>
        <v>0.11931818181818182</v>
      </c>
      <c r="Q50" s="11">
        <f>Q46+2900000</f>
        <v>9634000</v>
      </c>
      <c r="R50" s="11">
        <f t="shared" si="50"/>
        <v>1149511.3636363638</v>
      </c>
      <c r="S50" s="11">
        <f t="shared" si="51"/>
        <v>8484488.6363636367</v>
      </c>
      <c r="T50" s="39">
        <v>262.37037037037038</v>
      </c>
      <c r="U50" s="4">
        <f t="shared" ca="1" si="52"/>
        <v>161</v>
      </c>
      <c r="V50" s="46">
        <f t="shared" si="0"/>
        <v>0.14907407407407408</v>
      </c>
      <c r="W50" s="49">
        <f t="shared" ca="1" si="56"/>
        <v>45307</v>
      </c>
      <c r="X50" s="49">
        <v>45307</v>
      </c>
    </row>
    <row r="51" spans="1:24" ht="30" customHeight="1" x14ac:dyDescent="0.25"/>
    <row r="52" spans="1:24" ht="30" customHeight="1" x14ac:dyDescent="0.25"/>
    <row r="53" spans="1:24" ht="30" customHeight="1" x14ac:dyDescent="0.25"/>
    <row r="54" spans="1:24" ht="30" customHeight="1" x14ac:dyDescent="0.25"/>
    <row r="55" spans="1:24" ht="30" customHeight="1" x14ac:dyDescent="0.25"/>
    <row r="56" spans="1:24" ht="30" customHeight="1" x14ac:dyDescent="0.25"/>
    <row r="57" spans="1:24" ht="30" customHeight="1" x14ac:dyDescent="0.25"/>
    <row r="58" spans="1:24" ht="30" customHeight="1" x14ac:dyDescent="0.25"/>
    <row r="59" spans="1:24" ht="30" customHeight="1" x14ac:dyDescent="0.25"/>
    <row r="60" spans="1:24" ht="30" customHeight="1" x14ac:dyDescent="0.25"/>
    <row r="61" spans="1:24" ht="30" customHeight="1" x14ac:dyDescent="0.25"/>
    <row r="62" spans="1:24" ht="30" customHeight="1" x14ac:dyDescent="0.25"/>
    <row r="63" spans="1:24" ht="30" customHeight="1" x14ac:dyDescent="0.25"/>
    <row r="64" spans="1:2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A3" sqref="A3:A8"/>
    </sheetView>
  </sheetViews>
  <sheetFormatPr defaultRowHeight="15" x14ac:dyDescent="0.25"/>
  <cols>
    <col min="1" max="1" width="16.7109375" customWidth="1"/>
  </cols>
  <sheetData>
    <row r="1" spans="1:1" x14ac:dyDescent="0.25">
      <c r="A1" t="s">
        <v>6</v>
      </c>
    </row>
    <row r="2" spans="1:1" x14ac:dyDescent="0.25">
      <c r="A2" t="s">
        <v>42</v>
      </c>
    </row>
    <row r="3" spans="1:1" x14ac:dyDescent="0.25">
      <c r="A3" s="22">
        <v>44842</v>
      </c>
    </row>
    <row r="4" spans="1:1" x14ac:dyDescent="0.25">
      <c r="A4" s="22">
        <v>45562</v>
      </c>
    </row>
    <row r="5" spans="1:1" x14ac:dyDescent="0.25">
      <c r="A5" s="22">
        <v>44842</v>
      </c>
    </row>
    <row r="6" spans="1:1" x14ac:dyDescent="0.25">
      <c r="A6" s="22">
        <v>44842</v>
      </c>
    </row>
    <row r="7" spans="1:1" x14ac:dyDescent="0.25">
      <c r="A7" s="22">
        <v>45202</v>
      </c>
    </row>
    <row r="8" spans="1:1" x14ac:dyDescent="0.25">
      <c r="A8" s="22">
        <v>44842</v>
      </c>
    </row>
    <row r="9" spans="1:1" x14ac:dyDescent="0.25">
      <c r="A9" t="s">
        <v>43</v>
      </c>
    </row>
    <row r="10" spans="1:1" x14ac:dyDescent="0.25">
      <c r="A10">
        <v>45096</v>
      </c>
    </row>
    <row r="11" spans="1:1" x14ac:dyDescent="0.25">
      <c r="A11">
        <v>45816</v>
      </c>
    </row>
    <row r="12" spans="1:1" x14ac:dyDescent="0.25">
      <c r="A12">
        <v>45096</v>
      </c>
    </row>
    <row r="13" spans="1:1" x14ac:dyDescent="0.25">
      <c r="A13">
        <v>45096</v>
      </c>
    </row>
    <row r="14" spans="1:1" x14ac:dyDescent="0.25">
      <c r="A14">
        <v>45306</v>
      </c>
    </row>
    <row r="15" spans="1:1" x14ac:dyDescent="0.25">
      <c r="A15">
        <v>45096</v>
      </c>
    </row>
    <row r="16" spans="1:1" x14ac:dyDescent="0.25">
      <c r="A16" t="s">
        <v>44</v>
      </c>
    </row>
    <row r="17" spans="1:1" x14ac:dyDescent="0.25">
      <c r="A17">
        <v>44903</v>
      </c>
    </row>
    <row r="18" spans="1:1" x14ac:dyDescent="0.25">
      <c r="A18">
        <v>45623</v>
      </c>
    </row>
    <row r="19" spans="1:1" x14ac:dyDescent="0.25">
      <c r="A19">
        <v>44903</v>
      </c>
    </row>
    <row r="20" spans="1:1" x14ac:dyDescent="0.25">
      <c r="A20">
        <v>44903</v>
      </c>
    </row>
    <row r="21" spans="1:1" x14ac:dyDescent="0.25">
      <c r="A21">
        <v>45113</v>
      </c>
    </row>
    <row r="22" spans="1:1" x14ac:dyDescent="0.25">
      <c r="A22">
        <v>44903</v>
      </c>
    </row>
    <row r="23" spans="1:1" x14ac:dyDescent="0.25">
      <c r="A23" t="s">
        <v>45</v>
      </c>
    </row>
    <row r="24" spans="1:1" x14ac:dyDescent="0.25">
      <c r="A24">
        <v>45025</v>
      </c>
    </row>
    <row r="25" spans="1:1" x14ac:dyDescent="0.25">
      <c r="A25">
        <v>45745</v>
      </c>
    </row>
    <row r="26" spans="1:1" x14ac:dyDescent="0.25">
      <c r="A26">
        <v>45025</v>
      </c>
    </row>
    <row r="27" spans="1:1" x14ac:dyDescent="0.25">
      <c r="A27">
        <v>45025</v>
      </c>
    </row>
    <row r="28" spans="1:1" x14ac:dyDescent="0.25">
      <c r="A28">
        <v>45235</v>
      </c>
    </row>
    <row r="29" spans="1:1" x14ac:dyDescent="0.25">
      <c r="A29">
        <v>45025</v>
      </c>
    </row>
    <row r="30" spans="1:1" x14ac:dyDescent="0.25">
      <c r="A30" t="s">
        <v>46</v>
      </c>
    </row>
    <row r="31" spans="1:1" x14ac:dyDescent="0.25">
      <c r="A31">
        <v>45056</v>
      </c>
    </row>
    <row r="32" spans="1:1" x14ac:dyDescent="0.25">
      <c r="A32">
        <v>45776</v>
      </c>
    </row>
    <row r="33" spans="1:1" x14ac:dyDescent="0.25">
      <c r="A33">
        <v>45056</v>
      </c>
    </row>
    <row r="34" spans="1:1" x14ac:dyDescent="0.25">
      <c r="A34">
        <v>45056</v>
      </c>
    </row>
    <row r="35" spans="1:1" x14ac:dyDescent="0.25">
      <c r="A35">
        <v>45266</v>
      </c>
    </row>
    <row r="36" spans="1:1" x14ac:dyDescent="0.25">
      <c r="A36">
        <v>45056</v>
      </c>
    </row>
    <row r="37" spans="1:1" x14ac:dyDescent="0.25">
      <c r="A37" t="s">
        <v>47</v>
      </c>
    </row>
    <row r="38" spans="1:1" x14ac:dyDescent="0.25">
      <c r="A38">
        <v>45299</v>
      </c>
    </row>
    <row r="39" spans="1:1" x14ac:dyDescent="0.25">
      <c r="A39">
        <v>46019</v>
      </c>
    </row>
    <row r="40" spans="1:1" x14ac:dyDescent="0.25">
      <c r="A40">
        <v>45299</v>
      </c>
    </row>
    <row r="41" spans="1:1" x14ac:dyDescent="0.25">
      <c r="A41">
        <v>45299</v>
      </c>
    </row>
    <row r="42" spans="1:1" x14ac:dyDescent="0.25">
      <c r="A42">
        <v>45509</v>
      </c>
    </row>
    <row r="43" spans="1:1" x14ac:dyDescent="0.25">
      <c r="A43">
        <v>45299</v>
      </c>
    </row>
    <row r="44" spans="1:1" x14ac:dyDescent="0.25">
      <c r="A44" t="s">
        <v>48</v>
      </c>
    </row>
    <row r="45" spans="1:1" x14ac:dyDescent="0.25">
      <c r="A45">
        <v>45146</v>
      </c>
    </row>
    <row r="46" spans="1:1" x14ac:dyDescent="0.25">
      <c r="A46">
        <v>45866</v>
      </c>
    </row>
    <row r="47" spans="1:1" x14ac:dyDescent="0.25">
      <c r="A47">
        <v>45146</v>
      </c>
    </row>
    <row r="48" spans="1:1" x14ac:dyDescent="0.25">
      <c r="A48">
        <v>45146</v>
      </c>
    </row>
    <row r="49" spans="1:1" x14ac:dyDescent="0.25">
      <c r="A49">
        <v>45356</v>
      </c>
    </row>
    <row r="50" spans="1:1" x14ac:dyDescent="0.25">
      <c r="A50">
        <v>45146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3" sqref="B3:B8"/>
    </sheetView>
  </sheetViews>
  <sheetFormatPr defaultRowHeight="15" x14ac:dyDescent="0.25"/>
  <cols>
    <col min="1" max="1" width="13.140625" style="22" customWidth="1"/>
    <col min="2" max="2" width="12.5703125" style="23" customWidth="1"/>
  </cols>
  <sheetData>
    <row r="1" spans="1:2" x14ac:dyDescent="0.25">
      <c r="A1" s="22" t="s">
        <v>6</v>
      </c>
      <c r="B1" s="23" t="s">
        <v>6</v>
      </c>
    </row>
    <row r="2" spans="1:2" x14ac:dyDescent="0.25">
      <c r="A2" s="22" t="s">
        <v>42</v>
      </c>
      <c r="B2" s="23" t="s">
        <v>42</v>
      </c>
    </row>
    <row r="3" spans="1:2" x14ac:dyDescent="0.25">
      <c r="A3" s="22">
        <v>44842</v>
      </c>
      <c r="B3" s="23" t="s">
        <v>49</v>
      </c>
    </row>
    <row r="4" spans="1:2" x14ac:dyDescent="0.25">
      <c r="A4" s="22">
        <v>45562</v>
      </c>
      <c r="B4" s="23" t="s">
        <v>50</v>
      </c>
    </row>
    <row r="5" spans="1:2" x14ac:dyDescent="0.25">
      <c r="A5" s="22">
        <v>44842</v>
      </c>
      <c r="B5" s="23" t="s">
        <v>49</v>
      </c>
    </row>
    <row r="6" spans="1:2" x14ac:dyDescent="0.25">
      <c r="A6" s="22">
        <v>44842</v>
      </c>
      <c r="B6" s="23" t="s">
        <v>49</v>
      </c>
    </row>
    <row r="7" spans="1:2" x14ac:dyDescent="0.25">
      <c r="A7" s="22">
        <v>45202</v>
      </c>
      <c r="B7" s="23" t="s">
        <v>51</v>
      </c>
    </row>
    <row r="8" spans="1:2" x14ac:dyDescent="0.25">
      <c r="A8" s="22">
        <v>44842</v>
      </c>
      <c r="B8" s="23" t="s">
        <v>49</v>
      </c>
    </row>
    <row r="9" spans="1:2" x14ac:dyDescent="0.25">
      <c r="A9" s="22" t="s">
        <v>43</v>
      </c>
      <c r="B9" s="23" t="s">
        <v>43</v>
      </c>
    </row>
    <row r="10" spans="1:2" x14ac:dyDescent="0.25">
      <c r="A10" s="22">
        <v>45096</v>
      </c>
      <c r="B10" s="23" t="s">
        <v>52</v>
      </c>
    </row>
    <row r="11" spans="1:2" x14ac:dyDescent="0.25">
      <c r="A11" s="22">
        <v>45816</v>
      </c>
      <c r="B11" s="23" t="s">
        <v>53</v>
      </c>
    </row>
    <row r="12" spans="1:2" x14ac:dyDescent="0.25">
      <c r="A12" s="22">
        <v>45096</v>
      </c>
      <c r="B12" s="23" t="s">
        <v>52</v>
      </c>
    </row>
    <row r="13" spans="1:2" x14ac:dyDescent="0.25">
      <c r="A13" s="22">
        <v>45096</v>
      </c>
      <c r="B13" s="23" t="s">
        <v>52</v>
      </c>
    </row>
    <row r="14" spans="1:2" x14ac:dyDescent="0.25">
      <c r="A14" s="22">
        <v>45306</v>
      </c>
      <c r="B14" s="23" t="s">
        <v>54</v>
      </c>
    </row>
    <row r="15" spans="1:2" x14ac:dyDescent="0.25">
      <c r="A15" s="22">
        <v>45096</v>
      </c>
      <c r="B15" s="23" t="s">
        <v>52</v>
      </c>
    </row>
    <row r="16" spans="1:2" x14ac:dyDescent="0.25">
      <c r="A16" s="22" t="s">
        <v>44</v>
      </c>
      <c r="B16" s="23" t="s">
        <v>44</v>
      </c>
    </row>
    <row r="17" spans="1:2" x14ac:dyDescent="0.25">
      <c r="A17" s="22">
        <v>44903</v>
      </c>
      <c r="B17" s="23" t="s">
        <v>55</v>
      </c>
    </row>
    <row r="18" spans="1:2" x14ac:dyDescent="0.25">
      <c r="A18" s="22">
        <v>45623</v>
      </c>
      <c r="B18" s="23" t="s">
        <v>56</v>
      </c>
    </row>
    <row r="19" spans="1:2" x14ac:dyDescent="0.25">
      <c r="A19" s="22">
        <v>44903</v>
      </c>
      <c r="B19" s="23" t="s">
        <v>55</v>
      </c>
    </row>
    <row r="20" spans="1:2" x14ac:dyDescent="0.25">
      <c r="A20" s="22">
        <v>44903</v>
      </c>
      <c r="B20" s="23" t="s">
        <v>55</v>
      </c>
    </row>
    <row r="21" spans="1:2" x14ac:dyDescent="0.25">
      <c r="A21" s="22">
        <v>45113</v>
      </c>
      <c r="B21" s="23" t="s">
        <v>57</v>
      </c>
    </row>
    <row r="22" spans="1:2" x14ac:dyDescent="0.25">
      <c r="A22" s="22">
        <v>44903</v>
      </c>
      <c r="B22" s="23" t="s">
        <v>55</v>
      </c>
    </row>
    <row r="23" spans="1:2" x14ac:dyDescent="0.25">
      <c r="A23" s="22" t="s">
        <v>45</v>
      </c>
      <c r="B23" s="23" t="s">
        <v>45</v>
      </c>
    </row>
    <row r="24" spans="1:2" x14ac:dyDescent="0.25">
      <c r="A24" s="22">
        <v>45025</v>
      </c>
      <c r="B24" s="23" t="s">
        <v>58</v>
      </c>
    </row>
    <row r="25" spans="1:2" x14ac:dyDescent="0.25">
      <c r="A25" s="22">
        <v>45745</v>
      </c>
      <c r="B25" s="23" t="s">
        <v>59</v>
      </c>
    </row>
    <row r="26" spans="1:2" x14ac:dyDescent="0.25">
      <c r="A26" s="22">
        <v>45025</v>
      </c>
      <c r="B26" s="23" t="s">
        <v>58</v>
      </c>
    </row>
    <row r="27" spans="1:2" x14ac:dyDescent="0.25">
      <c r="A27" s="22">
        <v>45025</v>
      </c>
      <c r="B27" s="23" t="s">
        <v>58</v>
      </c>
    </row>
    <row r="28" spans="1:2" x14ac:dyDescent="0.25">
      <c r="A28" s="22">
        <v>45235</v>
      </c>
      <c r="B28" s="23" t="s">
        <v>60</v>
      </c>
    </row>
    <row r="29" spans="1:2" x14ac:dyDescent="0.25">
      <c r="A29" s="22">
        <v>45025</v>
      </c>
      <c r="B29" s="23" t="s">
        <v>58</v>
      </c>
    </row>
    <row r="30" spans="1:2" x14ac:dyDescent="0.25">
      <c r="A30" s="22" t="s">
        <v>46</v>
      </c>
      <c r="B30" s="23" t="s">
        <v>46</v>
      </c>
    </row>
    <row r="31" spans="1:2" x14ac:dyDescent="0.25">
      <c r="A31" s="22">
        <v>45056</v>
      </c>
      <c r="B31" s="23" t="s">
        <v>61</v>
      </c>
    </row>
    <row r="32" spans="1:2" x14ac:dyDescent="0.25">
      <c r="A32" s="22">
        <v>45776</v>
      </c>
      <c r="B32" s="23" t="s">
        <v>62</v>
      </c>
    </row>
    <row r="33" spans="1:2" x14ac:dyDescent="0.25">
      <c r="A33" s="22">
        <v>45056</v>
      </c>
      <c r="B33" s="23" t="s">
        <v>61</v>
      </c>
    </row>
    <row r="34" spans="1:2" x14ac:dyDescent="0.25">
      <c r="A34" s="22">
        <v>45056</v>
      </c>
      <c r="B34" s="23" t="s">
        <v>61</v>
      </c>
    </row>
    <row r="35" spans="1:2" x14ac:dyDescent="0.25">
      <c r="A35" s="22">
        <v>45266</v>
      </c>
      <c r="B35" s="23" t="s">
        <v>63</v>
      </c>
    </row>
    <row r="36" spans="1:2" x14ac:dyDescent="0.25">
      <c r="A36" s="22">
        <v>45056</v>
      </c>
      <c r="B36" s="23" t="s">
        <v>61</v>
      </c>
    </row>
    <row r="37" spans="1:2" x14ac:dyDescent="0.25">
      <c r="A37" s="22" t="s">
        <v>47</v>
      </c>
      <c r="B37" s="23" t="s">
        <v>47</v>
      </c>
    </row>
    <row r="38" spans="1:2" x14ac:dyDescent="0.25">
      <c r="A38" s="22">
        <v>45299</v>
      </c>
      <c r="B38" s="23" t="s">
        <v>64</v>
      </c>
    </row>
    <row r="39" spans="1:2" x14ac:dyDescent="0.25">
      <c r="A39" s="22">
        <v>46019</v>
      </c>
      <c r="B39" s="23" t="s">
        <v>65</v>
      </c>
    </row>
    <row r="40" spans="1:2" x14ac:dyDescent="0.25">
      <c r="A40" s="22">
        <v>45299</v>
      </c>
      <c r="B40" s="23" t="s">
        <v>64</v>
      </c>
    </row>
    <row r="41" spans="1:2" x14ac:dyDescent="0.25">
      <c r="A41" s="22">
        <v>45299</v>
      </c>
      <c r="B41" s="23" t="s">
        <v>64</v>
      </c>
    </row>
    <row r="42" spans="1:2" x14ac:dyDescent="0.25">
      <c r="A42" s="22">
        <v>45509</v>
      </c>
      <c r="B42" s="23" t="s">
        <v>66</v>
      </c>
    </row>
    <row r="43" spans="1:2" x14ac:dyDescent="0.25">
      <c r="A43" s="22">
        <v>45299</v>
      </c>
      <c r="B43" s="23" t="s">
        <v>64</v>
      </c>
    </row>
    <row r="44" spans="1:2" x14ac:dyDescent="0.25">
      <c r="A44" s="22" t="s">
        <v>48</v>
      </c>
      <c r="B44" s="23" t="s">
        <v>48</v>
      </c>
    </row>
    <row r="45" spans="1:2" x14ac:dyDescent="0.25">
      <c r="A45" s="22">
        <v>45146</v>
      </c>
      <c r="B45" s="23" t="s">
        <v>67</v>
      </c>
    </row>
    <row r="46" spans="1:2" x14ac:dyDescent="0.25">
      <c r="A46" s="22">
        <v>45866</v>
      </c>
      <c r="B46" s="23" t="s">
        <v>68</v>
      </c>
    </row>
    <row r="47" spans="1:2" x14ac:dyDescent="0.25">
      <c r="A47" s="22">
        <v>45146</v>
      </c>
      <c r="B47" s="23" t="s">
        <v>67</v>
      </c>
    </row>
    <row r="48" spans="1:2" x14ac:dyDescent="0.25">
      <c r="A48" s="22">
        <v>45146</v>
      </c>
      <c r="B48" s="23" t="s">
        <v>67</v>
      </c>
    </row>
    <row r="49" spans="1:2" x14ac:dyDescent="0.25">
      <c r="A49" s="22">
        <v>45356</v>
      </c>
      <c r="B49" s="23" t="s">
        <v>69</v>
      </c>
    </row>
    <row r="50" spans="1:2" x14ac:dyDescent="0.25">
      <c r="A50" s="22">
        <v>45146</v>
      </c>
      <c r="B50" s="2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Subrata Dutta</dc:creator>
  <cp:lastModifiedBy>USER</cp:lastModifiedBy>
  <dcterms:created xsi:type="dcterms:W3CDTF">2023-12-21T05:40:08Z</dcterms:created>
  <dcterms:modified xsi:type="dcterms:W3CDTF">2024-01-16T10:33:40Z</dcterms:modified>
</cp:coreProperties>
</file>