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gaelsola/Github-training/BUA-2024-practice/data/"/>
    </mc:Choice>
  </mc:AlternateContent>
  <xr:revisionPtr revIDLastSave="0" documentId="13_ncr:1_{BCB18705-90F3-E442-ABE1-C1B8CB8C77D5}" xr6:coauthVersionLast="47" xr6:coauthVersionMax="47" xr10:uidLastSave="{00000000-0000-0000-0000-000000000000}"/>
  <bookViews>
    <workbookView xWindow="1520" yWindow="760" windowWidth="28720" windowHeight="16880" activeTab="5" xr2:uid="{00000000-000D-0000-FFFF-FFFF00000000}"/>
  </bookViews>
  <sheets>
    <sheet name="user_input_details" sheetId="6" r:id="rId1"/>
    <sheet name="user_inputs" sheetId="5" r:id="rId2"/>
    <sheet name="time_periods" sheetId="4" r:id="rId3"/>
    <sheet name="AD_lu_transitions" sheetId="10" r:id="rId4"/>
    <sheet name="c_stocks" sheetId="9" r:id="rId5"/>
    <sheet name="SIMS" sheetId="1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2" i="12" l="1" a="1"/>
  <c r="P32" i="12" s="1"/>
  <c r="D42" i="12"/>
  <c r="D34" i="12"/>
  <c r="D37" i="12" s="1"/>
  <c r="D33" i="12"/>
  <c r="D36" i="12" s="1"/>
  <c r="P29" i="12" a="1"/>
  <c r="P29" i="12" s="1"/>
  <c r="O29" i="12" s="1"/>
  <c r="P28" i="12" a="1"/>
  <c r="P28" i="12" s="1"/>
  <c r="O28" i="12" s="1"/>
  <c r="P27" i="12" a="1"/>
  <c r="P27" i="12" s="1"/>
  <c r="K27" i="12" s="1"/>
  <c r="P26" i="12" a="1"/>
  <c r="P26" i="12" s="1"/>
  <c r="N26" i="12" s="1"/>
  <c r="P25" i="12" a="1"/>
  <c r="P25" i="12" s="1"/>
  <c r="K25" i="12" s="1"/>
  <c r="P24" i="12" a="1"/>
  <c r="P24" i="12" s="1"/>
  <c r="O24" i="12" s="1"/>
  <c r="P22" i="12" a="1"/>
  <c r="P22" i="12" s="1"/>
  <c r="N22" i="12" s="1"/>
  <c r="P21" i="12" a="1"/>
  <c r="P21" i="12" s="1"/>
  <c r="O21" i="12" s="1"/>
  <c r="P20" i="12" a="1"/>
  <c r="P20" i="12" s="1"/>
  <c r="K20" i="12" s="1"/>
  <c r="P19" i="12" a="1"/>
  <c r="P19" i="12" s="1"/>
  <c r="O19" i="12" s="1"/>
  <c r="P18" i="12" a="1"/>
  <c r="P18" i="12" s="1"/>
  <c r="O18" i="12" s="1"/>
  <c r="P17" i="12" a="1"/>
  <c r="P17" i="12" s="1"/>
  <c r="O17" i="12" s="1"/>
  <c r="P11" i="12" a="1"/>
  <c r="P11" i="12" s="1"/>
  <c r="K11" i="12" s="1"/>
  <c r="P12" i="12" a="1"/>
  <c r="P12" i="12" s="1"/>
  <c r="O12" i="12" s="1"/>
  <c r="P13" i="12" a="1"/>
  <c r="P13" i="12" s="1"/>
  <c r="O13" i="12" s="1"/>
  <c r="P10" i="12" a="1"/>
  <c r="P10" i="12" s="1"/>
  <c r="O10" i="12" s="1"/>
  <c r="P9" i="12" a="1"/>
  <c r="P9" i="12" s="1"/>
  <c r="K9" i="12" s="1"/>
  <c r="P8" i="12" a="1"/>
  <c r="P8" i="12" s="1"/>
  <c r="O8" i="12" s="1"/>
  <c r="P7" i="12" a="1"/>
  <c r="P7" i="12" s="1"/>
  <c r="N7" i="12" s="1"/>
  <c r="P6" i="12" a="1"/>
  <c r="P6" i="12" s="1"/>
  <c r="K6" i="12" s="1"/>
  <c r="P42" i="12" l="1" a="1"/>
  <c r="P42" i="12" s="1"/>
  <c r="P34" i="12" a="1"/>
  <c r="P34" i="12" s="1"/>
  <c r="P37" i="12" s="1" a="1"/>
  <c r="P37" i="12" s="1"/>
  <c r="P33" i="12" a="1"/>
  <c r="P33" i="12" s="1"/>
  <c r="P36" i="12" s="1" a="1"/>
  <c r="D45" i="12"/>
  <c r="D61" i="12" s="1"/>
  <c r="D53" i="12"/>
  <c r="D69" i="12" s="1"/>
  <c r="D52" i="12"/>
  <c r="D68" i="12" s="1"/>
  <c r="D46" i="12"/>
  <c r="D62" i="12" s="1"/>
  <c r="D40" i="12"/>
  <c r="D39" i="12"/>
  <c r="O7" i="12"/>
  <c r="M7" i="12" s="1"/>
  <c r="O9" i="12"/>
  <c r="K17" i="12"/>
  <c r="K18" i="12"/>
  <c r="N18" i="12"/>
  <c r="M18" i="12" s="1"/>
  <c r="K19" i="12"/>
  <c r="K21" i="12"/>
  <c r="O22" i="12"/>
  <c r="M22" i="12" s="1"/>
  <c r="N27" i="12"/>
  <c r="K29" i="12"/>
  <c r="N20" i="12"/>
  <c r="O27" i="12"/>
  <c r="N9" i="12"/>
  <c r="O20" i="12"/>
  <c r="N25" i="12"/>
  <c r="K28" i="12"/>
  <c r="N10" i="12"/>
  <c r="M10" i="12" s="1"/>
  <c r="N28" i="12"/>
  <c r="M28" i="12" s="1"/>
  <c r="K10" i="12"/>
  <c r="K13" i="12"/>
  <c r="N21" i="12"/>
  <c r="M21" i="12" s="1"/>
  <c r="K24" i="12"/>
  <c r="O25" i="12"/>
  <c r="K26" i="12"/>
  <c r="N19" i="12"/>
  <c r="M19" i="12" s="1"/>
  <c r="K22" i="12"/>
  <c r="O26" i="12"/>
  <c r="M26" i="12" s="1"/>
  <c r="K7" i="12"/>
  <c r="N24" i="12"/>
  <c r="M24" i="12" s="1"/>
  <c r="N17" i="12"/>
  <c r="M17" i="12" s="1"/>
  <c r="N29" i="12"/>
  <c r="M29" i="12" s="1"/>
  <c r="N11" i="12"/>
  <c r="O11" i="12"/>
  <c r="K12" i="12"/>
  <c r="N12" i="12"/>
  <c r="M12" i="12" s="1"/>
  <c r="K8" i="12"/>
  <c r="N8" i="12"/>
  <c r="M8" i="12" s="1"/>
  <c r="N13" i="12"/>
  <c r="M13" i="12" s="1"/>
  <c r="O6" i="12"/>
  <c r="N6" i="12"/>
  <c r="R44" i="12" l="1"/>
  <c r="P36" i="12"/>
  <c r="P45" i="12" s="1" a="1"/>
  <c r="P45" i="12" s="1"/>
  <c r="P61" i="12" s="1" a="1"/>
  <c r="P61" i="12" s="1"/>
  <c r="P40" i="12" a="1"/>
  <c r="P40" i="12" s="1"/>
  <c r="P57" i="12" s="1" a="1"/>
  <c r="P57" i="12" s="1"/>
  <c r="P73" i="12" s="1" a="1"/>
  <c r="P73" i="12" s="1"/>
  <c r="P39" i="12" a="1"/>
  <c r="P39" i="12" s="1"/>
  <c r="P47" i="12" s="1" a="1"/>
  <c r="P47" i="12" s="1"/>
  <c r="P63" i="12" s="1" a="1"/>
  <c r="P63" i="12" s="1"/>
  <c r="O37" i="12"/>
  <c r="N37" i="12"/>
  <c r="K37" i="12"/>
  <c r="N42" i="12"/>
  <c r="K42" i="12"/>
  <c r="O42" i="12"/>
  <c r="K36" i="12"/>
  <c r="O34" i="12"/>
  <c r="K34" i="12"/>
  <c r="N34" i="12"/>
  <c r="N33" i="12"/>
  <c r="K33" i="12"/>
  <c r="O33" i="12"/>
  <c r="L21" i="12"/>
  <c r="A48" i="12"/>
  <c r="D48" i="12"/>
  <c r="D64" i="12" s="1"/>
  <c r="D55" i="12"/>
  <c r="D71" i="12" s="1"/>
  <c r="D50" i="12"/>
  <c r="D66" i="12" s="1"/>
  <c r="D47" i="12"/>
  <c r="D63" i="12" s="1"/>
  <c r="D78" i="12" s="1"/>
  <c r="D54" i="12"/>
  <c r="D70" i="12" s="1"/>
  <c r="D81" i="12" s="1"/>
  <c r="D56" i="12"/>
  <c r="D72" i="12" s="1"/>
  <c r="D49" i="12"/>
  <c r="D65" i="12" s="1"/>
  <c r="D79" i="12" s="1"/>
  <c r="L28" i="12"/>
  <c r="D57" i="12"/>
  <c r="D73" i="12" s="1"/>
  <c r="L17" i="12"/>
  <c r="M9" i="12"/>
  <c r="L9" i="12" s="1"/>
  <c r="L12" i="12"/>
  <c r="L18" i="12"/>
  <c r="M11" i="12"/>
  <c r="L11" i="12" s="1"/>
  <c r="L29" i="12"/>
  <c r="L24" i="12"/>
  <c r="L19" i="12"/>
  <c r="M27" i="12"/>
  <c r="L27" i="12" s="1"/>
  <c r="M25" i="12"/>
  <c r="L25" i="12" s="1"/>
  <c r="L13" i="12"/>
  <c r="L26" i="12"/>
  <c r="L22" i="12"/>
  <c r="L10" i="12"/>
  <c r="L7" i="12"/>
  <c r="L8" i="12"/>
  <c r="M20" i="12"/>
  <c r="L20" i="12" s="1"/>
  <c r="M6" i="12"/>
  <c r="L6" i="12" s="1"/>
  <c r="D84" i="12" l="1"/>
  <c r="P53" i="12" a="1"/>
  <c r="P53" i="12" s="1"/>
  <c r="P52" i="12" a="1"/>
  <c r="P52" i="12" s="1"/>
  <c r="P68" i="12" s="1" a="1"/>
  <c r="P68" i="12" s="1"/>
  <c r="O68" i="12" s="1"/>
  <c r="O36" i="12"/>
  <c r="N36" i="12"/>
  <c r="M36" i="12" s="1"/>
  <c r="L36" i="12" s="1"/>
  <c r="P46" i="12" a="1"/>
  <c r="P46" i="12" s="1"/>
  <c r="O63" i="12"/>
  <c r="K63" i="12"/>
  <c r="N63" i="12"/>
  <c r="O73" i="12"/>
  <c r="K73" i="12"/>
  <c r="N73" i="12"/>
  <c r="O61" i="12"/>
  <c r="N61" i="12"/>
  <c r="K61" i="12"/>
  <c r="P56" i="12" a="1"/>
  <c r="P56" i="12" s="1"/>
  <c r="N56" i="12" s="1"/>
  <c r="P54" i="12" a="1"/>
  <c r="P54" i="12" s="1"/>
  <c r="P70" i="12" s="1" a="1"/>
  <c r="P70" i="12" s="1"/>
  <c r="P48" i="12" a="1"/>
  <c r="P48" i="12" s="1"/>
  <c r="P55" i="12" a="1"/>
  <c r="P55" i="12" s="1"/>
  <c r="P71" i="12" s="1" a="1"/>
  <c r="P71" i="12" s="1"/>
  <c r="P49" i="12" a="1"/>
  <c r="P49" i="12" s="1"/>
  <c r="O47" i="12"/>
  <c r="N47" i="12"/>
  <c r="K47" i="12"/>
  <c r="P50" i="12" a="1"/>
  <c r="P50" i="12" s="1"/>
  <c r="P66" i="12" s="1" a="1"/>
  <c r="P66" i="12" s="1"/>
  <c r="M42" i="12"/>
  <c r="L42" i="12" s="1"/>
  <c r="N45" i="12"/>
  <c r="O45" i="12"/>
  <c r="K45" i="12"/>
  <c r="M33" i="12"/>
  <c r="L33" i="12" s="1"/>
  <c r="M34" i="12"/>
  <c r="L34" i="12" s="1"/>
  <c r="N39" i="12"/>
  <c r="O39" i="12"/>
  <c r="K39" i="12"/>
  <c r="M37" i="12"/>
  <c r="L37" i="12" s="1"/>
  <c r="K40" i="12"/>
  <c r="O40" i="12"/>
  <c r="N40" i="12"/>
  <c r="D82" i="12"/>
  <c r="D85" i="12" s="1"/>
  <c r="B8" i="9"/>
  <c r="P69" i="12" l="1" a="1"/>
  <c r="P69" i="12" s="1"/>
  <c r="K53" i="12"/>
  <c r="O53" i="12"/>
  <c r="N53" i="12"/>
  <c r="M53" i="12" s="1"/>
  <c r="L53" i="12" s="1"/>
  <c r="P62" i="12" a="1"/>
  <c r="P62" i="12" s="1"/>
  <c r="N46" i="12"/>
  <c r="K46" i="12"/>
  <c r="O46" i="12"/>
  <c r="M46" i="12" s="1"/>
  <c r="L46" i="12" s="1"/>
  <c r="D87" i="12"/>
  <c r="D91" i="12" s="1"/>
  <c r="M73" i="12"/>
  <c r="L73" i="12" s="1"/>
  <c r="K68" i="12"/>
  <c r="N68" i="12"/>
  <c r="M68" i="12" s="1"/>
  <c r="M63" i="12"/>
  <c r="L63" i="12" s="1"/>
  <c r="O56" i="12"/>
  <c r="M56" i="12" s="1"/>
  <c r="M61" i="12"/>
  <c r="L61" i="12" s="1"/>
  <c r="O71" i="12"/>
  <c r="N71" i="12"/>
  <c r="K71" i="12"/>
  <c r="K70" i="12"/>
  <c r="O70" i="12"/>
  <c r="N70" i="12"/>
  <c r="O66" i="12"/>
  <c r="K66" i="12"/>
  <c r="N66" i="12"/>
  <c r="O48" i="12"/>
  <c r="P64" i="12" a="1"/>
  <c r="P64" i="12" s="1"/>
  <c r="P78" i="12" s="1" a="1"/>
  <c r="P78" i="12" s="1"/>
  <c r="K56" i="12"/>
  <c r="P72" i="12" a="1"/>
  <c r="P72" i="12" s="1"/>
  <c r="K49" i="12"/>
  <c r="P65" i="12" a="1"/>
  <c r="P65" i="12" s="1"/>
  <c r="P79" i="12" s="1" a="1"/>
  <c r="P79" i="12" s="1"/>
  <c r="M47" i="12"/>
  <c r="L47" i="12" s="1"/>
  <c r="M45" i="12"/>
  <c r="L45" i="12" s="1"/>
  <c r="K48" i="12"/>
  <c r="N49" i="12"/>
  <c r="O49" i="12"/>
  <c r="N48" i="12"/>
  <c r="K50" i="12"/>
  <c r="O50" i="12"/>
  <c r="N50" i="12"/>
  <c r="O55" i="12"/>
  <c r="N55" i="12"/>
  <c r="K55" i="12"/>
  <c r="N52" i="12"/>
  <c r="O52" i="12"/>
  <c r="K52" i="12"/>
  <c r="M39" i="12"/>
  <c r="L39" i="12" s="1"/>
  <c r="M40" i="12"/>
  <c r="L40" i="12" s="1"/>
  <c r="K7" i="9"/>
  <c r="K6" i="9"/>
  <c r="J7" i="9"/>
  <c r="J6" i="9"/>
  <c r="B6" i="9"/>
  <c r="B7" i="9"/>
  <c r="B3" i="9"/>
  <c r="B4" i="9"/>
  <c r="B5" i="9"/>
  <c r="B2" i="9"/>
  <c r="O62" i="12" l="1"/>
  <c r="K62" i="12"/>
  <c r="N62" i="12"/>
  <c r="N69" i="12"/>
  <c r="P81" i="12" a="1"/>
  <c r="P81" i="12" s="1"/>
  <c r="K69" i="12"/>
  <c r="O69" i="12"/>
  <c r="M69" i="12" s="1"/>
  <c r="L69" i="12" s="1"/>
  <c r="L68" i="12"/>
  <c r="P84" i="12" a="1"/>
  <c r="P84" i="12" s="1"/>
  <c r="P82" i="12" a="1"/>
  <c r="P82" i="12" s="1"/>
  <c r="P85" i="12" s="1" a="1"/>
  <c r="P85" i="12" s="1"/>
  <c r="M49" i="12"/>
  <c r="L49" i="12" s="1"/>
  <c r="L56" i="12"/>
  <c r="M48" i="12"/>
  <c r="L48" i="12" s="1"/>
  <c r="O79" i="12"/>
  <c r="N79" i="12"/>
  <c r="K79" i="12"/>
  <c r="O78" i="12"/>
  <c r="K78" i="12"/>
  <c r="N78" i="12"/>
  <c r="O64" i="12"/>
  <c r="N64" i="12"/>
  <c r="K64" i="12"/>
  <c r="O65" i="12"/>
  <c r="N65" i="12"/>
  <c r="K65" i="12"/>
  <c r="O72" i="12"/>
  <c r="N72" i="12"/>
  <c r="K72" i="12"/>
  <c r="M66" i="12"/>
  <c r="L66" i="12" s="1"/>
  <c r="M70" i="12"/>
  <c r="L70" i="12" s="1"/>
  <c r="M71" i="12"/>
  <c r="L71" i="12" s="1"/>
  <c r="M50" i="12"/>
  <c r="L50" i="12" s="1"/>
  <c r="M52" i="12"/>
  <c r="L52" i="12" s="1"/>
  <c r="N54" i="12"/>
  <c r="K54" i="12"/>
  <c r="O54" i="12"/>
  <c r="M55" i="12"/>
  <c r="L55" i="12" s="1"/>
  <c r="B13" i="10"/>
  <c r="B12" i="10"/>
  <c r="B11" i="10"/>
  <c r="B10" i="10"/>
  <c r="B9" i="10"/>
  <c r="B8" i="10"/>
  <c r="B7" i="10"/>
  <c r="B6" i="10"/>
  <c r="B5" i="10"/>
  <c r="B4" i="10"/>
  <c r="B3" i="10"/>
  <c r="B2" i="10"/>
  <c r="N81" i="12" l="1"/>
  <c r="K81" i="12"/>
  <c r="O81" i="12"/>
  <c r="M81" i="12" s="1"/>
  <c r="L81" i="12" s="1"/>
  <c r="M62" i="12"/>
  <c r="L62" i="12" s="1"/>
  <c r="M54" i="12"/>
  <c r="P87" i="12" a="1"/>
  <c r="P87" i="12" s="1"/>
  <c r="O82" i="12"/>
  <c r="N82" i="12"/>
  <c r="K82" i="12"/>
  <c r="M78" i="12"/>
  <c r="L78" i="12" s="1"/>
  <c r="O84" i="12"/>
  <c r="N84" i="12"/>
  <c r="K84" i="12"/>
  <c r="N85" i="12"/>
  <c r="O85" i="12"/>
  <c r="K85" i="12"/>
  <c r="L54" i="12"/>
  <c r="M79" i="12"/>
  <c r="L79" i="12" s="1"/>
  <c r="M64" i="12"/>
  <c r="L64" i="12" s="1"/>
  <c r="M72" i="12"/>
  <c r="L72" i="12" s="1"/>
  <c r="M65" i="12"/>
  <c r="L65" i="12" s="1"/>
  <c r="K57" i="12"/>
  <c r="O57" i="12"/>
  <c r="N57" i="12"/>
  <c r="M82" i="12" l="1"/>
  <c r="L82" i="12" s="1"/>
  <c r="M85" i="12"/>
  <c r="L85" i="12" s="1"/>
  <c r="M84" i="12"/>
  <c r="L84" i="12" s="1"/>
  <c r="O87" i="12"/>
  <c r="N87" i="12"/>
  <c r="K87" i="12"/>
  <c r="E91" i="12" s="1"/>
  <c r="F94" i="12" s="1"/>
  <c r="M57" i="12"/>
  <c r="L57" i="12" s="1"/>
  <c r="M87" i="12" l="1"/>
  <c r="L87" i="12" s="1"/>
  <c r="F91" i="12" s="1"/>
  <c r="D94" i="12" l="1"/>
  <c r="E97" i="12"/>
  <c r="E94" i="1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<sst xmlns="http://schemas.openxmlformats.org/spreadsheetml/2006/main" count="390" uniqueCount="131">
  <si>
    <t>trans_no</t>
  </si>
  <si>
    <t>trans_id</t>
  </si>
  <si>
    <t>redd_activity</t>
  </si>
  <si>
    <t>lu_initial_id</t>
  </si>
  <si>
    <t>lu_initial</t>
  </si>
  <si>
    <t>lu_final_id</t>
  </si>
  <si>
    <t>lu_final</t>
  </si>
  <si>
    <t>trans_area</t>
  </si>
  <si>
    <t>trans_se</t>
  </si>
  <si>
    <t>trans_pdf</t>
  </si>
  <si>
    <t>trans_pdf_a</t>
  </si>
  <si>
    <t>trans_pdf_b</t>
  </si>
  <si>
    <t>trans_pdf_c</t>
  </si>
  <si>
    <t>DF</t>
  </si>
  <si>
    <t>normal</t>
  </si>
  <si>
    <t>DG</t>
  </si>
  <si>
    <t>c_no</t>
  </si>
  <si>
    <t>c_id</t>
  </si>
  <si>
    <t>lu_id</t>
  </si>
  <si>
    <t>lu_name</t>
  </si>
  <si>
    <t>c_unit</t>
  </si>
  <si>
    <t>c_value</t>
  </si>
  <si>
    <t>c_se</t>
  </si>
  <si>
    <t>c_pdf</t>
  </si>
  <si>
    <t>c_pdf_a</t>
  </si>
  <si>
    <t>c_pdf_b</t>
  </si>
  <si>
    <t>c_pdf_c</t>
  </si>
  <si>
    <t>AGB</t>
  </si>
  <si>
    <t>ALL</t>
  </si>
  <si>
    <t>c_pool</t>
  </si>
  <si>
    <t>period_no</t>
  </si>
  <si>
    <t>year_start</t>
  </si>
  <si>
    <t>year_end</t>
  </si>
  <si>
    <t>period_type</t>
  </si>
  <si>
    <t>T1</t>
  </si>
  <si>
    <t>T2</t>
  </si>
  <si>
    <t>trans_period</t>
  </si>
  <si>
    <t>Input_name</t>
  </si>
  <si>
    <t>input_desc</t>
  </si>
  <si>
    <t>Use a seed to reproduce random simulations (recommend setting to NULL the first time)</t>
  </si>
  <si>
    <t>Use truncated distributions to avoid negative values were illogical (TRUE or FALSE)</t>
  </si>
  <si>
    <t>How many simulations (Default 10,000)</t>
  </si>
  <si>
    <t>What is the unit of AGB and BGB if included (DM or C)</t>
  </si>
  <si>
    <t>trunc_pdf</t>
  </si>
  <si>
    <t>n_iter</t>
  </si>
  <si>
    <t>ran_seed</t>
  </si>
  <si>
    <t>DG_ratio</t>
  </si>
  <si>
    <t>c_fraction</t>
  </si>
  <si>
    <t>beta</t>
  </si>
  <si>
    <t>ad_annual</t>
  </si>
  <si>
    <t>Is AD reported in ha/year or in ha (TRUE or FALSE resp.)</t>
  </si>
  <si>
    <t>conf_level</t>
  </si>
  <si>
    <t>Confidence level (1 - alpha) between 0 and 1</t>
  </si>
  <si>
    <t>dg_expool</t>
  </si>
  <si>
    <t>dg_pool</t>
  </si>
  <si>
    <t>Excluded pools from degradation (TRUE or FALSE). If TRUE the pools not listed in dg_pool will be excluded when calculating the initial vs final Cstocks</t>
  </si>
  <si>
    <t>REF</t>
  </si>
  <si>
    <t>MON1</t>
  </si>
  <si>
    <t>c_period</t>
  </si>
  <si>
    <t>If degradation is a ratio of intact forest Cstock, list of pools separated by coma. Any combination of AGB, BGB, DW, LI, SOC or NA if not applicable. Note: the pools not listed in dg_pool will be excluded when calculating the initial vs final Cstocks</t>
  </si>
  <si>
    <t>c_fraction_se</t>
  </si>
  <si>
    <t>DM</t>
  </si>
  <si>
    <t>M</t>
  </si>
  <si>
    <t>Cropland</t>
  </si>
  <si>
    <t>RS</t>
  </si>
  <si>
    <t>Crop</t>
  </si>
  <si>
    <t>dg_ext</t>
  </si>
  <si>
    <t>c_fraction_pdf</t>
  </si>
  <si>
    <t>M_deg</t>
  </si>
  <si>
    <t>_deg</t>
  </si>
  <si>
    <t>EV</t>
  </si>
  <si>
    <t>EV_deg</t>
  </si>
  <si>
    <t>Evergreen Forest</t>
  </si>
  <si>
    <t>Mountain Forest</t>
  </si>
  <si>
    <t>Degraded Evergreen Forest</t>
  </si>
  <si>
    <t>Degraded Mountain Forest</t>
  </si>
  <si>
    <t>SIMS</t>
  </si>
  <si>
    <t>CARBON STOCK INPUTS</t>
  </si>
  <si>
    <t>CF</t>
  </si>
  <si>
    <t xml:space="preserve">Item </t>
  </si>
  <si>
    <t>VALUE</t>
  </si>
  <si>
    <t>SE</t>
  </si>
  <si>
    <t>PDF</t>
  </si>
  <si>
    <t>MEDIAN</t>
  </si>
  <si>
    <t>U%</t>
  </si>
  <si>
    <t>ME</t>
  </si>
  <si>
    <t>CI_LOWER</t>
  </si>
  <si>
    <t>CI_UPPER</t>
  </si>
  <si>
    <t>LU_init</t>
  </si>
  <si>
    <t>LU_final</t>
  </si>
  <si>
    <t>BETA_1</t>
  </si>
  <si>
    <t>BETA_2</t>
  </si>
  <si>
    <t>N iter</t>
  </si>
  <si>
    <t>Conf level</t>
  </si>
  <si>
    <t>REF Period</t>
  </si>
  <si>
    <t>MON Period</t>
  </si>
  <si>
    <t>MON</t>
  </si>
  <si>
    <t>CALCULATIONS</t>
  </si>
  <si>
    <t>ACTIVITY DATA (ha)</t>
  </si>
  <si>
    <t>AGB (tDM/ha)</t>
  </si>
  <si>
    <t>CSTOCK (tC/ha)</t>
  </si>
  <si>
    <t>Emission factors preparation</t>
  </si>
  <si>
    <t>BGB = (AGB * RS)</t>
  </si>
  <si>
    <t>C = (AGB + BGB) * CF</t>
  </si>
  <si>
    <t>C_deg = C * DG_ratio</t>
  </si>
  <si>
    <t>C_NF</t>
  </si>
  <si>
    <t>EF = (C_i - C_f) * 44/12</t>
  </si>
  <si>
    <t>Emission factors (tCO2/ha)</t>
  </si>
  <si>
    <t>Emissions (tCO2)</t>
  </si>
  <si>
    <t>Aggregates (tCO2/year)</t>
  </si>
  <si>
    <t>E = AD * EF</t>
  </si>
  <si>
    <t>sum(E)/ nb_years</t>
  </si>
  <si>
    <t>ER = E_ref - E_mon</t>
  </si>
  <si>
    <t>calculated</t>
  </si>
  <si>
    <t>check</t>
  </si>
  <si>
    <t>E_REF_DF</t>
  </si>
  <si>
    <t>E_REF_DG</t>
  </si>
  <si>
    <t>E_MON_DF</t>
  </si>
  <si>
    <t>E_MON_DG</t>
  </si>
  <si>
    <t>E_REF</t>
  </si>
  <si>
    <t>E_MON</t>
  </si>
  <si>
    <t>ER</t>
  </si>
  <si>
    <t>RECAP</t>
  </si>
  <si>
    <t>ER-arithmetic</t>
  </si>
  <si>
    <t>ER-simulated</t>
  </si>
  <si>
    <t>ER-Uperc</t>
  </si>
  <si>
    <t>INC</t>
  </si>
  <si>
    <t>TREES ER</t>
  </si>
  <si>
    <t>FCPF ER</t>
  </si>
  <si>
    <t>FCPF buffer level</t>
  </si>
  <si>
    <t>GCF 2.0 ER (draft)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</si>
</sst>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"/>
    <numFmt numFmtId="165" formatCode="_(* #,##0_);_(* \(#,##0\);_(* &quot;-&quot;??_);_(@_)"/>
  </numFmts>
  <fonts count="1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2"/>
      <color theme="1"/>
      <name val="Arial"/>
      <family val="2"/>
      <scheme val="minor"/>
    </font>
    <font>
      <i/>
      <sz val="10"/>
      <color theme="0" tint="-0.14999847407452621"/>
      <name val="Arial"/>
      <family val="2"/>
      <scheme val="minor"/>
    </font>
    <font>
      <sz val="10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10"/>
      <color rgb="FFFF0000"/>
      <name val="Arial"/>
      <family val="2"/>
    </font>
    <font>
      <b/>
      <sz val="10"/>
      <color rgb="FFFF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2"/>
      <color theme="0"/>
      <name val="Arial"/>
      <family val="2"/>
      <scheme val="minor"/>
    </font>
    <font>
      <i/>
      <sz val="10"/>
      <color theme="0" tint="-0.499984740745262"/>
      <name val="Arial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6" tint="0.79998168889431442"/>
        <bgColor rgb="FFD0E0E3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rgb="FFFFF2CC"/>
      </patternFill>
    </fill>
    <fill>
      <patternFill patternType="solid">
        <fgColor theme="4" tint="0.79998168889431442"/>
        <bgColor rgb="FFFFF2CC"/>
      </patternFill>
    </fill>
    <fill>
      <patternFill patternType="solid">
        <fgColor theme="8" tint="0.79998168889431442"/>
        <bgColor rgb="FFD0E0E3"/>
      </patternFill>
    </fill>
    <fill>
      <patternFill patternType="solid">
        <fgColor theme="8" tint="0.79998168889431442"/>
        <bgColor rgb="FFFFF2CC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7" fillId="0" borderId="0" applyFont="0" applyFill="0" applyBorder="0" applyAlignment="0" applyProtection="0"/>
    <xf numFmtId="43" fontId="13" fillId="0" borderId="0" applyFont="0" applyFill="0" applyBorder="0" applyAlignment="0" applyProtection="0"/>
  </cellStyleXfs>
  <cellXfs count="49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3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3" borderId="0" xfId="0" applyFont="1" applyFill="1"/>
    <xf numFmtId="0" fontId="6" fillId="4" borderId="0" xfId="0" applyFont="1" applyFill="1"/>
    <xf numFmtId="0" fontId="6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0" fillId="10" borderId="0" xfId="0" applyFill="1"/>
    <xf numFmtId="0" fontId="9" fillId="0" borderId="0" xfId="0" applyFont="1"/>
    <xf numFmtId="0" fontId="10" fillId="0" borderId="0" xfId="0" applyFont="1"/>
    <xf numFmtId="0" fontId="0" fillId="11" borderId="0" xfId="0" applyFill="1"/>
    <xf numFmtId="0" fontId="8" fillId="11" borderId="0" xfId="0" applyFont="1" applyFill="1"/>
    <xf numFmtId="0" fontId="11" fillId="0" borderId="1" xfId="0" applyFont="1" applyBorder="1"/>
    <xf numFmtId="0" fontId="11" fillId="0" borderId="2" xfId="0" applyFont="1" applyBorder="1"/>
    <xf numFmtId="0" fontId="11" fillId="0" borderId="0" xfId="0" applyFont="1"/>
    <xf numFmtId="9" fontId="11" fillId="0" borderId="2" xfId="0" applyNumberFormat="1" applyFont="1" applyBorder="1"/>
    <xf numFmtId="0" fontId="0" fillId="12" borderId="0" xfId="0" applyFill="1"/>
    <xf numFmtId="0" fontId="8" fillId="12" borderId="0" xfId="0" applyFont="1" applyFill="1"/>
    <xf numFmtId="0" fontId="0" fillId="13" borderId="0" xfId="0" applyFill="1"/>
    <xf numFmtId="9" fontId="0" fillId="13" borderId="0" xfId="1" applyFont="1" applyFill="1"/>
    <xf numFmtId="0" fontId="12" fillId="0" borderId="0" xfId="0" applyFont="1"/>
    <xf numFmtId="2" fontId="3" fillId="0" borderId="0" xfId="0" applyNumberFormat="1" applyFont="1"/>
    <xf numFmtId="2" fontId="0" fillId="0" borderId="0" xfId="0" applyNumberFormat="1"/>
    <xf numFmtId="164" fontId="3" fillId="0" borderId="0" xfId="0" applyNumberFormat="1" applyFont="1"/>
    <xf numFmtId="164" fontId="0" fillId="0" borderId="0" xfId="0" applyNumberFormat="1"/>
    <xf numFmtId="0" fontId="15" fillId="0" borderId="0" xfId="0" applyFont="1" applyAlignment="1">
      <alignment horizontal="right"/>
    </xf>
    <xf numFmtId="2" fontId="15" fillId="0" borderId="0" xfId="0" applyNumberFormat="1" applyFont="1" applyAlignment="1">
      <alignment horizontal="right"/>
    </xf>
    <xf numFmtId="165" fontId="0" fillId="0" borderId="0" xfId="2" applyNumberFormat="1" applyFont="1"/>
    <xf numFmtId="165" fontId="0" fillId="0" borderId="0" xfId="0" applyNumberFormat="1"/>
    <xf numFmtId="2" fontId="9" fillId="0" borderId="0" xfId="0" applyNumberFormat="1" applyFont="1"/>
    <xf numFmtId="2" fontId="0" fillId="11" borderId="0" xfId="0" applyNumberFormat="1" applyFill="1"/>
    <xf numFmtId="2" fontId="8" fillId="11" borderId="0" xfId="0" applyNumberFormat="1" applyFont="1" applyFill="1"/>
    <xf numFmtId="2" fontId="3" fillId="12" borderId="0" xfId="0" applyNumberFormat="1" applyFont="1" applyFill="1"/>
    <xf numFmtId="2" fontId="0" fillId="12" borderId="0" xfId="0" applyNumberFormat="1" applyFill="1"/>
    <xf numFmtId="2" fontId="10" fillId="0" borderId="0" xfId="0" applyNumberFormat="1" applyFont="1"/>
    <xf numFmtId="2" fontId="15" fillId="0" borderId="0" xfId="0" applyNumberFormat="1" applyFont="1"/>
    <xf numFmtId="43" fontId="0" fillId="13" borderId="0" xfId="2" applyFont="1" applyFill="1"/>
    <xf numFmtId="165" fontId="0" fillId="13" borderId="0" xfId="2" applyNumberFormat="1" applyFont="1" applyFill="1"/>
    <xf numFmtId="0" fontId="14" fillId="14" borderId="0" xfId="0" applyFont="1" applyFill="1"/>
    <xf numFmtId="165" fontId="14" fillId="14" borderId="0" xfId="0" applyNumberFormat="1" applyFont="1" applyFill="1"/>
    <xf numFmtId="9" fontId="14" fillId="14" borderId="0" xfId="0" applyNumberFormat="1" applyFont="1" applyFill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5FFA2-A875-134F-9BDA-F112D638328C}">
  <dimension ref="A1:B9"/>
  <sheetViews>
    <sheetView zoomScale="190" workbookViewId="0">
      <selection activeCell="B10" sqref="B10"/>
    </sheetView>
  </sheetViews>
  <sheetFormatPr baseColWidth="10" defaultRowHeight="13" x14ac:dyDescent="0.15"/>
  <cols>
    <col min="1" max="1" width="17" bestFit="1" customWidth="1"/>
    <col min="2" max="2" width="70.33203125" bestFit="1" customWidth="1"/>
  </cols>
  <sheetData>
    <row r="1" spans="1:2" x14ac:dyDescent="0.15">
      <c r="A1" s="2" t="s">
        <v>37</v>
      </c>
      <c r="B1" s="2" t="s">
        <v>38</v>
      </c>
    </row>
    <row r="2" spans="1:2" x14ac:dyDescent="0.15">
      <c r="A2" s="2" t="s">
        <v>43</v>
      </c>
      <c r="B2" s="2" t="s">
        <v>40</v>
      </c>
    </row>
    <row r="3" spans="1:2" x14ac:dyDescent="0.15">
      <c r="A3" s="2" t="s">
        <v>44</v>
      </c>
      <c r="B3" s="2" t="s">
        <v>41</v>
      </c>
    </row>
    <row r="4" spans="1:2" x14ac:dyDescent="0.15">
      <c r="A4" s="2" t="s">
        <v>45</v>
      </c>
      <c r="B4" s="2" t="s">
        <v>39</v>
      </c>
    </row>
    <row r="5" spans="1:2" x14ac:dyDescent="0.15">
      <c r="A5" s="2" t="s">
        <v>20</v>
      </c>
      <c r="B5" s="2" t="s">
        <v>42</v>
      </c>
    </row>
    <row r="6" spans="1:2" ht="42" x14ac:dyDescent="0.15">
      <c r="A6" s="2" t="s">
        <v>54</v>
      </c>
      <c r="B6" s="5" t="s">
        <v>59</v>
      </c>
    </row>
    <row r="7" spans="1:2" ht="28" x14ac:dyDescent="0.15">
      <c r="A7" s="6" t="s">
        <v>53</v>
      </c>
      <c r="B7" s="7" t="s">
        <v>55</v>
      </c>
    </row>
    <row r="8" spans="1:2" x14ac:dyDescent="0.15">
      <c r="A8" s="2" t="s">
        <v>49</v>
      </c>
      <c r="B8" s="2" t="s">
        <v>50</v>
      </c>
    </row>
    <row r="9" spans="1:2" x14ac:dyDescent="0.15">
      <c r="A9" s="2" t="s">
        <v>51</v>
      </c>
      <c r="B9" s="2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6B7CA-5E2C-284E-A17C-8E0897ACEFB0}">
  <dimension ref="A1:K2"/>
  <sheetViews>
    <sheetView zoomScale="186" workbookViewId="0">
      <selection activeCell="E2" sqref="E2:G2"/>
    </sheetView>
  </sheetViews>
  <sheetFormatPr baseColWidth="10" defaultRowHeight="13" x14ac:dyDescent="0.15"/>
  <cols>
    <col min="1" max="1" width="8.5" bestFit="1" customWidth="1"/>
    <col min="2" max="2" width="6.1640625" bestFit="1" customWidth="1"/>
    <col min="3" max="3" width="8.5" bestFit="1" customWidth="1"/>
    <col min="4" max="4" width="5.83203125" bestFit="1" customWidth="1"/>
    <col min="5" max="5" width="8.6640625" bestFit="1" customWidth="1"/>
    <col min="6" max="6" width="11.5" bestFit="1" customWidth="1"/>
    <col min="7" max="7" width="12.1640625" bestFit="1" customWidth="1"/>
    <col min="8" max="8" width="6.5" bestFit="1" customWidth="1"/>
    <col min="9" max="10" width="9.5" bestFit="1" customWidth="1"/>
    <col min="11" max="11" width="9" bestFit="1" customWidth="1"/>
  </cols>
  <sheetData>
    <row r="1" spans="1:11" x14ac:dyDescent="0.15">
      <c r="A1" s="2" t="s">
        <v>43</v>
      </c>
      <c r="B1" s="2" t="s">
        <v>44</v>
      </c>
      <c r="C1" s="2" t="s">
        <v>45</v>
      </c>
      <c r="D1" s="2" t="s">
        <v>20</v>
      </c>
      <c r="E1" s="2" t="s">
        <v>47</v>
      </c>
      <c r="F1" s="2" t="s">
        <v>60</v>
      </c>
      <c r="G1" s="2" t="s">
        <v>67</v>
      </c>
      <c r="H1" s="2" t="s">
        <v>66</v>
      </c>
      <c r="I1" s="2" t="s">
        <v>54</v>
      </c>
      <c r="J1" s="2" t="s">
        <v>49</v>
      </c>
      <c r="K1" s="2" t="s">
        <v>51</v>
      </c>
    </row>
    <row r="2" spans="1:11" x14ac:dyDescent="0.15">
      <c r="A2" t="b">
        <v>0</v>
      </c>
      <c r="B2">
        <v>10000</v>
      </c>
      <c r="C2" s="2">
        <v>1</v>
      </c>
      <c r="D2" s="2" t="s">
        <v>61</v>
      </c>
      <c r="E2" s="2">
        <v>0.47</v>
      </c>
      <c r="F2" s="2">
        <v>1.2999999999999999E-2</v>
      </c>
      <c r="G2" s="2" t="s">
        <v>14</v>
      </c>
      <c r="H2" s="2" t="s">
        <v>69</v>
      </c>
      <c r="I2" s="2" t="s">
        <v>28</v>
      </c>
      <c r="J2" t="b">
        <v>0</v>
      </c>
      <c r="K2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899DA-46D5-A143-AFBA-1E1D48143306}">
  <dimension ref="A1:D3"/>
  <sheetViews>
    <sheetView zoomScale="152" zoomScaleNormal="152" workbookViewId="0">
      <selection activeCell="C4" sqref="C4"/>
    </sheetView>
  </sheetViews>
  <sheetFormatPr baseColWidth="10" defaultRowHeight="13" x14ac:dyDescent="0.15"/>
  <cols>
    <col min="4" max="4" width="17.33203125" bestFit="1" customWidth="1"/>
  </cols>
  <sheetData>
    <row r="1" spans="1:4" x14ac:dyDescent="0.15">
      <c r="A1" s="2" t="s">
        <v>30</v>
      </c>
      <c r="B1" s="2" t="s">
        <v>31</v>
      </c>
      <c r="C1" s="2" t="s">
        <v>32</v>
      </c>
      <c r="D1" s="2" t="s">
        <v>33</v>
      </c>
    </row>
    <row r="2" spans="1:4" x14ac:dyDescent="0.15">
      <c r="A2" s="2" t="s">
        <v>34</v>
      </c>
      <c r="B2" s="2">
        <v>2016</v>
      </c>
      <c r="C2" s="2">
        <v>2020</v>
      </c>
      <c r="D2" s="2" t="s">
        <v>56</v>
      </c>
    </row>
    <row r="3" spans="1:4" x14ac:dyDescent="0.15">
      <c r="A3" s="2" t="s">
        <v>35</v>
      </c>
      <c r="B3" s="2">
        <v>2021</v>
      </c>
      <c r="C3" s="2">
        <v>2022</v>
      </c>
      <c r="D3" s="2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D584A-3C50-2A48-B2AD-AFCD6F08F4C8}">
  <sheetPr>
    <outlinePr summaryBelow="0" summaryRight="0"/>
  </sheetPr>
  <dimension ref="A1:N13"/>
  <sheetViews>
    <sheetView topLeftCell="C1" zoomScale="127" workbookViewId="0">
      <selection activeCell="E2" sqref="E2:E13"/>
    </sheetView>
  </sheetViews>
  <sheetFormatPr baseColWidth="10" defaultColWidth="12.6640625" defaultRowHeight="15.75" customHeight="1" x14ac:dyDescent="0.15"/>
  <cols>
    <col min="2" max="2" width="17" customWidth="1"/>
    <col min="3" max="3" width="11.5" bestFit="1" customWidth="1"/>
    <col min="4" max="4" width="11.83203125" bestFit="1" customWidth="1"/>
    <col min="5" max="5" width="10.6640625" bestFit="1" customWidth="1"/>
    <col min="6" max="6" width="49" bestFit="1" customWidth="1"/>
    <col min="7" max="7" width="9.6640625" bestFit="1" customWidth="1"/>
    <col min="8" max="8" width="35.33203125" bestFit="1" customWidth="1"/>
  </cols>
  <sheetData>
    <row r="1" spans="1:14" ht="15.75" customHeight="1" x14ac:dyDescent="0.15">
      <c r="A1" s="1" t="s">
        <v>0</v>
      </c>
      <c r="B1" s="1" t="s">
        <v>1</v>
      </c>
      <c r="C1" s="1" t="s">
        <v>36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5.75" customHeight="1" x14ac:dyDescent="0.15">
      <c r="A2" s="8">
        <v>1</v>
      </c>
      <c r="B2" s="8" t="str">
        <f>C2&amp;"_"&amp;E2&amp;"_"&amp;G2</f>
        <v>T1_EV_Crop</v>
      </c>
      <c r="C2" s="8" t="s">
        <v>34</v>
      </c>
      <c r="D2" s="8" t="s">
        <v>13</v>
      </c>
      <c r="E2" s="8" t="s">
        <v>70</v>
      </c>
      <c r="F2" s="8" t="s">
        <v>72</v>
      </c>
      <c r="G2" s="8" t="s">
        <v>65</v>
      </c>
      <c r="H2" s="8" t="s">
        <v>63</v>
      </c>
      <c r="I2" s="8">
        <v>22455</v>
      </c>
      <c r="J2" s="8">
        <v>7513</v>
      </c>
      <c r="K2" s="8" t="s">
        <v>14</v>
      </c>
      <c r="L2" s="8"/>
      <c r="M2" s="8"/>
      <c r="N2" s="8"/>
    </row>
    <row r="3" spans="1:14" ht="15.75" customHeight="1" x14ac:dyDescent="0.15">
      <c r="A3" s="8">
        <v>3</v>
      </c>
      <c r="B3" s="8" t="str">
        <f t="shared" ref="B3:B13" si="0">C3&amp;"_"&amp;E3&amp;"_"&amp;G3</f>
        <v>T1_M_Crop</v>
      </c>
      <c r="C3" s="8" t="s">
        <v>34</v>
      </c>
      <c r="D3" s="8" t="s">
        <v>13</v>
      </c>
      <c r="E3" s="8" t="s">
        <v>62</v>
      </c>
      <c r="F3" s="8" t="s">
        <v>73</v>
      </c>
      <c r="G3" s="8" t="s">
        <v>65</v>
      </c>
      <c r="H3" s="8" t="s">
        <v>63</v>
      </c>
      <c r="I3" s="8">
        <v>11327</v>
      </c>
      <c r="J3" s="8">
        <v>3429</v>
      </c>
      <c r="K3" s="8" t="s">
        <v>14</v>
      </c>
      <c r="L3" s="8"/>
      <c r="M3" s="8"/>
      <c r="N3" s="8"/>
    </row>
    <row r="4" spans="1:14" ht="15.75" customHeight="1" x14ac:dyDescent="0.15">
      <c r="A4" s="9">
        <v>16</v>
      </c>
      <c r="B4" s="9" t="str">
        <f t="shared" si="0"/>
        <v>T1_EV_deg_Crop</v>
      </c>
      <c r="C4" s="9" t="s">
        <v>34</v>
      </c>
      <c r="D4" s="9" t="s">
        <v>13</v>
      </c>
      <c r="E4" s="9" t="s">
        <v>71</v>
      </c>
      <c r="F4" s="9" t="s">
        <v>74</v>
      </c>
      <c r="G4" s="9" t="s">
        <v>65</v>
      </c>
      <c r="H4" s="9" t="s">
        <v>63</v>
      </c>
      <c r="I4" s="9">
        <v>55074</v>
      </c>
      <c r="J4" s="9">
        <v>16234</v>
      </c>
      <c r="K4" s="9" t="s">
        <v>14</v>
      </c>
      <c r="L4" s="9"/>
      <c r="M4" s="9"/>
      <c r="N4" s="9"/>
    </row>
    <row r="5" spans="1:14" ht="15.75" customHeight="1" x14ac:dyDescent="0.15">
      <c r="A5" s="9">
        <v>18</v>
      </c>
      <c r="B5" s="9" t="str">
        <f t="shared" si="0"/>
        <v>T1_M_deg_Crop</v>
      </c>
      <c r="C5" s="9" t="s">
        <v>34</v>
      </c>
      <c r="D5" s="9" t="s">
        <v>13</v>
      </c>
      <c r="E5" s="9" t="s">
        <v>68</v>
      </c>
      <c r="F5" s="9" t="s">
        <v>75</v>
      </c>
      <c r="G5" s="9" t="s">
        <v>65</v>
      </c>
      <c r="H5" s="9" t="s">
        <v>63</v>
      </c>
      <c r="I5" s="9">
        <v>16734</v>
      </c>
      <c r="J5" s="9">
        <v>4038</v>
      </c>
      <c r="K5" s="9" t="s">
        <v>14</v>
      </c>
      <c r="L5" s="9"/>
      <c r="M5" s="9"/>
      <c r="N5" s="9"/>
    </row>
    <row r="6" spans="1:14" ht="15.75" customHeight="1" x14ac:dyDescent="0.15">
      <c r="A6" s="10">
        <v>25</v>
      </c>
      <c r="B6" s="10" t="str">
        <f t="shared" si="0"/>
        <v>T1_EV_EV_deg</v>
      </c>
      <c r="C6" s="10" t="s">
        <v>34</v>
      </c>
      <c r="D6" s="10" t="s">
        <v>15</v>
      </c>
      <c r="E6" s="10" t="s">
        <v>70</v>
      </c>
      <c r="F6" s="10" t="s">
        <v>72</v>
      </c>
      <c r="G6" s="10" t="s">
        <v>71</v>
      </c>
      <c r="H6" s="10" t="s">
        <v>74</v>
      </c>
      <c r="I6" s="10">
        <v>316681</v>
      </c>
      <c r="J6" s="10">
        <v>27632</v>
      </c>
      <c r="K6" s="10" t="s">
        <v>14</v>
      </c>
      <c r="L6" s="10"/>
      <c r="M6" s="10"/>
      <c r="N6" s="10"/>
    </row>
    <row r="7" spans="1:14" ht="15.75" customHeight="1" x14ac:dyDescent="0.15">
      <c r="A7" s="10">
        <v>27</v>
      </c>
      <c r="B7" s="10" t="str">
        <f t="shared" si="0"/>
        <v>T1_M_M_deg</v>
      </c>
      <c r="C7" s="10" t="s">
        <v>34</v>
      </c>
      <c r="D7" s="10" t="s">
        <v>15</v>
      </c>
      <c r="E7" s="10" t="s">
        <v>62</v>
      </c>
      <c r="F7" s="10" t="s">
        <v>73</v>
      </c>
      <c r="G7" s="10" t="s">
        <v>68</v>
      </c>
      <c r="H7" s="10" t="s">
        <v>75</v>
      </c>
      <c r="I7" s="10">
        <v>22954</v>
      </c>
      <c r="J7" s="10">
        <v>2213</v>
      </c>
      <c r="K7" s="10" t="s">
        <v>14</v>
      </c>
      <c r="L7" s="10"/>
      <c r="M7" s="10"/>
      <c r="N7" s="10"/>
    </row>
    <row r="8" spans="1:14" ht="15.75" customHeight="1" x14ac:dyDescent="0.15">
      <c r="A8" s="8">
        <v>35</v>
      </c>
      <c r="B8" s="8" t="str">
        <f t="shared" si="0"/>
        <v>T2_EV_Crop</v>
      </c>
      <c r="C8" s="8" t="s">
        <v>35</v>
      </c>
      <c r="D8" s="8" t="s">
        <v>13</v>
      </c>
      <c r="E8" s="8" t="s">
        <v>70</v>
      </c>
      <c r="F8" s="8" t="s">
        <v>72</v>
      </c>
      <c r="G8" s="8" t="s">
        <v>65</v>
      </c>
      <c r="H8" s="8" t="s">
        <v>63</v>
      </c>
      <c r="I8" s="8">
        <v>2055</v>
      </c>
      <c r="J8" s="8">
        <v>512</v>
      </c>
      <c r="K8" s="8" t="s">
        <v>14</v>
      </c>
      <c r="L8" s="8"/>
      <c r="M8" s="8"/>
      <c r="N8" s="8"/>
    </row>
    <row r="9" spans="1:14" ht="15.75" customHeight="1" x14ac:dyDescent="0.15">
      <c r="A9" s="8">
        <v>37</v>
      </c>
      <c r="B9" s="8" t="str">
        <f t="shared" si="0"/>
        <v>T2_M_Crop</v>
      </c>
      <c r="C9" s="8" t="s">
        <v>35</v>
      </c>
      <c r="D9" s="8" t="s">
        <v>13</v>
      </c>
      <c r="E9" s="8" t="s">
        <v>62</v>
      </c>
      <c r="F9" s="8" t="s">
        <v>73</v>
      </c>
      <c r="G9" s="8" t="s">
        <v>65</v>
      </c>
      <c r="H9" s="8" t="s">
        <v>63</v>
      </c>
      <c r="I9" s="8">
        <v>2107</v>
      </c>
      <c r="J9" s="8">
        <v>525</v>
      </c>
      <c r="K9" s="8" t="s">
        <v>14</v>
      </c>
      <c r="L9" s="8"/>
      <c r="M9" s="8"/>
      <c r="N9" s="8"/>
    </row>
    <row r="10" spans="1:14" ht="15.75" customHeight="1" x14ac:dyDescent="0.15">
      <c r="A10" s="9">
        <v>39</v>
      </c>
      <c r="B10" s="9" t="str">
        <f t="shared" si="0"/>
        <v>T2_EV_deg_Crop</v>
      </c>
      <c r="C10" s="9" t="s">
        <v>35</v>
      </c>
      <c r="D10" s="9" t="s">
        <v>13</v>
      </c>
      <c r="E10" s="9" t="s">
        <v>71</v>
      </c>
      <c r="F10" s="9" t="s">
        <v>74</v>
      </c>
      <c r="G10" s="9" t="s">
        <v>65</v>
      </c>
      <c r="H10" s="9" t="s">
        <v>63</v>
      </c>
      <c r="I10" s="9">
        <v>6029</v>
      </c>
      <c r="J10" s="9">
        <v>1578</v>
      </c>
      <c r="K10" s="9" t="s">
        <v>14</v>
      </c>
      <c r="L10" s="9"/>
      <c r="M10" s="9"/>
      <c r="N10" s="9"/>
    </row>
    <row r="11" spans="1:14" ht="15.75" customHeight="1" x14ac:dyDescent="0.15">
      <c r="A11" s="9">
        <v>40</v>
      </c>
      <c r="B11" s="9" t="str">
        <f t="shared" si="0"/>
        <v>T2_M_deg_Crop</v>
      </c>
      <c r="C11" s="9" t="s">
        <v>35</v>
      </c>
      <c r="D11" s="9" t="s">
        <v>13</v>
      </c>
      <c r="E11" s="9" t="s">
        <v>68</v>
      </c>
      <c r="F11" s="9" t="s">
        <v>75</v>
      </c>
      <c r="G11" s="9" t="s">
        <v>65</v>
      </c>
      <c r="H11" s="9" t="s">
        <v>63</v>
      </c>
      <c r="I11" s="9">
        <v>6195</v>
      </c>
      <c r="J11" s="9">
        <v>1467</v>
      </c>
      <c r="K11" s="9" t="s">
        <v>14</v>
      </c>
      <c r="L11" s="9"/>
      <c r="M11" s="9"/>
      <c r="N11" s="9"/>
    </row>
    <row r="12" spans="1:14" ht="15.75" customHeight="1" x14ac:dyDescent="0.15">
      <c r="A12" s="10">
        <v>43</v>
      </c>
      <c r="B12" s="10" t="str">
        <f t="shared" si="0"/>
        <v>T2_EV_EV_deg</v>
      </c>
      <c r="C12" s="10" t="s">
        <v>35</v>
      </c>
      <c r="D12" s="10" t="s">
        <v>15</v>
      </c>
      <c r="E12" s="10" t="s">
        <v>70</v>
      </c>
      <c r="F12" s="10" t="s">
        <v>72</v>
      </c>
      <c r="G12" s="10" t="s">
        <v>71</v>
      </c>
      <c r="H12" s="10" t="s">
        <v>74</v>
      </c>
      <c r="I12" s="10">
        <v>44939</v>
      </c>
      <c r="J12" s="10">
        <v>3690</v>
      </c>
      <c r="K12" s="10" t="s">
        <v>14</v>
      </c>
      <c r="L12" s="10"/>
      <c r="M12" s="10"/>
      <c r="N12" s="10"/>
    </row>
    <row r="13" spans="1:14" ht="15.75" customHeight="1" x14ac:dyDescent="0.15">
      <c r="A13" s="10">
        <v>45</v>
      </c>
      <c r="B13" s="10" t="str">
        <f t="shared" si="0"/>
        <v>T2_M_M_deg</v>
      </c>
      <c r="C13" s="10" t="s">
        <v>35</v>
      </c>
      <c r="D13" s="10" t="s">
        <v>15</v>
      </c>
      <c r="E13" s="10" t="s">
        <v>62</v>
      </c>
      <c r="F13" s="10" t="s">
        <v>73</v>
      </c>
      <c r="G13" s="10" t="s">
        <v>68</v>
      </c>
      <c r="H13" s="10" t="s">
        <v>75</v>
      </c>
      <c r="I13" s="10">
        <v>5633</v>
      </c>
      <c r="J13" s="10">
        <v>511</v>
      </c>
      <c r="K13" s="10" t="s">
        <v>14</v>
      </c>
      <c r="L13" s="10"/>
      <c r="M13" s="10"/>
      <c r="N13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02F9E-AC0E-614F-ACB5-63E242DFE6FF}">
  <sheetPr>
    <outlinePr summaryBelow="0" summaryRight="0"/>
  </sheetPr>
  <dimension ref="A1:L8"/>
  <sheetViews>
    <sheetView zoomScale="109" workbookViewId="0">
      <selection activeCell="J6" sqref="J6:K7"/>
    </sheetView>
  </sheetViews>
  <sheetFormatPr baseColWidth="10" defaultColWidth="12.6640625" defaultRowHeight="15.75" customHeight="1" x14ac:dyDescent="0.15"/>
  <cols>
    <col min="1" max="1" width="5.83203125" bestFit="1" customWidth="1"/>
    <col min="2" max="2" width="14.33203125" bestFit="1" customWidth="1"/>
    <col min="3" max="3" width="15.33203125" customWidth="1"/>
    <col min="4" max="4" width="24.83203125" bestFit="1" customWidth="1"/>
    <col min="5" max="5" width="35.33203125" bestFit="1" customWidth="1"/>
    <col min="6" max="6" width="10.1640625" customWidth="1"/>
    <col min="7" max="7" width="8.6640625" bestFit="1" customWidth="1"/>
    <col min="8" max="8" width="6.1640625" bestFit="1" customWidth="1"/>
    <col min="9" max="9" width="6.5" bestFit="1" customWidth="1"/>
    <col min="10" max="12" width="8.83203125" bestFit="1" customWidth="1"/>
  </cols>
  <sheetData>
    <row r="1" spans="1:12" ht="15.75" customHeight="1" x14ac:dyDescent="0.2">
      <c r="A1" s="3" t="s">
        <v>16</v>
      </c>
      <c r="B1" s="3" t="s">
        <v>17</v>
      </c>
      <c r="C1" s="3" t="s">
        <v>58</v>
      </c>
      <c r="D1" s="3" t="s">
        <v>18</v>
      </c>
      <c r="E1" s="3" t="s">
        <v>19</v>
      </c>
      <c r="F1" s="3" t="s">
        <v>29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</row>
    <row r="2" spans="1:12" ht="15.75" customHeight="1" x14ac:dyDescent="0.15">
      <c r="A2" s="11">
        <v>1</v>
      </c>
      <c r="B2" s="11" t="str">
        <f t="shared" ref="B2:B8" si="0">C2&amp;"_"&amp;D2&amp;"_"&amp;F2</f>
        <v>ALL_EV_AGB</v>
      </c>
      <c r="C2" s="11" t="s">
        <v>28</v>
      </c>
      <c r="D2" s="11" t="s">
        <v>70</v>
      </c>
      <c r="E2" s="11" t="s">
        <v>72</v>
      </c>
      <c r="F2" s="11" t="s">
        <v>27</v>
      </c>
      <c r="G2" s="11">
        <v>274.959</v>
      </c>
      <c r="H2" s="11">
        <v>71.765100000000004</v>
      </c>
      <c r="I2" s="11" t="s">
        <v>14</v>
      </c>
      <c r="J2" s="11"/>
      <c r="K2" s="11"/>
      <c r="L2" s="11"/>
    </row>
    <row r="3" spans="1:12" ht="15.75" customHeight="1" x14ac:dyDescent="0.15">
      <c r="A3" s="11">
        <v>2</v>
      </c>
      <c r="B3" s="11" t="str">
        <f t="shared" si="0"/>
        <v>ALL_M_AGB</v>
      </c>
      <c r="C3" s="11" t="s">
        <v>28</v>
      </c>
      <c r="D3" s="11" t="s">
        <v>62</v>
      </c>
      <c r="E3" s="11" t="s">
        <v>73</v>
      </c>
      <c r="F3" s="11" t="s">
        <v>27</v>
      </c>
      <c r="G3" s="11">
        <v>195.58000000000004</v>
      </c>
      <c r="H3" s="11">
        <v>48.006000000000007</v>
      </c>
      <c r="I3" s="11" t="s">
        <v>14</v>
      </c>
      <c r="J3" s="11"/>
      <c r="K3" s="11"/>
      <c r="L3" s="11"/>
    </row>
    <row r="4" spans="1:12" ht="15.75" customHeight="1" x14ac:dyDescent="0.15">
      <c r="A4" s="12">
        <v>3</v>
      </c>
      <c r="B4" s="12" t="str">
        <f t="shared" si="0"/>
        <v>ALL_EV_RS</v>
      </c>
      <c r="C4" s="12" t="s">
        <v>28</v>
      </c>
      <c r="D4" s="12" t="s">
        <v>70</v>
      </c>
      <c r="E4" s="12" t="s">
        <v>72</v>
      </c>
      <c r="F4" s="12" t="s">
        <v>64</v>
      </c>
      <c r="G4" s="12">
        <v>0.33300000000000002</v>
      </c>
      <c r="H4" s="12">
        <v>3.0800000000000004E-2</v>
      </c>
      <c r="I4" s="12" t="s">
        <v>14</v>
      </c>
      <c r="J4" s="12"/>
      <c r="K4" s="12"/>
      <c r="L4" s="12"/>
    </row>
    <row r="5" spans="1:12" ht="15.75" customHeight="1" x14ac:dyDescent="0.15">
      <c r="A5" s="12">
        <v>4</v>
      </c>
      <c r="B5" s="12" t="str">
        <f t="shared" si="0"/>
        <v>ALL_M_RS</v>
      </c>
      <c r="C5" s="12" t="s">
        <v>28</v>
      </c>
      <c r="D5" s="12" t="s">
        <v>62</v>
      </c>
      <c r="E5" s="12" t="s">
        <v>73</v>
      </c>
      <c r="F5" s="12" t="s">
        <v>64</v>
      </c>
      <c r="G5" s="12">
        <v>0.40700000000000003</v>
      </c>
      <c r="H5" s="12">
        <v>3.0800000000000004E-2</v>
      </c>
      <c r="I5" s="12" t="s">
        <v>14</v>
      </c>
      <c r="J5" s="12"/>
      <c r="K5" s="12"/>
      <c r="L5" s="12"/>
    </row>
    <row r="6" spans="1:12" ht="15.75" customHeight="1" x14ac:dyDescent="0.15">
      <c r="A6" s="11">
        <v>5</v>
      </c>
      <c r="B6" s="11" t="str">
        <f t="shared" si="0"/>
        <v>ALL_EV_deg_DG_ratio</v>
      </c>
      <c r="C6" s="11" t="s">
        <v>28</v>
      </c>
      <c r="D6" s="11" t="s">
        <v>71</v>
      </c>
      <c r="E6" s="11" t="s">
        <v>74</v>
      </c>
      <c r="F6" s="11" t="s">
        <v>46</v>
      </c>
      <c r="G6" s="11">
        <v>0.72016999999999998</v>
      </c>
      <c r="H6" s="11">
        <v>0.161905953036699</v>
      </c>
      <c r="I6" s="4" t="s">
        <v>48</v>
      </c>
      <c r="J6" s="4">
        <f>ROUND((G6*(1-G6)/(H6*H6)-1)*G6,3)</f>
        <v>4.8159999999999998</v>
      </c>
      <c r="K6" s="4">
        <f>ROUND((G6*(1-G6)/(H6*H6)-1)*(1-G6),3)</f>
        <v>1.871</v>
      </c>
      <c r="L6" s="11"/>
    </row>
    <row r="7" spans="1:12" ht="15.75" customHeight="1" x14ac:dyDescent="0.15">
      <c r="A7" s="11">
        <v>6</v>
      </c>
      <c r="B7" s="11" t="str">
        <f t="shared" si="0"/>
        <v>ALL_M_deg_DG_ratio</v>
      </c>
      <c r="C7" s="11" t="s">
        <v>28</v>
      </c>
      <c r="D7" s="4" t="s">
        <v>68</v>
      </c>
      <c r="E7" s="11" t="s">
        <v>75</v>
      </c>
      <c r="F7" s="11" t="s">
        <v>46</v>
      </c>
      <c r="G7" s="4">
        <v>0.72016999999999998</v>
      </c>
      <c r="H7" s="4">
        <v>0.2070388753329841</v>
      </c>
      <c r="I7" s="4" t="s">
        <v>48</v>
      </c>
      <c r="J7" s="4">
        <f t="shared" ref="J7" si="1">ROUND((G7*(1-G7)/(H7*H7)-1)*G7,3)</f>
        <v>2.6659999999999999</v>
      </c>
      <c r="K7" s="4">
        <f t="shared" ref="K7" si="2">ROUND((G7*(1-G7)/(H7*H7)-1)*(1-G7),3)</f>
        <v>1.036</v>
      </c>
      <c r="L7" s="4"/>
    </row>
    <row r="8" spans="1:12" ht="15.75" customHeight="1" x14ac:dyDescent="0.15">
      <c r="A8" s="14">
        <v>7</v>
      </c>
      <c r="B8" s="14" t="str">
        <f t="shared" si="0"/>
        <v>ALL_Crop_ALL</v>
      </c>
      <c r="C8" s="14" t="s">
        <v>28</v>
      </c>
      <c r="D8" s="13" t="s">
        <v>65</v>
      </c>
      <c r="E8" s="14" t="s">
        <v>63</v>
      </c>
      <c r="F8" s="14" t="s">
        <v>28</v>
      </c>
      <c r="G8" s="13">
        <v>0</v>
      </c>
      <c r="H8" s="13">
        <v>0</v>
      </c>
      <c r="I8" s="13" t="s">
        <v>14</v>
      </c>
      <c r="J8" s="13"/>
      <c r="K8" s="13"/>
      <c r="L8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CA086-9DED-624F-AB34-FF4D6F51F284}">
  <dimension ref="A1:Y97"/>
  <sheetViews>
    <sheetView tabSelected="1" zoomScale="125" workbookViewId="0">
      <selection activeCell="B2" sqref="B2"/>
    </sheetView>
  </sheetViews>
  <sheetFormatPr baseColWidth="10" defaultRowHeight="13" x14ac:dyDescent="0.15"/>
  <cols>
    <col min="1" max="1" width="25.33203125" bestFit="1" customWidth="1"/>
    <col min="2" max="2" width="9.1640625" customWidth="1"/>
    <col min="3" max="3" width="10.6640625" bestFit="1" customWidth="1"/>
    <col min="4" max="4" width="14.33203125" bestFit="1" customWidth="1"/>
    <col min="5" max="5" width="14" bestFit="1" customWidth="1"/>
    <col min="6" max="6" width="13.6640625" bestFit="1" customWidth="1"/>
    <col min="7" max="8" width="9" bestFit="1" customWidth="1"/>
    <col min="9" max="9" width="4.6640625" bestFit="1" customWidth="1"/>
    <col min="10" max="10" width="4.6640625" customWidth="1"/>
    <col min="11" max="11" width="14.6640625" bestFit="1" customWidth="1"/>
    <col min="16" max="19" width="12.6640625" style="30" bestFit="1" customWidth="1"/>
    <col min="20" max="20" width="13.6640625" style="30" bestFit="1" customWidth="1"/>
    <col min="21" max="24" width="12.6640625" style="30" bestFit="1" customWidth="1"/>
    <col min="25" max="25" width="13.6640625" style="30" bestFit="1" customWidth="1"/>
  </cols>
  <sheetData>
    <row r="1" spans="1:25" ht="14" thickBot="1" x14ac:dyDescent="0.2">
      <c r="A1" s="20" t="s">
        <v>92</v>
      </c>
      <c r="B1" s="21">
        <v>5</v>
      </c>
      <c r="C1" s="22"/>
      <c r="D1" s="28" t="s">
        <v>94</v>
      </c>
      <c r="E1" s="28">
        <v>5</v>
      </c>
    </row>
    <row r="2" spans="1:25" ht="14" thickBot="1" x14ac:dyDescent="0.2">
      <c r="A2" s="20" t="s">
        <v>93</v>
      </c>
      <c r="B2" s="23">
        <v>0.9</v>
      </c>
      <c r="D2" s="28" t="s">
        <v>95</v>
      </c>
      <c r="E2" s="28">
        <v>2</v>
      </c>
    </row>
    <row r="4" spans="1:25" s="17" customFormat="1" ht="16" x14ac:dyDescent="0.2">
      <c r="A4" s="16" t="s">
        <v>79</v>
      </c>
      <c r="B4" s="16" t="s">
        <v>88</v>
      </c>
      <c r="C4" s="16" t="s">
        <v>89</v>
      </c>
      <c r="D4" s="16" t="s">
        <v>80</v>
      </c>
      <c r="E4" s="16" t="s">
        <v>81</v>
      </c>
      <c r="F4" s="16" t="s">
        <v>82</v>
      </c>
      <c r="G4" s="16" t="s">
        <v>90</v>
      </c>
      <c r="H4" s="16" t="s">
        <v>91</v>
      </c>
      <c r="I4" s="16" t="s">
        <v>126</v>
      </c>
      <c r="J4" s="16"/>
      <c r="K4" s="16" t="s">
        <v>83</v>
      </c>
      <c r="L4" s="16" t="s">
        <v>84</v>
      </c>
      <c r="M4" s="16" t="s">
        <v>85</v>
      </c>
      <c r="N4" s="16" t="s">
        <v>86</v>
      </c>
      <c r="O4" s="16" t="s">
        <v>87</v>
      </c>
      <c r="P4" s="37" t="s">
        <v>76</v>
      </c>
      <c r="Q4" s="42"/>
      <c r="R4" s="42"/>
      <c r="S4" s="42"/>
      <c r="T4" s="42"/>
      <c r="U4" s="42"/>
      <c r="V4" s="42"/>
      <c r="W4" s="42"/>
      <c r="X4" s="42"/>
      <c r="Y4" s="42"/>
    </row>
    <row r="5" spans="1:25" x14ac:dyDescent="0.15">
      <c r="A5" s="19" t="s">
        <v>77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38"/>
    </row>
    <row r="6" spans="1:25" x14ac:dyDescent="0.15">
      <c r="A6" s="2" t="s">
        <v>78</v>
      </c>
      <c r="D6" s="29">
        <v>0.47</v>
      </c>
      <c r="E6" s="31">
        <v>1.2999999999999999E-2</v>
      </c>
      <c r="F6" s="2" t="s">
        <v>14</v>
      </c>
      <c r="G6" s="2"/>
      <c r="H6" s="2"/>
      <c r="I6" s="2">
        <v>1</v>
      </c>
      <c r="K6" s="26">
        <f ca="1">MEDIAN(_xlfn.ANCHORARRAY(P6))</f>
        <v>0.47</v>
      </c>
      <c r="L6" s="27">
        <f ca="1">ROUND(M6/K6,2)</f>
        <v>0.04</v>
      </c>
      <c r="M6" s="26">
        <f ca="1">(O6-N6)/2</f>
        <v>1.999999999999999E-2</v>
      </c>
      <c r="N6" s="26">
        <f ca="1">ROUND(PERCENTILE(_xlfn.ANCHORARRAY(P6),(1-$B$2)/2),2)</f>
        <v>0.45</v>
      </c>
      <c r="O6" s="26">
        <f ca="1">ROUND(PERCENTILE(_xlfn.ANCHORARRAY(P6),(1+$B$2)/2),2)</f>
        <v>0.49</v>
      </c>
      <c r="P6" s="30" cm="1">
        <f t="array" aca="1" ref="P6:T6" ca="1">IF(I6=1, ROUND(_xlfn.NORM.INV(_xlfn.RANDARRAY(1,$B$1),D6,E6),2),_xlfn.SEQUENCE(1,$B$1,D6,0))</f>
        <v>0.47</v>
      </c>
      <c r="Q6" s="30">
        <f ca="1"/>
        <v>0.45</v>
      </c>
      <c r="R6" s="30">
        <f ca="1"/>
        <v>0.49</v>
      </c>
      <c r="S6" s="30">
        <f ca="1"/>
        <v>0.48</v>
      </c>
      <c r="T6" s="30">
        <f ca="1"/>
        <v>0.47</v>
      </c>
    </row>
    <row r="7" spans="1:25" x14ac:dyDescent="0.15">
      <c r="A7" s="2" t="s">
        <v>99</v>
      </c>
      <c r="B7" s="2" t="s">
        <v>70</v>
      </c>
      <c r="D7" s="30">
        <v>274.959</v>
      </c>
      <c r="E7" s="32">
        <v>71.765100000000004</v>
      </c>
      <c r="F7" t="s">
        <v>14</v>
      </c>
      <c r="I7" s="2">
        <v>1</v>
      </c>
      <c r="K7" s="26">
        <f t="shared" ref="K7:K13" ca="1" si="0">MEDIAN(_xlfn.ANCHORARRAY(P7))</f>
        <v>269.43</v>
      </c>
      <c r="L7" s="27">
        <f t="shared" ref="L7:L13" ca="1" si="1">ROUND(M7/K7,2)</f>
        <v>0.31</v>
      </c>
      <c r="M7" s="26">
        <f t="shared" ref="M7:M13" ca="1" si="2">(O7-N7)/2</f>
        <v>83.830000000000013</v>
      </c>
      <c r="N7" s="26">
        <f t="shared" ref="N7:N13" ca="1" si="3">ROUND(PERCENTILE(_xlfn.ANCHORARRAY(P7),(1-$B$2)/2),2)</f>
        <v>214.39</v>
      </c>
      <c r="O7" s="26">
        <f t="shared" ref="O7:O13" ca="1" si="4">ROUND(PERCENTILE(_xlfn.ANCHORARRAY(P7),(1+$B$2)/2),2)</f>
        <v>382.05</v>
      </c>
      <c r="P7" s="30" cm="1">
        <f t="array" aca="1" ref="P7:T7" ca="1">IF(I7=1, ROUND(_xlfn.NORM.INV(_xlfn.RANDARRAY(1,$B$1),D7,E7),2),_xlfn.SEQUENCE(1,$B$1,D7,0))</f>
        <v>333.51</v>
      </c>
      <c r="Q7" s="30">
        <f ca="1"/>
        <v>244.48</v>
      </c>
      <c r="R7" s="30">
        <f ca="1"/>
        <v>269.43</v>
      </c>
      <c r="S7" s="30">
        <f ca="1"/>
        <v>394.19</v>
      </c>
      <c r="T7" s="30">
        <f ca="1"/>
        <v>206.87</v>
      </c>
    </row>
    <row r="8" spans="1:25" x14ac:dyDescent="0.15">
      <c r="B8" s="2" t="s">
        <v>62</v>
      </c>
      <c r="D8" s="30">
        <v>195.58000000000004</v>
      </c>
      <c r="E8" s="32">
        <v>48.006000000000007</v>
      </c>
      <c r="F8" t="s">
        <v>14</v>
      </c>
      <c r="I8" s="2">
        <v>1</v>
      </c>
      <c r="K8" s="26">
        <f t="shared" ca="1" si="0"/>
        <v>190.02</v>
      </c>
      <c r="L8" s="27">
        <f t="shared" ca="1" si="1"/>
        <v>0.28999999999999998</v>
      </c>
      <c r="M8" s="26">
        <f t="shared" ca="1" si="2"/>
        <v>54.164999999999992</v>
      </c>
      <c r="N8" s="26">
        <f t="shared" ca="1" si="3"/>
        <v>153</v>
      </c>
      <c r="O8" s="26">
        <f t="shared" ca="1" si="4"/>
        <v>261.33</v>
      </c>
      <c r="P8" s="30" cm="1">
        <f t="array" aca="1" ref="P8:T8" ca="1">IF(I8=1, ROUND(_xlfn.NORM.INV(_xlfn.RANDARRAY(1,$B$1),D8,E8),2),_xlfn.SEQUENCE(1,$B$1,D8,0))</f>
        <v>190.02</v>
      </c>
      <c r="Q8" s="30">
        <f ca="1"/>
        <v>264.02999999999997</v>
      </c>
      <c r="R8" s="30">
        <f ca="1"/>
        <v>146.16</v>
      </c>
      <c r="S8" s="30">
        <f ca="1"/>
        <v>180.34</v>
      </c>
      <c r="T8" s="30">
        <f ca="1"/>
        <v>250.53</v>
      </c>
    </row>
    <row r="9" spans="1:25" x14ac:dyDescent="0.15">
      <c r="A9" s="2" t="s">
        <v>64</v>
      </c>
      <c r="B9" s="2" t="s">
        <v>70</v>
      </c>
      <c r="D9" s="30">
        <v>0.33300000000000002</v>
      </c>
      <c r="E9" s="32">
        <v>3.0800000000000004E-2</v>
      </c>
      <c r="F9" t="s">
        <v>14</v>
      </c>
      <c r="I9" s="2">
        <v>1</v>
      </c>
      <c r="K9" s="26">
        <f t="shared" ca="1" si="0"/>
        <v>0.35</v>
      </c>
      <c r="L9" s="27">
        <f t="shared" ca="1" si="1"/>
        <v>0.14000000000000001</v>
      </c>
      <c r="M9" s="26">
        <f t="shared" ca="1" si="2"/>
        <v>4.9999999999999989E-2</v>
      </c>
      <c r="N9" s="26">
        <f t="shared" ca="1" si="3"/>
        <v>0.28000000000000003</v>
      </c>
      <c r="O9" s="26">
        <f t="shared" ca="1" si="4"/>
        <v>0.38</v>
      </c>
      <c r="P9" s="30" cm="1">
        <f t="array" aca="1" ref="P9:T9" ca="1">IF(I9=1, ROUND(_xlfn.NORM.INV(_xlfn.RANDARRAY(1,$B$1),D9,E9),2),_xlfn.SEQUENCE(1,$B$1,D9,0))</f>
        <v>0.32</v>
      </c>
      <c r="Q9" s="30">
        <f ca="1"/>
        <v>0.38</v>
      </c>
      <c r="R9" s="30">
        <f ca="1"/>
        <v>0.36</v>
      </c>
      <c r="S9" s="30">
        <f ca="1"/>
        <v>0.35</v>
      </c>
      <c r="T9" s="30">
        <f ca="1"/>
        <v>0.27</v>
      </c>
    </row>
    <row r="10" spans="1:25" x14ac:dyDescent="0.15">
      <c r="B10" s="2" t="s">
        <v>62</v>
      </c>
      <c r="D10" s="30">
        <v>0.40700000000000003</v>
      </c>
      <c r="E10" s="32">
        <v>3.0800000000000004E-2</v>
      </c>
      <c r="F10" t="s">
        <v>14</v>
      </c>
      <c r="I10" s="2">
        <v>1</v>
      </c>
      <c r="K10" s="26">
        <f t="shared" ca="1" si="0"/>
        <v>0.37</v>
      </c>
      <c r="L10" s="27">
        <f t="shared" ca="1" si="1"/>
        <v>0.09</v>
      </c>
      <c r="M10" s="26">
        <f t="shared" ca="1" si="2"/>
        <v>3.4999999999999976E-2</v>
      </c>
      <c r="N10" s="26">
        <f t="shared" ca="1" si="3"/>
        <v>0.34</v>
      </c>
      <c r="O10" s="26">
        <f t="shared" ca="1" si="4"/>
        <v>0.41</v>
      </c>
      <c r="P10" s="30" cm="1">
        <f t="array" aca="1" ref="P10:T10" ca="1">IF(I10=1, ROUND(_xlfn.NORM.INV(_xlfn.RANDARRAY(1,$B$1),D10,E10),2),_xlfn.SEQUENCE(1,$B$1,D10,0))</f>
        <v>0.37</v>
      </c>
      <c r="Q10" s="30">
        <f ca="1"/>
        <v>0.36</v>
      </c>
      <c r="R10" s="30">
        <f ca="1"/>
        <v>0.42</v>
      </c>
      <c r="S10" s="30">
        <f ca="1"/>
        <v>0.34</v>
      </c>
      <c r="T10" s="30">
        <f ca="1"/>
        <v>0.37</v>
      </c>
    </row>
    <row r="11" spans="1:25" x14ac:dyDescent="0.15">
      <c r="A11" s="2" t="s">
        <v>46</v>
      </c>
      <c r="B11" s="2" t="s">
        <v>71</v>
      </c>
      <c r="D11" s="30">
        <v>0.72016999999999998</v>
      </c>
      <c r="E11" s="32">
        <v>0.161905953036699</v>
      </c>
      <c r="F11" t="s">
        <v>48</v>
      </c>
      <c r="G11">
        <v>4.8159999999999998</v>
      </c>
      <c r="H11">
        <v>1.871</v>
      </c>
      <c r="I11" s="2">
        <v>1</v>
      </c>
      <c r="K11" s="26">
        <f t="shared" ca="1" si="0"/>
        <v>0.9</v>
      </c>
      <c r="L11" s="27">
        <f t="shared" ca="1" si="1"/>
        <v>7.0000000000000007E-2</v>
      </c>
      <c r="M11" s="26">
        <f t="shared" ca="1" si="2"/>
        <v>0.06</v>
      </c>
      <c r="N11" s="26">
        <f t="shared" ca="1" si="3"/>
        <v>0.84</v>
      </c>
      <c r="O11" s="26">
        <f t="shared" ca="1" si="4"/>
        <v>0.96</v>
      </c>
      <c r="P11" s="30" cm="1">
        <f t="array" aca="1" ref="P11:T11" ca="1">IF(I11=1, ROUND(_xlfn.BETA.INV(_xlfn.RANDARRAY(1,$B$1),G11,H11),2),_xlfn.SEQUENCE(1,$B$1,D11,0))</f>
        <v>0.84</v>
      </c>
      <c r="Q11" s="30">
        <f ca="1"/>
        <v>0.9</v>
      </c>
      <c r="R11" s="30">
        <f ca="1"/>
        <v>0.9</v>
      </c>
      <c r="S11" s="30">
        <f ca="1"/>
        <v>0.85</v>
      </c>
      <c r="T11" s="30">
        <f ca="1"/>
        <v>0.97</v>
      </c>
    </row>
    <row r="12" spans="1:25" x14ac:dyDescent="0.15">
      <c r="B12" s="2" t="s">
        <v>68</v>
      </c>
      <c r="D12" s="30">
        <v>0.72016999999999998</v>
      </c>
      <c r="E12" s="32">
        <v>0.2070388753329841</v>
      </c>
      <c r="F12" t="s">
        <v>48</v>
      </c>
      <c r="G12">
        <v>2.6659999999999999</v>
      </c>
      <c r="H12">
        <v>1.036</v>
      </c>
      <c r="I12" s="2">
        <v>1</v>
      </c>
      <c r="K12" s="26">
        <f t="shared" ca="1" si="0"/>
        <v>0.69</v>
      </c>
      <c r="L12" s="27">
        <f t="shared" ca="1" si="1"/>
        <v>0.42</v>
      </c>
      <c r="M12" s="26">
        <f t="shared" ca="1" si="2"/>
        <v>0.29000000000000004</v>
      </c>
      <c r="N12" s="26">
        <f t="shared" ca="1" si="3"/>
        <v>0.34</v>
      </c>
      <c r="O12" s="26">
        <f t="shared" ca="1" si="4"/>
        <v>0.92</v>
      </c>
      <c r="P12" s="30" cm="1">
        <f t="array" aca="1" ref="P12:T12" ca="1">IF(I12=1, ROUND(_xlfn.BETA.INV(_xlfn.RANDARRAY(1,$B$1),G12,H12),2),_xlfn.SEQUENCE(1,$B$1,D12,0))</f>
        <v>0.56000000000000005</v>
      </c>
      <c r="Q12" s="30">
        <f ca="1"/>
        <v>0.84</v>
      </c>
      <c r="R12" s="30">
        <f ca="1"/>
        <v>0.69</v>
      </c>
      <c r="S12" s="30">
        <f ca="1"/>
        <v>0.28000000000000003</v>
      </c>
      <c r="T12" s="30">
        <f ca="1"/>
        <v>0.94</v>
      </c>
    </row>
    <row r="13" spans="1:25" x14ac:dyDescent="0.15">
      <c r="A13" s="2" t="s">
        <v>100</v>
      </c>
      <c r="B13" s="2" t="s">
        <v>65</v>
      </c>
      <c r="D13" s="30">
        <v>0</v>
      </c>
      <c r="E13">
        <v>0</v>
      </c>
      <c r="F13" t="s">
        <v>14</v>
      </c>
      <c r="I13" s="2">
        <v>0</v>
      </c>
      <c r="K13" s="26">
        <f t="shared" ca="1" si="0"/>
        <v>0</v>
      </c>
      <c r="L13" s="27" t="e">
        <f t="shared" ca="1" si="1"/>
        <v>#DIV/0!</v>
      </c>
      <c r="M13" s="26">
        <f t="shared" ca="1" si="2"/>
        <v>0</v>
      </c>
      <c r="N13" s="26">
        <f t="shared" ca="1" si="3"/>
        <v>0</v>
      </c>
      <c r="O13" s="26">
        <f t="shared" ca="1" si="4"/>
        <v>0</v>
      </c>
      <c r="P13" s="30" cm="1">
        <f t="array" aca="1" ref="P13:T13" ca="1">IF(I13=1, ROUND(_xlfn.NORM.INV(_xlfn.RANDARRAY(1,$B$1),D13,E13),2),_xlfn.SEQUENCE(1,$B$1,D13,0))</f>
        <v>0</v>
      </c>
      <c r="Q13" s="30">
        <f ca="1"/>
        <v>0</v>
      </c>
      <c r="R13" s="30">
        <f ca="1"/>
        <v>0</v>
      </c>
      <c r="S13" s="30">
        <f ca="1"/>
        <v>0</v>
      </c>
      <c r="T13" s="30">
        <f ca="1"/>
        <v>0</v>
      </c>
    </row>
    <row r="15" spans="1:25" x14ac:dyDescent="0.15">
      <c r="A15" s="19" t="s">
        <v>98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38"/>
    </row>
    <row r="16" spans="1:25" x14ac:dyDescent="0.15">
      <c r="A16" s="2" t="s">
        <v>56</v>
      </c>
    </row>
    <row r="17" spans="1:20" x14ac:dyDescent="0.15">
      <c r="B17" t="s">
        <v>70</v>
      </c>
      <c r="C17" t="s">
        <v>65</v>
      </c>
      <c r="D17">
        <v>22455</v>
      </c>
      <c r="E17">
        <v>7513</v>
      </c>
      <c r="F17" t="s">
        <v>14</v>
      </c>
      <c r="I17" s="2">
        <v>1</v>
      </c>
      <c r="K17" s="44">
        <f t="shared" ref="K17:K29" ca="1" si="5">MEDIAN(_xlfn.ANCHORARRAY(P17))</f>
        <v>19832.990000000002</v>
      </c>
      <c r="L17" s="27">
        <f t="shared" ref="L17:L29" ca="1" si="6">ROUND(M17/K17,2)</f>
        <v>0.28999999999999998</v>
      </c>
      <c r="M17" s="26">
        <f t="shared" ref="M17:M29" ca="1" si="7">(O17-N17)/2</f>
        <v>5848.6450000000004</v>
      </c>
      <c r="N17" s="26">
        <f t="shared" ref="N17:N29" ca="1" si="8">ROUND(PERCENTILE(_xlfn.ANCHORARRAY(P17),(1-$B$2)/2),2)</f>
        <v>19453.78</v>
      </c>
      <c r="O17" s="26">
        <f t="shared" ref="O17:O29" ca="1" si="9">ROUND(PERCENTILE(_xlfn.ANCHORARRAY(P17),(1+$B$2)/2),2)</f>
        <v>31151.07</v>
      </c>
      <c r="P17" s="30" cm="1">
        <f t="array" aca="1" ref="P17:T17" ca="1">IF(I17=1, ROUND(_xlfn.NORM.INV(_xlfn.RANDARRAY(1,$B$1),D17,E17),2),_xlfn.SEQUENCE(1,$B$1,D17,0))</f>
        <v>19593.59</v>
      </c>
      <c r="Q17" s="30">
        <f ca="1"/>
        <v>19418.830000000002</v>
      </c>
      <c r="R17" s="30">
        <f ca="1"/>
        <v>19832.990000000002</v>
      </c>
      <c r="S17" s="30">
        <f ca="1"/>
        <v>31346.240000000002</v>
      </c>
      <c r="T17" s="30">
        <f ca="1"/>
        <v>30370.39</v>
      </c>
    </row>
    <row r="18" spans="1:20" x14ac:dyDescent="0.15">
      <c r="B18" t="s">
        <v>62</v>
      </c>
      <c r="C18" t="s">
        <v>65</v>
      </c>
      <c r="D18">
        <v>11327</v>
      </c>
      <c r="E18">
        <v>3429</v>
      </c>
      <c r="F18" t="s">
        <v>14</v>
      </c>
      <c r="I18" s="2">
        <v>1</v>
      </c>
      <c r="K18" s="44">
        <f t="shared" ca="1" si="5"/>
        <v>11483.59</v>
      </c>
      <c r="L18" s="27">
        <f t="shared" ca="1" si="6"/>
        <v>0.32</v>
      </c>
      <c r="M18" s="26">
        <f t="shared" ca="1" si="7"/>
        <v>3715.0050000000001</v>
      </c>
      <c r="N18" s="26">
        <f t="shared" ca="1" si="8"/>
        <v>5241.2700000000004</v>
      </c>
      <c r="O18" s="26">
        <f t="shared" ca="1" si="9"/>
        <v>12671.28</v>
      </c>
      <c r="P18" s="30" cm="1">
        <f t="array" aca="1" ref="P18:T18" ca="1">IF(I18=1, ROUND(_xlfn.NORM.INV(_xlfn.RANDARRAY(1,$B$1),D18,E18),2),_xlfn.SEQUENCE(1,$B$1,D18,0))</f>
        <v>11483.59</v>
      </c>
      <c r="Q18" s="30">
        <f ca="1"/>
        <v>12837.05</v>
      </c>
      <c r="R18" s="30">
        <f ca="1"/>
        <v>8062.12</v>
      </c>
      <c r="S18" s="30">
        <f ca="1"/>
        <v>12008.2</v>
      </c>
      <c r="T18" s="30">
        <f ca="1"/>
        <v>4536.0600000000004</v>
      </c>
    </row>
    <row r="19" spans="1:20" x14ac:dyDescent="0.15">
      <c r="B19" t="s">
        <v>71</v>
      </c>
      <c r="C19" t="s">
        <v>65</v>
      </c>
      <c r="D19">
        <v>55074</v>
      </c>
      <c r="E19">
        <v>16234</v>
      </c>
      <c r="F19" t="s">
        <v>14</v>
      </c>
      <c r="I19" s="2">
        <v>1</v>
      </c>
      <c r="K19" s="44">
        <f t="shared" ca="1" si="5"/>
        <v>60992.03</v>
      </c>
      <c r="L19" s="27">
        <f t="shared" ca="1" si="6"/>
        <v>0.24</v>
      </c>
      <c r="M19" s="26">
        <f t="shared" ca="1" si="7"/>
        <v>14608.214999999997</v>
      </c>
      <c r="N19" s="26">
        <f t="shared" ca="1" si="8"/>
        <v>43882.3</v>
      </c>
      <c r="O19" s="26">
        <f t="shared" ca="1" si="9"/>
        <v>73098.73</v>
      </c>
      <c r="P19" s="30" cm="1">
        <f t="array" aca="1" ref="P19:T19" ca="1">IF(I19=1, ROUND(_xlfn.NORM.INV(_xlfn.RANDARRAY(1,$B$1),D19,E19),2),_xlfn.SEQUENCE(1,$B$1,D19,0))</f>
        <v>69495.789999999994</v>
      </c>
      <c r="Q19" s="30">
        <f ca="1"/>
        <v>42465.79</v>
      </c>
      <c r="R19" s="30">
        <f ca="1"/>
        <v>60992.03</v>
      </c>
      <c r="S19" s="30">
        <f ca="1"/>
        <v>73999.47</v>
      </c>
      <c r="T19" s="30">
        <f ca="1"/>
        <v>49548.33</v>
      </c>
    </row>
    <row r="20" spans="1:20" x14ac:dyDescent="0.15">
      <c r="B20" t="s">
        <v>68</v>
      </c>
      <c r="C20" t="s">
        <v>65</v>
      </c>
      <c r="D20">
        <v>16734</v>
      </c>
      <c r="E20">
        <v>4038</v>
      </c>
      <c r="F20" t="s">
        <v>14</v>
      </c>
      <c r="I20" s="2">
        <v>1</v>
      </c>
      <c r="K20" s="44">
        <f t="shared" ca="1" si="5"/>
        <v>18713.2</v>
      </c>
      <c r="L20" s="27">
        <f t="shared" ca="1" si="6"/>
        <v>0.16</v>
      </c>
      <c r="M20" s="26">
        <f t="shared" ca="1" si="7"/>
        <v>3064.5549999999994</v>
      </c>
      <c r="N20" s="26">
        <f t="shared" ca="1" si="8"/>
        <v>15240.74</v>
      </c>
      <c r="O20" s="26">
        <f t="shared" ca="1" si="9"/>
        <v>21369.85</v>
      </c>
      <c r="P20" s="30" cm="1">
        <f t="array" aca="1" ref="P20:T20" ca="1">IF(I20=1, ROUND(_xlfn.NORM.INV(_xlfn.RANDARRAY(1,$B$1),D20,E20),2),_xlfn.SEQUENCE(1,$B$1,D20,0))</f>
        <v>21770.71</v>
      </c>
      <c r="Q20" s="30">
        <f ca="1"/>
        <v>15005.89</v>
      </c>
      <c r="R20" s="30">
        <f ca="1"/>
        <v>19766.43</v>
      </c>
      <c r="S20" s="30">
        <f ca="1"/>
        <v>18713.2</v>
      </c>
      <c r="T20" s="30">
        <f ca="1"/>
        <v>16180.13</v>
      </c>
    </row>
    <row r="21" spans="1:20" x14ac:dyDescent="0.15">
      <c r="B21" t="s">
        <v>70</v>
      </c>
      <c r="C21" t="s">
        <v>71</v>
      </c>
      <c r="D21">
        <v>316681</v>
      </c>
      <c r="E21">
        <v>27632</v>
      </c>
      <c r="F21" t="s">
        <v>14</v>
      </c>
      <c r="I21" s="2">
        <v>1</v>
      </c>
      <c r="K21" s="44">
        <f t="shared" ca="1" si="5"/>
        <v>314700.81</v>
      </c>
      <c r="L21" s="27">
        <f t="shared" ca="1" si="6"/>
        <v>0.09</v>
      </c>
      <c r="M21" s="26">
        <f t="shared" ca="1" si="7"/>
        <v>27578.11500000002</v>
      </c>
      <c r="N21" s="26">
        <f t="shared" ca="1" si="8"/>
        <v>282489.71999999997</v>
      </c>
      <c r="O21" s="26">
        <f t="shared" ca="1" si="9"/>
        <v>337645.95</v>
      </c>
      <c r="P21" s="30" cm="1">
        <f t="array" aca="1" ref="P21:T21" ca="1">IF(I21=1, ROUND(_xlfn.NORM.INV(_xlfn.RANDARRAY(1,$B$1),D21,E21),2),_xlfn.SEQUENCE(1,$B$1,D21,0))</f>
        <v>333382.28000000003</v>
      </c>
      <c r="Q21" s="30">
        <f ca="1"/>
        <v>338711.87</v>
      </c>
      <c r="R21" s="30">
        <f ca="1"/>
        <v>314700.81</v>
      </c>
      <c r="S21" s="30">
        <f ca="1"/>
        <v>300853.23</v>
      </c>
      <c r="T21" s="30">
        <f ca="1"/>
        <v>277898.84000000003</v>
      </c>
    </row>
    <row r="22" spans="1:20" x14ac:dyDescent="0.15">
      <c r="B22" t="s">
        <v>62</v>
      </c>
      <c r="C22" t="s">
        <v>68</v>
      </c>
      <c r="D22">
        <v>22954</v>
      </c>
      <c r="E22">
        <v>2213</v>
      </c>
      <c r="F22" t="s">
        <v>14</v>
      </c>
      <c r="I22" s="2">
        <v>1</v>
      </c>
      <c r="K22" s="44">
        <f t="shared" ca="1" si="5"/>
        <v>21278.65</v>
      </c>
      <c r="L22" s="27">
        <f t="shared" ca="1" si="6"/>
        <v>0.1</v>
      </c>
      <c r="M22" s="26">
        <f t="shared" ca="1" si="7"/>
        <v>2059.5749999999989</v>
      </c>
      <c r="N22" s="26">
        <f t="shared" ca="1" si="8"/>
        <v>20561.740000000002</v>
      </c>
      <c r="O22" s="26">
        <f t="shared" ca="1" si="9"/>
        <v>24680.89</v>
      </c>
      <c r="P22" s="30" cm="1">
        <f t="array" aca="1" ref="P22:T22" ca="1">IF(I22=1, ROUND(_xlfn.NORM.INV(_xlfn.RANDARRAY(1,$B$1),D22,E22),2),_xlfn.SEQUENCE(1,$B$1,D22,0))</f>
        <v>20401.59</v>
      </c>
      <c r="Q22" s="30">
        <f ca="1"/>
        <v>24751.31</v>
      </c>
      <c r="R22" s="30">
        <f ca="1"/>
        <v>24399.19</v>
      </c>
      <c r="S22" s="30">
        <f ca="1"/>
        <v>21278.65</v>
      </c>
      <c r="T22" s="30">
        <f ca="1"/>
        <v>21202.34</v>
      </c>
    </row>
    <row r="23" spans="1:20" x14ac:dyDescent="0.15">
      <c r="A23" s="2" t="s">
        <v>96</v>
      </c>
      <c r="K23" s="44"/>
      <c r="L23" s="27"/>
      <c r="M23" s="26"/>
      <c r="N23" s="26"/>
      <c r="O23" s="26"/>
    </row>
    <row r="24" spans="1:20" x14ac:dyDescent="0.15">
      <c r="B24" t="s">
        <v>70</v>
      </c>
      <c r="C24" t="s">
        <v>65</v>
      </c>
      <c r="D24">
        <v>2055</v>
      </c>
      <c r="E24">
        <v>512</v>
      </c>
      <c r="F24" t="s">
        <v>14</v>
      </c>
      <c r="I24" s="2">
        <v>1</v>
      </c>
      <c r="K24" s="44">
        <f t="shared" ca="1" si="5"/>
        <v>1830.39</v>
      </c>
      <c r="L24" s="27">
        <f t="shared" ca="1" si="6"/>
        <v>0.19</v>
      </c>
      <c r="M24" s="26">
        <f t="shared" ca="1" si="7"/>
        <v>355.73000000000013</v>
      </c>
      <c r="N24" s="26">
        <f t="shared" ca="1" si="8"/>
        <v>1576.86</v>
      </c>
      <c r="O24" s="26">
        <f t="shared" ca="1" si="9"/>
        <v>2288.3200000000002</v>
      </c>
      <c r="P24" s="30" cm="1">
        <f t="array" aca="1" ref="P24:T24" ca="1">IF(I24=1, ROUND(_xlfn.NORM.INV(_xlfn.RANDARRAY(1,$B$1),D24,E24),2),_xlfn.SEQUENCE(1,$B$1,D24,0))</f>
        <v>2388.0500000000002</v>
      </c>
      <c r="Q24" s="30">
        <f ca="1"/>
        <v>1889.42</v>
      </c>
      <c r="R24" s="30">
        <f ca="1"/>
        <v>1523.9</v>
      </c>
      <c r="S24" s="30">
        <f ca="1"/>
        <v>1788.68</v>
      </c>
      <c r="T24" s="30">
        <f ca="1"/>
        <v>1830.39</v>
      </c>
    </row>
    <row r="25" spans="1:20" x14ac:dyDescent="0.15">
      <c r="B25" t="s">
        <v>62</v>
      </c>
      <c r="C25" t="s">
        <v>65</v>
      </c>
      <c r="D25">
        <v>2107</v>
      </c>
      <c r="E25">
        <v>525</v>
      </c>
      <c r="F25" t="s">
        <v>14</v>
      </c>
      <c r="I25" s="2">
        <v>1</v>
      </c>
      <c r="K25" s="44">
        <f t="shared" ca="1" si="5"/>
        <v>1955.19</v>
      </c>
      <c r="L25" s="27">
        <f t="shared" ca="1" si="6"/>
        <v>0.44</v>
      </c>
      <c r="M25" s="26">
        <f t="shared" ca="1" si="7"/>
        <v>861.11</v>
      </c>
      <c r="N25" s="26">
        <f t="shared" ca="1" si="8"/>
        <v>1431.49</v>
      </c>
      <c r="O25" s="26">
        <f t="shared" ca="1" si="9"/>
        <v>3153.71</v>
      </c>
      <c r="P25" s="30" cm="1">
        <f t="array" aca="1" ref="P25:T25" ca="1">IF(I25=1, ROUND(_xlfn.NORM.INV(_xlfn.RANDARRAY(1,$B$1),D25,E25),2),_xlfn.SEQUENCE(1,$B$1,D25,0))</f>
        <v>1410.33</v>
      </c>
      <c r="Q25" s="30">
        <f ca="1"/>
        <v>1955.19</v>
      </c>
      <c r="R25" s="30">
        <f ca="1"/>
        <v>1516.15</v>
      </c>
      <c r="S25" s="30">
        <f ca="1"/>
        <v>2066.5300000000002</v>
      </c>
      <c r="T25" s="30">
        <f ca="1"/>
        <v>3425.51</v>
      </c>
    </row>
    <row r="26" spans="1:20" x14ac:dyDescent="0.15">
      <c r="B26" t="s">
        <v>71</v>
      </c>
      <c r="C26" t="s">
        <v>65</v>
      </c>
      <c r="D26">
        <v>6029</v>
      </c>
      <c r="E26">
        <v>1578</v>
      </c>
      <c r="F26" t="s">
        <v>14</v>
      </c>
      <c r="I26" s="2">
        <v>1</v>
      </c>
      <c r="K26" s="44">
        <f t="shared" ca="1" si="5"/>
        <v>6048.16</v>
      </c>
      <c r="L26" s="27">
        <f t="shared" ca="1" si="6"/>
        <v>0.35</v>
      </c>
      <c r="M26" s="26">
        <f t="shared" ca="1" si="7"/>
        <v>2120.6099999999997</v>
      </c>
      <c r="N26" s="26">
        <f t="shared" ca="1" si="8"/>
        <v>3869.68</v>
      </c>
      <c r="O26" s="26">
        <f t="shared" ca="1" si="9"/>
        <v>8110.9</v>
      </c>
      <c r="P26" s="30" cm="1">
        <f t="array" aca="1" ref="P26:T26" ca="1">IF(I26=1, ROUND(_xlfn.NORM.INV(_xlfn.RANDARRAY(1,$B$1),D26,E26),2),_xlfn.SEQUENCE(1,$B$1,D26,0))</f>
        <v>6048.16</v>
      </c>
      <c r="Q26" s="30">
        <f ca="1"/>
        <v>8462.08</v>
      </c>
      <c r="R26" s="30">
        <f ca="1"/>
        <v>3779.73</v>
      </c>
      <c r="S26" s="30">
        <f ca="1"/>
        <v>4229.47</v>
      </c>
      <c r="T26" s="30">
        <f ca="1"/>
        <v>6706.19</v>
      </c>
    </row>
    <row r="27" spans="1:20" x14ac:dyDescent="0.15">
      <c r="B27" t="s">
        <v>68</v>
      </c>
      <c r="C27" t="s">
        <v>65</v>
      </c>
      <c r="D27">
        <v>6195</v>
      </c>
      <c r="E27">
        <v>1467</v>
      </c>
      <c r="F27" t="s">
        <v>14</v>
      </c>
      <c r="I27" s="2">
        <v>1</v>
      </c>
      <c r="K27" s="44">
        <f t="shared" ca="1" si="5"/>
        <v>5614.71</v>
      </c>
      <c r="L27" s="27">
        <f t="shared" ca="1" si="6"/>
        <v>0.23</v>
      </c>
      <c r="M27" s="26">
        <f t="shared" ca="1" si="7"/>
        <v>1287.075</v>
      </c>
      <c r="N27" s="26">
        <f t="shared" ca="1" si="8"/>
        <v>3647.02</v>
      </c>
      <c r="O27" s="26">
        <f t="shared" ca="1" si="9"/>
        <v>6221.17</v>
      </c>
      <c r="P27" s="30" cm="1">
        <f t="array" aca="1" ref="P27:T27" ca="1">IF(I27=1, ROUND(_xlfn.NORM.INV(_xlfn.RANDARRAY(1,$B$1),D27,E27),2),_xlfn.SEQUENCE(1,$B$1,D27,0))</f>
        <v>5614.71</v>
      </c>
      <c r="Q27" s="30">
        <f ca="1"/>
        <v>3256.74</v>
      </c>
      <c r="R27" s="30">
        <f ca="1"/>
        <v>6317.68</v>
      </c>
      <c r="S27" s="30">
        <f ca="1"/>
        <v>5835.12</v>
      </c>
      <c r="T27" s="30">
        <f ca="1"/>
        <v>5208.1499999999996</v>
      </c>
    </row>
    <row r="28" spans="1:20" x14ac:dyDescent="0.15">
      <c r="B28" t="s">
        <v>70</v>
      </c>
      <c r="C28" t="s">
        <v>71</v>
      </c>
      <c r="D28">
        <v>44939</v>
      </c>
      <c r="E28">
        <v>3690</v>
      </c>
      <c r="F28" t="s">
        <v>14</v>
      </c>
      <c r="I28" s="2">
        <v>1</v>
      </c>
      <c r="K28" s="44">
        <f t="shared" ca="1" si="5"/>
        <v>43986.05</v>
      </c>
      <c r="L28" s="27">
        <f t="shared" ca="1" si="6"/>
        <v>0.1</v>
      </c>
      <c r="M28" s="26">
        <f t="shared" ca="1" si="7"/>
        <v>4222.6949999999997</v>
      </c>
      <c r="N28" s="26">
        <f t="shared" ca="1" si="8"/>
        <v>38601.83</v>
      </c>
      <c r="O28" s="26">
        <f t="shared" ca="1" si="9"/>
        <v>47047.22</v>
      </c>
      <c r="P28" s="30" cm="1">
        <f t="array" aca="1" ref="P28:T28" ca="1">IF(I28=1, ROUND(_xlfn.NORM.INV(_xlfn.RANDARRAY(1,$B$1),D28,E28),2),_xlfn.SEQUENCE(1,$B$1,D28,0))</f>
        <v>43986.05</v>
      </c>
      <c r="Q28" s="30">
        <f ca="1"/>
        <v>39503.71</v>
      </c>
      <c r="R28" s="30">
        <f ca="1"/>
        <v>38376.36</v>
      </c>
      <c r="S28" s="30">
        <f ca="1"/>
        <v>47256.13</v>
      </c>
      <c r="T28" s="30">
        <f ca="1"/>
        <v>46211.56</v>
      </c>
    </row>
    <row r="29" spans="1:20" x14ac:dyDescent="0.15">
      <c r="B29" t="s">
        <v>62</v>
      </c>
      <c r="C29" t="s">
        <v>68</v>
      </c>
      <c r="D29">
        <v>5633</v>
      </c>
      <c r="E29">
        <v>511</v>
      </c>
      <c r="F29" t="s">
        <v>14</v>
      </c>
      <c r="I29" s="2">
        <v>1</v>
      </c>
      <c r="K29" s="44">
        <f t="shared" ca="1" si="5"/>
        <v>5886.62</v>
      </c>
      <c r="L29" s="27">
        <f t="shared" ca="1" si="6"/>
        <v>0.1</v>
      </c>
      <c r="M29" s="26">
        <f t="shared" ca="1" si="7"/>
        <v>567.13500000000022</v>
      </c>
      <c r="N29" s="26">
        <f t="shared" ca="1" si="8"/>
        <v>5399.98</v>
      </c>
      <c r="O29" s="26">
        <f t="shared" ca="1" si="9"/>
        <v>6534.25</v>
      </c>
      <c r="P29" s="30" cm="1">
        <f t="array" aca="1" ref="P29:T29" ca="1">IF(I29=1, ROUND(_xlfn.NORM.INV(_xlfn.RANDARRAY(1,$B$1),D29,E29),2),_xlfn.SEQUENCE(1,$B$1,D29,0))</f>
        <v>6640.61</v>
      </c>
      <c r="Q29" s="30">
        <f ca="1"/>
        <v>5886.62</v>
      </c>
      <c r="R29" s="30">
        <f ca="1"/>
        <v>5691.46</v>
      </c>
      <c r="S29" s="30">
        <f ca="1"/>
        <v>6108.8</v>
      </c>
      <c r="T29" s="30">
        <f ca="1"/>
        <v>5327.11</v>
      </c>
    </row>
    <row r="31" spans="1:20" x14ac:dyDescent="0.15">
      <c r="A31" s="19" t="s">
        <v>97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39"/>
    </row>
    <row r="32" spans="1:20" x14ac:dyDescent="0.15">
      <c r="A32" s="25" t="s">
        <v>101</v>
      </c>
      <c r="B32" s="24"/>
      <c r="C32" s="24">
        <v>1</v>
      </c>
      <c r="D32" s="24">
        <v>2</v>
      </c>
      <c r="E32" s="24">
        <v>3</v>
      </c>
      <c r="F32" s="24">
        <v>4</v>
      </c>
      <c r="G32" s="24">
        <v>5</v>
      </c>
      <c r="H32" s="24">
        <v>6</v>
      </c>
      <c r="I32" s="24"/>
      <c r="J32" s="24"/>
      <c r="K32" s="24"/>
      <c r="L32" s="24"/>
      <c r="M32" s="24"/>
      <c r="N32" s="24"/>
      <c r="O32" s="24"/>
      <c r="P32" s="40" cm="1">
        <f t="array" ref="P32:T32">_xlfn.SEQUENCE(1,$B$1,13,1)</f>
        <v>13</v>
      </c>
      <c r="Q32" s="30">
        <v>14</v>
      </c>
      <c r="R32" s="30">
        <v>15</v>
      </c>
      <c r="S32" s="30">
        <v>16</v>
      </c>
      <c r="T32" s="30">
        <v>17</v>
      </c>
    </row>
    <row r="33" spans="1:20" x14ac:dyDescent="0.15">
      <c r="A33" s="2" t="s">
        <v>102</v>
      </c>
      <c r="C33" t="s">
        <v>70</v>
      </c>
      <c r="D33" s="30">
        <f>D7*D9</f>
        <v>91.561347000000012</v>
      </c>
      <c r="F33" s="2" t="s">
        <v>113</v>
      </c>
      <c r="K33" s="44">
        <f t="shared" ref="K33:K42" ca="1" si="10">MEDIAN(_xlfn.ANCHORARRAY(P33))</f>
        <v>96.994799999999998</v>
      </c>
      <c r="L33" s="27">
        <f t="shared" ref="L33:L42" ca="1" si="11">ROUND(M33/K33,2)</f>
        <v>0.35</v>
      </c>
      <c r="M33" s="26">
        <f t="shared" ref="M33:M42" ca="1" si="12">(O33-N33)/2</f>
        <v>34.230000000000004</v>
      </c>
      <c r="N33" s="26">
        <f t="shared" ref="N33:N42" ca="1" si="13">ROUND(PERCENTILE(_xlfn.ANCHORARRAY(P33),(1-$B$2)/2),2)</f>
        <v>63.26</v>
      </c>
      <c r="O33" s="26">
        <f t="shared" ref="O33:O42" ca="1" si="14">ROUND(PERCENTILE(_xlfn.ANCHORARRAY(P33),(1+$B$2)/2),2)</f>
        <v>131.72</v>
      </c>
      <c r="P33" s="30" cm="1">
        <f t="array" aca="1" ref="P33:T33" ca="1">_xlfn.ANCHORARRAY(P7)*_xlfn.ANCHORARRAY(P9)</f>
        <v>106.72320000000001</v>
      </c>
      <c r="Q33" s="30">
        <f ca="1"/>
        <v>92.9024</v>
      </c>
      <c r="R33" s="30">
        <f ca="1"/>
        <v>96.994799999999998</v>
      </c>
      <c r="S33" s="30">
        <f ca="1"/>
        <v>137.9665</v>
      </c>
      <c r="T33" s="30">
        <f ca="1"/>
        <v>55.854900000000008</v>
      </c>
    </row>
    <row r="34" spans="1:20" x14ac:dyDescent="0.15">
      <c r="C34" t="s">
        <v>62</v>
      </c>
      <c r="D34" s="30">
        <f>D8*D10</f>
        <v>79.601060000000018</v>
      </c>
      <c r="F34" s="2" t="s">
        <v>113</v>
      </c>
      <c r="K34" s="44">
        <f t="shared" ca="1" si="10"/>
        <v>70.307400000000001</v>
      </c>
      <c r="L34" s="27">
        <f t="shared" ca="1" si="11"/>
        <v>0.24</v>
      </c>
      <c r="M34" s="26">
        <f t="shared" ca="1" si="12"/>
        <v>16.625</v>
      </c>
      <c r="N34" s="26">
        <f t="shared" ca="1" si="13"/>
        <v>61.33</v>
      </c>
      <c r="O34" s="26">
        <f t="shared" ca="1" si="14"/>
        <v>94.58</v>
      </c>
      <c r="P34" s="30" cm="1">
        <f t="array" aca="1" ref="P34:T34" ca="1">_xlfn.ANCHORARRAY(P8)*_xlfn.ANCHORARRAY(P10)</f>
        <v>70.307400000000001</v>
      </c>
      <c r="Q34" s="30">
        <f ca="1"/>
        <v>95.050799999999981</v>
      </c>
      <c r="R34" s="30">
        <f ca="1"/>
        <v>61.387199999999993</v>
      </c>
      <c r="S34" s="30">
        <f ca="1"/>
        <v>61.315600000000003</v>
      </c>
      <c r="T34" s="30">
        <f ca="1"/>
        <v>92.696100000000001</v>
      </c>
    </row>
    <row r="35" spans="1:20" x14ac:dyDescent="0.15">
      <c r="D35" s="30"/>
      <c r="K35" s="44"/>
      <c r="L35" s="27"/>
      <c r="M35" s="26"/>
      <c r="N35" s="26"/>
      <c r="O35" s="26"/>
    </row>
    <row r="36" spans="1:20" x14ac:dyDescent="0.15">
      <c r="A36" s="2" t="s">
        <v>103</v>
      </c>
      <c r="C36" t="s">
        <v>70</v>
      </c>
      <c r="D36" s="30">
        <f>(D7+D33)*$D$6</f>
        <v>172.26456309</v>
      </c>
      <c r="F36" s="2" t="s">
        <v>113</v>
      </c>
      <c r="K36" s="44">
        <f t="shared" ca="1" si="10"/>
        <v>179.54815199999999</v>
      </c>
      <c r="L36" s="27">
        <f t="shared" ca="1" si="11"/>
        <v>0.32</v>
      </c>
      <c r="M36" s="26">
        <f t="shared" ca="1" si="12"/>
        <v>58.289999999999992</v>
      </c>
      <c r="N36" s="26">
        <f t="shared" ca="1" si="13"/>
        <v>129.15</v>
      </c>
      <c r="O36" s="26">
        <f t="shared" ca="1" si="14"/>
        <v>245.73</v>
      </c>
      <c r="P36" s="30" cm="1">
        <f t="array" aca="1" ref="P36:T36" ca="1">(_xlfn.ANCHORARRAY(P7)+_xlfn.ANCHORARRAY(P33))*_xlfn.ANCHORARRAY(P6)</f>
        <v>206.909604</v>
      </c>
      <c r="Q36" s="30">
        <f ca="1"/>
        <v>151.82208</v>
      </c>
      <c r="R36" s="30">
        <f ca="1"/>
        <v>179.54815199999999</v>
      </c>
      <c r="S36" s="30">
        <f ca="1"/>
        <v>255.43512000000001</v>
      </c>
      <c r="T36" s="30">
        <f ca="1"/>
        <v>123.48070299999999</v>
      </c>
    </row>
    <row r="37" spans="1:20" x14ac:dyDescent="0.15">
      <c r="C37" t="s">
        <v>62</v>
      </c>
      <c r="D37" s="30">
        <f>(D8+D34)*$D$6</f>
        <v>129.33509820000003</v>
      </c>
      <c r="F37" s="2" t="s">
        <v>113</v>
      </c>
      <c r="K37" s="44">
        <f t="shared" ca="1" si="10"/>
        <v>122.35387799999999</v>
      </c>
      <c r="L37" s="27">
        <f t="shared" ca="1" si="11"/>
        <v>0.23</v>
      </c>
      <c r="M37" s="26">
        <f t="shared" ca="1" si="12"/>
        <v>28.484999999999999</v>
      </c>
      <c r="N37" s="26">
        <f t="shared" ca="1" si="13"/>
        <v>104.56</v>
      </c>
      <c r="O37" s="26">
        <f t="shared" ca="1" si="14"/>
        <v>161.53</v>
      </c>
      <c r="P37" s="30" cm="1">
        <f t="array" aca="1" ref="P37:T37" ca="1">(_xlfn.ANCHORARRAY(P8)+_xlfn.ANCHORARRAY(P34))*_xlfn.ANCHORARRAY(P6)</f>
        <v>122.35387799999999</v>
      </c>
      <c r="Q37" s="30">
        <f ca="1"/>
        <v>161.58635999999998</v>
      </c>
      <c r="R37" s="30">
        <f ca="1"/>
        <v>101.69812799999998</v>
      </c>
      <c r="S37" s="30">
        <f ca="1"/>
        <v>115.994688</v>
      </c>
      <c r="T37" s="30">
        <f ca="1"/>
        <v>161.31626699999998</v>
      </c>
    </row>
    <row r="38" spans="1:20" x14ac:dyDescent="0.15">
      <c r="D38" s="30"/>
      <c r="K38" s="44"/>
      <c r="L38" s="27"/>
      <c r="M38" s="26"/>
      <c r="N38" s="26"/>
      <c r="O38" s="26"/>
    </row>
    <row r="39" spans="1:20" x14ac:dyDescent="0.15">
      <c r="A39" s="2" t="s">
        <v>104</v>
      </c>
      <c r="C39" t="s">
        <v>71</v>
      </c>
      <c r="D39" s="30">
        <f>D36*D11</f>
        <v>124.0597704005253</v>
      </c>
      <c r="F39" s="2" t="s">
        <v>113</v>
      </c>
      <c r="K39" s="44">
        <f t="shared" ca="1" si="10"/>
        <v>161.5933368</v>
      </c>
      <c r="L39" s="27">
        <f t="shared" ca="1" si="11"/>
        <v>0.26</v>
      </c>
      <c r="M39" s="26">
        <f t="shared" ca="1" si="12"/>
        <v>42.655000000000001</v>
      </c>
      <c r="N39" s="26">
        <f t="shared" ca="1" si="13"/>
        <v>123.15</v>
      </c>
      <c r="O39" s="26">
        <f t="shared" ca="1" si="14"/>
        <v>208.46</v>
      </c>
      <c r="P39" s="30" cm="1">
        <f t="array" aca="1" ref="P39:T39" ca="1">_xlfn.ANCHORARRAY(P36)*_xlfn.ANCHORARRAY(P11)</f>
        <v>173.80406736</v>
      </c>
      <c r="Q39" s="30">
        <f ca="1"/>
        <v>136.639872</v>
      </c>
      <c r="R39" s="30">
        <f ca="1"/>
        <v>161.5933368</v>
      </c>
      <c r="S39" s="30">
        <f ca="1"/>
        <v>217.11985200000001</v>
      </c>
      <c r="T39" s="30">
        <f ca="1"/>
        <v>119.77628190999999</v>
      </c>
    </row>
    <row r="40" spans="1:20" x14ac:dyDescent="0.15">
      <c r="C40" t="s">
        <v>68</v>
      </c>
      <c r="D40" s="30">
        <f>D37*D12</f>
        <v>93.143257670694027</v>
      </c>
      <c r="F40" s="2" t="s">
        <v>113</v>
      </c>
      <c r="K40" s="44">
        <f t="shared" ca="1" si="10"/>
        <v>70.171708319999979</v>
      </c>
      <c r="L40" s="27">
        <f t="shared" ca="1" si="11"/>
        <v>0.78</v>
      </c>
      <c r="M40" s="26">
        <f t="shared" ca="1" si="12"/>
        <v>54.385000000000005</v>
      </c>
      <c r="N40" s="26">
        <f t="shared" ca="1" si="13"/>
        <v>39.69</v>
      </c>
      <c r="O40" s="26">
        <f t="shared" ca="1" si="14"/>
        <v>148.46</v>
      </c>
      <c r="P40" s="30" cm="1">
        <f t="array" aca="1" ref="P40:T40" ca="1">_xlfn.ANCHORARRAY(P37)*_xlfn.ANCHORARRAY(P12)</f>
        <v>68.518171680000009</v>
      </c>
      <c r="Q40" s="30">
        <f ca="1"/>
        <v>135.73254239999997</v>
      </c>
      <c r="R40" s="30">
        <f ca="1"/>
        <v>70.171708319999979</v>
      </c>
      <c r="S40" s="30">
        <f ca="1"/>
        <v>32.478512640000005</v>
      </c>
      <c r="T40" s="30">
        <f ca="1"/>
        <v>151.63729097999996</v>
      </c>
    </row>
    <row r="41" spans="1:20" x14ac:dyDescent="0.15">
      <c r="D41" s="30"/>
      <c r="K41" s="44"/>
      <c r="L41" s="27"/>
      <c r="M41" s="26"/>
      <c r="N41" s="26"/>
      <c r="O41" s="26"/>
    </row>
    <row r="42" spans="1:20" x14ac:dyDescent="0.15">
      <c r="A42" s="2" t="s">
        <v>105</v>
      </c>
      <c r="C42" s="2" t="s">
        <v>65</v>
      </c>
      <c r="D42" s="30">
        <f>D13</f>
        <v>0</v>
      </c>
      <c r="F42" s="2" t="s">
        <v>113</v>
      </c>
      <c r="K42" s="44">
        <f t="shared" ca="1" si="10"/>
        <v>0</v>
      </c>
      <c r="L42" s="27" t="e">
        <f t="shared" ca="1" si="11"/>
        <v>#DIV/0!</v>
      </c>
      <c r="M42" s="26">
        <f t="shared" ca="1" si="12"/>
        <v>0</v>
      </c>
      <c r="N42" s="26">
        <f t="shared" ca="1" si="13"/>
        <v>0</v>
      </c>
      <c r="O42" s="26">
        <f t="shared" ca="1" si="14"/>
        <v>0</v>
      </c>
      <c r="P42" s="30" cm="1">
        <f t="array" aca="1" ref="P42:T42" ca="1">_xlfn.ANCHORARRAY(P13)</f>
        <v>0</v>
      </c>
      <c r="Q42" s="30">
        <f ca="1"/>
        <v>0</v>
      </c>
      <c r="R42" s="30">
        <f ca="1"/>
        <v>0</v>
      </c>
      <c r="S42" s="30">
        <f ca="1"/>
        <v>0</v>
      </c>
      <c r="T42" s="30">
        <f ca="1"/>
        <v>0</v>
      </c>
    </row>
    <row r="44" spans="1:20" x14ac:dyDescent="0.15">
      <c r="A44" s="25" t="s">
        <v>107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41"/>
      <c r="Q44" s="43" t="s">
        <v>114</v>
      </c>
      <c r="R44" s="43">
        <f ca="1">(R36 - R42)*44/12</f>
        <v>658.34322399999996</v>
      </c>
    </row>
    <row r="45" spans="1:20" x14ac:dyDescent="0.15">
      <c r="A45" s="2" t="s">
        <v>106</v>
      </c>
      <c r="B45" t="s">
        <v>70</v>
      </c>
      <c r="C45" t="s">
        <v>65</v>
      </c>
      <c r="D45" s="30">
        <f>(VLOOKUP($B45,$C$36:$D42, 2,FALSE) - VLOOKUP($C45,$C$36:$D42, 2,FALSE) )* 44 / 12</f>
        <v>631.63673132999998</v>
      </c>
      <c r="F45" s="2" t="s">
        <v>113</v>
      </c>
      <c r="K45" s="44">
        <f t="shared" ref="K45:K57" ca="1" si="15">MEDIAN(_xlfn.ANCHORARRAY(P45))</f>
        <v>658.34322399999996</v>
      </c>
      <c r="L45" s="27">
        <f t="shared" ref="L45:L57" ca="1" si="16">ROUND(M45/K45,2)</f>
        <v>0.32</v>
      </c>
      <c r="M45" s="26">
        <f t="shared" ref="M45:M57" ca="1" si="17">(O45-N45)/2</f>
        <v>213.73</v>
      </c>
      <c r="N45" s="26">
        <f t="shared" ref="N45:N57" ca="1" si="18">ROUND(PERCENTILE(_xlfn.ANCHORARRAY(P45),(1-$B$2)/2),2)</f>
        <v>473.55</v>
      </c>
      <c r="O45" s="26">
        <f t="shared" ref="O45:O57" ca="1" si="19">ROUND(PERCENTILE(_xlfn.ANCHORARRAY(P45),(1+$B$2)/2),2)</f>
        <v>901.01</v>
      </c>
      <c r="P45" s="30" cm="1">
        <f t="array" aca="1" ref="P45:T45" ca="1">(_xlfn.XLOOKUP($B45,$C$36:$C$42,_xlfn.ANCHORARRAY( P$36):_xlfn.ANCHORARRAY(P$42)) - _xlfn.XLOOKUP($C45,$C$36:$C$42,_xlfn.ANCHORARRAY( P$36):_xlfn.ANCHORARRAY(P$42))) * 44 / 12</f>
        <v>758.66854799999999</v>
      </c>
      <c r="Q45" s="30">
        <f ca="1"/>
        <v>556.68096000000003</v>
      </c>
      <c r="R45" s="30">
        <f ca="1"/>
        <v>658.34322399999996</v>
      </c>
      <c r="S45" s="30">
        <f ca="1"/>
        <v>936.59544000000005</v>
      </c>
      <c r="T45" s="30">
        <f ca="1"/>
        <v>452.76257766666663</v>
      </c>
    </row>
    <row r="46" spans="1:20" x14ac:dyDescent="0.15">
      <c r="A46" s="2"/>
      <c r="B46" t="s">
        <v>62</v>
      </c>
      <c r="C46" t="s">
        <v>65</v>
      </c>
      <c r="D46" s="30">
        <f>(VLOOKUP($B46,$C$36:$D43, 2,FALSE) - VLOOKUP($C46,$C$36:$D43, 2,FALSE) )* 44 / 12</f>
        <v>474.22869340000011</v>
      </c>
      <c r="F46" s="2" t="s">
        <v>113</v>
      </c>
      <c r="K46" s="44">
        <f t="shared" ca="1" si="15"/>
        <v>448.63088599999998</v>
      </c>
      <c r="L46" s="27">
        <f t="shared" ca="1" si="16"/>
        <v>0.23</v>
      </c>
      <c r="M46" s="26">
        <f t="shared" ca="1" si="17"/>
        <v>104.45499999999998</v>
      </c>
      <c r="N46" s="26">
        <f t="shared" ca="1" si="18"/>
        <v>383.38</v>
      </c>
      <c r="O46" s="26">
        <f t="shared" ca="1" si="19"/>
        <v>592.29</v>
      </c>
      <c r="P46" s="30" cm="1">
        <f t="array" aca="1" ref="P46:T46" ca="1">(_xlfn.XLOOKUP($B46,$C$36:$C$42,_xlfn.ANCHORARRAY( P$36):_xlfn.ANCHORARRAY(P$42)) - _xlfn.XLOOKUP($C46,$C$36:$C$42,_xlfn.ANCHORARRAY( P$36):_xlfn.ANCHORARRAY(P$42))) * 44 / 12</f>
        <v>448.63088599999998</v>
      </c>
      <c r="Q46" s="30">
        <f ca="1"/>
        <v>592.48331999999994</v>
      </c>
      <c r="R46" s="30">
        <f ca="1"/>
        <v>372.89313599999991</v>
      </c>
      <c r="S46" s="30">
        <f ca="1"/>
        <v>425.31385599999999</v>
      </c>
      <c r="T46" s="30">
        <f ca="1"/>
        <v>591.49297899999999</v>
      </c>
    </row>
    <row r="47" spans="1:20" x14ac:dyDescent="0.15">
      <c r="A47" s="33" t="s">
        <v>114</v>
      </c>
      <c r="B47" t="s">
        <v>71</v>
      </c>
      <c r="C47" t="s">
        <v>65</v>
      </c>
      <c r="D47" s="30">
        <f>(VLOOKUP($B47,$C$36:$D44, 2,FALSE) - VLOOKUP($C47,$C$36:$D44, 2,FALSE) )* 44 / 12</f>
        <v>454.88582480192605</v>
      </c>
      <c r="F47" s="2" t="s">
        <v>113</v>
      </c>
      <c r="K47" s="44">
        <f t="shared" ca="1" si="15"/>
        <v>592.50890160000006</v>
      </c>
      <c r="L47" s="27">
        <f t="shared" ca="1" si="16"/>
        <v>0.26</v>
      </c>
      <c r="M47" s="26">
        <f t="shared" ca="1" si="17"/>
        <v>156.39500000000001</v>
      </c>
      <c r="N47" s="26">
        <f t="shared" ca="1" si="18"/>
        <v>451.55</v>
      </c>
      <c r="O47" s="26">
        <f t="shared" ca="1" si="19"/>
        <v>764.34</v>
      </c>
      <c r="P47" s="30" cm="1">
        <f t="array" aca="1" ref="P47:T47" ca="1">(_xlfn.XLOOKUP($B47,$C$36:$C$42,_xlfn.ANCHORARRAY( P$36):_xlfn.ANCHORARRAY(P$42)) - _xlfn.XLOOKUP($C47,$C$36:$C$42,_xlfn.ANCHORARRAY( P$36):_xlfn.ANCHORARRAY(P$42))) * 44 / 12</f>
        <v>637.28158031999999</v>
      </c>
      <c r="Q47" s="30">
        <f ca="1"/>
        <v>501.01286399999998</v>
      </c>
      <c r="R47" s="30">
        <f ca="1"/>
        <v>592.50890160000006</v>
      </c>
      <c r="S47" s="30">
        <f ca="1"/>
        <v>796.10612400000002</v>
      </c>
      <c r="T47" s="30">
        <f ca="1"/>
        <v>439.17970033666666</v>
      </c>
    </row>
    <row r="48" spans="1:20" x14ac:dyDescent="0.15">
      <c r="A48" s="34">
        <f>D40*44/12</f>
        <v>341.52527812587806</v>
      </c>
      <c r="B48" t="s">
        <v>68</v>
      </c>
      <c r="C48" t="s">
        <v>65</v>
      </c>
      <c r="D48" s="30">
        <f>(VLOOKUP($B48,$C$36:$D45, 2,FALSE) - VLOOKUP($C48,$C$36:$D45, 2,FALSE) )* 44 / 12</f>
        <v>341.52527812587806</v>
      </c>
      <c r="F48" s="2" t="s">
        <v>113</v>
      </c>
      <c r="K48" s="44">
        <f t="shared" ca="1" si="15"/>
        <v>257.29626383999994</v>
      </c>
      <c r="L48" s="27">
        <f t="shared" ca="1" si="16"/>
        <v>0.78</v>
      </c>
      <c r="M48" s="26">
        <f t="shared" ca="1" si="17"/>
        <v>199.41000000000003</v>
      </c>
      <c r="N48" s="26">
        <f t="shared" ca="1" si="18"/>
        <v>145.52000000000001</v>
      </c>
      <c r="O48" s="26">
        <f t="shared" ca="1" si="19"/>
        <v>544.34</v>
      </c>
      <c r="P48" s="30" cm="1">
        <f t="array" aca="1" ref="P48:T48" ca="1">(_xlfn.XLOOKUP($B48,$C$36:$C$42,_xlfn.ANCHORARRAY( P$36):_xlfn.ANCHORARRAY(P$42)) - _xlfn.XLOOKUP($C48,$C$36:$C$42,_xlfn.ANCHORARRAY( P$36):_xlfn.ANCHORARRAY(P$42))) * 44 / 12</f>
        <v>251.23329616000004</v>
      </c>
      <c r="Q48" s="30">
        <f ca="1"/>
        <v>497.6859887999999</v>
      </c>
      <c r="R48" s="30">
        <f ca="1"/>
        <v>257.29626383999994</v>
      </c>
      <c r="S48" s="30">
        <f ca="1"/>
        <v>119.08787968000001</v>
      </c>
      <c r="T48" s="30">
        <f ca="1"/>
        <v>556.00340025999992</v>
      </c>
    </row>
    <row r="49" spans="1:25" x14ac:dyDescent="0.15">
      <c r="A49" s="2"/>
      <c r="B49" t="s">
        <v>70</v>
      </c>
      <c r="C49" t="s">
        <v>71</v>
      </c>
      <c r="D49" s="30">
        <f>(VLOOKUP($B49,$C$36:$D46, 2,FALSE) - VLOOKUP($C49,$C$36:$D46, 2,FALSE) )* 44 / 12</f>
        <v>176.7509065280739</v>
      </c>
      <c r="F49" s="2" t="s">
        <v>113</v>
      </c>
      <c r="K49" s="44">
        <f t="shared" ca="1" si="15"/>
        <v>65.834322399999948</v>
      </c>
      <c r="L49" s="27">
        <f t="shared" ca="1" si="16"/>
        <v>0.87</v>
      </c>
      <c r="M49" s="26">
        <f t="shared" ca="1" si="17"/>
        <v>57.334999999999994</v>
      </c>
      <c r="N49" s="26">
        <f t="shared" ca="1" si="18"/>
        <v>22</v>
      </c>
      <c r="O49" s="26">
        <f t="shared" ca="1" si="19"/>
        <v>136.66999999999999</v>
      </c>
      <c r="P49" s="30" cm="1">
        <f t="array" aca="1" ref="P49:T49" ca="1">(_xlfn.XLOOKUP($B49,$C$36:$C$42,_xlfn.ANCHORARRAY( P$36):_xlfn.ANCHORARRAY(P$42)) - _xlfn.XLOOKUP($C49,$C$36:$C$42,_xlfn.ANCHORARRAY( P$36):_xlfn.ANCHORARRAY(P$42))) * 44 / 12</f>
        <v>121.38696768</v>
      </c>
      <c r="Q49" s="30">
        <f ca="1"/>
        <v>55.668096000000013</v>
      </c>
      <c r="R49" s="30">
        <f ca="1"/>
        <v>65.834322399999948</v>
      </c>
      <c r="S49" s="30">
        <f ca="1"/>
        <v>140.489316</v>
      </c>
      <c r="T49" s="30">
        <f ca="1"/>
        <v>13.582877329999988</v>
      </c>
    </row>
    <row r="50" spans="1:25" x14ac:dyDescent="0.15">
      <c r="A50" s="2"/>
      <c r="B50" t="s">
        <v>62</v>
      </c>
      <c r="C50" t="s">
        <v>68</v>
      </c>
      <c r="D50" s="30">
        <f>(VLOOKUP($B50,$C$36:$D47, 2,FALSE) - VLOOKUP($C50,$C$36:$D47, 2,FALSE) )* 44 / 12</f>
        <v>132.70341527412202</v>
      </c>
      <c r="F50" s="2" t="s">
        <v>113</v>
      </c>
      <c r="K50" s="44">
        <f t="shared" ca="1" si="15"/>
        <v>115.59687216000002</v>
      </c>
      <c r="L50" s="27">
        <f t="shared" ca="1" si="16"/>
        <v>1.03</v>
      </c>
      <c r="M50" s="26">
        <f t="shared" ca="1" si="17"/>
        <v>118.55499999999999</v>
      </c>
      <c r="N50" s="26">
        <f t="shared" ca="1" si="18"/>
        <v>47.35</v>
      </c>
      <c r="O50" s="26">
        <f t="shared" ca="1" si="19"/>
        <v>284.45999999999998</v>
      </c>
      <c r="P50" s="30" cm="1">
        <f t="array" aca="1" ref="P50:T50" ca="1">(_xlfn.XLOOKUP($B50,$C$36:$C$42,_xlfn.ANCHORARRAY( P$36):_xlfn.ANCHORARRAY(P$42)) - _xlfn.XLOOKUP($C50,$C$36:$C$42,_xlfn.ANCHORARRAY( P$36):_xlfn.ANCHORARRAY(P$42))) * 44 / 12</f>
        <v>197.39758983999994</v>
      </c>
      <c r="Q50" s="30">
        <f ca="1"/>
        <v>94.797331200000045</v>
      </c>
      <c r="R50" s="30">
        <f ca="1"/>
        <v>115.59687216000002</v>
      </c>
      <c r="S50" s="30">
        <f ca="1"/>
        <v>306.22597631999997</v>
      </c>
      <c r="T50" s="30">
        <f ca="1"/>
        <v>35.489578740000077</v>
      </c>
    </row>
    <row r="51" spans="1:25" x14ac:dyDescent="0.15">
      <c r="A51" s="2"/>
      <c r="D51" s="30"/>
      <c r="F51" s="2"/>
      <c r="K51" s="44"/>
      <c r="L51" s="27"/>
      <c r="M51" s="26"/>
      <c r="N51" s="26"/>
      <c r="O51" s="26"/>
    </row>
    <row r="52" spans="1:25" x14ac:dyDescent="0.15">
      <c r="B52" t="s">
        <v>70</v>
      </c>
      <c r="C52" t="s">
        <v>65</v>
      </c>
      <c r="D52" s="30">
        <f>(VLOOKUP($B52,$C$36:$D49, 2,FALSE) - VLOOKUP($C52,$C$36:$D49, 2,FALSE) )* 44 / 12</f>
        <v>631.63673132999998</v>
      </c>
      <c r="F52" s="2" t="s">
        <v>113</v>
      </c>
      <c r="K52" s="44">
        <f t="shared" ca="1" si="15"/>
        <v>658.34322399999996</v>
      </c>
      <c r="L52" s="27">
        <f t="shared" ca="1" si="16"/>
        <v>0.32</v>
      </c>
      <c r="M52" s="26">
        <f t="shared" ca="1" si="17"/>
        <v>213.73</v>
      </c>
      <c r="N52" s="26">
        <f t="shared" ca="1" si="18"/>
        <v>473.55</v>
      </c>
      <c r="O52" s="26">
        <f t="shared" ca="1" si="19"/>
        <v>901.01</v>
      </c>
      <c r="P52" s="30" cm="1">
        <f t="array" aca="1" ref="P52:T52" ca="1">(_xlfn.XLOOKUP($B52,$C$36:$C$42,_xlfn.ANCHORARRAY( P$36):_xlfn.ANCHORARRAY(P$42)) - _xlfn.XLOOKUP($C52,$C$36:$C$42,_xlfn.ANCHORARRAY( P$36):_xlfn.ANCHORARRAY(P$42))) * 44 / 12</f>
        <v>758.66854799999999</v>
      </c>
      <c r="Q52" s="30">
        <f ca="1"/>
        <v>556.68096000000003</v>
      </c>
      <c r="R52" s="30">
        <f ca="1"/>
        <v>658.34322399999996</v>
      </c>
      <c r="S52" s="30">
        <f ca="1"/>
        <v>936.59544000000005</v>
      </c>
      <c r="T52" s="30">
        <f ca="1"/>
        <v>452.76257766666663</v>
      </c>
    </row>
    <row r="53" spans="1:25" x14ac:dyDescent="0.15">
      <c r="B53" t="s">
        <v>62</v>
      </c>
      <c r="C53" t="s">
        <v>65</v>
      </c>
      <c r="D53" s="30">
        <f>(VLOOKUP($B53,$C$36:$D50, 2,FALSE) - VLOOKUP($C53,$C$36:$D50, 2,FALSE) )* 44 / 12</f>
        <v>474.22869340000011</v>
      </c>
      <c r="F53" s="2" t="s">
        <v>113</v>
      </c>
      <c r="K53" s="44">
        <f t="shared" ca="1" si="15"/>
        <v>448.63088599999998</v>
      </c>
      <c r="L53" s="27">
        <f t="shared" ca="1" si="16"/>
        <v>0.23</v>
      </c>
      <c r="M53" s="26">
        <f t="shared" ca="1" si="17"/>
        <v>104.45499999999998</v>
      </c>
      <c r="N53" s="26">
        <f t="shared" ca="1" si="18"/>
        <v>383.38</v>
      </c>
      <c r="O53" s="26">
        <f t="shared" ca="1" si="19"/>
        <v>592.29</v>
      </c>
      <c r="P53" s="30" cm="1">
        <f t="array" aca="1" ref="P53:T53" ca="1">(_xlfn.XLOOKUP($B53,$C$36:$C$42,_xlfn.ANCHORARRAY( P$36):_xlfn.ANCHORARRAY(P$42)) - _xlfn.XLOOKUP($C53,$C$36:$C$42,_xlfn.ANCHORARRAY( P$36):_xlfn.ANCHORARRAY(P$42))) * 44 / 12</f>
        <v>448.63088599999998</v>
      </c>
      <c r="Q53" s="30">
        <f ca="1"/>
        <v>592.48331999999994</v>
      </c>
      <c r="R53" s="30">
        <f ca="1"/>
        <v>372.89313599999991</v>
      </c>
      <c r="S53" s="30">
        <f ca="1"/>
        <v>425.31385599999999</v>
      </c>
      <c r="T53" s="30">
        <f ca="1"/>
        <v>591.49297899999999</v>
      </c>
    </row>
    <row r="54" spans="1:25" x14ac:dyDescent="0.15">
      <c r="B54" t="s">
        <v>71</v>
      </c>
      <c r="C54" t="s">
        <v>65</v>
      </c>
      <c r="D54" s="30">
        <f>(VLOOKUP($B54,$C$36:$D51, 2,FALSE) - VLOOKUP($C54,$C$36:$D51, 2,FALSE) )* 44 / 12</f>
        <v>454.88582480192605</v>
      </c>
      <c r="F54" s="2" t="s">
        <v>113</v>
      </c>
      <c r="K54" s="44">
        <f t="shared" ca="1" si="15"/>
        <v>592.50890160000006</v>
      </c>
      <c r="L54" s="27">
        <f t="shared" ca="1" si="16"/>
        <v>0.26</v>
      </c>
      <c r="M54" s="26">
        <f t="shared" ca="1" si="17"/>
        <v>156.39500000000001</v>
      </c>
      <c r="N54" s="26">
        <f t="shared" ca="1" si="18"/>
        <v>451.55</v>
      </c>
      <c r="O54" s="26">
        <f t="shared" ca="1" si="19"/>
        <v>764.34</v>
      </c>
      <c r="P54" s="30" cm="1">
        <f t="array" aca="1" ref="P54:T54" ca="1">(_xlfn.XLOOKUP($B54,$C$36:$C$42,_xlfn.ANCHORARRAY( P$36):_xlfn.ANCHORARRAY(P$42)) - _xlfn.XLOOKUP($C54,$C$36:$C$42,_xlfn.ANCHORARRAY( P$36):_xlfn.ANCHORARRAY(P$42))) * 44 / 12</f>
        <v>637.28158031999999</v>
      </c>
      <c r="Q54" s="30">
        <f ca="1"/>
        <v>501.01286399999998</v>
      </c>
      <c r="R54" s="30">
        <f ca="1"/>
        <v>592.50890160000006</v>
      </c>
      <c r="S54" s="30">
        <f ca="1"/>
        <v>796.10612400000002</v>
      </c>
      <c r="T54" s="30">
        <f ca="1"/>
        <v>439.17970033666666</v>
      </c>
    </row>
    <row r="55" spans="1:25" x14ac:dyDescent="0.15">
      <c r="B55" t="s">
        <v>68</v>
      </c>
      <c r="C55" t="s">
        <v>65</v>
      </c>
      <c r="D55" s="30">
        <f>(VLOOKUP($B55,$C$36:$D52, 2,FALSE) - VLOOKUP($C55,$C$36:$D52, 2,FALSE) )* 44 / 12</f>
        <v>341.52527812587806</v>
      </c>
      <c r="F55" s="2" t="s">
        <v>113</v>
      </c>
      <c r="K55" s="44">
        <f t="shared" ca="1" si="15"/>
        <v>257.29626383999994</v>
      </c>
      <c r="L55" s="27">
        <f t="shared" ca="1" si="16"/>
        <v>0.78</v>
      </c>
      <c r="M55" s="26">
        <f t="shared" ca="1" si="17"/>
        <v>199.41000000000003</v>
      </c>
      <c r="N55" s="26">
        <f t="shared" ca="1" si="18"/>
        <v>145.52000000000001</v>
      </c>
      <c r="O55" s="26">
        <f t="shared" ca="1" si="19"/>
        <v>544.34</v>
      </c>
      <c r="P55" s="30" cm="1">
        <f t="array" aca="1" ref="P55:T55" ca="1">(_xlfn.XLOOKUP($B55,$C$36:$C$42,_xlfn.ANCHORARRAY( P$36):_xlfn.ANCHORARRAY(P$42)) - _xlfn.XLOOKUP($C55,$C$36:$C$42,_xlfn.ANCHORARRAY( P$36):_xlfn.ANCHORARRAY(P$42))) * 44 / 12</f>
        <v>251.23329616000004</v>
      </c>
      <c r="Q55" s="30">
        <f ca="1"/>
        <v>497.6859887999999</v>
      </c>
      <c r="R55" s="30">
        <f ca="1"/>
        <v>257.29626383999994</v>
      </c>
      <c r="S55" s="30">
        <f ca="1"/>
        <v>119.08787968000001</v>
      </c>
      <c r="T55" s="30">
        <f ca="1"/>
        <v>556.00340025999992</v>
      </c>
    </row>
    <row r="56" spans="1:25" x14ac:dyDescent="0.15">
      <c r="B56" t="s">
        <v>70</v>
      </c>
      <c r="C56" t="s">
        <v>71</v>
      </c>
      <c r="D56" s="30">
        <f>(VLOOKUP($B56,$C$36:$D53, 2,FALSE) - VLOOKUP($C56,$C$36:$D53, 2,FALSE) )* 44 / 12</f>
        <v>176.7509065280739</v>
      </c>
      <c r="F56" s="2" t="s">
        <v>113</v>
      </c>
      <c r="K56" s="44">
        <f t="shared" ca="1" si="15"/>
        <v>65.834322399999948</v>
      </c>
      <c r="L56" s="27">
        <f t="shared" ca="1" si="16"/>
        <v>0.87</v>
      </c>
      <c r="M56" s="26">
        <f t="shared" ca="1" si="17"/>
        <v>57.334999999999994</v>
      </c>
      <c r="N56" s="26">
        <f t="shared" ca="1" si="18"/>
        <v>22</v>
      </c>
      <c r="O56" s="26">
        <f t="shared" ca="1" si="19"/>
        <v>136.66999999999999</v>
      </c>
      <c r="P56" s="30" cm="1">
        <f t="array" aca="1" ref="P56:T56" ca="1">(_xlfn.XLOOKUP($B56,$C$36:$C$42,_xlfn.ANCHORARRAY( P$36):_xlfn.ANCHORARRAY(P$42)) - _xlfn.XLOOKUP($C56,$C$36:$C$42,_xlfn.ANCHORARRAY( P$36):_xlfn.ANCHORARRAY(P$42))) * 44 / 12</f>
        <v>121.38696768</v>
      </c>
      <c r="Q56" s="30">
        <f ca="1"/>
        <v>55.668096000000013</v>
      </c>
      <c r="R56" s="30">
        <f ca="1"/>
        <v>65.834322399999948</v>
      </c>
      <c r="S56" s="30">
        <f ca="1"/>
        <v>140.489316</v>
      </c>
      <c r="T56" s="30">
        <f ca="1"/>
        <v>13.582877329999988</v>
      </c>
    </row>
    <row r="57" spans="1:25" x14ac:dyDescent="0.15">
      <c r="B57" t="s">
        <v>62</v>
      </c>
      <c r="C57" t="s">
        <v>68</v>
      </c>
      <c r="D57" s="30">
        <f>(VLOOKUP($B57,$C$36:$D54, 2,FALSE) - VLOOKUP($C57,$C$36:$D54, 2,FALSE) )* 44 / 12</f>
        <v>132.70341527412202</v>
      </c>
      <c r="F57" s="2" t="s">
        <v>113</v>
      </c>
      <c r="K57" s="44">
        <f t="shared" ca="1" si="15"/>
        <v>115.59687216000002</v>
      </c>
      <c r="L57" s="27">
        <f t="shared" ca="1" si="16"/>
        <v>1.03</v>
      </c>
      <c r="M57" s="26">
        <f t="shared" ca="1" si="17"/>
        <v>118.55499999999999</v>
      </c>
      <c r="N57" s="26">
        <f t="shared" ca="1" si="18"/>
        <v>47.35</v>
      </c>
      <c r="O57" s="26">
        <f t="shared" ca="1" si="19"/>
        <v>284.45999999999998</v>
      </c>
      <c r="P57" s="30" cm="1">
        <f t="array" aca="1" ref="P57:T57" ca="1">(_xlfn.XLOOKUP($B57,$C$36:$C$42,_xlfn.ANCHORARRAY( P$36):_xlfn.ANCHORARRAY(P$42)) - _xlfn.XLOOKUP($C57,$C$36:$C$42,_xlfn.ANCHORARRAY( P$36):_xlfn.ANCHORARRAY(P$42))) * 44 / 12</f>
        <v>197.39758983999994</v>
      </c>
      <c r="Q57" s="30">
        <f ca="1"/>
        <v>94.797331200000045</v>
      </c>
      <c r="R57" s="30">
        <f ca="1"/>
        <v>115.59687216000002</v>
      </c>
      <c r="S57" s="30">
        <f ca="1"/>
        <v>306.22597631999997</v>
      </c>
      <c r="T57" s="30">
        <f ca="1"/>
        <v>35.489578740000077</v>
      </c>
    </row>
    <row r="59" spans="1:25" x14ac:dyDescent="0.15">
      <c r="A59" s="25" t="s">
        <v>108</v>
      </c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41"/>
    </row>
    <row r="60" spans="1:25" x14ac:dyDescent="0.15">
      <c r="A60" s="2" t="s">
        <v>110</v>
      </c>
    </row>
    <row r="61" spans="1:25" x14ac:dyDescent="0.15">
      <c r="A61" s="2" t="s">
        <v>56</v>
      </c>
      <c r="B61" t="s">
        <v>70</v>
      </c>
      <c r="C61" t="s">
        <v>65</v>
      </c>
      <c r="D61" s="35">
        <f>ROUND(D45*D17,0)</f>
        <v>14183403</v>
      </c>
      <c r="F61" s="2" t="s">
        <v>113</v>
      </c>
      <c r="K61" s="44">
        <f t="shared" ref="K61:K73" ca="1" si="20">MEDIAN(_xlfn.ANCHORARRAY(P61))</f>
        <v>13750576</v>
      </c>
      <c r="L61" s="27">
        <f t="shared" ref="L61:L73" ca="1" si="21">ROUND(M61/K61,2)</f>
        <v>0.55000000000000004</v>
      </c>
      <c r="M61" s="26">
        <f t="shared" ref="M61:M73" ca="1" si="22">(O61-N61)/2</f>
        <v>7600273.2999999998</v>
      </c>
      <c r="N61" s="26">
        <f t="shared" ref="N61:N73" ca="1" si="23">ROUND(PERCENTILE(_xlfn.ANCHORARRAY(P61),(1-$B$2)/2),2)</f>
        <v>11259457.4</v>
      </c>
      <c r="O61" s="26">
        <f t="shared" ref="O61:O73" ca="1" si="24">ROUND(PERCENTILE(_xlfn.ANCHORARRAY(P61),(1+$B$2)/2),2)</f>
        <v>26460004</v>
      </c>
      <c r="P61" s="35" cm="1">
        <f t="array" aca="1" ref="P61:T61" ca="1">ROUND(_xlfn.ANCHORARRAY(P45)*_xlfn.ANCHORARRAY(P17),0)</f>
        <v>14865040</v>
      </c>
      <c r="Q61" s="36">
        <f ca="1"/>
        <v>10810093</v>
      </c>
      <c r="R61" s="36">
        <f ca="1"/>
        <v>13056915</v>
      </c>
      <c r="S61" s="36">
        <f ca="1"/>
        <v>29358745</v>
      </c>
      <c r="T61" s="36">
        <f ca="1"/>
        <v>13750576</v>
      </c>
      <c r="U61" s="36"/>
      <c r="V61" s="36"/>
      <c r="W61" s="36"/>
      <c r="X61" s="36"/>
      <c r="Y61" s="36"/>
    </row>
    <row r="62" spans="1:25" x14ac:dyDescent="0.15">
      <c r="A62" s="2"/>
      <c r="B62" t="s">
        <v>62</v>
      </c>
      <c r="C62" t="s">
        <v>65</v>
      </c>
      <c r="D62" s="35">
        <f t="shared" ref="D62:D73" si="25">ROUND(D46*D18,0)</f>
        <v>5371588</v>
      </c>
      <c r="F62" s="2" t="s">
        <v>113</v>
      </c>
      <c r="K62" s="44">
        <f t="shared" ca="1" si="20"/>
        <v>5107254</v>
      </c>
      <c r="L62" s="27">
        <f t="shared" ca="1" si="21"/>
        <v>0.43</v>
      </c>
      <c r="M62" s="26">
        <f t="shared" ca="1" si="22"/>
        <v>2183634.4</v>
      </c>
      <c r="N62" s="26">
        <f t="shared" ca="1" si="23"/>
        <v>2747700.2</v>
      </c>
      <c r="O62" s="26">
        <f t="shared" ca="1" si="24"/>
        <v>7114969</v>
      </c>
      <c r="P62" s="35" cm="1">
        <f t="array" aca="1" ref="P62:T62" ca="1">ROUND(_xlfn.ANCHORARRAY(P46)*_xlfn.ANCHORARRAY(P18),0)</f>
        <v>5151893</v>
      </c>
      <c r="Q62" s="36">
        <f ca="1"/>
        <v>7605738</v>
      </c>
      <c r="R62" s="36">
        <f ca="1"/>
        <v>3006309</v>
      </c>
      <c r="S62" s="36">
        <f ca="1"/>
        <v>5107254</v>
      </c>
      <c r="T62" s="36">
        <f ca="1"/>
        <v>2683048</v>
      </c>
      <c r="U62" s="36"/>
      <c r="V62" s="36"/>
      <c r="W62" s="36"/>
      <c r="X62" s="36"/>
      <c r="Y62" s="36"/>
    </row>
    <row r="63" spans="1:25" x14ac:dyDescent="0.15">
      <c r="A63" s="2"/>
      <c r="B63" t="s">
        <v>71</v>
      </c>
      <c r="C63" t="s">
        <v>65</v>
      </c>
      <c r="D63" s="35">
        <f t="shared" si="25"/>
        <v>25052382</v>
      </c>
      <c r="F63" s="2" t="s">
        <v>113</v>
      </c>
      <c r="K63" s="44">
        <f t="shared" ca="1" si="20"/>
        <v>36138321</v>
      </c>
      <c r="L63" s="27">
        <f t="shared" ca="1" si="21"/>
        <v>0.48</v>
      </c>
      <c r="M63" s="26">
        <f t="shared" ca="1" si="22"/>
        <v>17306986.200000003</v>
      </c>
      <c r="N63" s="26">
        <f t="shared" ca="1" si="23"/>
        <v>21372849.800000001</v>
      </c>
      <c r="O63" s="26">
        <f t="shared" ca="1" si="24"/>
        <v>55986822.200000003</v>
      </c>
      <c r="P63" s="35" cm="1">
        <f t="array" aca="1" ref="P63:T63" ca="1">ROUND(_xlfn.ANCHORARRAY(P47)*_xlfn.ANCHORARRAY(P19),0)</f>
        <v>44288387</v>
      </c>
      <c r="Q63" s="36">
        <f ca="1"/>
        <v>21275907</v>
      </c>
      <c r="R63" s="36">
        <f ca="1"/>
        <v>36138321</v>
      </c>
      <c r="S63" s="36">
        <f ca="1"/>
        <v>58911431</v>
      </c>
      <c r="T63" s="36">
        <f ca="1"/>
        <v>21760621</v>
      </c>
      <c r="U63" s="36"/>
      <c r="V63" s="36"/>
      <c r="W63" s="36"/>
      <c r="X63" s="36"/>
      <c r="Y63" s="36"/>
    </row>
    <row r="64" spans="1:25" x14ac:dyDescent="0.15">
      <c r="A64" s="2"/>
      <c r="B64" t="s">
        <v>68</v>
      </c>
      <c r="C64" t="s">
        <v>65</v>
      </c>
      <c r="D64" s="35">
        <f t="shared" si="25"/>
        <v>5715084</v>
      </c>
      <c r="F64" s="2" t="s">
        <v>113</v>
      </c>
      <c r="K64" s="44">
        <f t="shared" ca="1" si="20"/>
        <v>5469527</v>
      </c>
      <c r="L64" s="27">
        <f t="shared" ca="1" si="21"/>
        <v>0.54</v>
      </c>
      <c r="M64" s="26">
        <f t="shared" ca="1" si="22"/>
        <v>2945316.0000000005</v>
      </c>
      <c r="N64" s="26">
        <f t="shared" ca="1" si="23"/>
        <v>2799977.8</v>
      </c>
      <c r="O64" s="26">
        <f t="shared" ca="1" si="24"/>
        <v>8690609.8000000007</v>
      </c>
      <c r="P64" s="35" cm="1">
        <f t="array" aca="1" ref="P64:T64" ca="1">ROUND(_xlfn.ANCHORARRAY(P48)*_xlfn.ANCHORARRAY(P20),0)</f>
        <v>5469527</v>
      </c>
      <c r="Q64" s="36">
        <f ca="1"/>
        <v>7468221</v>
      </c>
      <c r="R64" s="36">
        <f ca="1"/>
        <v>5085829</v>
      </c>
      <c r="S64" s="36">
        <f ca="1"/>
        <v>2228515</v>
      </c>
      <c r="T64" s="36">
        <f ca="1"/>
        <v>8996207</v>
      </c>
      <c r="U64" s="36"/>
      <c r="V64" s="36"/>
      <c r="W64" s="36"/>
      <c r="X64" s="36"/>
      <c r="Y64" s="36"/>
    </row>
    <row r="65" spans="1:25" x14ac:dyDescent="0.15">
      <c r="A65" s="2"/>
      <c r="B65" t="s">
        <v>70</v>
      </c>
      <c r="C65" t="s">
        <v>71</v>
      </c>
      <c r="D65" s="35">
        <f t="shared" si="25"/>
        <v>55973654</v>
      </c>
      <c r="F65" s="2" t="s">
        <v>113</v>
      </c>
      <c r="K65" s="44">
        <f t="shared" ca="1" si="20"/>
        <v>20718115</v>
      </c>
      <c r="L65" s="27">
        <f t="shared" ca="1" si="21"/>
        <v>0.85</v>
      </c>
      <c r="M65" s="26">
        <f t="shared" ca="1" si="22"/>
        <v>17558081.100000001</v>
      </c>
      <c r="N65" s="26">
        <f t="shared" ca="1" si="23"/>
        <v>6790821.7999999998</v>
      </c>
      <c r="O65" s="26">
        <f t="shared" ca="1" si="24"/>
        <v>41906984</v>
      </c>
      <c r="P65" s="35" cm="1">
        <f t="array" aca="1" ref="P65:T65" ca="1">ROUND(_xlfn.ANCHORARRAY(P49)*_xlfn.ANCHORARRAY(P21),0)</f>
        <v>40468264</v>
      </c>
      <c r="Q65" s="36">
        <f ca="1"/>
        <v>18855445</v>
      </c>
      <c r="R65" s="36">
        <f ca="1"/>
        <v>20718115</v>
      </c>
      <c r="S65" s="36">
        <f ca="1"/>
        <v>42266664</v>
      </c>
      <c r="T65" s="36">
        <f ca="1"/>
        <v>3774666</v>
      </c>
      <c r="U65" s="36"/>
      <c r="V65" s="36"/>
      <c r="W65" s="36"/>
      <c r="X65" s="36"/>
      <c r="Y65" s="36"/>
    </row>
    <row r="66" spans="1:25" x14ac:dyDescent="0.15">
      <c r="A66" s="2"/>
      <c r="B66" t="s">
        <v>62</v>
      </c>
      <c r="C66" t="s">
        <v>68</v>
      </c>
      <c r="D66" s="35">
        <f t="shared" si="25"/>
        <v>3046074</v>
      </c>
      <c r="F66" s="2" t="s">
        <v>113</v>
      </c>
      <c r="K66" s="44">
        <f t="shared" ca="1" si="20"/>
        <v>2820470</v>
      </c>
      <c r="L66" s="27">
        <f t="shared" ca="1" si="21"/>
        <v>0.88</v>
      </c>
      <c r="M66" s="26">
        <f t="shared" ca="1" si="22"/>
        <v>2473531.9</v>
      </c>
      <c r="N66" s="26">
        <f t="shared" ca="1" si="23"/>
        <v>1071241.2</v>
      </c>
      <c r="O66" s="26">
        <f t="shared" ca="1" si="24"/>
        <v>6018305</v>
      </c>
      <c r="P66" s="35" cm="1">
        <f t="array" aca="1" ref="P66:T66" ca="1">ROUND(_xlfn.ANCHORARRAY(P50)*_xlfn.ANCHORARRAY(P22),0)</f>
        <v>4027225</v>
      </c>
      <c r="Q66" s="36">
        <f ca="1"/>
        <v>2346358</v>
      </c>
      <c r="R66" s="36">
        <f ca="1"/>
        <v>2820470</v>
      </c>
      <c r="S66" s="36">
        <f ca="1"/>
        <v>6516075</v>
      </c>
      <c r="T66" s="36">
        <f ca="1"/>
        <v>752462</v>
      </c>
      <c r="U66" s="36"/>
      <c r="V66" s="36"/>
      <c r="W66" s="36"/>
      <c r="X66" s="36"/>
      <c r="Y66" s="36"/>
    </row>
    <row r="67" spans="1:25" x14ac:dyDescent="0.15">
      <c r="A67" s="2"/>
      <c r="D67" s="35"/>
      <c r="K67" s="44"/>
      <c r="L67" s="27"/>
      <c r="M67" s="26"/>
      <c r="N67" s="26"/>
      <c r="O67" s="26"/>
      <c r="P67" s="35"/>
      <c r="Q67" s="36"/>
      <c r="R67" s="36"/>
      <c r="S67" s="36"/>
      <c r="T67" s="36"/>
      <c r="U67" s="36"/>
      <c r="V67" s="36"/>
      <c r="W67" s="36"/>
      <c r="X67" s="36"/>
      <c r="Y67" s="36"/>
    </row>
    <row r="68" spans="1:25" x14ac:dyDescent="0.15">
      <c r="A68" s="2" t="s">
        <v>96</v>
      </c>
      <c r="B68" t="s">
        <v>70</v>
      </c>
      <c r="C68" t="s">
        <v>65</v>
      </c>
      <c r="D68" s="35">
        <f t="shared" si="25"/>
        <v>1298013</v>
      </c>
      <c r="F68" s="2" t="s">
        <v>113</v>
      </c>
      <c r="K68" s="44">
        <f t="shared" ca="1" si="20"/>
        <v>1051804</v>
      </c>
      <c r="L68" s="27">
        <f t="shared" ca="1" si="21"/>
        <v>0.44</v>
      </c>
      <c r="M68" s="26">
        <f t="shared" ca="1" si="22"/>
        <v>460404.49999999994</v>
      </c>
      <c r="N68" s="26">
        <f t="shared" ca="1" si="23"/>
        <v>863635.4</v>
      </c>
      <c r="O68" s="26">
        <f t="shared" ca="1" si="24"/>
        <v>1784444.4</v>
      </c>
      <c r="P68" s="35" cm="1">
        <f t="array" aca="1" ref="P68:T68" ca="1">ROUND(_xlfn.ANCHORARRAY(P52)*_xlfn.ANCHORARRAY(P24),0)</f>
        <v>1811738</v>
      </c>
      <c r="Q68" s="36">
        <f ca="1"/>
        <v>1051804</v>
      </c>
      <c r="R68" s="36">
        <f ca="1"/>
        <v>1003249</v>
      </c>
      <c r="S68" s="36">
        <f ca="1"/>
        <v>1675270</v>
      </c>
      <c r="T68" s="36">
        <f ca="1"/>
        <v>828732</v>
      </c>
      <c r="U68" s="36"/>
      <c r="V68" s="36"/>
      <c r="W68" s="36"/>
      <c r="X68" s="36"/>
      <c r="Y68" s="36"/>
    </row>
    <row r="69" spans="1:25" x14ac:dyDescent="0.15">
      <c r="A69" s="2"/>
      <c r="B69" t="s">
        <v>62</v>
      </c>
      <c r="C69" t="s">
        <v>65</v>
      </c>
      <c r="D69" s="35">
        <f t="shared" si="25"/>
        <v>999200</v>
      </c>
      <c r="F69" s="2" t="s">
        <v>113</v>
      </c>
      <c r="K69" s="44">
        <f t="shared" ca="1" si="20"/>
        <v>878924</v>
      </c>
      <c r="L69" s="27">
        <f t="shared" ca="1" si="21"/>
        <v>0.72</v>
      </c>
      <c r="M69" s="26">
        <f t="shared" ca="1" si="22"/>
        <v>636891.1</v>
      </c>
      <c r="N69" s="26">
        <f t="shared" ca="1" si="23"/>
        <v>578833.19999999995</v>
      </c>
      <c r="O69" s="26">
        <f t="shared" ca="1" si="24"/>
        <v>1852615.4</v>
      </c>
      <c r="P69" s="35" cm="1">
        <f t="array" aca="1" ref="P69:T69" ca="1">ROUND(_xlfn.ANCHORARRAY(P53)*_xlfn.ANCHORARRAY(P25),0)</f>
        <v>632718</v>
      </c>
      <c r="Q69" s="36">
        <f ca="1"/>
        <v>1158417</v>
      </c>
      <c r="R69" s="36">
        <f ca="1"/>
        <v>565362</v>
      </c>
      <c r="S69" s="36">
        <f ca="1"/>
        <v>878924</v>
      </c>
      <c r="T69" s="36">
        <f ca="1"/>
        <v>2026165</v>
      </c>
      <c r="U69" s="36"/>
      <c r="V69" s="36"/>
      <c r="W69" s="36"/>
      <c r="X69" s="36"/>
      <c r="Y69" s="36"/>
    </row>
    <row r="70" spans="1:25" x14ac:dyDescent="0.15">
      <c r="A70" s="2"/>
      <c r="B70" t="s">
        <v>71</v>
      </c>
      <c r="C70" t="s">
        <v>65</v>
      </c>
      <c r="D70" s="35">
        <f t="shared" si="25"/>
        <v>2742507</v>
      </c>
      <c r="F70" s="2" t="s">
        <v>113</v>
      </c>
      <c r="K70" s="44">
        <f t="shared" ca="1" si="20"/>
        <v>3367107</v>
      </c>
      <c r="L70" s="27">
        <f t="shared" ca="1" si="21"/>
        <v>0.26</v>
      </c>
      <c r="M70" s="26">
        <f t="shared" ca="1" si="22"/>
        <v>890950.60000000009</v>
      </c>
      <c r="N70" s="26">
        <f t="shared" ca="1" si="23"/>
        <v>2380663.7999999998</v>
      </c>
      <c r="O70" s="26">
        <f t="shared" ca="1" si="24"/>
        <v>4162565</v>
      </c>
      <c r="P70" s="35" cm="1">
        <f t="array" aca="1" ref="P70:T70" ca="1">ROUND(_xlfn.ANCHORARRAY(P54)*_xlfn.ANCHORARRAY(P26),0)</f>
        <v>3854381</v>
      </c>
      <c r="Q70" s="36">
        <f ca="1"/>
        <v>4239611</v>
      </c>
      <c r="R70" s="36">
        <f ca="1"/>
        <v>2239524</v>
      </c>
      <c r="S70" s="36">
        <f ca="1"/>
        <v>3367107</v>
      </c>
      <c r="T70" s="36">
        <f ca="1"/>
        <v>2945223</v>
      </c>
      <c r="U70" s="36"/>
      <c r="V70" s="36"/>
      <c r="W70" s="36"/>
      <c r="X70" s="36"/>
      <c r="Y70" s="36"/>
    </row>
    <row r="71" spans="1:25" x14ac:dyDescent="0.15">
      <c r="B71" t="s">
        <v>68</v>
      </c>
      <c r="C71" t="s">
        <v>65</v>
      </c>
      <c r="D71" s="35">
        <f t="shared" si="25"/>
        <v>2115749</v>
      </c>
      <c r="F71" s="2" t="s">
        <v>113</v>
      </c>
      <c r="K71" s="44">
        <f t="shared" ca="1" si="20"/>
        <v>1620834</v>
      </c>
      <c r="L71" s="27">
        <f t="shared" ca="1" si="21"/>
        <v>0.56000000000000005</v>
      </c>
      <c r="M71" s="26">
        <f t="shared" ca="1" si="22"/>
        <v>901834.10000000009</v>
      </c>
      <c r="N71" s="26">
        <f t="shared" ca="1" si="23"/>
        <v>838034</v>
      </c>
      <c r="O71" s="26">
        <f t="shared" ca="1" si="24"/>
        <v>2641702.2000000002</v>
      </c>
      <c r="P71" s="35" cm="1">
        <f t="array" aca="1" ref="P71:T71" ca="1">ROUND(_xlfn.ANCHORARRAY(P55)*_xlfn.ANCHORARRAY(P27),0)</f>
        <v>1410602</v>
      </c>
      <c r="Q71" s="36">
        <f ca="1"/>
        <v>1620834</v>
      </c>
      <c r="R71" s="36">
        <f ca="1"/>
        <v>1625515</v>
      </c>
      <c r="S71" s="36">
        <f ca="1"/>
        <v>694892</v>
      </c>
      <c r="T71" s="36">
        <f ca="1"/>
        <v>2895749</v>
      </c>
      <c r="U71" s="36"/>
      <c r="V71" s="36"/>
      <c r="W71" s="36"/>
      <c r="X71" s="36"/>
      <c r="Y71" s="36"/>
    </row>
    <row r="72" spans="1:25" x14ac:dyDescent="0.15">
      <c r="B72" t="s">
        <v>70</v>
      </c>
      <c r="C72" t="s">
        <v>71</v>
      </c>
      <c r="D72" s="35">
        <f t="shared" si="25"/>
        <v>7943009</v>
      </c>
      <c r="F72" s="2" t="s">
        <v>113</v>
      </c>
      <c r="K72" s="44">
        <f t="shared" ca="1" si="20"/>
        <v>2526482</v>
      </c>
      <c r="L72" s="27">
        <f t="shared" ca="1" si="21"/>
        <v>1.08</v>
      </c>
      <c r="M72" s="26">
        <f t="shared" ca="1" si="22"/>
        <v>2718541.7</v>
      </c>
      <c r="N72" s="26">
        <f t="shared" ca="1" si="23"/>
        <v>941968</v>
      </c>
      <c r="O72" s="26">
        <f t="shared" ca="1" si="24"/>
        <v>6379051.4000000004</v>
      </c>
      <c r="P72" s="35" cm="1">
        <f t="array" aca="1" ref="P72:T72" ca="1">ROUND(_xlfn.ANCHORARRAY(P56)*_xlfn.ANCHORARRAY(P28),0)</f>
        <v>5339333</v>
      </c>
      <c r="Q72" s="36">
        <f ca="1"/>
        <v>2199096</v>
      </c>
      <c r="R72" s="36">
        <f ca="1"/>
        <v>2526482</v>
      </c>
      <c r="S72" s="36">
        <f ca="1"/>
        <v>6638981</v>
      </c>
      <c r="T72" s="36">
        <f ca="1"/>
        <v>627686</v>
      </c>
      <c r="U72" s="36"/>
      <c r="V72" s="36"/>
      <c r="W72" s="36"/>
      <c r="X72" s="36"/>
      <c r="Y72" s="36"/>
    </row>
    <row r="73" spans="1:25" x14ac:dyDescent="0.15">
      <c r="B73" t="s">
        <v>62</v>
      </c>
      <c r="C73" t="s">
        <v>68</v>
      </c>
      <c r="D73" s="35">
        <f t="shared" si="25"/>
        <v>747518</v>
      </c>
      <c r="F73" s="2" t="s">
        <v>113</v>
      </c>
      <c r="K73" s="44">
        <f t="shared" ca="1" si="20"/>
        <v>657915</v>
      </c>
      <c r="L73" s="27">
        <f t="shared" ca="1" si="21"/>
        <v>1.1399999999999999</v>
      </c>
      <c r="M73" s="26">
        <f t="shared" ca="1" si="22"/>
        <v>747926.79999999993</v>
      </c>
      <c r="N73" s="26">
        <f t="shared" ca="1" si="23"/>
        <v>262852.8</v>
      </c>
      <c r="O73" s="26">
        <f t="shared" ca="1" si="24"/>
        <v>1758706.4</v>
      </c>
      <c r="P73" s="35" cm="1">
        <f t="array" aca="1" ref="P73:T73" ca="1">ROUND(_xlfn.ANCHORARRAY(P57)*_xlfn.ANCHORARRAY(P29),0)</f>
        <v>1310840</v>
      </c>
      <c r="Q73" s="36">
        <f ca="1"/>
        <v>558036</v>
      </c>
      <c r="R73" s="36">
        <f ca="1"/>
        <v>657915</v>
      </c>
      <c r="S73" s="36">
        <f ca="1"/>
        <v>1870673</v>
      </c>
      <c r="T73" s="36">
        <f ca="1"/>
        <v>189057</v>
      </c>
      <c r="U73" s="36"/>
      <c r="V73" s="36"/>
      <c r="W73" s="36"/>
      <c r="X73" s="36"/>
      <c r="Y73" s="36"/>
    </row>
    <row r="77" spans="1:25" x14ac:dyDescent="0.15">
      <c r="A77" s="25" t="s">
        <v>109</v>
      </c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41"/>
    </row>
    <row r="78" spans="1:25" x14ac:dyDescent="0.15">
      <c r="A78" s="2" t="s">
        <v>111</v>
      </c>
      <c r="C78" s="2" t="s">
        <v>115</v>
      </c>
      <c r="D78" s="36">
        <f>ROUND(SUM(D61:D64)/$E$1,0)</f>
        <v>10064491</v>
      </c>
      <c r="F78" s="2" t="s">
        <v>113</v>
      </c>
      <c r="K78" s="45">
        <f t="shared" ref="K78:K87" ca="1" si="26">MEDIAN(_xlfn.ANCHORARRAY(P78))</f>
        <v>11457475</v>
      </c>
      <c r="L78" s="27">
        <f t="shared" ref="L78:L87" ca="1" si="27">ROUND(M78/K78,2)</f>
        <v>0.38</v>
      </c>
      <c r="M78" s="26">
        <f t="shared" ref="M78:M87" ca="1" si="28">(O78-N78)/2</f>
        <v>4327366.7</v>
      </c>
      <c r="N78" s="26">
        <f t="shared" ref="N78:N87" ca="1" si="29">ROUND(PERCENTILE(_xlfn.ANCHORARRAY(P78),(1-$B$2)/2),2)</f>
        <v>9433211.5999999996</v>
      </c>
      <c r="O78" s="26">
        <f t="shared" ref="O78:O87" ca="1" si="30">ROUND(PERCENTILE(_xlfn.ANCHORARRAY(P78),(1+$B$2)/2),2)</f>
        <v>18087945</v>
      </c>
      <c r="P78" s="36" cm="1">
        <f t="array" aca="1" ref="P78:T78" ca="1">ROUND(_xlfn.BYCOL(_xlfn.ANCHORARRAY(P61):_xlfn.ANCHORARRAY(P64), _xlfn.LAMBDA(_xlpm.x, SUM(_xlpm.x)))/$E$1,0)</f>
        <v>13954969</v>
      </c>
      <c r="Q78" s="30">
        <f ca="1"/>
        <v>9431992</v>
      </c>
      <c r="R78" s="30">
        <f ca="1"/>
        <v>11457475</v>
      </c>
      <c r="S78" s="30">
        <f ca="1"/>
        <v>19121189</v>
      </c>
      <c r="T78" s="30">
        <f ca="1"/>
        <v>9438090</v>
      </c>
    </row>
    <row r="79" spans="1:25" x14ac:dyDescent="0.15">
      <c r="A79" s="2" t="s">
        <v>112</v>
      </c>
      <c r="C79" s="2" t="s">
        <v>116</v>
      </c>
      <c r="D79" s="35">
        <f>ROUND(SUM(D65:D66)/$E$1,0)</f>
        <v>11803946</v>
      </c>
      <c r="F79" s="2" t="s">
        <v>113</v>
      </c>
      <c r="K79" s="45">
        <f t="shared" ca="1" si="26"/>
        <v>4707717</v>
      </c>
      <c r="L79" s="27">
        <f t="shared" ca="1" si="27"/>
        <v>0.85</v>
      </c>
      <c r="M79" s="26">
        <f t="shared" ca="1" si="28"/>
        <v>4006322.5</v>
      </c>
      <c r="N79" s="26">
        <f t="shared" ca="1" si="29"/>
        <v>1572413</v>
      </c>
      <c r="O79" s="26">
        <f t="shared" ca="1" si="30"/>
        <v>9585058</v>
      </c>
      <c r="P79" s="35" cm="1">
        <f t="array" aca="1" ref="P79:T79" ca="1">ROUND(_xlfn.BYCOL(_xlfn.ANCHORARRAY(P65):_xlfn.ANCHORARRAY(P66), _xlfn.LAMBDA(_xlpm.x, SUM(_xlpm.x)))/$E$1,0)</f>
        <v>8899098</v>
      </c>
      <c r="Q79" s="30">
        <f ca="1"/>
        <v>4240361</v>
      </c>
      <c r="R79" s="30">
        <f ca="1"/>
        <v>4707717</v>
      </c>
      <c r="S79" s="30">
        <f ca="1"/>
        <v>9756548</v>
      </c>
      <c r="T79" s="30">
        <f ca="1"/>
        <v>905426</v>
      </c>
    </row>
    <row r="80" spans="1:25" x14ac:dyDescent="0.15">
      <c r="F80" s="2"/>
      <c r="K80" s="45"/>
      <c r="L80" s="27"/>
      <c r="M80" s="26"/>
      <c r="N80" s="26"/>
      <c r="O80" s="26"/>
      <c r="P80"/>
    </row>
    <row r="81" spans="2:20" x14ac:dyDescent="0.15">
      <c r="C81" s="2" t="s">
        <v>117</v>
      </c>
      <c r="D81" s="35">
        <f>ROUND(SUM(D68:D71)/$E$2,0)</f>
        <v>3577735</v>
      </c>
      <c r="F81" s="2" t="s">
        <v>113</v>
      </c>
      <c r="K81" s="45">
        <f t="shared" ca="1" si="26"/>
        <v>3854720</v>
      </c>
      <c r="L81" s="27">
        <f t="shared" ca="1" si="27"/>
        <v>0.19</v>
      </c>
      <c r="M81" s="26">
        <f t="shared" ca="1" si="28"/>
        <v>725167.59999999986</v>
      </c>
      <c r="N81" s="26">
        <f t="shared" ca="1" si="29"/>
        <v>2835079.4</v>
      </c>
      <c r="O81" s="26">
        <f t="shared" ca="1" si="30"/>
        <v>4285414.5999999996</v>
      </c>
      <c r="P81" s="35" cm="1">
        <f t="array" aca="1" ref="P81:T81" ca="1">ROUND(_xlfn.BYCOL(_xlfn.ANCHORARRAY(P68):_xlfn.ANCHORARRAY(P71), _xlfn.LAMBDA(_xlpm.x, SUM(_xlpm.x)))/$E$2,0)</f>
        <v>3854720</v>
      </c>
      <c r="Q81" s="30">
        <f ca="1"/>
        <v>4035333</v>
      </c>
      <c r="R81" s="30">
        <f ca="1"/>
        <v>2716825</v>
      </c>
      <c r="S81" s="30">
        <f ca="1"/>
        <v>3308097</v>
      </c>
      <c r="T81" s="30">
        <f ca="1"/>
        <v>4347935</v>
      </c>
    </row>
    <row r="82" spans="2:20" x14ac:dyDescent="0.15">
      <c r="C82" s="2" t="s">
        <v>118</v>
      </c>
      <c r="D82" s="35">
        <f>ROUND(SUM(D72:D73)/$E$2,0)</f>
        <v>4345264</v>
      </c>
      <c r="F82" s="2" t="s">
        <v>113</v>
      </c>
      <c r="K82" s="45">
        <f t="shared" ca="1" si="26"/>
        <v>1592199</v>
      </c>
      <c r="L82" s="27">
        <f t="shared" ca="1" si="27"/>
        <v>1.0900000000000001</v>
      </c>
      <c r="M82" s="26">
        <f t="shared" ca="1" si="28"/>
        <v>1733234.1</v>
      </c>
      <c r="N82" s="26">
        <f t="shared" ca="1" si="29"/>
        <v>602410.80000000005</v>
      </c>
      <c r="O82" s="26">
        <f t="shared" ca="1" si="30"/>
        <v>4068879</v>
      </c>
      <c r="P82" s="35" cm="1">
        <f t="array" aca="1" ref="P82:T82" ca="1">ROUND(_xlfn.BYCOL(_xlfn.ANCHORARRAY(P72):_xlfn.ANCHORARRAY(P73), _xlfn.LAMBDA(_xlpm.x, SUM(_xlpm.x)))/$E$2,0)</f>
        <v>3325087</v>
      </c>
      <c r="Q82" s="30">
        <f ca="1"/>
        <v>1378566</v>
      </c>
      <c r="R82" s="30">
        <f ca="1"/>
        <v>1592199</v>
      </c>
      <c r="S82" s="30">
        <f ca="1"/>
        <v>4254827</v>
      </c>
      <c r="T82" s="30">
        <f ca="1"/>
        <v>408372</v>
      </c>
    </row>
    <row r="83" spans="2:20" x14ac:dyDescent="0.15">
      <c r="F83" s="2"/>
      <c r="K83" s="45"/>
      <c r="L83" s="27"/>
      <c r="M83" s="26"/>
      <c r="N83" s="26"/>
      <c r="O83" s="26"/>
      <c r="P83"/>
    </row>
    <row r="84" spans="2:20" x14ac:dyDescent="0.15">
      <c r="C84" s="2" t="s">
        <v>119</v>
      </c>
      <c r="D84" s="36">
        <f>SUM(D78:D79)</f>
        <v>21868437</v>
      </c>
      <c r="F84" s="2" t="s">
        <v>113</v>
      </c>
      <c r="K84" s="45">
        <f t="shared" ca="1" si="26"/>
        <v>16165192</v>
      </c>
      <c r="L84" s="27">
        <f t="shared" ca="1" si="27"/>
        <v>0.52</v>
      </c>
      <c r="M84" s="26">
        <f t="shared" ca="1" si="28"/>
        <v>8331859.7999999998</v>
      </c>
      <c r="N84" s="26">
        <f t="shared" ca="1" si="29"/>
        <v>11009283.4</v>
      </c>
      <c r="O84" s="26">
        <f t="shared" ca="1" si="30"/>
        <v>27673003</v>
      </c>
      <c r="P84" s="36" cm="1">
        <f t="array" aca="1" ref="P84:T84" ca="1">_xlfn.ANCHORARRAY(P78) +_xlfn.ANCHORARRAY( P79)</f>
        <v>22854067</v>
      </c>
      <c r="Q84" s="30">
        <f ca="1"/>
        <v>13672353</v>
      </c>
      <c r="R84" s="30">
        <f ca="1"/>
        <v>16165192</v>
      </c>
      <c r="S84" s="30">
        <f ca="1"/>
        <v>28877737</v>
      </c>
      <c r="T84" s="30">
        <f ca="1"/>
        <v>10343516</v>
      </c>
    </row>
    <row r="85" spans="2:20" x14ac:dyDescent="0.15">
      <c r="C85" s="2" t="s">
        <v>120</v>
      </c>
      <c r="D85" s="36">
        <f>SUM(D81:D82)</f>
        <v>7922999</v>
      </c>
      <c r="F85" s="2" t="s">
        <v>113</v>
      </c>
      <c r="K85" s="45">
        <f t="shared" ca="1" si="26"/>
        <v>5413899</v>
      </c>
      <c r="L85" s="27">
        <f t="shared" ca="1" si="27"/>
        <v>0.28999999999999998</v>
      </c>
      <c r="M85" s="26">
        <f t="shared" ca="1" si="28"/>
        <v>1543910</v>
      </c>
      <c r="N85" s="26">
        <f t="shared" ca="1" si="29"/>
        <v>4398480.5999999996</v>
      </c>
      <c r="O85" s="26">
        <f t="shared" ca="1" si="30"/>
        <v>7486300.5999999996</v>
      </c>
      <c r="P85" s="36" cm="1">
        <f t="array" aca="1" ref="P85:T85" ca="1">_xlfn.ANCHORARRAY(P81) +_xlfn.ANCHORARRAY( P82)</f>
        <v>7179807</v>
      </c>
      <c r="Q85" s="30">
        <f ca="1"/>
        <v>5413899</v>
      </c>
      <c r="R85" s="30">
        <f ca="1"/>
        <v>4309024</v>
      </c>
      <c r="S85" s="30">
        <f ca="1"/>
        <v>7562924</v>
      </c>
      <c r="T85" s="30">
        <f ca="1"/>
        <v>4756307</v>
      </c>
    </row>
    <row r="86" spans="2:20" x14ac:dyDescent="0.15">
      <c r="F86" s="2"/>
      <c r="K86" s="45"/>
      <c r="L86" s="27"/>
      <c r="M86" s="26"/>
      <c r="N86" s="26"/>
      <c r="O86" s="26"/>
      <c r="P86"/>
    </row>
    <row r="87" spans="2:20" x14ac:dyDescent="0.15">
      <c r="C87" s="2" t="s">
        <v>121</v>
      </c>
      <c r="D87" s="36">
        <f>D84-D85</f>
        <v>13945438</v>
      </c>
      <c r="F87" s="2" t="s">
        <v>113</v>
      </c>
      <c r="K87" s="45">
        <f t="shared" ca="1" si="26"/>
        <v>11856168</v>
      </c>
      <c r="L87" s="27">
        <f t="shared" ca="1" si="27"/>
        <v>0.59</v>
      </c>
      <c r="M87" s="26">
        <f t="shared" ca="1" si="28"/>
        <v>7032622.1999999993</v>
      </c>
      <c r="N87" s="26">
        <f t="shared" ca="1" si="29"/>
        <v>6121458</v>
      </c>
      <c r="O87" s="26">
        <f t="shared" ca="1" si="30"/>
        <v>20186702.399999999</v>
      </c>
      <c r="P87" s="36" cm="1">
        <f t="array" aca="1" ref="P87:T87" ca="1">_xlfn.ANCHORARRAY(P84)-_xlfn.ANCHORARRAY(P85)</f>
        <v>15674260</v>
      </c>
      <c r="Q87" s="30">
        <f ca="1"/>
        <v>8258454</v>
      </c>
      <c r="R87" s="30">
        <f ca="1"/>
        <v>11856168</v>
      </c>
      <c r="S87" s="30">
        <f ca="1"/>
        <v>21314813</v>
      </c>
      <c r="T87" s="30">
        <f ca="1"/>
        <v>5587209</v>
      </c>
    </row>
    <row r="90" spans="2:20" ht="16" x14ac:dyDescent="0.2">
      <c r="B90" s="2"/>
      <c r="C90" s="46" t="s">
        <v>122</v>
      </c>
      <c r="D90" s="46" t="s">
        <v>123</v>
      </c>
      <c r="E90" s="46" t="s">
        <v>124</v>
      </c>
      <c r="F90" s="46" t="s">
        <v>125</v>
      </c>
    </row>
    <row r="91" spans="2:20" ht="16" x14ac:dyDescent="0.2">
      <c r="C91" s="46"/>
      <c r="D91" s="47">
        <f>D87</f>
        <v>13945438</v>
      </c>
      <c r="E91" s="47">
        <f ca="1">K87</f>
        <v>11856168</v>
      </c>
      <c r="F91" s="48">
        <f ca="1">L87</f>
        <v>0.59</v>
      </c>
    </row>
    <row r="93" spans="2:20" x14ac:dyDescent="0.15">
      <c r="D93" s="2" t="s">
        <v>127</v>
      </c>
      <c r="E93" s="2" t="s">
        <v>128</v>
      </c>
      <c r="F93" s="2" t="s">
        <v>130</v>
      </c>
    </row>
    <row r="94" spans="2:20" x14ac:dyDescent="0.15">
      <c r="D94" s="36">
        <f ca="1">E91* (1 - 0.524417 * F91 / 1.645006)</f>
        <v>9626164.0535748564</v>
      </c>
      <c r="E94" s="36">
        <f ca="1">E91 * (1-E97)</f>
        <v>10907674.560000001</v>
      </c>
      <c r="F94" s="36">
        <f ca="1">E91* ( 1 - 2/44)</f>
        <v>11317251.272727273</v>
      </c>
    </row>
    <row r="96" spans="2:20" x14ac:dyDescent="0.15">
      <c r="E96" s="2" t="s">
        <v>129</v>
      </c>
    </row>
    <row r="97" spans="5:5" x14ac:dyDescent="0.15">
      <c r="E97">
        <f ca="1">IF(F91&lt;= 0.15, 0, IF(F91&lt;=0.3, 0.04, IF(F91&lt;=0.6, 0.08, IF(F91&lt;=1, 0.12, 0.15))))</f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user_input_details</vt:lpstr>
      <vt:lpstr>user_inputs</vt:lpstr>
      <vt:lpstr>time_periods</vt:lpstr>
      <vt:lpstr>AD_lu_transitions</vt:lpstr>
      <vt:lpstr>c_stocks</vt:lpstr>
      <vt:lpstr>SIMS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Sola, Gael (FAOVN)</cp:lastModifiedBy>
  <dcterms:created xsi:type="dcterms:W3CDTF">2024-11-26T05:23:27Z</dcterms:created>
  <dcterms:modified xsi:type="dcterms:W3CDTF">2024-12-05T03:32:49Z</dcterms:modified>
</cp:coreProperties>
</file>